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72.16.1.202\coordenadoria de aquisicoes e contratos\LICITAÇÕES 2023\PREGAO\09 - VIGILANCIA INTERIOR\APLIC-TRANSP\"/>
    </mc:Choice>
  </mc:AlternateContent>
  <xr:revisionPtr revIDLastSave="0" documentId="13_ncr:1_{8C8AAC1F-19DE-4FC6-8E42-5DB59A8131B1}" xr6:coauthVersionLast="47" xr6:coauthVersionMax="47" xr10:uidLastSave="{00000000-0000-0000-0000-000000000000}"/>
  <bookViews>
    <workbookView xWindow="-120" yWindow="-120" windowWidth="29040" windowHeight="15840" tabRatio="500" firstSheet="1" activeTab="2" xr2:uid="{00000000-000D-0000-FFFF-FFFF00000000}"/>
  </bookViews>
  <sheets>
    <sheet name="RESUMO DA CONTRATRAÇÃO" sheetId="11" r:id="rId1"/>
    <sheet name="RESUMO CUSTO" sheetId="1" r:id="rId2"/>
    <sheet name="5x2 - 5%" sheetId="10" r:id="rId3"/>
    <sheet name="5x2 - 3,5%" sheetId="8" r:id="rId4"/>
    <sheet name="5x2 - 4%" sheetId="9" r:id="rId5"/>
    <sheet name="5x2 - 3%" sheetId="2" r:id="rId6"/>
    <sheet name="UNIFORMES" sheetId="5" r:id="rId7"/>
    <sheet name="EQUIPAMENTOS" sheetId="6" r:id="rId8"/>
  </sheets>
  <definedNames>
    <definedName name="_xlnm.Print_Area" localSheetId="5">'5x2 - 3%'!$A$7:$D$212</definedName>
    <definedName name="_xlnm.Print_Area" localSheetId="3">'5x2 - 3,5%'!$A$7:$D$212</definedName>
    <definedName name="_xlnm.Print_Area" localSheetId="4">'5x2 - 4%'!$A$7:$D$212</definedName>
    <definedName name="_xlnm.Print_Area" localSheetId="2">'5x2 - 5%'!$A$7:$D$212</definedName>
    <definedName name="_xlnm.Print_Area" localSheetId="7">EQUIPAMENTOS!$A$1:$J$77</definedName>
    <definedName name="_xlnm.Print_Area" localSheetId="1">'RESUMO CUSTO'!$B$3:$J$14</definedName>
    <definedName name="_xlnm.Print_Area" localSheetId="6">UNIFORMES!$A$1:$G$21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J8" i="1" s="1"/>
  <c r="C197" i="10"/>
  <c r="B151" i="10"/>
  <c r="B150" i="10"/>
  <c r="C136" i="10"/>
  <c r="C135" i="10"/>
  <c r="C134" i="10"/>
  <c r="C133" i="10"/>
  <c r="C117" i="10"/>
  <c r="C115" i="10"/>
  <c r="C114" i="10"/>
  <c r="C112" i="10"/>
  <c r="C113" i="10" s="1"/>
  <c r="D92" i="10"/>
  <c r="D101" i="10" s="1"/>
  <c r="D79" i="10"/>
  <c r="D78" i="10"/>
  <c r="D80" i="10" s="1"/>
  <c r="D75" i="10"/>
  <c r="C69" i="10"/>
  <c r="C50" i="10"/>
  <c r="C49" i="10"/>
  <c r="C48" i="10"/>
  <c r="D31" i="10"/>
  <c r="C197" i="9"/>
  <c r="B151" i="9"/>
  <c r="B150" i="9"/>
  <c r="C136" i="9"/>
  <c r="C135" i="9"/>
  <c r="C134" i="9"/>
  <c r="C133" i="9"/>
  <c r="C117" i="9"/>
  <c r="C115" i="9"/>
  <c r="C114" i="9"/>
  <c r="C112" i="9"/>
  <c r="C113" i="9" s="1"/>
  <c r="D92" i="9"/>
  <c r="D101" i="9" s="1"/>
  <c r="D78" i="9"/>
  <c r="D75" i="9"/>
  <c r="C69" i="9"/>
  <c r="C50" i="9"/>
  <c r="C49" i="9"/>
  <c r="C48" i="9"/>
  <c r="D31" i="9"/>
  <c r="C197" i="8"/>
  <c r="B151" i="8"/>
  <c r="B150" i="8"/>
  <c r="C136" i="8"/>
  <c r="C135" i="8"/>
  <c r="C134" i="8"/>
  <c r="C133" i="8"/>
  <c r="C139" i="8" s="1"/>
  <c r="C117" i="8"/>
  <c r="C115" i="8"/>
  <c r="C114" i="8"/>
  <c r="C112" i="8"/>
  <c r="C113" i="8" s="1"/>
  <c r="D92" i="8"/>
  <c r="D101" i="8" s="1"/>
  <c r="D78" i="8"/>
  <c r="D79" i="8" s="1"/>
  <c r="D80" i="8" s="1"/>
  <c r="D75" i="8"/>
  <c r="C69" i="8"/>
  <c r="C50" i="8"/>
  <c r="C49" i="8"/>
  <c r="C48" i="8"/>
  <c r="D31" i="8"/>
  <c r="D32" i="8" s="1"/>
  <c r="D78" i="2"/>
  <c r="D32" i="9" l="1"/>
  <c r="D37" i="9" s="1"/>
  <c r="D79" i="9"/>
  <c r="D80" i="9" s="1"/>
  <c r="D32" i="10"/>
  <c r="D37" i="10" s="1"/>
  <c r="D76" i="10"/>
  <c r="D77" i="10" s="1"/>
  <c r="D85" i="10" s="1"/>
  <c r="C139" i="10"/>
  <c r="D76" i="9"/>
  <c r="D77" i="9" s="1"/>
  <c r="C139" i="9"/>
  <c r="D37" i="8"/>
  <c r="D76" i="8"/>
  <c r="D77" i="8" s="1"/>
  <c r="D85" i="8" s="1"/>
  <c r="D42" i="10" l="1"/>
  <c r="D43" i="10" s="1"/>
  <c r="D105" i="10"/>
  <c r="D205" i="10"/>
  <c r="D121" i="10"/>
  <c r="D169" i="10"/>
  <c r="D54" i="10"/>
  <c r="D121" i="9"/>
  <c r="D205" i="9"/>
  <c r="D169" i="9"/>
  <c r="D42" i="9"/>
  <c r="D43" i="9" s="1"/>
  <c r="D48" i="9" s="1"/>
  <c r="D54" i="9"/>
  <c r="D105" i="9"/>
  <c r="D85" i="9"/>
  <c r="D100" i="10"/>
  <c r="D123" i="10"/>
  <c r="D175" i="10"/>
  <c r="D48" i="10"/>
  <c r="D50" i="10"/>
  <c r="D49" i="10"/>
  <c r="D100" i="9"/>
  <c r="D123" i="9"/>
  <c r="D49" i="9"/>
  <c r="D123" i="8"/>
  <c r="D100" i="8"/>
  <c r="D121" i="8"/>
  <c r="D54" i="8"/>
  <c r="D169" i="8"/>
  <c r="D105" i="8"/>
  <c r="D42" i="8"/>
  <c r="D43" i="8" s="1"/>
  <c r="D205" i="8"/>
  <c r="D50" i="9" l="1"/>
  <c r="D51" i="9" s="1"/>
  <c r="D175" i="9"/>
  <c r="D51" i="10"/>
  <c r="D175" i="8"/>
  <c r="D49" i="8"/>
  <c r="D50" i="8"/>
  <c r="D48" i="8"/>
  <c r="D51" i="8" s="1"/>
  <c r="D98" i="9" l="1"/>
  <c r="D55" i="9"/>
  <c r="D56" i="9" s="1"/>
  <c r="D66" i="9" s="1"/>
  <c r="D122" i="9"/>
  <c r="D106" i="9"/>
  <c r="D107" i="9" s="1"/>
  <c r="D112" i="9" s="1"/>
  <c r="D55" i="10"/>
  <c r="D56" i="10" s="1"/>
  <c r="D98" i="10"/>
  <c r="D122" i="10"/>
  <c r="D106" i="10"/>
  <c r="D107" i="10" s="1"/>
  <c r="D113" i="9"/>
  <c r="D116" i="9"/>
  <c r="D117" i="9"/>
  <c r="D114" i="9"/>
  <c r="D63" i="9"/>
  <c r="D65" i="9"/>
  <c r="D68" i="9"/>
  <c r="D64" i="9"/>
  <c r="D62" i="9"/>
  <c r="D61" i="9"/>
  <c r="D55" i="8"/>
  <c r="D56" i="8" s="1"/>
  <c r="D106" i="8"/>
  <c r="D107" i="8" s="1"/>
  <c r="D122" i="8"/>
  <c r="D98" i="8"/>
  <c r="D67" i="9" l="1"/>
  <c r="D69" i="9" s="1"/>
  <c r="D99" i="9" s="1"/>
  <c r="D102" i="9" s="1"/>
  <c r="D115" i="9"/>
  <c r="D114" i="10"/>
  <c r="D113" i="10"/>
  <c r="D116" i="10"/>
  <c r="D117" i="10"/>
  <c r="D112" i="10"/>
  <c r="D115" i="10"/>
  <c r="D67" i="10"/>
  <c r="D66" i="10"/>
  <c r="D63" i="10"/>
  <c r="D65" i="10"/>
  <c r="D64" i="10"/>
  <c r="D62" i="10"/>
  <c r="D68" i="10"/>
  <c r="D61" i="10"/>
  <c r="D118" i="9"/>
  <c r="D115" i="8"/>
  <c r="D114" i="8"/>
  <c r="D113" i="8"/>
  <c r="D117" i="8"/>
  <c r="D116" i="8"/>
  <c r="D112" i="8"/>
  <c r="D67" i="8"/>
  <c r="D62" i="8"/>
  <c r="D61" i="8"/>
  <c r="D68" i="8"/>
  <c r="D66" i="8"/>
  <c r="D65" i="8"/>
  <c r="D63" i="8"/>
  <c r="D64" i="8"/>
  <c r="D170" i="9" l="1"/>
  <c r="D206" i="9"/>
  <c r="D118" i="8"/>
  <c r="D69" i="10"/>
  <c r="D99" i="10" s="1"/>
  <c r="D102" i="10" s="1"/>
  <c r="D118" i="10"/>
  <c r="D171" i="9"/>
  <c r="D177" i="9" s="1"/>
  <c r="D207" i="9"/>
  <c r="D124" i="9"/>
  <c r="D125" i="9" s="1"/>
  <c r="D176" i="9"/>
  <c r="D171" i="8"/>
  <c r="D177" i="8" s="1"/>
  <c r="D207" i="8"/>
  <c r="D124" i="8"/>
  <c r="D125" i="8" s="1"/>
  <c r="D69" i="8"/>
  <c r="D99" i="8" s="1"/>
  <c r="D102" i="8" s="1"/>
  <c r="D171" i="10" l="1"/>
  <c r="D177" i="10" s="1"/>
  <c r="D207" i="10"/>
  <c r="D124" i="10"/>
  <c r="D125" i="10" s="1"/>
  <c r="D170" i="10"/>
  <c r="D206" i="10"/>
  <c r="D144" i="9"/>
  <c r="D145" i="9" s="1"/>
  <c r="D151" i="9" s="1"/>
  <c r="D132" i="9"/>
  <c r="D134" i="9"/>
  <c r="D136" i="9"/>
  <c r="D133" i="9"/>
  <c r="D135" i="9"/>
  <c r="D170" i="8"/>
  <c r="D206" i="8"/>
  <c r="D144" i="8"/>
  <c r="D145" i="8" s="1"/>
  <c r="D151" i="8" s="1"/>
  <c r="D134" i="8"/>
  <c r="D133" i="8"/>
  <c r="D132" i="8"/>
  <c r="D135" i="8"/>
  <c r="D136" i="8"/>
  <c r="D176" i="10" l="1"/>
  <c r="D144" i="10"/>
  <c r="D145" i="10" s="1"/>
  <c r="D151" i="10" s="1"/>
  <c r="D132" i="10"/>
  <c r="D134" i="10"/>
  <c r="D135" i="10"/>
  <c r="D136" i="10"/>
  <c r="D133" i="10"/>
  <c r="D139" i="9"/>
  <c r="D150" i="9" s="1"/>
  <c r="D152" i="9" s="1"/>
  <c r="D172" i="9" s="1"/>
  <c r="D139" i="8"/>
  <c r="D150" i="8" s="1"/>
  <c r="D152" i="8" s="1"/>
  <c r="D172" i="8" s="1"/>
  <c r="D176" i="8"/>
  <c r="D139" i="10" l="1"/>
  <c r="D150" i="10" s="1"/>
  <c r="D152" i="10" s="1"/>
  <c r="D172" i="10" s="1"/>
  <c r="D208" i="9"/>
  <c r="D178" i="9"/>
  <c r="D208" i="8"/>
  <c r="D178" i="8"/>
  <c r="D208" i="10" l="1"/>
  <c r="D178" i="10"/>
  <c r="E9" i="6" l="1"/>
  <c r="H9" i="6" s="1"/>
  <c r="I9" i="6" s="1"/>
  <c r="E8" i="6"/>
  <c r="H8" i="6" s="1"/>
  <c r="I8" i="6" s="1"/>
  <c r="E7" i="6"/>
  <c r="H7" i="6" s="1"/>
  <c r="I7" i="6" s="1"/>
  <c r="E6" i="6"/>
  <c r="E5" i="6"/>
  <c r="G5" i="6" s="1"/>
  <c r="H5" i="6" s="1"/>
  <c r="I5" i="6" s="1"/>
  <c r="E4" i="6"/>
  <c r="E3" i="6"/>
  <c r="G3" i="6" s="1"/>
  <c r="H3" i="6" s="1"/>
  <c r="I3" i="6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4" i="5"/>
  <c r="F4" i="5" s="1"/>
  <c r="E3" i="5"/>
  <c r="C197" i="2"/>
  <c r="B151" i="2"/>
  <c r="B150" i="2"/>
  <c r="C136" i="2"/>
  <c r="C135" i="2"/>
  <c r="C134" i="2"/>
  <c r="C133" i="2"/>
  <c r="C117" i="2"/>
  <c r="C115" i="2"/>
  <c r="C114" i="2"/>
  <c r="C112" i="2"/>
  <c r="C113" i="2" s="1"/>
  <c r="D92" i="2"/>
  <c r="D101" i="2" s="1"/>
  <c r="D79" i="2"/>
  <c r="D75" i="2"/>
  <c r="D76" i="2" s="1"/>
  <c r="D77" i="2" s="1"/>
  <c r="C69" i="2"/>
  <c r="C50" i="2"/>
  <c r="C49" i="2"/>
  <c r="C48" i="2"/>
  <c r="D31" i="2"/>
  <c r="D32" i="2" s="1"/>
  <c r="D37" i="2" l="1"/>
  <c r="D169" i="2" s="1"/>
  <c r="E11" i="5"/>
  <c r="D54" i="2"/>
  <c r="G4" i="6"/>
  <c r="H4" i="6" s="1"/>
  <c r="I4" i="6" s="1"/>
  <c r="D80" i="2"/>
  <c r="D85" i="2" s="1"/>
  <c r="F3" i="5"/>
  <c r="F11" i="5" s="1"/>
  <c r="D161" i="10" s="1"/>
  <c r="C139" i="2"/>
  <c r="G6" i="6"/>
  <c r="H6" i="6" s="1"/>
  <c r="I6" i="6" s="1"/>
  <c r="D161" i="9" l="1"/>
  <c r="D161" i="8"/>
  <c r="D105" i="2"/>
  <c r="D42" i="2"/>
  <c r="D43" i="2" s="1"/>
  <c r="D48" i="2" s="1"/>
  <c r="D121" i="2"/>
  <c r="D205" i="2"/>
  <c r="I10" i="6"/>
  <c r="D100" i="2"/>
  <c r="D123" i="2"/>
  <c r="D161" i="2"/>
  <c r="D175" i="2"/>
  <c r="D162" i="8" l="1"/>
  <c r="D166" i="8" s="1"/>
  <c r="D162" i="9"/>
  <c r="D162" i="10"/>
  <c r="D166" i="10" s="1"/>
  <c r="D50" i="2"/>
  <c r="D49" i="2"/>
  <c r="D51" i="2" s="1"/>
  <c r="D166" i="9"/>
  <c r="D173" i="9" s="1"/>
  <c r="D173" i="10"/>
  <c r="D209" i="10"/>
  <c r="D210" i="10" s="1"/>
  <c r="D162" i="2"/>
  <c r="D166" i="2" s="1"/>
  <c r="D209" i="2" s="1"/>
  <c r="D98" i="2" l="1"/>
  <c r="D122" i="2"/>
  <c r="D55" i="2"/>
  <c r="D56" i="2" s="1"/>
  <c r="D63" i="2" s="1"/>
  <c r="D106" i="2"/>
  <c r="D107" i="2" s="1"/>
  <c r="D114" i="2" s="1"/>
  <c r="D173" i="8"/>
  <c r="D174" i="8" s="1"/>
  <c r="D209" i="8"/>
  <c r="D210" i="8" s="1"/>
  <c r="D209" i="9"/>
  <c r="D210" i="9" s="1"/>
  <c r="D179" i="10"/>
  <c r="D174" i="10"/>
  <c r="D179" i="9"/>
  <c r="D174" i="9"/>
  <c r="D179" i="8"/>
  <c r="D173" i="2"/>
  <c r="D179" i="2" s="1"/>
  <c r="D117" i="2"/>
  <c r="D113" i="2"/>
  <c r="D115" i="2"/>
  <c r="D116" i="2"/>
  <c r="D112" i="2"/>
  <c r="D61" i="2"/>
  <c r="D66" i="2"/>
  <c r="D68" i="2"/>
  <c r="D67" i="2"/>
  <c r="D65" i="2"/>
  <c r="D64" i="2"/>
  <c r="D62" i="2" l="1"/>
  <c r="D186" i="8"/>
  <c r="D180" i="8" s="1"/>
  <c r="D181" i="8" s="1"/>
  <c r="D187" i="8" s="1"/>
  <c r="D186" i="9"/>
  <c r="D180" i="9" s="1"/>
  <c r="D181" i="9" s="1"/>
  <c r="D187" i="9" s="1"/>
  <c r="D186" i="10"/>
  <c r="D180" i="10" s="1"/>
  <c r="D181" i="10" s="1"/>
  <c r="D187" i="10" s="1"/>
  <c r="D69" i="2"/>
  <c r="D99" i="2" s="1"/>
  <c r="D102" i="2" s="1"/>
  <c r="D170" i="2" s="1"/>
  <c r="D118" i="2"/>
  <c r="D188" i="10" l="1"/>
  <c r="D189" i="10" s="1"/>
  <c r="D188" i="9"/>
  <c r="D189" i="9" s="1"/>
  <c r="D188" i="8"/>
  <c r="D189" i="8" s="1"/>
  <c r="D206" i="2"/>
  <c r="D207" i="2"/>
  <c r="D124" i="2"/>
  <c r="D125" i="2" s="1"/>
  <c r="D171" i="2"/>
  <c r="D177" i="2" s="1"/>
  <c r="D176" i="2"/>
  <c r="D193" i="8" l="1"/>
  <c r="D192" i="8"/>
  <c r="D196" i="8"/>
  <c r="D192" i="9"/>
  <c r="D196" i="9"/>
  <c r="D193" i="9"/>
  <c r="D196" i="10"/>
  <c r="D193" i="10"/>
  <c r="D192" i="10"/>
  <c r="D144" i="2"/>
  <c r="D145" i="2" s="1"/>
  <c r="D151" i="2" s="1"/>
  <c r="D132" i="2"/>
  <c r="D133" i="2"/>
  <c r="D134" i="2"/>
  <c r="D135" i="2"/>
  <c r="D136" i="2"/>
  <c r="D197" i="9" l="1"/>
  <c r="D198" i="9" s="1"/>
  <c r="D211" i="9" s="1"/>
  <c r="D212" i="9" s="1"/>
  <c r="D197" i="8"/>
  <c r="D198" i="8" s="1"/>
  <c r="D211" i="8" s="1"/>
  <c r="D212" i="8" s="1"/>
  <c r="D197" i="10"/>
  <c r="D198" i="10" s="1"/>
  <c r="D211" i="10" s="1"/>
  <c r="D212" i="10" s="1"/>
  <c r="D139" i="2"/>
  <c r="D150" i="2" s="1"/>
  <c r="D152" i="2" s="1"/>
  <c r="D172" i="2" s="1"/>
  <c r="D178" i="2" l="1"/>
  <c r="D208" i="2"/>
  <c r="D210" i="2" s="1"/>
  <c r="D174" i="2"/>
  <c r="D186" i="2" l="1"/>
  <c r="D180" i="2" s="1"/>
  <c r="D181" i="2" s="1"/>
  <c r="D187" i="2" s="1"/>
  <c r="D188" i="2" l="1"/>
  <c r="D189" i="2" s="1"/>
  <c r="D192" i="2" l="1"/>
  <c r="D193" i="2"/>
  <c r="D196" i="2"/>
  <c r="D197" i="2" l="1"/>
  <c r="D198" i="2" s="1"/>
  <c r="D211" i="2" s="1"/>
  <c r="D212" i="2" s="1"/>
  <c r="H7" i="1" s="1"/>
  <c r="I7" i="1" s="1"/>
  <c r="I10" i="1"/>
  <c r="J10" i="1" s="1"/>
  <c r="I9" i="1" l="1"/>
  <c r="J9" i="1" s="1"/>
  <c r="J7" i="1"/>
  <c r="I11" i="1" l="1"/>
  <c r="I12" i="1" s="1"/>
  <c r="I13" i="1" s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1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Wellington Caninja Soares Ferreira:
</t>
        </r>
        <r>
          <rPr>
            <sz val="9"/>
            <color rgb="FF000000"/>
            <rFont val="Segoe UI"/>
            <family val="2"/>
            <charset val="1"/>
          </rPr>
          <t xml:space="preserve">DISCUTIR BASE DE CÁLCULO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1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Wellington Caninja Soares Ferreira:
</t>
        </r>
        <r>
          <rPr>
            <sz val="9"/>
            <color rgb="FF000000"/>
            <rFont val="Segoe UI"/>
            <family val="2"/>
            <charset val="1"/>
          </rPr>
          <t xml:space="preserve">DISCUTIR BASE DE CÁLCULO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1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Wellington Caninja Soares Ferreira:
</t>
        </r>
        <r>
          <rPr>
            <sz val="9"/>
            <color rgb="FF000000"/>
            <rFont val="Segoe UI"/>
            <family val="2"/>
            <charset val="1"/>
          </rPr>
          <t xml:space="preserve">DISCUTIR BASE DE CÁLCULO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1" authorId="0" shapeId="0" xr:uid="{00000000-0006-0000-0500-000001000000}">
      <text>
        <r>
          <rPr>
            <sz val="11"/>
            <color rgb="FF000000"/>
            <rFont val="Calibri"/>
            <family val="2"/>
            <charset val="1"/>
          </rPr>
          <t xml:space="preserve">Wellington Caninja Soares Ferreira:
</t>
        </r>
        <r>
          <rPr>
            <sz val="9"/>
            <color rgb="FF000000"/>
            <rFont val="Segoe UI"/>
            <family val="2"/>
            <charset val="1"/>
          </rPr>
          <t xml:space="preserve">DISCUTIR BASE DE CÁLCULO
</t>
        </r>
      </text>
    </comment>
  </commentList>
</comments>
</file>

<file path=xl/sharedStrings.xml><?xml version="1.0" encoding="utf-8"?>
<sst xmlns="http://schemas.openxmlformats.org/spreadsheetml/2006/main" count="1160" uniqueCount="235">
  <si>
    <t>QUADRO RESUMO DO VALOR ESTIMADO DA CONTRATAÇÃO- LOTE 01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</si>
  <si>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</si>
  <si>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</si>
  <si>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</si>
  <si>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</si>
  <si>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</si>
  <si>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</si>
  <si>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</si>
  <si>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</si>
  <si>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</si>
  <si>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ITEM</t>
  </si>
  <si>
    <t>DESCRIÇÃO</t>
  </si>
  <si>
    <t>UNID</t>
  </si>
  <si>
    <t>JORNADAS</t>
  </si>
  <si>
    <t>QTD VIGILANTES</t>
  </si>
  <si>
    <t>CUSTO UNITÁRIO VIGILANTE</t>
  </si>
  <si>
    <r>
      <rPr>
        <b/>
        <sz val="9"/>
        <color rgb="FF000000"/>
        <rFont val="Calibri Light"/>
        <family val="2"/>
        <charset val="1"/>
      </rPr>
      <t xml:space="preserve">CUSTO UNITÁRIO DO POSTO
</t>
    </r>
    <r>
      <rPr>
        <b/>
        <sz val="9"/>
        <color rgb="FFFF0000"/>
        <rFont val="Calibri Light"/>
        <family val="2"/>
        <charset val="1"/>
      </rPr>
      <t xml:space="preserve"> (MENSAL)</t>
    </r>
  </si>
  <si>
    <r>
      <rPr>
        <b/>
        <sz val="9"/>
        <color rgb="FF000000"/>
        <rFont val="Calibri Light"/>
        <family val="2"/>
        <charset val="1"/>
      </rPr>
      <t xml:space="preserve">CUSTO TOTAL DO POSTO
</t>
    </r>
    <r>
      <rPr>
        <b/>
        <sz val="9"/>
        <color rgb="FFFF0000"/>
        <rFont val="Calibri Light"/>
        <family val="2"/>
        <charset val="1"/>
      </rPr>
      <t>(BIÊNIO)</t>
    </r>
  </si>
  <si>
    <t>( F * G )</t>
  </si>
  <si>
    <t xml:space="preserve"> ( H * 24 )</t>
  </si>
  <si>
    <t>POS</t>
  </si>
  <si>
    <t>Serviço DIURNO especializado de vigilância ostensiva  ARMADA,  em turnos de 5x2, diurno, de segunda a sexta.</t>
  </si>
  <si>
    <t>TOTAL DO BIÊNIO DA CONTRATAÇÃO</t>
  </si>
  <si>
    <t>O modelo a seguir deve ser obrigatoriamente observado por todos os órgãos ou entidades contratantes, podendo ser adaptado às eventuais disposições contrárias constantes em Lei, Acordos, Convenções e Dissídios Coletivos de Trabalho. Na hipótese de adaptação, os órgãos e entidades deverão validar as alterações junto à Secretaria de Estado de Planejamento e Gestão.</t>
  </si>
  <si>
    <t>Este modelo está arquitetado de acordo com a Instrução Normativa 01, de 17 de janeiro de 2020, 
da Secretaria de Estado de Planejamento e Gestão de Mato Grosso.</t>
  </si>
  <si>
    <t>Insira todas as informações necessárias nos campos editáveis destacados com esta cor</t>
  </si>
  <si>
    <t>PLANILHA REFERENCIAL DE CUSTOS E FORMAÇÃO DE PREÇOS</t>
  </si>
  <si>
    <t>MODELO PARA A CONSOLIDAÇÃO E APRESENTAÇÃO DE PROPOSTAS</t>
  </si>
  <si>
    <t>1. DISCRIMINAÇÃO DOS SERVIÇOS (DADOS REFERENTES À CONTRATAÇÃO)</t>
  </si>
  <si>
    <t>Valor ou Percentual Fixo estipulado por Lei ou CCT</t>
  </si>
  <si>
    <t>Valor Varíável específico de cada Posto de Trabalho</t>
  </si>
  <si>
    <t>Nº do Processo</t>
  </si>
  <si>
    <t>Licitação Nº</t>
  </si>
  <si>
    <t>Data de apresentação da proposta (dia/mês/ano):</t>
  </si>
  <si>
    <t>Município/UF</t>
  </si>
  <si>
    <t>XXXX - MT</t>
  </si>
  <si>
    <t>Número de meses de execução contratual:</t>
  </si>
  <si>
    <t>Tipo de Serviço (mesmo serviço com características distintas)</t>
  </si>
  <si>
    <t>Unidade de Medida</t>
  </si>
  <si>
    <t>Posto de Trabalho</t>
  </si>
  <si>
    <t>Classificação Brasileira de Ocupações (CBO)</t>
  </si>
  <si>
    <t>5173 - 30</t>
  </si>
  <si>
    <t>Salário Normativo da Categoria Profissional</t>
  </si>
  <si>
    <t>J</t>
  </si>
  <si>
    <t>Categoria Profissional (vinculada à execução contratual)</t>
  </si>
  <si>
    <t>Vigilante</t>
  </si>
  <si>
    <t>K</t>
  </si>
  <si>
    <t>Ano Acordo, Convenção ou Dissídio Coletivo</t>
  </si>
  <si>
    <t>L</t>
  </si>
  <si>
    <t>Nº de registro do Acordo, Convenção ou Dissídio Coletivo</t>
  </si>
  <si>
    <t>M</t>
  </si>
  <si>
    <t>Data-Base da Categoria (dia/mês/ano)</t>
  </si>
  <si>
    <t>Fórmulas trazidas pela CCT</t>
  </si>
  <si>
    <t>Módulo 1 - Composição da Remuneração</t>
  </si>
  <si>
    <t>Valores que podem Variar de empresa para empresa</t>
  </si>
  <si>
    <t>Composição da Remuneração</t>
  </si>
  <si>
    <t>Percentual (%)</t>
  </si>
  <si>
    <t>Valor (R$)</t>
  </si>
  <si>
    <t>Salário-Base</t>
  </si>
  <si>
    <t>Adicional de periculosidade</t>
  </si>
  <si>
    <t>Total</t>
  </si>
  <si>
    <t>Módulo 2 - Encargos, Benefícios (anuais, mensais e diários) e Intrajornada Suprimido</t>
  </si>
  <si>
    <t xml:space="preserve">BASE DE CÁLCULO PARA O MÓDULO 2.1: </t>
  </si>
  <si>
    <t xml:space="preserve"> MÓDULO 1</t>
  </si>
  <si>
    <t>TOTAL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</si>
  <si>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</si>
  <si>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</si>
  <si>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</si>
  <si>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</si>
  <si>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 xml:space="preserve">Férias </t>
  </si>
  <si>
    <t>Adicional de Férias</t>
  </si>
  <si>
    <t>BASE DE CÁLCULO PARA O MÓDULO 2.2:</t>
  </si>
  <si>
    <t xml:space="preserve"> MÓDULO 2.1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</si>
  <si>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</si>
  <si>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</si>
  <si>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</si>
  <si>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</si>
  <si>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</si>
  <si>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SESC ou SESI</t>
  </si>
  <si>
    <t>SENAI - SENAC</t>
  </si>
  <si>
    <t>SEBRAE</t>
  </si>
  <si>
    <t>INCRA</t>
  </si>
  <si>
    <t>FGTS</t>
  </si>
  <si>
    <t xml:space="preserve">Total </t>
  </si>
  <si>
    <t>Submódulo 2.3 - Benefícios Mensais e Diários.</t>
  </si>
  <si>
    <t>2.3</t>
  </si>
  <si>
    <t>Benefícios Mensais e Diários</t>
  </si>
  <si>
    <t>A.1</t>
  </si>
  <si>
    <t>Auxílio Transporte Bruto/Vale combustível</t>
  </si>
  <si>
    <t>A.2</t>
  </si>
  <si>
    <t xml:space="preserve">(-) Dedução do Vale Transporte </t>
  </si>
  <si>
    <t>A.3</t>
  </si>
  <si>
    <t>Auxílio Transporte Líquido ( A.1 - A.2 )</t>
  </si>
  <si>
    <t>B.1</t>
  </si>
  <si>
    <t>B.2</t>
  </si>
  <si>
    <t>(-) Dedução do Auxílio-Refeição/Alimentação</t>
  </si>
  <si>
    <t>B.3</t>
  </si>
  <si>
    <t>Auxílio-Refeição/Alimentação Líquido  ( B.1 - B.2 )</t>
  </si>
  <si>
    <t>Total ( A.3 + B.3 + C + D + E + ...)</t>
  </si>
  <si>
    <t>Submódulo 2.4 - Intrajornada 30 minutos</t>
  </si>
  <si>
    <t>2.4</t>
  </si>
  <si>
    <t>Intrajornada 30 minutos</t>
  </si>
  <si>
    <t>Quadro-Resumo do Módulo 2 - Encargos, Benefícios (anuais, mensais e diários) e Intrajornada 30 MINUTOS</t>
  </si>
  <si>
    <t>Encargos e Benefícios Anuais, Mensais e Diários e Intrajornada Suprimido</t>
  </si>
  <si>
    <t>BASE DE CÁLCULO PARA O MÓDULO 3:</t>
  </si>
  <si>
    <t>MÓDULO 2.1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</si>
  <si>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</si>
  <si>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</si>
  <si>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</si>
  <si>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</si>
  <si>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sobre o Aviso Prévio Indenizado</t>
  </si>
  <si>
    <t>Aviso Prévio Trabalhado</t>
  </si>
  <si>
    <t>Incidência dos encargos do submódulo 2.2 sobre o Aviso Prévio Trabalhado</t>
  </si>
  <si>
    <t>Multa do FGTS sobre o Aviso Prévio Trabalhado</t>
  </si>
  <si>
    <t>BASE DE CÁLCULO PARA O MÓDULO 4: 
MÓDULO 1 + MÓDULO 2.1 + (MÓDULO 2.3 - Aux. Transp. Liq.) + MÓDULO 3</t>
  </si>
  <si>
    <t>MÓDULO 1</t>
  </si>
  <si>
    <t>MÓDULO 2.3*</t>
  </si>
  <si>
    <t>MÓDULO 3</t>
  </si>
  <si>
    <t xml:space="preserve">TOTAL </t>
  </si>
  <si>
    <t>Módulo 4 - Custo de Reposição do Profissional Ausente</t>
  </si>
  <si>
    <t>Submódulo 4.1  - Substituto nas Ausências Legais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</si>
  <si>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</si>
  <si>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</si>
  <si>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</si>
  <si>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</si>
  <si>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</si>
  <si>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</si>
  <si>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</si>
  <si>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Outros (especificar)</t>
  </si>
  <si>
    <t>Submódulo 4.2  - Incidências sobre o Substituto nas Ausências Legais</t>
  </si>
  <si>
    <t>4.2</t>
  </si>
  <si>
    <t>Incidencia do Submódulo 2.2 sobre o Substituto nas Ausências Legais</t>
  </si>
  <si>
    <t>Quadro-Resumo do Módulo 4 - Custo de Reposição do Profissional Ausente</t>
  </si>
  <si>
    <t>Custo de Reposição do Profissional Ausente</t>
  </si>
  <si>
    <t xml:space="preserve">BASE DE CÁLCULO PARA O MÓDULO 5:
(PLANILHA ESPECÍFICA DOS INSUMOS) </t>
  </si>
  <si>
    <t>Módulo 5 - Insumos Diversos</t>
  </si>
  <si>
    <t>Insumos Diversos</t>
  </si>
  <si>
    <t>Uniformes</t>
  </si>
  <si>
    <t xml:space="preserve">Equipamentos </t>
  </si>
  <si>
    <t>BASE DE CÁLCULO PARA O CUSTO INDIRETO: MÓDULO 1 + MÓDULO 2 + MÓDULO 3 + MÓDULO 4 + MÓDULO 5</t>
  </si>
  <si>
    <t>MÓDULO 2</t>
  </si>
  <si>
    <t>MÓDULO 4</t>
  </si>
  <si>
    <t>MÓDULO 5</t>
  </si>
  <si>
    <t>BASE DE CÁLCULO PARA O LUCRO: 
MÓDULO 1 + MÓDULO 2 + MÓDULO 3 + MÓDULO 4 + MÓDULO 5 + CUSTO INDIRETO</t>
  </si>
  <si>
    <t>CUSTO INDIRETO</t>
  </si>
  <si>
    <t>Módulo 6 - Custos Indiretos, Tributos e Lucro</t>
  </si>
  <si>
    <t>Custos Indiretos, Tributos e Lucro</t>
  </si>
  <si>
    <t>Custos Indiretos</t>
  </si>
  <si>
    <t xml:space="preserve">Lucro </t>
  </si>
  <si>
    <t xml:space="preserve">  FATURAMENTO </t>
  </si>
  <si>
    <r>
      <rPr>
        <b/>
        <sz val="12"/>
        <color rgb="FF0033CC"/>
        <rFont val="Times New Roman"/>
        <family val="1"/>
        <charset val="1"/>
      </rPr>
      <t xml:space="preserve">BASE DE CÁLCULO DOS TRIBUTOS  = </t>
    </r>
    <r>
      <rPr>
        <b/>
        <sz val="12"/>
        <color rgb="FF000000"/>
        <rFont val="Times New Roman"/>
        <family val="1"/>
        <charset val="1"/>
      </rPr>
      <t xml:space="preserve">( Faturamento / ( 1 - % Tributos ) </t>
    </r>
  </si>
  <si>
    <t>Tributos</t>
  </si>
  <si>
    <t>C1. Tributos Federais</t>
  </si>
  <si>
    <t xml:space="preserve">C1-A  (PIS)   </t>
  </si>
  <si>
    <t xml:space="preserve">C1. B  (COFINS)  </t>
  </si>
  <si>
    <t>C.2 Tributos Estaduais (especificar)</t>
  </si>
  <si>
    <t xml:space="preserve">C.3 Tributos Municipais </t>
  </si>
  <si>
    <t xml:space="preserve">C3-A (ISS)  </t>
  </si>
  <si>
    <t>SOMA DOS TRIBUTOS</t>
  </si>
  <si>
    <t>2. QUADRO-RESUMO DO CUSTO POR EMPREGADO</t>
  </si>
  <si>
    <t>Mão de obra vinculada à execução contratual (valor por empregado)</t>
  </si>
  <si>
    <t>Módulo 2 - Encargos, Benefícios (anuais, mensais e diários) e Intrajornada</t>
  </si>
  <si>
    <t>Subtotal (A + B + C + D + E)</t>
  </si>
  <si>
    <t>Módulo 6 – Custos Indiretos, Tributos e Lucro</t>
  </si>
  <si>
    <t xml:space="preserve">Valor Total por Empregado </t>
  </si>
  <si>
    <t>QUADRO DEMONSTRATIVO DOS CUSTOS COM INSUMOS: UNIFORMES</t>
  </si>
  <si>
    <t>Nº ITEM</t>
  </si>
  <si>
    <t>QTDE BIÊNIO DE FORNECIMENTOS</t>
  </si>
  <si>
    <t>VALOR UNITÁRIO (R$)</t>
  </si>
  <si>
    <t>VALOR TOTAL (R$)</t>
  </si>
  <si>
    <t>VALOR MENSAL (R$)</t>
  </si>
  <si>
    <t>FONTE DE PESQUISA</t>
  </si>
  <si>
    <t>Camisa manga Curta</t>
  </si>
  <si>
    <t>Calça</t>
  </si>
  <si>
    <t>Cinto</t>
  </si>
  <si>
    <t>Coturno (par)</t>
  </si>
  <si>
    <t>Par de meias</t>
  </si>
  <si>
    <t xml:space="preserve">Quepe/Boné </t>
  </si>
  <si>
    <t>Crachá</t>
  </si>
  <si>
    <t xml:space="preserve">Apito </t>
  </si>
  <si>
    <t>TOTAL DO CUSTO</t>
  </si>
  <si>
    <t>Nota (1):</t>
  </si>
  <si>
    <r>
      <rPr>
        <sz val="10"/>
        <color rgb="FF000000"/>
        <rFont val="Verdana"/>
        <family val="2"/>
        <charset val="1"/>
      </rPr>
      <t xml:space="preserve">Esta planilha deve demonstrar o </t>
    </r>
    <r>
      <rPr>
        <b/>
        <sz val="10"/>
        <color rgb="FF000000"/>
        <rFont val="Verdana"/>
        <family val="2"/>
        <charset val="1"/>
      </rPr>
      <t>custo mensal</t>
    </r>
    <r>
      <rPr>
        <sz val="10"/>
        <color rgb="FF000000"/>
        <rFont val="Verdana"/>
        <family val="2"/>
        <charset val="1"/>
      </rPr>
      <t xml:space="preserve"> dos insumos (uniformes) que serão fornecidos aos profissionais envolvidos na execução dos serviços, objeto desta contratação;</t>
    </r>
  </si>
  <si>
    <t>Nota (2):</t>
  </si>
  <si>
    <t>Para fins de cálculo deve ser considerado:</t>
  </si>
  <si>
    <t>DESCRIÇÃO – Discriminação resumida de cada um dos itens a serem fornecidos a cada profissional;</t>
  </si>
  <si>
    <t>QTDE BIÊNIO DE FORNECIMENTOS – Quantidade do item, que será fornecida a cada 12 meses de contratação;</t>
  </si>
  <si>
    <t>VALOR UNITÁRIO (R$) - Valor de cada unidade do item a ser fornecido;</t>
  </si>
  <si>
    <t>VALOR TOTAL (R$) – Multiplicação entre os campos “QTDE BIÊNIO DE FORNECIMENTOS” e “VALOR UNITÁRIO (R$)”;</t>
  </si>
  <si>
    <t>VALOR MENSAL (R$) – Divisão do valor disposto no campo “VALOR TOTAL (R$)” pelos 24 meses de contratação;</t>
  </si>
  <si>
    <t>TOTAL DO CUSTO – Soma dos valores dispostos na coluna “VALOR MENSAL (R$)” que deverá ser transferido para o Item "A" do módulo 5 da planilha de custos e formação de preços.</t>
  </si>
  <si>
    <t>QUADRO DEMONSTRATIVO DOS CUSTOS COM INSUMOS: EQUIPAMENTOS (VIGILANCIA ARMADA)</t>
  </si>
  <si>
    <t>QTDE POR POSTO</t>
  </si>
  <si>
    <t>VALOR TOTAL AQUISIÇÃO
(R$)</t>
  </si>
  <si>
    <t>VIDA ÚTIL
(MESES)</t>
  </si>
  <si>
    <t>VALOR RESIDUAL
(20%)</t>
  </si>
  <si>
    <t>VALOR DEPRECIÁVEL
(R$)</t>
  </si>
  <si>
    <t>CUSTO MENSAL 
(R$)</t>
  </si>
  <si>
    <t>Cinto tático de Nyllon 600 5cm de largura, fivela de plastico, com Coldre</t>
  </si>
  <si>
    <t>Revólver calibre 38</t>
  </si>
  <si>
    <t>Colete Balístico nivel II ou equivalente</t>
  </si>
  <si>
    <t>Munição Calibre 38</t>
  </si>
  <si>
    <t>Livro de Ocorrências</t>
  </si>
  <si>
    <t>Capa de Chuva</t>
  </si>
  <si>
    <t>Lanterna com Pilhas</t>
  </si>
  <si>
    <t>TOTAL DO CUSTO MENSAL (R$)</t>
  </si>
  <si>
    <r>
      <rPr>
        <sz val="10"/>
        <color rgb="FF000000"/>
        <rFont val="Verdana"/>
        <family val="2"/>
        <charset val="1"/>
      </rPr>
      <t xml:space="preserve">Esta planilha deve demonstrar o </t>
    </r>
    <r>
      <rPr>
        <b/>
        <sz val="10"/>
        <color rgb="FF000000"/>
        <rFont val="Verdana"/>
        <family val="2"/>
        <charset val="1"/>
      </rPr>
      <t>custo mensal</t>
    </r>
    <r>
      <rPr>
        <sz val="10"/>
        <color rgb="FF000000"/>
        <rFont val="Verdana"/>
        <family val="2"/>
        <charset val="1"/>
      </rPr>
      <t xml:space="preserve"> dos Equipamentos e materias que serão disponibilizados em cada Posto de Trabalho para  </t>
    </r>
    <r>
      <rPr>
        <b/>
        <sz val="10"/>
        <color rgb="FF000000"/>
        <rFont val="Verdana"/>
        <family val="2"/>
        <charset val="1"/>
      </rPr>
      <t>USO COMUM DOS VIGILANTES</t>
    </r>
    <r>
      <rPr>
        <sz val="10"/>
        <color rgb="FF000000"/>
        <rFont val="Verdana"/>
        <family val="2"/>
        <charset val="1"/>
      </rPr>
      <t xml:space="preserve"> na execução dos serviços, objeto desta contratação;</t>
    </r>
  </si>
  <si>
    <t>DESCRIÇÃO – Discriminação resumida de cada um dos itens a serem disponibilizados em cada posto contratado para uso comum dos vigilantes;</t>
  </si>
  <si>
    <t>VALOR UNITÁRIO (R$) - Custo de aquisição de cada unidade do item a ser fornecido;</t>
  </si>
  <si>
    <t>QTDE POR POSTO - Quantidade que será disponibilizado em cada posto de trabalho;</t>
  </si>
  <si>
    <t>VALOR TOTAL AQUISIÇÃO (R$) – Multiplicação entre os campos  “VALOR UNITÁRIO (R$)” e "QTDE POR POSTO";</t>
  </si>
  <si>
    <t>VIDA ÚTIL (meses) – Tempo estimado que o equipamento funcionará de forma produtiva e eficiente. Após finalizado o período de Vida Útil, o item depreciado deverá ser substituído por outro item novo;</t>
  </si>
  <si>
    <r>
      <rPr>
        <sz val="10"/>
        <color rgb="FF000000"/>
        <rFont val="Verdana"/>
        <family val="2"/>
        <charset val="1"/>
      </rPr>
      <t xml:space="preserve">VALOR RESIDUAL (20%) - </t>
    </r>
    <r>
      <rPr>
        <b/>
        <sz val="10"/>
        <color rgb="FF000000"/>
        <rFont val="Verdana"/>
        <family val="2"/>
        <charset val="1"/>
      </rPr>
      <t xml:space="preserve">SOMENTE PARA CINTO TÁTICO, REVOLVER, COLETE BALISTICO E MUNIÇÃO </t>
    </r>
    <r>
      <rPr>
        <sz val="10"/>
        <color rgb="FF000000"/>
        <rFont val="Verdana"/>
        <family val="2"/>
        <charset val="1"/>
      </rPr>
      <t>- valor estimado do item após toda o tempo de depreciação, ou seja, ao final de sua vida útil (Estimativa de 20% DO VALOR DE AQUISIÇÃO)</t>
    </r>
  </si>
  <si>
    <t>VALOR DEPRECIÁVEL  (R$) – Subtração do "VALOR TOTAL AQUISIÇÂO (R$)" pelo "VALOR RESIDUAL (20%) ".</t>
  </si>
  <si>
    <t>CUSTO MENSAL (R$) – Divisão dos valores da coluna  “VALOR DEPRECIÁVEL (R$)”, pelos valores  dispostos na coluna "VIDA ÚTIL (meses)".</t>
  </si>
  <si>
    <t>TOTAL DO CUSTO MENSAL (R$) - Soma dos valores dispostos na coluna referente ao campo “CUSTO MENSAL (R$)”.</t>
  </si>
  <si>
    <t>XXXXX/2023</t>
  </si>
  <si>
    <t>XXXXX / 2023</t>
  </si>
  <si>
    <t>XX / XX / 2023</t>
  </si>
  <si>
    <t xml:space="preserve">Vigilância armada 5 x 2, Diurno (Segunda a Sexta) - 44 horas referente ao Código </t>
  </si>
  <si>
    <t>2023/2024</t>
  </si>
  <si>
    <t xml:space="preserve">Auxílio-Refeição/Alimentação Bruto </t>
  </si>
  <si>
    <t xml:space="preserve">Prêmio Assiduidade </t>
  </si>
  <si>
    <t>Auxílio-Refeição/Alimentação Férias</t>
  </si>
  <si>
    <t>Plano de Prevenção e Proteção a Vida e a Família</t>
  </si>
  <si>
    <t xml:space="preserve">Programa de Assistência Social </t>
  </si>
  <si>
    <t>MT000027/2023</t>
  </si>
  <si>
    <t>RAT X FAP</t>
  </si>
  <si>
    <t>30 minutos Intrajornada</t>
  </si>
  <si>
    <r>
      <rPr>
        <sz val="10"/>
        <color rgb="FF000000"/>
        <rFont val="Calibri Light"/>
        <family val="2"/>
      </rPr>
      <t>SERVIÇO ESPECIALIZADO DE VIGILÂNCIA OSTENSIVA ARMADA, DE NATUREZA CONTINUADA, QUE COMPREENDERÁ, ALÉM DE MÃO DE OBRA, O FORNECIMENTO DE UNIFORMES E O EMPREGO DE TODOS OS EQUIPAMENTOS, FERRAMENTAS E EPIS NECESSÁRIOS A EXECUÇÃO DO SERVIÇO E DE ACORDO COM OBRIGAÇÕES LEGAIS VIGENTES, COM A SEGUINTE DESCRIÇÃO</t>
    </r>
    <r>
      <rPr>
        <b/>
        <sz val="10"/>
        <color rgb="FF000000"/>
        <rFont val="Calibri Light"/>
        <family val="2"/>
        <charset val="1"/>
      </rPr>
      <t>: POSTO DE 44 HORAS DIURNO DE SEGUNDA A SEXTA-FEIRA.</t>
    </r>
  </si>
  <si>
    <t>SERVIÇO ESPECIALIZADO DE VIGILÂNCIA OSTENSIVA ARMADA, DE NATUREZA CONTINUADA, QUE COMPREENDERÁ, ALÉM DE MÃO DE OBRA, O FORNECIMENTO DE UNIFORMES E O EMPREGO DE TODOS OS EQUIPAMENTOS, FERRAMENTAS E EPIS NECESSÁRIOS A EXECUÇÃO DO SERVIÇO E DE ACORDO COM OBRIGAÇÕES LEGAIS VIGENTES, COM A SEGUINTE DESCRIÇÃO: POSTO DE 44 HORAS DIURNO DE SEGUNDA A SEXTA-FEIRA.</t>
  </si>
  <si>
    <t>ISSQN</t>
  </si>
  <si>
    <t>TOTAL ANUAL DA CONTRATAÇÃO</t>
  </si>
  <si>
    <t>TOTAL ANUAL DO POSTO</t>
  </si>
  <si>
    <t>MÉDIA ESTIMADA (PONDERADA) DO 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</si>
</sst>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;@"/>
    <numFmt numFmtId="165" formatCode="0.000%"/>
    <numFmt numFmtId="166" formatCode="0.0000%"/>
    <numFmt numFmtId="167" formatCode="&quot;R$ &quot;#,##0.00"/>
    <numFmt numFmtId="168" formatCode="_-&quot;R$ &quot;* #,##0.00_-;&quot;-R$ &quot;* #,##0.00_-;_-&quot;R$ &quot;* \-??_-;_-@_-"/>
    <numFmt numFmtId="169" formatCode="_-* #,##0.00_-;\-* #,##0.00_-;_-* \-??_-;_-@_-"/>
    <numFmt numFmtId="170" formatCode="#,##0.0000"/>
  </numFmts>
  <fonts count="3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 Light"/>
      <family val="2"/>
      <charset val="1"/>
    </font>
    <font>
      <b/>
      <sz val="12"/>
      <color rgb="FF000000"/>
      <name val="Calibri Light"/>
      <family val="2"/>
      <charset val="1"/>
    </font>
    <font>
      <b/>
      <sz val="9"/>
      <color rgb="FF000000"/>
      <name val="Calibri Light"/>
      <family val="2"/>
      <charset val="1"/>
    </font>
    <font>
      <b/>
      <sz val="9"/>
      <color rgb="FFFF0000"/>
      <name val="Calibri Light"/>
      <family val="2"/>
      <charset val="1"/>
    </font>
    <font>
      <sz val="12"/>
      <color rgb="FF000000"/>
      <name val="Calibri Light"/>
      <family val="2"/>
      <charset val="1"/>
    </font>
    <font>
      <sz val="9"/>
      <color rgb="FF000000"/>
      <name val="Calibri Light"/>
      <family val="2"/>
      <charset val="1"/>
    </font>
    <font>
      <b/>
      <sz val="26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8"/>
      <color rgb="FFFFFFFF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name val="Times New Roman"/>
      <family val="1"/>
      <charset val="1"/>
    </font>
    <font>
      <b/>
      <sz val="16"/>
      <color rgb="FFFFFFFF"/>
      <name val="Verdana"/>
      <family val="2"/>
      <charset val="1"/>
    </font>
    <font>
      <b/>
      <sz val="10"/>
      <color rgb="FFFFFFFF"/>
      <name val="Verdana"/>
      <family val="2"/>
      <charset val="1"/>
    </font>
    <font>
      <b/>
      <sz val="12"/>
      <color rgb="FFFFFFFF"/>
      <name val="Times New Roman"/>
      <family val="1"/>
      <charset val="1"/>
    </font>
    <font>
      <b/>
      <sz val="14"/>
      <color rgb="FFFFFFFF"/>
      <name val="Verdana"/>
      <family val="2"/>
      <charset val="1"/>
    </font>
    <font>
      <sz val="11.5"/>
      <color rgb="FF000000"/>
      <name val="Times New Roman"/>
      <family val="1"/>
      <charset val="1"/>
    </font>
    <font>
      <b/>
      <sz val="9"/>
      <color rgb="FFFFFFFF"/>
      <name val="Verdana"/>
      <family val="2"/>
      <charset val="1"/>
    </font>
    <font>
      <b/>
      <sz val="12"/>
      <name val="Times New Roman"/>
      <family val="1"/>
      <charset val="1"/>
    </font>
    <font>
      <b/>
      <sz val="12"/>
      <color rgb="FF0033CC"/>
      <name val="Times New Roman"/>
      <family val="1"/>
      <charset val="1"/>
    </font>
    <font>
      <i/>
      <sz val="12"/>
      <name val="Times New Roman"/>
      <family val="1"/>
      <charset val="1"/>
    </font>
    <font>
      <sz val="9"/>
      <color rgb="FF000000"/>
      <name val="Segoe UI"/>
      <family val="2"/>
      <charset val="1"/>
    </font>
    <font>
      <b/>
      <sz val="10"/>
      <color rgb="FF000000"/>
      <name val="Verdana"/>
      <family val="2"/>
      <charset val="1"/>
    </font>
    <font>
      <sz val="10"/>
      <color rgb="FF000000"/>
      <name val="Verdana"/>
      <family val="2"/>
      <charset val="1"/>
    </font>
    <font>
      <sz val="10"/>
      <name val="Verdana"/>
      <family val="2"/>
      <charset val="1"/>
    </font>
    <font>
      <sz val="9"/>
      <color rgb="FF000000"/>
      <name val="Verdana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DEEBF7"/>
        <bgColor rgb="FFCCFFFF"/>
      </patternFill>
    </fill>
    <fill>
      <patternFill patternType="solid">
        <fgColor rgb="FFFBE5D6"/>
        <bgColor rgb="FFDEEBF7"/>
      </patternFill>
    </fill>
    <fill>
      <patternFill patternType="solid">
        <fgColor rgb="FF2E75B6"/>
        <bgColor rgb="FF0066CC"/>
      </patternFill>
    </fill>
    <fill>
      <patternFill patternType="solid">
        <fgColor rgb="FF9DC3E6"/>
        <bgColor rgb="FFC0C0C0"/>
      </patternFill>
    </fill>
    <fill>
      <patternFill patternType="solid">
        <fgColor rgb="FF122039"/>
        <bgColor rgb="FF333333"/>
      </patternFill>
    </fill>
    <fill>
      <patternFill patternType="solid">
        <fgColor rgb="FF000000"/>
        <bgColor rgb="FF122039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9" fontId="33" fillId="0" borderId="0" applyBorder="0" applyProtection="0"/>
    <xf numFmtId="9" fontId="33" fillId="0" borderId="0" applyBorder="0" applyProtection="0"/>
    <xf numFmtId="0" fontId="33" fillId="0" borderId="0"/>
    <xf numFmtId="0" fontId="33" fillId="0" borderId="0"/>
    <xf numFmtId="0" fontId="1" fillId="0" borderId="0"/>
    <xf numFmtId="9" fontId="33" fillId="0" borderId="0" applyBorder="0" applyProtection="0"/>
  </cellStyleXfs>
  <cellXfs count="16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6" fillId="2" borderId="0" xfId="5" applyFont="1" applyFill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3" xfId="0" applyNumberFormat="1" applyFont="1" applyFill="1" applyBorder="1" applyAlignment="1" applyProtection="1">
      <alignment horizontal="center" vertical="center"/>
      <protection locked="0"/>
    </xf>
    <xf numFmtId="4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7" borderId="5" xfId="4" applyFont="1" applyFill="1" applyBorder="1" applyAlignment="1">
      <alignment horizontal="center" vertical="center" wrapText="1"/>
    </xf>
    <xf numFmtId="4" fontId="19" fillId="7" borderId="6" xfId="0" applyNumberFormat="1" applyFont="1" applyFill="1" applyBorder="1" applyAlignment="1">
      <alignment horizontal="center" vertical="center"/>
    </xf>
    <xf numFmtId="0" fontId="20" fillId="7" borderId="5" xfId="4" applyFont="1" applyFill="1" applyBorder="1" applyAlignment="1">
      <alignment horizontal="center" vertical="center" wrapText="1"/>
    </xf>
    <xf numFmtId="4" fontId="19" fillId="7" borderId="6" xfId="4" applyNumberFormat="1" applyFont="1" applyFill="1" applyBorder="1" applyAlignment="1">
      <alignment horizontal="center" vertical="center" wrapText="1"/>
    </xf>
    <xf numFmtId="165" fontId="12" fillId="2" borderId="3" xfId="2" applyNumberFormat="1" applyFont="1" applyFill="1" applyBorder="1" applyAlignment="1" applyProtection="1">
      <alignment horizontal="center" vertical="center"/>
    </xf>
    <xf numFmtId="165" fontId="11" fillId="0" borderId="3" xfId="2" applyNumberFormat="1" applyFont="1" applyBorder="1" applyAlignment="1" applyProtection="1">
      <alignment horizontal="center" vertical="center"/>
    </xf>
    <xf numFmtId="166" fontId="11" fillId="2" borderId="3" xfId="2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10" fontId="12" fillId="0" borderId="3" xfId="2" applyNumberFormat="1" applyFont="1" applyBorder="1" applyAlignment="1" applyProtection="1">
      <alignment horizontal="center" vertical="center"/>
    </xf>
    <xf numFmtId="2" fontId="11" fillId="2" borderId="3" xfId="0" applyNumberFormat="1" applyFont="1" applyFill="1" applyBorder="1" applyAlignment="1">
      <alignment horizontal="center" vertical="center" wrapText="1"/>
    </xf>
    <xf numFmtId="10" fontId="12" fillId="2" borderId="3" xfId="2" applyNumberFormat="1" applyFont="1" applyFill="1" applyBorder="1" applyAlignment="1" applyProtection="1">
      <alignment horizontal="center" vertical="center"/>
    </xf>
    <xf numFmtId="10" fontId="13" fillId="0" borderId="3" xfId="0" applyNumberFormat="1" applyFont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2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0" xfId="0" applyNumberFormat="1" applyFont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165" fontId="16" fillId="2" borderId="0" xfId="2" applyNumberFormat="1" applyFont="1" applyFill="1" applyBorder="1" applyAlignment="1" applyProtection="1">
      <alignment horizontal="center"/>
    </xf>
    <xf numFmtId="0" fontId="11" fillId="0" borderId="3" xfId="0" applyFont="1" applyBorder="1" applyAlignment="1">
      <alignment horizontal="justify" vertical="center" wrapText="1"/>
    </xf>
    <xf numFmtId="4" fontId="12" fillId="0" borderId="3" xfId="0" applyNumberFormat="1" applyFont="1" applyBorder="1" applyAlignment="1">
      <alignment horizontal="center" vertical="center"/>
    </xf>
    <xf numFmtId="10" fontId="12" fillId="2" borderId="0" xfId="0" applyNumberFormat="1" applyFont="1" applyFill="1" applyAlignment="1">
      <alignment horizontal="center"/>
    </xf>
    <xf numFmtId="0" fontId="11" fillId="2" borderId="3" xfId="0" applyFont="1" applyFill="1" applyBorder="1" applyAlignment="1">
      <alignment horizontal="justify" vertical="center" wrapText="1"/>
    </xf>
    <xf numFmtId="165" fontId="12" fillId="2" borderId="0" xfId="0" applyNumberFormat="1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21" fillId="2" borderId="3" xfId="0" applyFont="1" applyFill="1" applyBorder="1" applyAlignment="1">
      <alignment horizontal="justify" vertical="center" wrapText="1"/>
    </xf>
    <xf numFmtId="167" fontId="11" fillId="0" borderId="0" xfId="0" applyNumberFormat="1" applyFont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10" fontId="11" fillId="0" borderId="3" xfId="2" applyNumberFormat="1" applyFont="1" applyBorder="1" applyAlignment="1" applyProtection="1">
      <alignment horizontal="center" vertical="center"/>
    </xf>
    <xf numFmtId="165" fontId="11" fillId="2" borderId="3" xfId="2" applyNumberFormat="1" applyFont="1" applyFill="1" applyBorder="1" applyAlignment="1" applyProtection="1">
      <alignment horizontal="center" vertical="center" wrapText="1"/>
      <protection locked="0"/>
    </xf>
    <xf numFmtId="165" fontId="13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3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 applyProtection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 wrapText="1"/>
    </xf>
    <xf numFmtId="0" fontId="22" fillId="7" borderId="5" xfId="4" applyFont="1" applyFill="1" applyBorder="1" applyAlignment="1">
      <alignment horizontal="center" vertical="center" wrapText="1"/>
    </xf>
    <xf numFmtId="4" fontId="19" fillId="7" borderId="0" xfId="4" applyNumberFormat="1" applyFont="1" applyFill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0" borderId="3" xfId="3" applyFont="1" applyBorder="1" applyAlignment="1">
      <alignment vertical="center" wrapText="1"/>
    </xf>
    <xf numFmtId="165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23" fillId="0" borderId="3" xfId="0" applyNumberFormat="1" applyFont="1" applyBorder="1" applyAlignment="1">
      <alignment horizontal="center" vertical="center" wrapText="1"/>
    </xf>
    <xf numFmtId="4" fontId="23" fillId="3" borderId="3" xfId="0" applyNumberFormat="1" applyFont="1" applyFill="1" applyBorder="1" applyAlignment="1">
      <alignment horizontal="center" vertical="center"/>
    </xf>
    <xf numFmtId="0" fontId="25" fillId="2" borderId="3" xfId="3" applyFont="1" applyFill="1" applyBorder="1" applyAlignment="1">
      <alignment vertical="center" wrapText="1"/>
    </xf>
    <xf numFmtId="10" fontId="12" fillId="2" borderId="3" xfId="2" applyNumberFormat="1" applyFont="1" applyFill="1" applyBorder="1" applyAlignment="1" applyProtection="1">
      <alignment horizontal="center" vertical="center"/>
      <protection locked="0"/>
    </xf>
    <xf numFmtId="165" fontId="12" fillId="2" borderId="3" xfId="2" applyNumberFormat="1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>
      <alignment vertical="center"/>
    </xf>
    <xf numFmtId="165" fontId="23" fillId="2" borderId="3" xfId="0" applyNumberFormat="1" applyFont="1" applyFill="1" applyBorder="1" applyAlignment="1">
      <alignment horizontal="center" vertical="center"/>
    </xf>
    <xf numFmtId="4" fontId="23" fillId="2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3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168" fontId="0" fillId="0" borderId="10" xfId="0" applyNumberFormat="1" applyBorder="1"/>
    <xf numFmtId="0" fontId="0" fillId="0" borderId="3" xfId="0" applyBorder="1" applyAlignment="1">
      <alignment horizontal="center"/>
    </xf>
    <xf numFmtId="168" fontId="0" fillId="0" borderId="3" xfId="0" applyNumberFormat="1" applyBorder="1"/>
    <xf numFmtId="167" fontId="0" fillId="0" borderId="3" xfId="0" applyNumberFormat="1" applyBorder="1"/>
    <xf numFmtId="167" fontId="0" fillId="0" borderId="10" xfId="0" applyNumberFormat="1" applyBorder="1"/>
    <xf numFmtId="0" fontId="28" fillId="0" borderId="13" xfId="0" applyFont="1" applyBorder="1" applyAlignment="1">
      <alignment horizontal="center" vertical="center"/>
    </xf>
    <xf numFmtId="0" fontId="29" fillId="0" borderId="3" xfId="0" applyFont="1" applyBorder="1" applyAlignment="1">
      <alignment horizontal="justify" vertical="center" wrapText="1"/>
    </xf>
    <xf numFmtId="169" fontId="28" fillId="2" borderId="14" xfId="1" applyFont="1" applyFill="1" applyBorder="1" applyAlignment="1" applyProtection="1">
      <alignment horizontal="left" vertical="center" wrapText="1"/>
    </xf>
    <xf numFmtId="169" fontId="18" fillId="8" borderId="3" xfId="1" applyFont="1" applyFill="1" applyBorder="1" applyAlignment="1" applyProtection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168" fontId="0" fillId="0" borderId="10" xfId="0" applyNumberFormat="1" applyBorder="1" applyAlignment="1">
      <alignment horizontal="center"/>
    </xf>
    <xf numFmtId="169" fontId="28" fillId="0" borderId="14" xfId="1" applyFont="1" applyBorder="1" applyAlignment="1" applyProtection="1">
      <alignment horizontal="left" vertical="center" wrapText="1"/>
    </xf>
    <xf numFmtId="168" fontId="0" fillId="0" borderId="3" xfId="0" applyNumberFormat="1" applyBorder="1" applyAlignment="1">
      <alignment horizontal="center"/>
    </xf>
    <xf numFmtId="169" fontId="28" fillId="0" borderId="3" xfId="1" applyFont="1" applyBorder="1" applyAlignment="1" applyProtection="1">
      <alignment vertical="center" wrapText="1"/>
    </xf>
    <xf numFmtId="168" fontId="31" fillId="0" borderId="3" xfId="0" applyNumberFormat="1" applyFont="1" applyBorder="1" applyAlignment="1">
      <alignment horizontal="center"/>
    </xf>
    <xf numFmtId="168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18" fillId="8" borderId="21" xfId="0" applyFont="1" applyFill="1" applyBorder="1" applyAlignment="1">
      <alignment horizontal="center" vertical="center"/>
    </xf>
    <xf numFmtId="169" fontId="18" fillId="8" borderId="22" xfId="1" applyFont="1" applyFill="1" applyBorder="1" applyAlignment="1" applyProtection="1">
      <alignment vertical="center" wrapText="1"/>
    </xf>
    <xf numFmtId="0" fontId="18" fillId="8" borderId="23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5" fillId="3" borderId="3" xfId="0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0" fontId="10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0" fontId="10" fillId="0" borderId="1" xfId="0" applyNumberFormat="1" applyFont="1" applyBorder="1" applyAlignment="1">
      <alignment horizontal="center"/>
    </xf>
    <xf numFmtId="170" fontId="10" fillId="0" borderId="18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7" fillId="7" borderId="7" xfId="4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24" fillId="3" borderId="3" xfId="3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horizontal="left" vertical="center" wrapText="1"/>
    </xf>
    <xf numFmtId="0" fontId="12" fillId="2" borderId="3" xfId="3" applyFont="1" applyFill="1" applyBorder="1" applyAlignment="1">
      <alignment horizontal="left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17" fillId="7" borderId="5" xfId="4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49" fontId="12" fillId="2" borderId="3" xfId="5" applyNumberFormat="1" applyFont="1" applyFill="1" applyBorder="1" applyAlignment="1" applyProtection="1">
      <alignment horizontal="center" vertical="center"/>
      <protection locked="0"/>
    </xf>
    <xf numFmtId="0" fontId="12" fillId="2" borderId="3" xfId="5" applyFont="1" applyFill="1" applyBorder="1" applyAlignment="1" applyProtection="1">
      <alignment horizontal="center" vertical="center"/>
      <protection locked="0"/>
    </xf>
    <xf numFmtId="164" fontId="12" fillId="2" borderId="3" xfId="5" applyNumberFormat="1" applyFont="1" applyFill="1" applyBorder="1" applyAlignment="1" applyProtection="1">
      <alignment horizontal="center" vertical="center"/>
      <protection locked="0"/>
    </xf>
    <xf numFmtId="0" fontId="17" fillId="7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2" borderId="3" xfId="5" applyFont="1" applyFill="1" applyBorder="1" applyAlignment="1" applyProtection="1">
      <alignment horizontal="center" vertical="center" wrapText="1"/>
      <protection locked="0"/>
    </xf>
    <xf numFmtId="2" fontId="12" fillId="2" borderId="3" xfId="5" applyNumberFormat="1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</cellXfs>
  <cellStyles count="7">
    <cellStyle name="Normal" xfId="0" builtinId="0"/>
    <cellStyle name="Normal 2" xfId="3" xr:uid="{00000000-0005-0000-0000-000001000000}"/>
    <cellStyle name="Normal 2 2" xfId="4" xr:uid="{00000000-0005-0000-0000-000002000000}"/>
    <cellStyle name="Normal 4" xfId="5" xr:uid="{00000000-0005-0000-0000-000003000000}"/>
    <cellStyle name="Porcentagem" xfId="2" builtinId="5"/>
    <cellStyle name="Porcentagem 2" xfId="6" xr:uid="{00000000-0005-0000-0000-000005000000}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122039"/>
      <rgbColor rgb="FF339966"/>
      <rgbColor rgb="FF003300"/>
      <rgbColor rgb="FF333300"/>
      <rgbColor rgb="FF993300"/>
      <rgbColor rgb="FF993366"/>
      <rgbColor rgb="FF0033C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4" displayName="Tabela4" ref="A2:F10" totalsRowShown="0">
  <tableColumns count="6">
    <tableColumn id="1" xr3:uid="{00000000-0010-0000-0000-000001000000}" name="Nº ITEM"/>
    <tableColumn id="2" xr3:uid="{00000000-0010-0000-0000-000002000000}" name="DESCRIÇÃO"/>
    <tableColumn id="3" xr3:uid="{00000000-0010-0000-0000-000003000000}" name="QTDE BIÊNIO DE FORNECIMENTOS"/>
    <tableColumn id="4" xr3:uid="{00000000-0010-0000-0000-000004000000}" name="VALOR UNITÁRIO (R$)"/>
    <tableColumn id="5" xr3:uid="{00000000-0010-0000-0000-000005000000}" name="VALOR TOTAL (R$)"/>
    <tableColumn id="6" xr3:uid="{00000000-0010-0000-0000-000006000000}" name="VALOR MENSAL (R$)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2:J9" totalsRowShown="0">
  <tableColumns count="10">
    <tableColumn id="1" xr3:uid="{00000000-0010-0000-0100-000001000000}" name="Nº ITEM"/>
    <tableColumn id="2" xr3:uid="{00000000-0010-0000-0100-000002000000}" name="DESCRIÇÃO"/>
    <tableColumn id="3" xr3:uid="{00000000-0010-0000-0100-000003000000}" name="VALOR UNITÁRIO (R$)"/>
    <tableColumn id="4" xr3:uid="{00000000-0010-0000-0100-000004000000}" name="QTDE POR POSTO"/>
    <tableColumn id="5" xr3:uid="{00000000-0010-0000-0100-000005000000}" name="VALOR TOTAL AQUISIÇÃO_x000a_(R$)"/>
    <tableColumn id="6" xr3:uid="{00000000-0010-0000-0100-000006000000}" name="VIDA ÚTIL_x000a_(MESES)"/>
    <tableColumn id="7" xr3:uid="{00000000-0010-0000-0100-000007000000}" name="VALOR RESIDUAL_x000a_(20%)"/>
    <tableColumn id="8" xr3:uid="{00000000-0010-0000-0100-000008000000}" name="VALOR DEPRECIÁVEL_x000a_(R$)"/>
    <tableColumn id="9" xr3:uid="{00000000-0010-0000-0100-000009000000}" name="CUSTO MENSAL _x000a_(R$)"/>
    <tableColumn id="10" xr3:uid="{00000000-0010-0000-0100-00000A000000}" name="FONTE DE PESQUIS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topLeftCell="A2" zoomScale="90" zoomScaleNormal="90" zoomScaleSheetLayoutView="90" zoomScalePageLayoutView="90" workbookViewId="0">
      <pane xSplit="5" ySplit="4" topLeftCell="G6" activePane="bottomRight" state="frozen"/>
      <selection activeCell="A2" sqref="A2"/>
      <selection pane="topRight" activeCell="I2" sqref="I2"/>
      <selection pane="bottomLeft" activeCell="A6" sqref="A6"/>
      <selection pane="bottomRight" activeCell="I11" sqref="I11:J11"/>
    </sheetView>
  </sheetViews>
  <sheetFormatPr defaultColWidth="0" defaultRowHeight="12.75" zeroHeight="1" x14ac:dyDescent="0.2"/>
  <cols>
    <col min="1" max="1" width="2.140625" style="1" customWidth="1"/>
    <col min="2" max="2" width="6.85546875" style="1" customWidth="1"/>
    <col min="3" max="3" width="12.5703125" style="1" customWidth="1"/>
    <col min="4" max="4" width="81.28515625" style="1" customWidth="1"/>
    <col min="5" max="5" width="15.5703125" style="1" customWidth="1"/>
    <col min="6" max="6" width="33.42578125" style="1" hidden="1" customWidth="1"/>
    <col min="7" max="7" width="19.28515625" style="1" customWidth="1"/>
    <col min="8" max="8" width="14.28515625" style="1" customWidth="1"/>
    <col min="9" max="9" width="14.42578125" style="1" customWidth="1"/>
    <col min="10" max="10" width="17" style="1" customWidth="1"/>
    <col min="11" max="11" width="3.140625" style="1" customWidth="1"/>
    <col min="12" max="13" width="11.5703125" style="1" hidden="1" customWidth="1"/>
    <col min="14" max="16384" width="8.85546875" style="1" hidden="1"/>
  </cols>
  <sheetData>
    <row r="1" spans="2:10" ht="30" customHeight="1" x14ac:dyDescent="0.2">
      <c r="B1" s="126"/>
      <c r="C1" s="126"/>
      <c r="D1" s="126"/>
      <c r="E1" s="126"/>
    </row>
    <row r="2" spans="2:10" ht="15" customHeight="1" x14ac:dyDescent="0.2">
      <c r="B2" s="2"/>
      <c r="C2" s="3"/>
      <c r="D2" s="3"/>
      <c r="E2" s="3"/>
    </row>
    <row r="3" spans="2:10" ht="42" customHeight="1" x14ac:dyDescent="0.2">
      <c r="B3" s="127" t="s">
        <v>0</v>
      </c>
      <c r="C3" s="127"/>
      <c r="D3" s="127"/>
      <c r="E3" s="127"/>
      <c r="F3" s="127"/>
      <c r="G3" s="127"/>
      <c r="H3" s="127"/>
      <c r="I3" s="127"/>
      <c r="J3" s="127"/>
    </row>
    <row r="4" spans="2:10" ht="14.25" customHeight="1" x14ac:dyDescent="0.2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2:10" s="5" customFormat="1" ht="54" customHeight="1" x14ac:dyDescent="0.2">
      <c r="B5" s="128" t="s">
        <v>10</v>
      </c>
      <c r="C5" s="128" t="s">
        <v>231</v>
      </c>
      <c r="D5" s="128" t="s">
        <v>11</v>
      </c>
      <c r="E5" s="128" t="s">
        <v>12</v>
      </c>
      <c r="F5" s="128" t="s">
        <v>13</v>
      </c>
      <c r="G5" s="129" t="s">
        <v>14</v>
      </c>
      <c r="H5" s="129" t="s">
        <v>15</v>
      </c>
      <c r="I5" s="6" t="s">
        <v>16</v>
      </c>
      <c r="J5" s="6" t="s">
        <v>17</v>
      </c>
    </row>
    <row r="6" spans="2:10" s="5" customFormat="1" ht="54" customHeight="1" x14ac:dyDescent="0.2">
      <c r="B6" s="128"/>
      <c r="C6" s="128"/>
      <c r="D6" s="128"/>
      <c r="E6" s="128"/>
      <c r="F6" s="128"/>
      <c r="G6" s="129"/>
      <c r="H6" s="129"/>
      <c r="I6" s="7" t="s">
        <v>18</v>
      </c>
      <c r="J6" s="7" t="s">
        <v>19</v>
      </c>
    </row>
    <row r="7" spans="2:10" ht="93.75" customHeight="1" x14ac:dyDescent="0.2">
      <c r="B7" s="8">
        <v>1</v>
      </c>
      <c r="C7" s="125">
        <v>0.03</v>
      </c>
      <c r="D7" s="124" t="s">
        <v>229</v>
      </c>
      <c r="E7" s="8" t="s">
        <v>20</v>
      </c>
      <c r="F7" s="9" t="s">
        <v>21</v>
      </c>
      <c r="G7" s="8">
        <v>11</v>
      </c>
      <c r="H7" s="10">
        <f>'5x2 - 3%'!D212</f>
        <v>5738.02</v>
      </c>
      <c r="I7" s="10">
        <f>G7*H7</f>
        <v>63118.22</v>
      </c>
      <c r="J7" s="10">
        <f>I7*24</f>
        <v>1514837.28</v>
      </c>
    </row>
    <row r="8" spans="2:10" ht="93.75" customHeight="1" x14ac:dyDescent="0.2">
      <c r="B8" s="8">
        <v>1</v>
      </c>
      <c r="C8" s="125">
        <v>3.5000000000000003E-2</v>
      </c>
      <c r="D8" s="8" t="s">
        <v>230</v>
      </c>
      <c r="E8" s="8" t="s">
        <v>20</v>
      </c>
      <c r="F8" s="9" t="s">
        <v>21</v>
      </c>
      <c r="G8" s="8">
        <v>2</v>
      </c>
      <c r="H8" s="10">
        <v>5768.92</v>
      </c>
      <c r="I8" s="10">
        <f>G8*H8</f>
        <v>11537.84</v>
      </c>
      <c r="J8" s="10">
        <f>I8*24</f>
        <v>276908.16000000003</v>
      </c>
    </row>
    <row r="9" spans="2:10" ht="93.75" customHeight="1" x14ac:dyDescent="0.2">
      <c r="B9" s="8">
        <v>1</v>
      </c>
      <c r="C9" s="125">
        <v>0.04</v>
      </c>
      <c r="D9" s="8" t="s">
        <v>230</v>
      </c>
      <c r="E9" s="8" t="s">
        <v>20</v>
      </c>
      <c r="F9" s="9" t="s">
        <v>21</v>
      </c>
      <c r="G9" s="8">
        <v>9</v>
      </c>
      <c r="H9" s="10">
        <v>5800.15</v>
      </c>
      <c r="I9" s="10">
        <f>G9*H9</f>
        <v>52201.35</v>
      </c>
      <c r="J9" s="10">
        <f>I9*24</f>
        <v>1252832.3999999999</v>
      </c>
    </row>
    <row r="10" spans="2:10" ht="93.75" customHeight="1" x14ac:dyDescent="0.2">
      <c r="B10" s="8">
        <v>1</v>
      </c>
      <c r="C10" s="125">
        <v>0.05</v>
      </c>
      <c r="D10" s="8" t="s">
        <v>230</v>
      </c>
      <c r="E10" s="8" t="s">
        <v>20</v>
      </c>
      <c r="F10" s="9" t="s">
        <v>21</v>
      </c>
      <c r="G10" s="8">
        <v>39</v>
      </c>
      <c r="H10" s="10">
        <v>5863.64</v>
      </c>
      <c r="I10" s="10">
        <f>G10*H10</f>
        <v>228681.96000000002</v>
      </c>
      <c r="J10" s="10">
        <f>I10*24</f>
        <v>5488367.040000001</v>
      </c>
    </row>
    <row r="11" spans="2:10" ht="43.5" customHeight="1" x14ac:dyDescent="0.45">
      <c r="B11" s="131" t="s">
        <v>234</v>
      </c>
      <c r="C11" s="132"/>
      <c r="D11" s="132"/>
      <c r="E11" s="132"/>
      <c r="F11" s="132"/>
      <c r="G11" s="132"/>
      <c r="H11" s="133"/>
      <c r="I11" s="130">
        <f>SUM(I7:I10)/SUM(G7:G10)</f>
        <v>5828.5142622950816</v>
      </c>
      <c r="J11" s="130"/>
    </row>
    <row r="12" spans="2:10" ht="43.5" customHeight="1" x14ac:dyDescent="0.45">
      <c r="B12" s="131" t="s">
        <v>233</v>
      </c>
      <c r="C12" s="132"/>
      <c r="D12" s="132"/>
      <c r="E12" s="132"/>
      <c r="F12" s="132"/>
      <c r="G12" s="132"/>
      <c r="H12" s="133"/>
      <c r="I12" s="134">
        <f>I11*12</f>
        <v>69942.171147540983</v>
      </c>
      <c r="J12" s="135"/>
    </row>
    <row r="13" spans="2:10" ht="43.5" customHeight="1" x14ac:dyDescent="0.45">
      <c r="B13" s="131" t="s">
        <v>232</v>
      </c>
      <c r="C13" s="132"/>
      <c r="D13" s="132"/>
      <c r="E13" s="132"/>
      <c r="F13" s="132"/>
      <c r="G13" s="132"/>
      <c r="H13" s="133"/>
      <c r="I13" s="134">
        <f>I12*SUM(G7:G10)</f>
        <v>4266472.4400000004</v>
      </c>
      <c r="J13" s="135"/>
    </row>
    <row r="14" spans="2:10" ht="43.5" customHeight="1" x14ac:dyDescent="0.45">
      <c r="B14" s="131" t="s">
        <v>22</v>
      </c>
      <c r="C14" s="132"/>
      <c r="D14" s="132"/>
      <c r="E14" s="132"/>
      <c r="F14" s="132"/>
      <c r="G14" s="132"/>
      <c r="H14" s="133"/>
      <c r="I14" s="130">
        <f>SUM(J7:J10)</f>
        <v>8532944.8800000008</v>
      </c>
      <c r="J14" s="130"/>
    </row>
    <row r="15" spans="2:10" x14ac:dyDescent="0.2"/>
    <row r="16" spans="2:1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</sheetData>
  <mergeCells count="17">
    <mergeCell ref="I11:J11"/>
    <mergeCell ref="I14:J14"/>
    <mergeCell ref="B13:H13"/>
    <mergeCell ref="I13:J13"/>
    <mergeCell ref="B11:H11"/>
    <mergeCell ref="B12:H12"/>
    <mergeCell ref="I12:J12"/>
    <mergeCell ref="B14:H14"/>
    <mergeCell ref="B1:E1"/>
    <mergeCell ref="B3:J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" right="0.7" top="0.75" bottom="0.75" header="0.511811023622047" footer="0.3"/>
  <pageSetup paperSize="9" scale="49" fitToHeight="0" orientation="portrait" horizontalDpi="300" verticalDpi="300" r:id="rId1"/>
  <headerFooter>
    <oddFooter>&amp;L Processo nº 290141/2018</oddFooter>
  </headerFooter>
  <rowBreaks count="2" manualBreakCount="2">
    <brk id="14" max="16383" man="1"/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8"/>
  <sheetViews>
    <sheetView showGridLines="0" tabSelected="1" view="pageBreakPreview" topLeftCell="A184" zoomScale="85" zoomScaleNormal="85" zoomScaleSheetLayoutView="85" workbookViewId="0">
      <selection activeCell="D176" sqref="D176"/>
    </sheetView>
  </sheetViews>
  <sheetFormatPr defaultColWidth="0" defaultRowHeight="15.75" x14ac:dyDescent="0.25"/>
  <cols>
    <col min="1" max="1" width="9.140625" style="11" customWidth="1"/>
    <col min="2" max="2" width="72.140625" style="11" customWidth="1"/>
    <col min="3" max="3" width="18" style="11" customWidth="1"/>
    <col min="4" max="4" width="40.85546875" style="11" customWidth="1"/>
    <col min="5" max="5" width="7.85546875" style="12" customWidth="1"/>
    <col min="6" max="6" width="12" style="13" hidden="1" customWidth="1"/>
    <col min="7" max="7" width="15.140625" style="13" hidden="1" customWidth="1"/>
    <col min="8" max="16384" width="14" style="13" hidden="1"/>
  </cols>
  <sheetData>
    <row r="1" spans="1:6" ht="15.75" customHeight="1" x14ac:dyDescent="0.25">
      <c r="A1" s="161"/>
      <c r="B1" s="161"/>
      <c r="C1" s="161"/>
      <c r="D1" s="161"/>
      <c r="E1" s="161"/>
    </row>
    <row r="2" spans="1:6" ht="57" customHeight="1" x14ac:dyDescent="0.25">
      <c r="A2" s="162" t="s">
        <v>23</v>
      </c>
      <c r="B2" s="162"/>
      <c r="C2" s="162"/>
      <c r="D2" s="162"/>
    </row>
    <row r="3" spans="1:6" ht="18.75" customHeight="1" x14ac:dyDescent="0.25">
      <c r="A3" s="14"/>
      <c r="B3" s="14"/>
      <c r="C3" s="14"/>
      <c r="D3" s="14"/>
    </row>
    <row r="4" spans="1:6" ht="57" customHeight="1" x14ac:dyDescent="0.25">
      <c r="A4" s="161" t="s">
        <v>24</v>
      </c>
      <c r="B4" s="161"/>
      <c r="C4" s="161"/>
      <c r="D4" s="161"/>
    </row>
    <row r="5" spans="1:6" ht="17.25" customHeight="1" x14ac:dyDescent="0.25">
      <c r="A5" s="14"/>
      <c r="B5" s="14"/>
      <c r="C5" s="14"/>
      <c r="D5" s="14"/>
    </row>
    <row r="6" spans="1:6" x14ac:dyDescent="0.25">
      <c r="A6" s="163" t="s">
        <v>25</v>
      </c>
      <c r="B6" s="163"/>
      <c r="C6" s="163"/>
      <c r="D6" s="163"/>
    </row>
    <row r="8" spans="1:6" ht="23.25" x14ac:dyDescent="0.25">
      <c r="A8" s="160" t="s">
        <v>26</v>
      </c>
      <c r="B8" s="160"/>
      <c r="C8" s="160"/>
      <c r="D8" s="160"/>
    </row>
    <row r="9" spans="1:6" ht="23.25" x14ac:dyDescent="0.25">
      <c r="A9" s="160" t="s">
        <v>27</v>
      </c>
      <c r="B9" s="160"/>
      <c r="C9" s="160"/>
      <c r="D9" s="160"/>
    </row>
    <row r="10" spans="1:6" x14ac:dyDescent="0.25">
      <c r="A10" s="157"/>
      <c r="B10" s="157"/>
      <c r="C10" s="157"/>
      <c r="D10" s="157"/>
    </row>
    <row r="11" spans="1:6" x14ac:dyDescent="0.25">
      <c r="A11" s="139" t="s">
        <v>28</v>
      </c>
      <c r="B11" s="139"/>
      <c r="C11" s="139"/>
      <c r="D11" s="139"/>
      <c r="F11" s="13" t="s">
        <v>29</v>
      </c>
    </row>
    <row r="12" spans="1:6" x14ac:dyDescent="0.25">
      <c r="A12" s="15"/>
      <c r="B12" s="15"/>
      <c r="C12" s="15"/>
      <c r="D12" s="15"/>
      <c r="F12" s="13" t="s">
        <v>30</v>
      </c>
    </row>
    <row r="13" spans="1:6" x14ac:dyDescent="0.25">
      <c r="A13" s="16" t="s">
        <v>1</v>
      </c>
      <c r="B13" s="17" t="s">
        <v>31</v>
      </c>
      <c r="C13" s="152" t="s">
        <v>216</v>
      </c>
      <c r="D13" s="152"/>
      <c r="E13" s="18"/>
    </row>
    <row r="14" spans="1:6" x14ac:dyDescent="0.25">
      <c r="A14" s="16" t="s">
        <v>2</v>
      </c>
      <c r="B14" s="17" t="s">
        <v>32</v>
      </c>
      <c r="C14" s="152" t="s">
        <v>217</v>
      </c>
      <c r="D14" s="152"/>
      <c r="E14" s="18"/>
    </row>
    <row r="15" spans="1:6" x14ac:dyDescent="0.25">
      <c r="A15" s="16" t="s">
        <v>3</v>
      </c>
      <c r="B15" s="17" t="s">
        <v>33</v>
      </c>
      <c r="C15" s="154" t="s">
        <v>218</v>
      </c>
      <c r="D15" s="154"/>
      <c r="E15" s="18"/>
    </row>
    <row r="16" spans="1:6" x14ac:dyDescent="0.25">
      <c r="A16" s="16" t="s">
        <v>4</v>
      </c>
      <c r="B16" s="17" t="s">
        <v>34</v>
      </c>
      <c r="C16" s="152" t="s">
        <v>35</v>
      </c>
      <c r="D16" s="152"/>
      <c r="E16" s="18"/>
    </row>
    <row r="17" spans="1:6" x14ac:dyDescent="0.25">
      <c r="A17" s="16" t="s">
        <v>5</v>
      </c>
      <c r="B17" s="19" t="s">
        <v>36</v>
      </c>
      <c r="C17" s="153">
        <v>24</v>
      </c>
      <c r="D17" s="153"/>
      <c r="E17" s="20"/>
    </row>
    <row r="18" spans="1:6" ht="36" customHeight="1" x14ac:dyDescent="0.25">
      <c r="A18" s="16" t="s">
        <v>6</v>
      </c>
      <c r="B18" s="19" t="s">
        <v>37</v>
      </c>
      <c r="C18" s="158" t="s">
        <v>219</v>
      </c>
      <c r="D18" s="158"/>
      <c r="E18" s="20"/>
    </row>
    <row r="19" spans="1:6" x14ac:dyDescent="0.25">
      <c r="A19" s="16" t="s">
        <v>7</v>
      </c>
      <c r="B19" s="19" t="s">
        <v>38</v>
      </c>
      <c r="C19" s="152" t="s">
        <v>39</v>
      </c>
      <c r="D19" s="152"/>
      <c r="E19" s="20"/>
    </row>
    <row r="20" spans="1:6" x14ac:dyDescent="0.25">
      <c r="A20" s="16" t="s">
        <v>8</v>
      </c>
      <c r="B20" s="17" t="s">
        <v>40</v>
      </c>
      <c r="C20" s="152" t="s">
        <v>41</v>
      </c>
      <c r="D20" s="152"/>
      <c r="E20" s="20"/>
    </row>
    <row r="21" spans="1:6" x14ac:dyDescent="0.25">
      <c r="A21" s="16" t="s">
        <v>9</v>
      </c>
      <c r="B21" s="17" t="s">
        <v>42</v>
      </c>
      <c r="C21" s="159">
        <v>1548.5</v>
      </c>
      <c r="D21" s="159"/>
      <c r="E21" s="20"/>
    </row>
    <row r="22" spans="1:6" x14ac:dyDescent="0.25">
      <c r="A22" s="16" t="s">
        <v>43</v>
      </c>
      <c r="B22" s="17" t="s">
        <v>44</v>
      </c>
      <c r="C22" s="153" t="s">
        <v>45</v>
      </c>
      <c r="D22" s="153"/>
      <c r="E22" s="20"/>
    </row>
    <row r="23" spans="1:6" x14ac:dyDescent="0.25">
      <c r="A23" s="16" t="s">
        <v>46</v>
      </c>
      <c r="B23" s="17" t="s">
        <v>47</v>
      </c>
      <c r="C23" s="152" t="s">
        <v>220</v>
      </c>
      <c r="D23" s="152"/>
      <c r="E23" s="20"/>
    </row>
    <row r="24" spans="1:6" x14ac:dyDescent="0.25">
      <c r="A24" s="16" t="s">
        <v>48</v>
      </c>
      <c r="B24" s="17" t="s">
        <v>49</v>
      </c>
      <c r="C24" s="153" t="s">
        <v>226</v>
      </c>
      <c r="D24" s="153"/>
      <c r="E24" s="20"/>
    </row>
    <row r="25" spans="1:6" x14ac:dyDescent="0.25">
      <c r="A25" s="16" t="s">
        <v>50</v>
      </c>
      <c r="B25" s="17" t="s">
        <v>51</v>
      </c>
      <c r="C25" s="154">
        <v>44966</v>
      </c>
      <c r="D25" s="154"/>
      <c r="E25" s="20"/>
    </row>
    <row r="27" spans="1:6" x14ac:dyDescent="0.25">
      <c r="F27" s="13" t="s">
        <v>52</v>
      </c>
    </row>
    <row r="28" spans="1:6" x14ac:dyDescent="0.25">
      <c r="A28" s="139" t="s">
        <v>53</v>
      </c>
      <c r="B28" s="139"/>
      <c r="C28" s="139"/>
      <c r="D28" s="139"/>
      <c r="F28" s="13" t="s">
        <v>54</v>
      </c>
    </row>
    <row r="30" spans="1:6" x14ac:dyDescent="0.25">
      <c r="A30" s="16">
        <v>1</v>
      </c>
      <c r="B30" s="16" t="s">
        <v>55</v>
      </c>
      <c r="C30" s="16" t="s">
        <v>56</v>
      </c>
      <c r="D30" s="16" t="s">
        <v>57</v>
      </c>
    </row>
    <row r="31" spans="1:6" x14ac:dyDescent="0.25">
      <c r="A31" s="21" t="s">
        <v>1</v>
      </c>
      <c r="B31" s="17" t="s">
        <v>58</v>
      </c>
      <c r="C31" s="22"/>
      <c r="D31" s="23">
        <f>C21</f>
        <v>1548.5</v>
      </c>
    </row>
    <row r="32" spans="1:6" x14ac:dyDescent="0.25">
      <c r="A32" s="24" t="s">
        <v>2</v>
      </c>
      <c r="B32" s="25" t="s">
        <v>59</v>
      </c>
      <c r="C32" s="26">
        <v>0.3</v>
      </c>
      <c r="D32" s="27">
        <f>ROUND(C32*D31,2)</f>
        <v>464.55</v>
      </c>
    </row>
    <row r="33" spans="1:4" x14ac:dyDescent="0.25">
      <c r="A33" s="24"/>
      <c r="B33" s="25"/>
      <c r="C33" s="26"/>
      <c r="D33" s="28"/>
    </row>
    <row r="34" spans="1:4" x14ac:dyDescent="0.25">
      <c r="A34" s="24"/>
      <c r="B34" s="25"/>
      <c r="C34" s="26"/>
      <c r="D34" s="27"/>
    </row>
    <row r="35" spans="1:4" x14ac:dyDescent="0.25">
      <c r="A35" s="24"/>
      <c r="B35" s="25"/>
      <c r="C35" s="26"/>
      <c r="D35" s="27"/>
    </row>
    <row r="36" spans="1:4" x14ac:dyDescent="0.25">
      <c r="A36" s="24"/>
      <c r="B36" s="25"/>
      <c r="C36" s="26"/>
      <c r="D36" s="27"/>
    </row>
    <row r="37" spans="1:4" ht="15.75" customHeight="1" x14ac:dyDescent="0.25">
      <c r="A37" s="136" t="s">
        <v>60</v>
      </c>
      <c r="B37" s="136"/>
      <c r="C37" s="29"/>
      <c r="D37" s="30">
        <f>SUM(D31:D36)</f>
        <v>2013.05</v>
      </c>
    </row>
    <row r="40" spans="1:4" x14ac:dyDescent="0.25">
      <c r="A40" s="139" t="s">
        <v>61</v>
      </c>
      <c r="B40" s="139"/>
      <c r="C40" s="139"/>
      <c r="D40" s="139"/>
    </row>
    <row r="41" spans="1:4" ht="16.5" thickBot="1" x14ac:dyDescent="0.3">
      <c r="A41" s="31"/>
    </row>
    <row r="42" spans="1:4" ht="17.25" thickTop="1" thickBot="1" x14ac:dyDescent="0.3">
      <c r="A42" s="155" t="s">
        <v>62</v>
      </c>
      <c r="B42" s="155"/>
      <c r="C42" s="32" t="s">
        <v>63</v>
      </c>
      <c r="D42" s="33">
        <f>D37</f>
        <v>2013.05</v>
      </c>
    </row>
    <row r="43" spans="1:4" ht="19.5" thickTop="1" thickBot="1" x14ac:dyDescent="0.3">
      <c r="A43" s="155"/>
      <c r="B43" s="155"/>
      <c r="C43" s="34" t="s">
        <v>64</v>
      </c>
      <c r="D43" s="35">
        <f>SUM(D42:D42)</f>
        <v>2013.05</v>
      </c>
    </row>
    <row r="44" spans="1:4" ht="16.5" thickTop="1" x14ac:dyDescent="0.25">
      <c r="A44" s="31"/>
    </row>
    <row r="45" spans="1:4" x14ac:dyDescent="0.25">
      <c r="A45" s="149" t="s">
        <v>65</v>
      </c>
      <c r="B45" s="149"/>
      <c r="C45" s="149"/>
      <c r="D45" s="149"/>
    </row>
    <row r="47" spans="1:4" x14ac:dyDescent="0.25">
      <c r="A47" s="16" t="s">
        <v>66</v>
      </c>
      <c r="B47" s="16" t="s">
        <v>67</v>
      </c>
      <c r="C47" s="16" t="s">
        <v>56</v>
      </c>
      <c r="D47" s="16" t="s">
        <v>57</v>
      </c>
    </row>
    <row r="48" spans="1:4" x14ac:dyDescent="0.25">
      <c r="A48" s="21" t="s">
        <v>1</v>
      </c>
      <c r="B48" s="17" t="s">
        <v>68</v>
      </c>
      <c r="C48" s="36">
        <f>1/12</f>
        <v>8.3333333333333329E-2</v>
      </c>
      <c r="D48" s="23">
        <f>ROUND($D$43*C48,2)</f>
        <v>167.75</v>
      </c>
    </row>
    <row r="49" spans="1:4" x14ac:dyDescent="0.25">
      <c r="A49" s="21" t="s">
        <v>2</v>
      </c>
      <c r="B49" s="17" t="s">
        <v>69</v>
      </c>
      <c r="C49" s="37">
        <f>1/12</f>
        <v>8.3333333333333329E-2</v>
      </c>
      <c r="D49" s="23">
        <f>ROUND($D$43*C49,2)</f>
        <v>167.75</v>
      </c>
    </row>
    <row r="50" spans="1:4" x14ac:dyDescent="0.25">
      <c r="A50" s="21" t="s">
        <v>3</v>
      </c>
      <c r="B50" s="17" t="s">
        <v>70</v>
      </c>
      <c r="C50" s="38">
        <f>100%/3/12</f>
        <v>2.7777777777777776E-2</v>
      </c>
      <c r="D50" s="23">
        <f>ROUND($D$43*C50,2)</f>
        <v>55.92</v>
      </c>
    </row>
    <row r="51" spans="1:4" ht="15.75" customHeight="1" x14ac:dyDescent="0.25">
      <c r="A51" s="136" t="s">
        <v>60</v>
      </c>
      <c r="B51" s="136"/>
      <c r="C51" s="136"/>
      <c r="D51" s="30">
        <f>SUM(D48:D50)</f>
        <v>391.42</v>
      </c>
    </row>
    <row r="52" spans="1:4" x14ac:dyDescent="0.25">
      <c r="A52" s="39"/>
    </row>
    <row r="54" spans="1:4" ht="17.25" thickTop="1" thickBot="1" x14ac:dyDescent="0.3">
      <c r="A54" s="155" t="s">
        <v>71</v>
      </c>
      <c r="B54" s="155"/>
      <c r="C54" s="32" t="s">
        <v>63</v>
      </c>
      <c r="D54" s="33">
        <f>D37</f>
        <v>2013.05</v>
      </c>
    </row>
    <row r="55" spans="1:4" ht="17.25" thickTop="1" thickBot="1" x14ac:dyDescent="0.3">
      <c r="A55" s="155"/>
      <c r="B55" s="155"/>
      <c r="C55" s="32" t="s">
        <v>72</v>
      </c>
      <c r="D55" s="35">
        <f>D51</f>
        <v>391.42</v>
      </c>
    </row>
    <row r="56" spans="1:4" ht="19.5" thickTop="1" thickBot="1" x14ac:dyDescent="0.3">
      <c r="A56" s="155"/>
      <c r="B56" s="155"/>
      <c r="C56" s="34" t="s">
        <v>64</v>
      </c>
      <c r="D56" s="35">
        <f>SUM(D54:D55)</f>
        <v>2404.4699999999998</v>
      </c>
    </row>
    <row r="58" spans="1:4" ht="15.75" customHeight="1" x14ac:dyDescent="0.25">
      <c r="A58" s="156" t="s">
        <v>73</v>
      </c>
      <c r="B58" s="156"/>
      <c r="C58" s="156"/>
      <c r="D58" s="156"/>
    </row>
    <row r="60" spans="1:4" x14ac:dyDescent="0.25">
      <c r="A60" s="16" t="s">
        <v>74</v>
      </c>
      <c r="B60" s="16" t="s">
        <v>75</v>
      </c>
      <c r="C60" s="16" t="s">
        <v>56</v>
      </c>
      <c r="D60" s="16" t="s">
        <v>57</v>
      </c>
    </row>
    <row r="61" spans="1:4" x14ac:dyDescent="0.25">
      <c r="A61" s="21" t="s">
        <v>1</v>
      </c>
      <c r="B61" s="17" t="s">
        <v>76</v>
      </c>
      <c r="C61" s="40">
        <v>0.2</v>
      </c>
      <c r="D61" s="41">
        <f t="shared" ref="D61:D68" si="0">ROUND($D$56*C61,2)</f>
        <v>480.89</v>
      </c>
    </row>
    <row r="62" spans="1:4" x14ac:dyDescent="0.25">
      <c r="A62" s="21" t="s">
        <v>2</v>
      </c>
      <c r="B62" s="17" t="s">
        <v>77</v>
      </c>
      <c r="C62" s="40">
        <v>2.5000000000000001E-2</v>
      </c>
      <c r="D62" s="41">
        <f t="shared" si="0"/>
        <v>60.11</v>
      </c>
    </row>
    <row r="63" spans="1:4" x14ac:dyDescent="0.25">
      <c r="A63" s="21" t="s">
        <v>3</v>
      </c>
      <c r="B63" s="17" t="s">
        <v>227</v>
      </c>
      <c r="C63" s="40">
        <v>0.06</v>
      </c>
      <c r="D63" s="41">
        <f t="shared" si="0"/>
        <v>144.27000000000001</v>
      </c>
    </row>
    <row r="64" spans="1:4" x14ac:dyDescent="0.25">
      <c r="A64" s="21" t="s">
        <v>4</v>
      </c>
      <c r="B64" s="17" t="s">
        <v>78</v>
      </c>
      <c r="C64" s="40">
        <v>1.4999999999999999E-2</v>
      </c>
      <c r="D64" s="41">
        <f t="shared" si="0"/>
        <v>36.07</v>
      </c>
    </row>
    <row r="65" spans="1:4" x14ac:dyDescent="0.25">
      <c r="A65" s="21" t="s">
        <v>5</v>
      </c>
      <c r="B65" s="17" t="s">
        <v>79</v>
      </c>
      <c r="C65" s="40">
        <v>0.01</v>
      </c>
      <c r="D65" s="41">
        <f t="shared" si="0"/>
        <v>24.04</v>
      </c>
    </row>
    <row r="66" spans="1:4" x14ac:dyDescent="0.25">
      <c r="A66" s="21" t="s">
        <v>6</v>
      </c>
      <c r="B66" s="17" t="s">
        <v>80</v>
      </c>
      <c r="C66" s="40">
        <v>6.0000000000000001E-3</v>
      </c>
      <c r="D66" s="41">
        <f t="shared" si="0"/>
        <v>14.43</v>
      </c>
    </row>
    <row r="67" spans="1:4" x14ac:dyDescent="0.25">
      <c r="A67" s="21" t="s">
        <v>7</v>
      </c>
      <c r="B67" s="17" t="s">
        <v>81</v>
      </c>
      <c r="C67" s="40">
        <v>2E-3</v>
      </c>
      <c r="D67" s="41">
        <f t="shared" si="0"/>
        <v>4.8099999999999996</v>
      </c>
    </row>
    <row r="68" spans="1:4" x14ac:dyDescent="0.25">
      <c r="A68" s="21" t="s">
        <v>8</v>
      </c>
      <c r="B68" s="17" t="s">
        <v>82</v>
      </c>
      <c r="C68" s="42">
        <v>0.08</v>
      </c>
      <c r="D68" s="41">
        <f t="shared" si="0"/>
        <v>192.36</v>
      </c>
    </row>
    <row r="69" spans="1:4" ht="15.75" customHeight="1" x14ac:dyDescent="0.25">
      <c r="A69" s="136" t="s">
        <v>83</v>
      </c>
      <c r="B69" s="136"/>
      <c r="C69" s="43">
        <f>SUM(C61:C68)</f>
        <v>0.39800000000000008</v>
      </c>
      <c r="D69" s="30">
        <f>SUM(D61:D68)</f>
        <v>956.9799999999999</v>
      </c>
    </row>
    <row r="70" spans="1:4" x14ac:dyDescent="0.25">
      <c r="A70" s="39"/>
    </row>
    <row r="72" spans="1:4" x14ac:dyDescent="0.25">
      <c r="A72" s="149" t="s">
        <v>84</v>
      </c>
      <c r="B72" s="149"/>
      <c r="C72" s="149"/>
      <c r="D72" s="149"/>
    </row>
    <row r="74" spans="1:4" ht="15.75" customHeight="1" x14ac:dyDescent="0.25">
      <c r="A74" s="16" t="s">
        <v>85</v>
      </c>
      <c r="B74" s="136" t="s">
        <v>86</v>
      </c>
      <c r="C74" s="136"/>
      <c r="D74" s="16" t="s">
        <v>57</v>
      </c>
    </row>
    <row r="75" spans="1:4" ht="15.75" customHeight="1" x14ac:dyDescent="0.25">
      <c r="A75" s="21" t="s">
        <v>87</v>
      </c>
      <c r="B75" s="137" t="s">
        <v>88</v>
      </c>
      <c r="C75" s="137"/>
      <c r="D75" s="27">
        <f>4.95*2*22</f>
        <v>217.8</v>
      </c>
    </row>
    <row r="76" spans="1:4" ht="15.75" customHeight="1" x14ac:dyDescent="0.25">
      <c r="A76" s="21" t="s">
        <v>89</v>
      </c>
      <c r="B76" s="137" t="s">
        <v>90</v>
      </c>
      <c r="C76" s="137"/>
      <c r="D76" s="23">
        <f>IF(D75&lt;=0,"0,00",IF(ROUND(D31*6%,2)&gt;D75,D75,ROUND(D31*6%,2)))</f>
        <v>92.91</v>
      </c>
    </row>
    <row r="77" spans="1:4" ht="15.75" customHeight="1" x14ac:dyDescent="0.25">
      <c r="A77" s="21" t="s">
        <v>91</v>
      </c>
      <c r="B77" s="137" t="s">
        <v>92</v>
      </c>
      <c r="C77" s="137"/>
      <c r="D77" s="23">
        <f>D75-D76</f>
        <v>124.89000000000001</v>
      </c>
    </row>
    <row r="78" spans="1:4" ht="15.75" customHeight="1" x14ac:dyDescent="0.25">
      <c r="A78" s="21" t="s">
        <v>93</v>
      </c>
      <c r="B78" s="137" t="s">
        <v>221</v>
      </c>
      <c r="C78" s="137"/>
      <c r="D78" s="27">
        <f>26*22</f>
        <v>572</v>
      </c>
    </row>
    <row r="79" spans="1:4" ht="15.75" customHeight="1" x14ac:dyDescent="0.25">
      <c r="A79" s="21" t="s">
        <v>94</v>
      </c>
      <c r="B79" s="137" t="s">
        <v>95</v>
      </c>
      <c r="C79" s="137"/>
      <c r="D79" s="27">
        <f>ROUND(D78*2%,2)</f>
        <v>11.44</v>
      </c>
    </row>
    <row r="80" spans="1:4" ht="15.75" customHeight="1" x14ac:dyDescent="0.25">
      <c r="A80" s="21" t="s">
        <v>96</v>
      </c>
      <c r="B80" s="137" t="s">
        <v>97</v>
      </c>
      <c r="C80" s="137"/>
      <c r="D80" s="23">
        <f>D78-D79</f>
        <v>560.55999999999995</v>
      </c>
    </row>
    <row r="81" spans="1:5" s="45" customFormat="1" ht="15.75" customHeight="1" x14ac:dyDescent="0.25">
      <c r="A81" s="24" t="s">
        <v>3</v>
      </c>
      <c r="B81" s="147" t="s">
        <v>222</v>
      </c>
      <c r="C81" s="147"/>
      <c r="D81" s="27">
        <v>112</v>
      </c>
      <c r="E81" s="44"/>
    </row>
    <row r="82" spans="1:5" s="45" customFormat="1" ht="15.75" customHeight="1" x14ac:dyDescent="0.25">
      <c r="A82" s="24" t="s">
        <v>4</v>
      </c>
      <c r="B82" s="150" t="s">
        <v>223</v>
      </c>
      <c r="C82" s="151"/>
      <c r="D82" s="27">
        <v>47.66</v>
      </c>
      <c r="E82" s="44"/>
    </row>
    <row r="83" spans="1:5" s="45" customFormat="1" ht="15.75" customHeight="1" x14ac:dyDescent="0.25">
      <c r="A83" s="24" t="s">
        <v>4</v>
      </c>
      <c r="B83" s="147" t="s">
        <v>225</v>
      </c>
      <c r="C83" s="147"/>
      <c r="D83" s="46">
        <v>7</v>
      </c>
      <c r="E83" s="44"/>
    </row>
    <row r="84" spans="1:5" s="45" customFormat="1" ht="15.75" customHeight="1" x14ac:dyDescent="0.25">
      <c r="A84" s="24" t="s">
        <v>5</v>
      </c>
      <c r="B84" s="147" t="s">
        <v>224</v>
      </c>
      <c r="C84" s="147"/>
      <c r="D84" s="46">
        <v>45</v>
      </c>
      <c r="E84" s="44"/>
    </row>
    <row r="85" spans="1:5" ht="15.75" customHeight="1" x14ac:dyDescent="0.25">
      <c r="A85" s="136" t="s">
        <v>98</v>
      </c>
      <c r="B85" s="136"/>
      <c r="C85" s="136"/>
      <c r="D85" s="30">
        <f>SUM(D81:D84)+D77+D80</f>
        <v>897.1099999999999</v>
      </c>
    </row>
    <row r="88" spans="1:5" x14ac:dyDescent="0.25">
      <c r="A88" s="149" t="s">
        <v>99</v>
      </c>
      <c r="B88" s="149"/>
      <c r="C88" s="149"/>
      <c r="D88" s="149"/>
    </row>
    <row r="90" spans="1:5" ht="15.75" customHeight="1" x14ac:dyDescent="0.25">
      <c r="A90" s="16" t="s">
        <v>100</v>
      </c>
      <c r="B90" s="136" t="s">
        <v>101</v>
      </c>
      <c r="C90" s="136"/>
      <c r="D90" s="29" t="s">
        <v>57</v>
      </c>
    </row>
    <row r="91" spans="1:5" ht="15.75" customHeight="1" x14ac:dyDescent="0.25">
      <c r="A91" s="21" t="s">
        <v>1</v>
      </c>
      <c r="B91" s="137" t="s">
        <v>228</v>
      </c>
      <c r="C91" s="137"/>
      <c r="D91" s="46">
        <v>102.94</v>
      </c>
    </row>
    <row r="92" spans="1:5" ht="15.75" customHeight="1" x14ac:dyDescent="0.25">
      <c r="A92" s="136" t="s">
        <v>60</v>
      </c>
      <c r="B92" s="136"/>
      <c r="C92" s="136"/>
      <c r="D92" s="30">
        <f>SUM(D91)</f>
        <v>102.94</v>
      </c>
    </row>
    <row r="93" spans="1:5" x14ac:dyDescent="0.25">
      <c r="A93" s="14"/>
      <c r="B93" s="14"/>
      <c r="C93" s="47"/>
    </row>
    <row r="94" spans="1:5" x14ac:dyDescent="0.25">
      <c r="A94" s="14"/>
      <c r="B94" s="14"/>
      <c r="C94" s="47"/>
    </row>
    <row r="95" spans="1:5" x14ac:dyDescent="0.25">
      <c r="A95" s="139" t="s">
        <v>102</v>
      </c>
      <c r="B95" s="139"/>
      <c r="C95" s="139"/>
      <c r="D95" s="139"/>
    </row>
    <row r="97" spans="1:5" ht="15.75" customHeight="1" x14ac:dyDescent="0.25">
      <c r="A97" s="16">
        <v>2</v>
      </c>
      <c r="B97" s="136" t="s">
        <v>103</v>
      </c>
      <c r="C97" s="136"/>
      <c r="D97" s="16" t="s">
        <v>57</v>
      </c>
    </row>
    <row r="98" spans="1:5" ht="15.75" customHeight="1" x14ac:dyDescent="0.25">
      <c r="A98" s="21" t="s">
        <v>66</v>
      </c>
      <c r="B98" s="137" t="s">
        <v>67</v>
      </c>
      <c r="C98" s="137"/>
      <c r="D98" s="48">
        <f>D51</f>
        <v>391.42</v>
      </c>
    </row>
    <row r="99" spans="1:5" ht="15.75" customHeight="1" x14ac:dyDescent="0.25">
      <c r="A99" s="21" t="s">
        <v>74</v>
      </c>
      <c r="B99" s="137" t="s">
        <v>75</v>
      </c>
      <c r="C99" s="137"/>
      <c r="D99" s="49">
        <f>D69</f>
        <v>956.9799999999999</v>
      </c>
    </row>
    <row r="100" spans="1:5" ht="15.75" customHeight="1" x14ac:dyDescent="0.25">
      <c r="A100" s="21" t="s">
        <v>85</v>
      </c>
      <c r="B100" s="137" t="s">
        <v>86</v>
      </c>
      <c r="C100" s="137"/>
      <c r="D100" s="49">
        <f>D85</f>
        <v>897.1099999999999</v>
      </c>
    </row>
    <row r="101" spans="1:5" ht="15.75" customHeight="1" x14ac:dyDescent="0.25">
      <c r="A101" s="21" t="s">
        <v>100</v>
      </c>
      <c r="B101" s="137" t="s">
        <v>228</v>
      </c>
      <c r="C101" s="137"/>
      <c r="D101" s="49">
        <f>D92</f>
        <v>102.94</v>
      </c>
    </row>
    <row r="102" spans="1:5" ht="15.75" customHeight="1" x14ac:dyDescent="0.25">
      <c r="A102" s="136" t="s">
        <v>60</v>
      </c>
      <c r="B102" s="136"/>
      <c r="C102" s="136"/>
      <c r="D102" s="30">
        <f>SUM(D98:D101)</f>
        <v>2348.4499999999998</v>
      </c>
    </row>
    <row r="104" spans="1:5" ht="16.5" thickBot="1" x14ac:dyDescent="0.3">
      <c r="E104" s="50"/>
    </row>
    <row r="105" spans="1:5" ht="17.25" customHeight="1" thickTop="1" thickBot="1" x14ac:dyDescent="0.3">
      <c r="A105" s="145" t="s">
        <v>104</v>
      </c>
      <c r="B105" s="145"/>
      <c r="C105" s="32" t="s">
        <v>63</v>
      </c>
      <c r="D105" s="33">
        <f>D37</f>
        <v>2013.05</v>
      </c>
    </row>
    <row r="106" spans="1:5" ht="17.25" customHeight="1" thickTop="1" thickBot="1" x14ac:dyDescent="0.3">
      <c r="A106" s="145"/>
      <c r="B106" s="145"/>
      <c r="C106" s="32" t="s">
        <v>105</v>
      </c>
      <c r="D106" s="33">
        <f>D51</f>
        <v>391.42</v>
      </c>
    </row>
    <row r="107" spans="1:5" ht="19.5" customHeight="1" thickTop="1" thickBot="1" x14ac:dyDescent="0.3">
      <c r="A107" s="145"/>
      <c r="B107" s="145"/>
      <c r="C107" s="34" t="s">
        <v>64</v>
      </c>
      <c r="D107" s="35">
        <f>SUM(D105:D106)</f>
        <v>2404.4699999999998</v>
      </c>
    </row>
    <row r="109" spans="1:5" x14ac:dyDescent="0.25">
      <c r="A109" s="139" t="s">
        <v>106</v>
      </c>
      <c r="B109" s="139"/>
      <c r="C109" s="139"/>
      <c r="D109" s="139"/>
    </row>
    <row r="111" spans="1:5" x14ac:dyDescent="0.25">
      <c r="A111" s="16">
        <v>3</v>
      </c>
      <c r="B111" s="16" t="s">
        <v>107</v>
      </c>
      <c r="C111" s="16" t="s">
        <v>56</v>
      </c>
      <c r="D111" s="16" t="s">
        <v>57</v>
      </c>
    </row>
    <row r="112" spans="1:5" x14ac:dyDescent="0.25">
      <c r="A112" s="21" t="s">
        <v>1</v>
      </c>
      <c r="B112" s="51" t="s">
        <v>108</v>
      </c>
      <c r="C112" s="40">
        <f>1/12*5.55%</f>
        <v>4.6249999999999998E-3</v>
      </c>
      <c r="D112" s="52">
        <f t="shared" ref="D112:D117" si="1">ROUND($D$107*C112,2)</f>
        <v>11.12</v>
      </c>
      <c r="E112" s="53"/>
    </row>
    <row r="113" spans="1:5" x14ac:dyDescent="0.25">
      <c r="A113" s="22" t="s">
        <v>2</v>
      </c>
      <c r="B113" s="54" t="s">
        <v>109</v>
      </c>
      <c r="C113" s="36">
        <f>8%*C112</f>
        <v>3.6999999999999999E-4</v>
      </c>
      <c r="D113" s="23">
        <f t="shared" si="1"/>
        <v>0.89</v>
      </c>
      <c r="E113" s="55"/>
    </row>
    <row r="114" spans="1:5" x14ac:dyDescent="0.25">
      <c r="A114" s="22" t="s">
        <v>3</v>
      </c>
      <c r="B114" s="54" t="s">
        <v>110</v>
      </c>
      <c r="C114" s="42">
        <f>(8%*40%*5.55%)</f>
        <v>1.776E-3</v>
      </c>
      <c r="D114" s="23">
        <f t="shared" si="1"/>
        <v>4.2699999999999996</v>
      </c>
      <c r="E114" s="56"/>
    </row>
    <row r="115" spans="1:5" x14ac:dyDescent="0.25">
      <c r="A115" s="22" t="s">
        <v>4</v>
      </c>
      <c r="B115" s="54" t="s">
        <v>111</v>
      </c>
      <c r="C115" s="42">
        <f>(1/30*7)/12</f>
        <v>1.9444444444444445E-2</v>
      </c>
      <c r="D115" s="23">
        <f t="shared" si="1"/>
        <v>46.75</v>
      </c>
    </row>
    <row r="116" spans="1:5" x14ac:dyDescent="0.25">
      <c r="A116" s="22" t="s">
        <v>5</v>
      </c>
      <c r="B116" s="57" t="s">
        <v>112</v>
      </c>
      <c r="C116" s="42">
        <v>7.1999999999999998E-3</v>
      </c>
      <c r="D116" s="23">
        <f t="shared" si="1"/>
        <v>17.309999999999999</v>
      </c>
    </row>
    <row r="117" spans="1:5" x14ac:dyDescent="0.25">
      <c r="A117" s="22" t="s">
        <v>6</v>
      </c>
      <c r="B117" s="54" t="s">
        <v>113</v>
      </c>
      <c r="C117" s="42">
        <f>((0.08*0.4))</f>
        <v>3.2000000000000001E-2</v>
      </c>
      <c r="D117" s="23">
        <f t="shared" si="1"/>
        <v>76.94</v>
      </c>
    </row>
    <row r="118" spans="1:5" ht="15.75" customHeight="1" x14ac:dyDescent="0.25">
      <c r="A118" s="148" t="s">
        <v>60</v>
      </c>
      <c r="B118" s="148"/>
      <c r="C118" s="148"/>
      <c r="D118" s="30">
        <f>SUM(D112:D117)</f>
        <v>157.28</v>
      </c>
    </row>
    <row r="119" spans="1:5" x14ac:dyDescent="0.25">
      <c r="D119" s="58"/>
    </row>
    <row r="121" spans="1:5" ht="17.25" customHeight="1" thickTop="1" thickBot="1" x14ac:dyDescent="0.3">
      <c r="A121" s="145" t="s">
        <v>114</v>
      </c>
      <c r="B121" s="145"/>
      <c r="C121" s="32" t="s">
        <v>115</v>
      </c>
      <c r="D121" s="35">
        <f>D37</f>
        <v>2013.05</v>
      </c>
    </row>
    <row r="122" spans="1:5" ht="17.25" customHeight="1" thickTop="1" thickBot="1" x14ac:dyDescent="0.3">
      <c r="A122" s="145"/>
      <c r="B122" s="145"/>
      <c r="C122" s="32" t="s">
        <v>105</v>
      </c>
      <c r="D122" s="35">
        <f>D51</f>
        <v>391.42</v>
      </c>
    </row>
    <row r="123" spans="1:5" ht="17.25" customHeight="1" thickTop="1" thickBot="1" x14ac:dyDescent="0.3">
      <c r="A123" s="145"/>
      <c r="B123" s="145"/>
      <c r="C123" s="32" t="s">
        <v>116</v>
      </c>
      <c r="D123" s="35">
        <f>D85-D77</f>
        <v>772.21999999999991</v>
      </c>
    </row>
    <row r="124" spans="1:5" ht="17.25" customHeight="1" thickTop="1" thickBot="1" x14ac:dyDescent="0.3">
      <c r="A124" s="145"/>
      <c r="B124" s="145"/>
      <c r="C124" s="32" t="s">
        <v>117</v>
      </c>
      <c r="D124" s="35">
        <f>D118</f>
        <v>157.28</v>
      </c>
    </row>
    <row r="125" spans="1:5" ht="19.5" customHeight="1" thickTop="1" thickBot="1" x14ac:dyDescent="0.3">
      <c r="A125" s="145"/>
      <c r="B125" s="145"/>
      <c r="C125" s="59" t="s">
        <v>118</v>
      </c>
      <c r="D125" s="35">
        <f>SUM(D121:D124)</f>
        <v>3333.97</v>
      </c>
    </row>
    <row r="127" spans="1:5" x14ac:dyDescent="0.25">
      <c r="A127" s="139" t="s">
        <v>119</v>
      </c>
      <c r="B127" s="139"/>
      <c r="C127" s="139"/>
      <c r="D127" s="139"/>
    </row>
    <row r="128" spans="1:5" x14ac:dyDescent="0.25">
      <c r="A128" s="15"/>
      <c r="B128" s="15"/>
      <c r="C128" s="15"/>
      <c r="D128" s="15"/>
    </row>
    <row r="129" spans="1:5" x14ac:dyDescent="0.25">
      <c r="A129" s="149" t="s">
        <v>120</v>
      </c>
      <c r="B129" s="149"/>
      <c r="C129" s="149"/>
      <c r="D129" s="149"/>
    </row>
    <row r="131" spans="1:5" x14ac:dyDescent="0.25">
      <c r="A131" s="16" t="s">
        <v>121</v>
      </c>
      <c r="B131" s="16" t="s">
        <v>122</v>
      </c>
      <c r="C131" s="16" t="s">
        <v>56</v>
      </c>
      <c r="D131" s="16" t="s">
        <v>57</v>
      </c>
    </row>
    <row r="132" spans="1:5" x14ac:dyDescent="0.25">
      <c r="A132" s="21" t="s">
        <v>1</v>
      </c>
      <c r="B132" s="17" t="s">
        <v>123</v>
      </c>
      <c r="C132" s="60">
        <v>0</v>
      </c>
      <c r="D132" s="52">
        <f>ROUND(C132*$D$125,2)</f>
        <v>0</v>
      </c>
    </row>
    <row r="133" spans="1:5" x14ac:dyDescent="0.25">
      <c r="A133" s="21" t="s">
        <v>2</v>
      </c>
      <c r="B133" s="17" t="s">
        <v>124</v>
      </c>
      <c r="C133" s="60">
        <f>ROUND(5.96/365,5)</f>
        <v>1.6330000000000001E-2</v>
      </c>
      <c r="D133" s="52">
        <f>ROUND(C133*$D$125,2)</f>
        <v>54.44</v>
      </c>
    </row>
    <row r="134" spans="1:5" x14ac:dyDescent="0.25">
      <c r="A134" s="21" t="s">
        <v>3</v>
      </c>
      <c r="B134" s="17" t="s">
        <v>125</v>
      </c>
      <c r="C134" s="60">
        <f>(5/30)/12*0.015</f>
        <v>2.0833333333333332E-4</v>
      </c>
      <c r="D134" s="52">
        <f>ROUND(C134*$D$125,2)</f>
        <v>0.69</v>
      </c>
    </row>
    <row r="135" spans="1:5" x14ac:dyDescent="0.25">
      <c r="A135" s="21" t="s">
        <v>4</v>
      </c>
      <c r="B135" s="17" t="s">
        <v>126</v>
      </c>
      <c r="C135" s="60">
        <f>15/30/12*8%</f>
        <v>3.3333333333333331E-3</v>
      </c>
      <c r="D135" s="52">
        <f>ROUND(C135*$D$125,2)</f>
        <v>11.11</v>
      </c>
    </row>
    <row r="136" spans="1:5" x14ac:dyDescent="0.25">
      <c r="A136" s="21" t="s">
        <v>5</v>
      </c>
      <c r="B136" s="17" t="s">
        <v>127</v>
      </c>
      <c r="C136" s="37">
        <f>0.02*(4/12)/12</f>
        <v>5.5555555555555556E-4</v>
      </c>
      <c r="D136" s="52">
        <f>ROUND(C136*$D$125,2)</f>
        <v>1.85</v>
      </c>
    </row>
    <row r="137" spans="1:5" s="45" customFormat="1" x14ac:dyDescent="0.25">
      <c r="A137" s="24" t="s">
        <v>6</v>
      </c>
      <c r="B137" s="25" t="s">
        <v>128</v>
      </c>
      <c r="C137" s="61"/>
      <c r="D137" s="27"/>
      <c r="E137" s="44"/>
    </row>
    <row r="138" spans="1:5" s="45" customFormat="1" x14ac:dyDescent="0.25">
      <c r="A138" s="24"/>
      <c r="B138" s="25"/>
      <c r="C138" s="61"/>
      <c r="D138" s="27"/>
      <c r="E138" s="44"/>
    </row>
    <row r="139" spans="1:5" ht="15.75" customHeight="1" x14ac:dyDescent="0.25">
      <c r="A139" s="136" t="s">
        <v>83</v>
      </c>
      <c r="B139" s="136"/>
      <c r="C139" s="62">
        <f>SUM(C132:C137)</f>
        <v>2.0427222222222225E-2</v>
      </c>
      <c r="D139" s="48">
        <f>SUM(D132:D138)</f>
        <v>68.089999999999989</v>
      </c>
    </row>
    <row r="140" spans="1:5" x14ac:dyDescent="0.25">
      <c r="A140" s="63"/>
      <c r="B140" s="63"/>
      <c r="C140" s="64"/>
      <c r="D140" s="65"/>
    </row>
    <row r="141" spans="1:5" x14ac:dyDescent="0.25">
      <c r="A141" s="149" t="s">
        <v>129</v>
      </c>
      <c r="B141" s="149"/>
      <c r="C141" s="149"/>
      <c r="D141" s="149"/>
    </row>
    <row r="143" spans="1:5" x14ac:dyDescent="0.25">
      <c r="A143" s="16" t="s">
        <v>130</v>
      </c>
      <c r="B143" s="16" t="s">
        <v>131</v>
      </c>
      <c r="C143" s="16" t="s">
        <v>56</v>
      </c>
      <c r="D143" s="16" t="s">
        <v>57</v>
      </c>
    </row>
    <row r="144" spans="1:5" x14ac:dyDescent="0.25">
      <c r="A144" s="66" t="s">
        <v>1</v>
      </c>
      <c r="B144" s="66" t="s">
        <v>131</v>
      </c>
      <c r="C144" s="67">
        <v>8.5400000000000007E-3</v>
      </c>
      <c r="D144" s="68">
        <f>ROUND(C144*D125,2)</f>
        <v>28.47</v>
      </c>
    </row>
    <row r="145" spans="1:4" ht="15.75" customHeight="1" x14ac:dyDescent="0.25">
      <c r="A145" s="136" t="s">
        <v>83</v>
      </c>
      <c r="B145" s="136"/>
      <c r="C145" s="136"/>
      <c r="D145" s="48">
        <f>D144</f>
        <v>28.47</v>
      </c>
    </row>
    <row r="146" spans="1:4" x14ac:dyDescent="0.25">
      <c r="A146" s="63"/>
      <c r="B146" s="63"/>
      <c r="C146" s="64"/>
      <c r="D146" s="65"/>
    </row>
    <row r="147" spans="1:4" x14ac:dyDescent="0.25">
      <c r="A147" s="139" t="s">
        <v>132</v>
      </c>
      <c r="B147" s="139"/>
      <c r="C147" s="139"/>
      <c r="D147" s="139"/>
    </row>
    <row r="149" spans="1:4" ht="15.75" customHeight="1" x14ac:dyDescent="0.25">
      <c r="A149" s="16">
        <v>4</v>
      </c>
      <c r="B149" s="136" t="s">
        <v>133</v>
      </c>
      <c r="C149" s="136"/>
      <c r="D149" s="16" t="s">
        <v>57</v>
      </c>
    </row>
    <row r="150" spans="1:4" x14ac:dyDescent="0.25">
      <c r="A150" s="21" t="s">
        <v>121</v>
      </c>
      <c r="B150" s="137" t="str">
        <f>B131</f>
        <v>Substituto nas Ausências Legais</v>
      </c>
      <c r="C150" s="137"/>
      <c r="D150" s="48">
        <f>D139</f>
        <v>68.089999999999989</v>
      </c>
    </row>
    <row r="151" spans="1:4" x14ac:dyDescent="0.25">
      <c r="A151" s="21" t="s">
        <v>130</v>
      </c>
      <c r="B151" s="137" t="str">
        <f>B143</f>
        <v>Incidencia do Submódulo 2.2 sobre o Substituto nas Ausências Legais</v>
      </c>
      <c r="C151" s="137"/>
      <c r="D151" s="49">
        <f>D145</f>
        <v>28.47</v>
      </c>
    </row>
    <row r="152" spans="1:4" ht="15.75" customHeight="1" x14ac:dyDescent="0.25">
      <c r="A152" s="136" t="s">
        <v>60</v>
      </c>
      <c r="B152" s="136"/>
      <c r="C152" s="136"/>
      <c r="D152" s="30">
        <f>SUM(D150:D151)</f>
        <v>96.559999999999988</v>
      </c>
    </row>
    <row r="153" spans="1:4" x14ac:dyDescent="0.25">
      <c r="A153" s="63"/>
      <c r="B153" s="63"/>
      <c r="C153" s="64"/>
      <c r="D153" s="65"/>
    </row>
    <row r="155" spans="1:4" ht="16.5" customHeight="1" thickTop="1" thickBot="1" x14ac:dyDescent="0.3">
      <c r="A155" s="145" t="s">
        <v>134</v>
      </c>
      <c r="B155" s="145"/>
      <c r="C155" s="145"/>
      <c r="D155" s="145"/>
    </row>
    <row r="156" spans="1:4" ht="29.25" customHeight="1" thickTop="1" x14ac:dyDescent="0.25">
      <c r="A156" s="145"/>
      <c r="B156" s="145"/>
      <c r="C156" s="145"/>
      <c r="D156" s="145"/>
    </row>
    <row r="158" spans="1:4" x14ac:dyDescent="0.25">
      <c r="A158" s="139" t="s">
        <v>135</v>
      </c>
      <c r="B158" s="139"/>
      <c r="C158" s="139"/>
      <c r="D158" s="139"/>
    </row>
    <row r="160" spans="1:4" ht="15.75" customHeight="1" x14ac:dyDescent="0.25">
      <c r="A160" s="16">
        <v>5</v>
      </c>
      <c r="B160" s="136" t="s">
        <v>136</v>
      </c>
      <c r="C160" s="136"/>
      <c r="D160" s="16" t="s">
        <v>57</v>
      </c>
    </row>
    <row r="161" spans="1:4" ht="15.75" customHeight="1" x14ac:dyDescent="0.25">
      <c r="A161" s="22" t="s">
        <v>1</v>
      </c>
      <c r="B161" s="146" t="s">
        <v>137</v>
      </c>
      <c r="C161" s="146"/>
      <c r="D161" s="46">
        <f>UNIFORMES!F11</f>
        <v>102.81666666666666</v>
      </c>
    </row>
    <row r="162" spans="1:4" ht="15.75" customHeight="1" x14ac:dyDescent="0.25">
      <c r="A162" s="22" t="s">
        <v>2</v>
      </c>
      <c r="B162" s="146" t="s">
        <v>138</v>
      </c>
      <c r="C162" s="146"/>
      <c r="D162" s="46">
        <f>EQUIPAMENTOS!I10</f>
        <v>58.848599999999998</v>
      </c>
    </row>
    <row r="163" spans="1:4" ht="15.75" customHeight="1" x14ac:dyDescent="0.25">
      <c r="A163" s="22" t="s">
        <v>3</v>
      </c>
      <c r="B163" s="147" t="s">
        <v>128</v>
      </c>
      <c r="C163" s="147"/>
      <c r="D163" s="46"/>
    </row>
    <row r="164" spans="1:4" ht="15.75" customHeight="1" x14ac:dyDescent="0.25">
      <c r="A164" s="24" t="s">
        <v>4</v>
      </c>
      <c r="B164" s="147" t="s">
        <v>128</v>
      </c>
      <c r="C164" s="147"/>
      <c r="D164" s="46"/>
    </row>
    <row r="165" spans="1:4" x14ac:dyDescent="0.25">
      <c r="A165" s="24"/>
      <c r="B165" s="147"/>
      <c r="C165" s="147"/>
      <c r="D165" s="46"/>
    </row>
    <row r="166" spans="1:4" ht="15.75" customHeight="1" x14ac:dyDescent="0.25">
      <c r="A166" s="136" t="s">
        <v>83</v>
      </c>
      <c r="B166" s="136"/>
      <c r="C166" s="136"/>
      <c r="D166" s="69">
        <f>SUM(D161:D165)</f>
        <v>161.66526666666667</v>
      </c>
    </row>
    <row r="169" spans="1:4" ht="17.25" customHeight="1" thickTop="1" thickBot="1" x14ac:dyDescent="0.3">
      <c r="A169" s="144" t="s">
        <v>139</v>
      </c>
      <c r="B169" s="144"/>
      <c r="C169" s="32" t="s">
        <v>115</v>
      </c>
      <c r="D169" s="35">
        <f>D37</f>
        <v>2013.05</v>
      </c>
    </row>
    <row r="170" spans="1:4" ht="17.25" customHeight="1" thickTop="1" thickBot="1" x14ac:dyDescent="0.3">
      <c r="A170" s="144"/>
      <c r="B170" s="144"/>
      <c r="C170" s="32" t="s">
        <v>140</v>
      </c>
      <c r="D170" s="35">
        <f>D102</f>
        <v>2348.4499999999998</v>
      </c>
    </row>
    <row r="171" spans="1:4" ht="17.25" customHeight="1" thickTop="1" thickBot="1" x14ac:dyDescent="0.3">
      <c r="A171" s="144"/>
      <c r="B171" s="144"/>
      <c r="C171" s="32" t="s">
        <v>117</v>
      </c>
      <c r="D171" s="35">
        <f>D118</f>
        <v>157.28</v>
      </c>
    </row>
    <row r="172" spans="1:4" ht="17.25" customHeight="1" thickTop="1" thickBot="1" x14ac:dyDescent="0.3">
      <c r="A172" s="144"/>
      <c r="B172" s="144"/>
      <c r="C172" s="32" t="s">
        <v>141</v>
      </c>
      <c r="D172" s="35">
        <f>D152</f>
        <v>96.559999999999988</v>
      </c>
    </row>
    <row r="173" spans="1:4" ht="17.25" customHeight="1" thickTop="1" thickBot="1" x14ac:dyDescent="0.3">
      <c r="A173" s="144"/>
      <c r="B173" s="144"/>
      <c r="C173" s="32" t="s">
        <v>142</v>
      </c>
      <c r="D173" s="35">
        <f>D166</f>
        <v>161.66526666666667</v>
      </c>
    </row>
    <row r="174" spans="1:4" ht="19.5" customHeight="1" thickTop="1" thickBot="1" x14ac:dyDescent="0.3">
      <c r="A174" s="144"/>
      <c r="B174" s="144"/>
      <c r="C174" s="59" t="s">
        <v>118</v>
      </c>
      <c r="D174" s="35">
        <f>SUM(D169:D173)</f>
        <v>4777.005266666667</v>
      </c>
    </row>
    <row r="175" spans="1:4" ht="17.25" customHeight="1" thickTop="1" thickBot="1" x14ac:dyDescent="0.3">
      <c r="A175" s="138" t="s">
        <v>143</v>
      </c>
      <c r="B175" s="138"/>
      <c r="C175" s="32" t="s">
        <v>115</v>
      </c>
      <c r="D175" s="35">
        <f>D43</f>
        <v>2013.05</v>
      </c>
    </row>
    <row r="176" spans="1:4" ht="17.25" customHeight="1" thickTop="1" thickBot="1" x14ac:dyDescent="0.3">
      <c r="A176" s="138"/>
      <c r="B176" s="138"/>
      <c r="C176" s="32" t="s">
        <v>140</v>
      </c>
      <c r="D176" s="35">
        <f>D170</f>
        <v>2348.4499999999998</v>
      </c>
    </row>
    <row r="177" spans="1:5" ht="17.25" customHeight="1" thickTop="1" thickBot="1" x14ac:dyDescent="0.3">
      <c r="A177" s="138"/>
      <c r="B177" s="138"/>
      <c r="C177" s="32" t="s">
        <v>117</v>
      </c>
      <c r="D177" s="35">
        <f>D171</f>
        <v>157.28</v>
      </c>
    </row>
    <row r="178" spans="1:5" ht="17.25" customHeight="1" thickTop="1" thickBot="1" x14ac:dyDescent="0.3">
      <c r="A178" s="138"/>
      <c r="B178" s="138"/>
      <c r="C178" s="32" t="s">
        <v>141</v>
      </c>
      <c r="D178" s="35">
        <f>D172</f>
        <v>96.559999999999988</v>
      </c>
    </row>
    <row r="179" spans="1:5" ht="17.25" customHeight="1" thickTop="1" thickBot="1" x14ac:dyDescent="0.3">
      <c r="A179" s="138"/>
      <c r="B179" s="138"/>
      <c r="C179" s="32" t="s">
        <v>142</v>
      </c>
      <c r="D179" s="35">
        <f>D173</f>
        <v>161.66526666666667</v>
      </c>
    </row>
    <row r="180" spans="1:5" ht="24" thickTop="1" thickBot="1" x14ac:dyDescent="0.3">
      <c r="A180" s="138"/>
      <c r="B180" s="138"/>
      <c r="C180" s="70" t="s">
        <v>144</v>
      </c>
      <c r="D180" s="35">
        <f>D186</f>
        <v>238.85</v>
      </c>
    </row>
    <row r="181" spans="1:5" ht="19.5" customHeight="1" thickTop="1" thickBot="1" x14ac:dyDescent="0.3">
      <c r="A181" s="138"/>
      <c r="B181" s="138"/>
      <c r="C181" s="59" t="s">
        <v>118</v>
      </c>
      <c r="D181" s="71">
        <f>SUM(D175:D180)</f>
        <v>5015.8552666666674</v>
      </c>
    </row>
    <row r="183" spans="1:5" x14ac:dyDescent="0.25">
      <c r="A183" s="139" t="s">
        <v>145</v>
      </c>
      <c r="B183" s="139"/>
      <c r="C183" s="139"/>
      <c r="D183" s="139"/>
    </row>
    <row r="185" spans="1:5" x14ac:dyDescent="0.25">
      <c r="A185" s="16">
        <v>6</v>
      </c>
      <c r="B185" s="16" t="s">
        <v>146</v>
      </c>
      <c r="C185" s="16" t="s">
        <v>56</v>
      </c>
      <c r="D185" s="16" t="s">
        <v>57</v>
      </c>
    </row>
    <row r="186" spans="1:5" x14ac:dyDescent="0.25">
      <c r="A186" s="72" t="s">
        <v>1</v>
      </c>
      <c r="B186" s="73" t="s">
        <v>147</v>
      </c>
      <c r="C186" s="74">
        <v>0.05</v>
      </c>
      <c r="D186" s="75">
        <f>IF(C186&gt;5%,"PERCENTUAL MÁXIMO ULTRAPASSADO",ROUND(+D174*C186,2))</f>
        <v>238.85</v>
      </c>
    </row>
    <row r="187" spans="1:5" ht="32.25" customHeight="1" x14ac:dyDescent="0.25">
      <c r="A187" s="72" t="s">
        <v>2</v>
      </c>
      <c r="B187" s="73" t="s">
        <v>148</v>
      </c>
      <c r="C187" s="74">
        <v>6.7900000000000002E-2</v>
      </c>
      <c r="D187" s="75">
        <f>IF(C187&gt;6.79%,"PERCENTUAL MÁXIMO ULTRAPASSADO)",ROUND(C187*(D181),2))</f>
        <v>340.58</v>
      </c>
    </row>
    <row r="188" spans="1:5" ht="15.75" customHeight="1" x14ac:dyDescent="0.25">
      <c r="A188" s="140" t="s">
        <v>149</v>
      </c>
      <c r="B188" s="140"/>
      <c r="C188" s="140"/>
      <c r="D188" s="76">
        <f>D174+D186+D187</f>
        <v>5356.4352666666673</v>
      </c>
    </row>
    <row r="189" spans="1:5" ht="15.75" customHeight="1" x14ac:dyDescent="0.25">
      <c r="A189" s="140" t="s">
        <v>150</v>
      </c>
      <c r="B189" s="140"/>
      <c r="C189" s="140"/>
      <c r="D189" s="76">
        <f>ROUND(D188/(1-C197),2)</f>
        <v>5863.64</v>
      </c>
    </row>
    <row r="190" spans="1:5" ht="15.75" customHeight="1" x14ac:dyDescent="0.25">
      <c r="A190" s="72" t="s">
        <v>3</v>
      </c>
      <c r="B190" s="141" t="s">
        <v>151</v>
      </c>
      <c r="C190" s="141"/>
      <c r="D190" s="141"/>
    </row>
    <row r="191" spans="1:5" ht="15.75" customHeight="1" x14ac:dyDescent="0.25">
      <c r="A191" s="73"/>
      <c r="B191" s="142" t="s">
        <v>152</v>
      </c>
      <c r="C191" s="142"/>
      <c r="D191" s="142"/>
      <c r="E191" s="53"/>
    </row>
    <row r="192" spans="1:5" x14ac:dyDescent="0.25">
      <c r="A192" s="73"/>
      <c r="B192" s="77" t="s">
        <v>153</v>
      </c>
      <c r="C192" s="78">
        <v>6.4999999999999997E-3</v>
      </c>
      <c r="D192" s="23">
        <f>ROUND($D$189*C192,2)</f>
        <v>38.11</v>
      </c>
    </row>
    <row r="193" spans="1:4" x14ac:dyDescent="0.25">
      <c r="A193" s="73"/>
      <c r="B193" s="77" t="s">
        <v>154</v>
      </c>
      <c r="C193" s="78">
        <v>0.03</v>
      </c>
      <c r="D193" s="23">
        <f>ROUND($D$189*C193,2)</f>
        <v>175.91</v>
      </c>
    </row>
    <row r="194" spans="1:4" ht="15.75" customHeight="1" x14ac:dyDescent="0.25">
      <c r="A194" s="73"/>
      <c r="B194" s="142" t="s">
        <v>155</v>
      </c>
      <c r="C194" s="142"/>
      <c r="D194" s="142"/>
    </row>
    <row r="195" spans="1:4" ht="15.75" customHeight="1" x14ac:dyDescent="0.25">
      <c r="A195" s="73"/>
      <c r="B195" s="142" t="s">
        <v>156</v>
      </c>
      <c r="C195" s="142"/>
      <c r="D195" s="142"/>
    </row>
    <row r="196" spans="1:4" x14ac:dyDescent="0.25">
      <c r="A196" s="73"/>
      <c r="B196" s="77" t="s">
        <v>157</v>
      </c>
      <c r="C196" s="79">
        <v>0.05</v>
      </c>
      <c r="D196" s="23">
        <f>ROUND($D$189*C196,2)</f>
        <v>293.18</v>
      </c>
    </row>
    <row r="197" spans="1:4" x14ac:dyDescent="0.25">
      <c r="A197" s="73"/>
      <c r="B197" s="80" t="s">
        <v>158</v>
      </c>
      <c r="C197" s="81">
        <f>C192+C193+C196</f>
        <v>8.6499999999999994E-2</v>
      </c>
      <c r="D197" s="82">
        <f>D192+D193+D196</f>
        <v>507.2</v>
      </c>
    </row>
    <row r="198" spans="1:4" ht="15.75" customHeight="1" x14ac:dyDescent="0.25">
      <c r="A198" s="143" t="s">
        <v>60</v>
      </c>
      <c r="B198" s="143"/>
      <c r="C198" s="143"/>
      <c r="D198" s="82">
        <f>D197+D187+D186</f>
        <v>1086.6299999999999</v>
      </c>
    </row>
    <row r="202" spans="1:4" x14ac:dyDescent="0.25">
      <c r="A202" s="139" t="s">
        <v>159</v>
      </c>
      <c r="B202" s="139"/>
      <c r="C202" s="139"/>
      <c r="D202" s="139"/>
    </row>
    <row r="204" spans="1:4" ht="15.75" customHeight="1" x14ac:dyDescent="0.25">
      <c r="A204" s="136" t="s">
        <v>160</v>
      </c>
      <c r="B204" s="136"/>
      <c r="C204" s="136"/>
      <c r="D204" s="16" t="s">
        <v>57</v>
      </c>
    </row>
    <row r="205" spans="1:4" ht="15.75" customHeight="1" x14ac:dyDescent="0.25">
      <c r="A205" s="16" t="s">
        <v>1</v>
      </c>
      <c r="B205" s="137" t="s">
        <v>53</v>
      </c>
      <c r="C205" s="137"/>
      <c r="D205" s="48">
        <f>D37</f>
        <v>2013.05</v>
      </c>
    </row>
    <row r="206" spans="1:4" ht="15.75" customHeight="1" x14ac:dyDescent="0.25">
      <c r="A206" s="16" t="s">
        <v>2</v>
      </c>
      <c r="B206" s="137" t="s">
        <v>161</v>
      </c>
      <c r="C206" s="137"/>
      <c r="D206" s="48">
        <f>D102</f>
        <v>2348.4499999999998</v>
      </c>
    </row>
    <row r="207" spans="1:4" ht="15.75" customHeight="1" x14ac:dyDescent="0.25">
      <c r="A207" s="16" t="s">
        <v>3</v>
      </c>
      <c r="B207" s="137" t="s">
        <v>106</v>
      </c>
      <c r="C207" s="137"/>
      <c r="D207" s="48">
        <f>D118</f>
        <v>157.28</v>
      </c>
    </row>
    <row r="208" spans="1:4" ht="15.75" customHeight="1" x14ac:dyDescent="0.25">
      <c r="A208" s="16" t="s">
        <v>4</v>
      </c>
      <c r="B208" s="137" t="s">
        <v>119</v>
      </c>
      <c r="C208" s="137"/>
      <c r="D208" s="48">
        <f>D172</f>
        <v>96.559999999999988</v>
      </c>
    </row>
    <row r="209" spans="1:4" ht="15.75" customHeight="1" x14ac:dyDescent="0.25">
      <c r="A209" s="16" t="s">
        <v>5</v>
      </c>
      <c r="B209" s="137" t="s">
        <v>135</v>
      </c>
      <c r="C209" s="137"/>
      <c r="D209" s="48">
        <f>D166</f>
        <v>161.66526666666667</v>
      </c>
    </row>
    <row r="210" spans="1:4" ht="15.75" customHeight="1" x14ac:dyDescent="0.25">
      <c r="A210" s="136" t="s">
        <v>162</v>
      </c>
      <c r="B210" s="136"/>
      <c r="C210" s="136"/>
      <c r="D210" s="83">
        <f>SUM(D205:D209)</f>
        <v>4777.005266666667</v>
      </c>
    </row>
    <row r="211" spans="1:4" ht="15.75" customHeight="1" x14ac:dyDescent="0.25">
      <c r="A211" s="16" t="s">
        <v>6</v>
      </c>
      <c r="B211" s="137" t="s">
        <v>163</v>
      </c>
      <c r="C211" s="137"/>
      <c r="D211" s="48">
        <f>D198</f>
        <v>1086.6299999999999</v>
      </c>
    </row>
    <row r="212" spans="1:4" ht="15.75" customHeight="1" x14ac:dyDescent="0.25">
      <c r="A212" s="136" t="s">
        <v>164</v>
      </c>
      <c r="B212" s="136"/>
      <c r="C212" s="136"/>
      <c r="D212" s="83">
        <f>ROUND(D210+D211,2)</f>
        <v>5863.64</v>
      </c>
    </row>
    <row r="214" spans="1:4" x14ac:dyDescent="0.25">
      <c r="D214" s="84"/>
    </row>
    <row r="216" spans="1:4" x14ac:dyDescent="0.25">
      <c r="D216" s="84"/>
    </row>
    <row r="218" spans="1:4" x14ac:dyDescent="0.25">
      <c r="D218" s="84"/>
    </row>
  </sheetData>
  <mergeCells count="97">
    <mergeCell ref="A9:D9"/>
    <mergeCell ref="A1:E1"/>
    <mergeCell ref="A2:D2"/>
    <mergeCell ref="A4:D4"/>
    <mergeCell ref="A6:D6"/>
    <mergeCell ref="A8:D8"/>
    <mergeCell ref="C22:D22"/>
    <mergeCell ref="A10:D10"/>
    <mergeCell ref="A11:D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69:B69"/>
    <mergeCell ref="C23:D23"/>
    <mergeCell ref="C24:D24"/>
    <mergeCell ref="C25:D25"/>
    <mergeCell ref="A28:D28"/>
    <mergeCell ref="A37:B37"/>
    <mergeCell ref="A40:D40"/>
    <mergeCell ref="A42:B43"/>
    <mergeCell ref="A45:D45"/>
    <mergeCell ref="A51:C51"/>
    <mergeCell ref="A54:B56"/>
    <mergeCell ref="A58:D58"/>
    <mergeCell ref="B84:C84"/>
    <mergeCell ref="A72:D72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102:C102"/>
    <mergeCell ref="A85:C85"/>
    <mergeCell ref="A88:D88"/>
    <mergeCell ref="B90:C90"/>
    <mergeCell ref="B91:C91"/>
    <mergeCell ref="A92:C92"/>
    <mergeCell ref="A95:D95"/>
    <mergeCell ref="B97:C97"/>
    <mergeCell ref="B98:C98"/>
    <mergeCell ref="B99:C99"/>
    <mergeCell ref="B100:C100"/>
    <mergeCell ref="B101:C101"/>
    <mergeCell ref="B150:C150"/>
    <mergeCell ref="A105:B107"/>
    <mergeCell ref="A109:D109"/>
    <mergeCell ref="A118:C118"/>
    <mergeCell ref="A121:B125"/>
    <mergeCell ref="A127:D127"/>
    <mergeCell ref="A129:D129"/>
    <mergeCell ref="A139:B139"/>
    <mergeCell ref="A141:D141"/>
    <mergeCell ref="A145:C145"/>
    <mergeCell ref="A147:D147"/>
    <mergeCell ref="B149:C149"/>
    <mergeCell ref="A169:B174"/>
    <mergeCell ref="B151:C151"/>
    <mergeCell ref="A152:C152"/>
    <mergeCell ref="A155:D156"/>
    <mergeCell ref="A158:D158"/>
    <mergeCell ref="B160:C160"/>
    <mergeCell ref="B161:C161"/>
    <mergeCell ref="B162:C162"/>
    <mergeCell ref="B163:C163"/>
    <mergeCell ref="B164:C164"/>
    <mergeCell ref="B165:C165"/>
    <mergeCell ref="A166:C166"/>
    <mergeCell ref="B205:C205"/>
    <mergeCell ref="A175:B181"/>
    <mergeCell ref="A183:D183"/>
    <mergeCell ref="A188:C188"/>
    <mergeCell ref="A189:C189"/>
    <mergeCell ref="B190:D190"/>
    <mergeCell ref="B191:D191"/>
    <mergeCell ref="B194:D194"/>
    <mergeCell ref="B195:D195"/>
    <mergeCell ref="A198:C198"/>
    <mergeCell ref="A202:D202"/>
    <mergeCell ref="A204:C204"/>
    <mergeCell ref="A212:C212"/>
    <mergeCell ref="B206:C206"/>
    <mergeCell ref="B207:C207"/>
    <mergeCell ref="B208:C208"/>
    <mergeCell ref="B209:C209"/>
    <mergeCell ref="A210:C210"/>
    <mergeCell ref="B211:C211"/>
  </mergeCells>
  <pageMargins left="0.51180555555555596" right="0.51180555555555596" top="0.78749999999999998" bottom="0.78749999999999998" header="0.511811023622047" footer="0.31527777777777799"/>
  <pageSetup paperSize="9" scale="65" fitToHeight="0" orientation="portrait" horizontalDpi="300" verticalDpi="300" r:id="rId1"/>
  <headerFooter>
    <oddFooter>&amp;LProcesso XXXX/2020&amp;C&amp;A</oddFooter>
  </headerFooter>
  <rowBreaks count="3" manualBreakCount="3">
    <brk id="70" max="16383" man="1"/>
    <brk id="139" max="16383" man="1"/>
    <brk id="199" max="16383" man="1"/>
  </rowBreaks>
  <colBreaks count="1" manualBreakCount="1">
    <brk id="4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18"/>
  <sheetViews>
    <sheetView showGridLines="0" view="pageBreakPreview" topLeftCell="A178" zoomScale="85" zoomScaleNormal="85" zoomScaleSheetLayoutView="85" workbookViewId="0">
      <selection activeCell="C197" sqref="C197"/>
    </sheetView>
  </sheetViews>
  <sheetFormatPr defaultColWidth="0" defaultRowHeight="15.75" x14ac:dyDescent="0.25"/>
  <cols>
    <col min="1" max="1" width="9.140625" style="11" customWidth="1"/>
    <col min="2" max="2" width="72.140625" style="11" customWidth="1"/>
    <col min="3" max="3" width="18" style="11" customWidth="1"/>
    <col min="4" max="4" width="40.85546875" style="11" customWidth="1"/>
    <col min="5" max="5" width="7.85546875" style="12" customWidth="1"/>
    <col min="6" max="6" width="12" style="13" hidden="1" customWidth="1"/>
    <col min="7" max="7" width="15.140625" style="13" hidden="1" customWidth="1"/>
    <col min="8" max="16384" width="14" style="13" hidden="1"/>
  </cols>
  <sheetData>
    <row r="1" spans="1:6" ht="15.75" customHeight="1" x14ac:dyDescent="0.25">
      <c r="A1" s="161"/>
      <c r="B1" s="161"/>
      <c r="C1" s="161"/>
      <c r="D1" s="161"/>
      <c r="E1" s="161"/>
    </row>
    <row r="2" spans="1:6" ht="57" customHeight="1" x14ac:dyDescent="0.25">
      <c r="A2" s="162" t="s">
        <v>23</v>
      </c>
      <c r="B2" s="162"/>
      <c r="C2" s="162"/>
      <c r="D2" s="162"/>
    </row>
    <row r="3" spans="1:6" ht="18.75" customHeight="1" x14ac:dyDescent="0.25">
      <c r="A3" s="14"/>
      <c r="B3" s="14"/>
      <c r="C3" s="14"/>
      <c r="D3" s="14"/>
    </row>
    <row r="4" spans="1:6" ht="57" customHeight="1" x14ac:dyDescent="0.25">
      <c r="A4" s="161" t="s">
        <v>24</v>
      </c>
      <c r="B4" s="161"/>
      <c r="C4" s="161"/>
      <c r="D4" s="161"/>
    </row>
    <row r="5" spans="1:6" ht="17.25" customHeight="1" x14ac:dyDescent="0.25">
      <c r="A5" s="14"/>
      <c r="B5" s="14"/>
      <c r="C5" s="14"/>
      <c r="D5" s="14"/>
    </row>
    <row r="6" spans="1:6" x14ac:dyDescent="0.25">
      <c r="A6" s="163" t="s">
        <v>25</v>
      </c>
      <c r="B6" s="163"/>
      <c r="C6" s="163"/>
      <c r="D6" s="163"/>
    </row>
    <row r="8" spans="1:6" ht="23.25" x14ac:dyDescent="0.25">
      <c r="A8" s="160" t="s">
        <v>26</v>
      </c>
      <c r="B8" s="160"/>
      <c r="C8" s="160"/>
      <c r="D8" s="160"/>
    </row>
    <row r="9" spans="1:6" ht="23.25" x14ac:dyDescent="0.25">
      <c r="A9" s="160" t="s">
        <v>27</v>
      </c>
      <c r="B9" s="160"/>
      <c r="C9" s="160"/>
      <c r="D9" s="160"/>
    </row>
    <row r="10" spans="1:6" x14ac:dyDescent="0.25">
      <c r="A10" s="157"/>
      <c r="B10" s="157"/>
      <c r="C10" s="157"/>
      <c r="D10" s="157"/>
    </row>
    <row r="11" spans="1:6" x14ac:dyDescent="0.25">
      <c r="A11" s="139" t="s">
        <v>28</v>
      </c>
      <c r="B11" s="139"/>
      <c r="C11" s="139"/>
      <c r="D11" s="139"/>
      <c r="F11" s="13" t="s">
        <v>29</v>
      </c>
    </row>
    <row r="12" spans="1:6" x14ac:dyDescent="0.25">
      <c r="A12" s="15"/>
      <c r="B12" s="15"/>
      <c r="C12" s="15"/>
      <c r="D12" s="15"/>
      <c r="F12" s="13" t="s">
        <v>30</v>
      </c>
    </row>
    <row r="13" spans="1:6" x14ac:dyDescent="0.25">
      <c r="A13" s="16" t="s">
        <v>1</v>
      </c>
      <c r="B13" s="17" t="s">
        <v>31</v>
      </c>
      <c r="C13" s="152" t="s">
        <v>216</v>
      </c>
      <c r="D13" s="152"/>
      <c r="E13" s="18"/>
    </row>
    <row r="14" spans="1:6" x14ac:dyDescent="0.25">
      <c r="A14" s="16" t="s">
        <v>2</v>
      </c>
      <c r="B14" s="17" t="s">
        <v>32</v>
      </c>
      <c r="C14" s="152" t="s">
        <v>217</v>
      </c>
      <c r="D14" s="152"/>
      <c r="E14" s="18"/>
    </row>
    <row r="15" spans="1:6" x14ac:dyDescent="0.25">
      <c r="A15" s="16" t="s">
        <v>3</v>
      </c>
      <c r="B15" s="17" t="s">
        <v>33</v>
      </c>
      <c r="C15" s="154" t="s">
        <v>218</v>
      </c>
      <c r="D15" s="154"/>
      <c r="E15" s="18"/>
    </row>
    <row r="16" spans="1:6" x14ac:dyDescent="0.25">
      <c r="A16" s="16" t="s">
        <v>4</v>
      </c>
      <c r="B16" s="17" t="s">
        <v>34</v>
      </c>
      <c r="C16" s="152" t="s">
        <v>35</v>
      </c>
      <c r="D16" s="152"/>
      <c r="E16" s="18"/>
    </row>
    <row r="17" spans="1:6" x14ac:dyDescent="0.25">
      <c r="A17" s="16" t="s">
        <v>5</v>
      </c>
      <c r="B17" s="19" t="s">
        <v>36</v>
      </c>
      <c r="C17" s="153">
        <v>24</v>
      </c>
      <c r="D17" s="153"/>
      <c r="E17" s="20"/>
    </row>
    <row r="18" spans="1:6" ht="36" customHeight="1" x14ac:dyDescent="0.25">
      <c r="A18" s="16" t="s">
        <v>6</v>
      </c>
      <c r="B18" s="19" t="s">
        <v>37</v>
      </c>
      <c r="C18" s="158" t="s">
        <v>219</v>
      </c>
      <c r="D18" s="158"/>
      <c r="E18" s="20"/>
    </row>
    <row r="19" spans="1:6" x14ac:dyDescent="0.25">
      <c r="A19" s="16" t="s">
        <v>7</v>
      </c>
      <c r="B19" s="19" t="s">
        <v>38</v>
      </c>
      <c r="C19" s="152" t="s">
        <v>39</v>
      </c>
      <c r="D19" s="152"/>
      <c r="E19" s="20"/>
    </row>
    <row r="20" spans="1:6" x14ac:dyDescent="0.25">
      <c r="A20" s="16" t="s">
        <v>8</v>
      </c>
      <c r="B20" s="17" t="s">
        <v>40</v>
      </c>
      <c r="C20" s="152" t="s">
        <v>41</v>
      </c>
      <c r="D20" s="152"/>
      <c r="E20" s="20"/>
    </row>
    <row r="21" spans="1:6" x14ac:dyDescent="0.25">
      <c r="A21" s="16" t="s">
        <v>9</v>
      </c>
      <c r="B21" s="17" t="s">
        <v>42</v>
      </c>
      <c r="C21" s="159">
        <v>1548.5</v>
      </c>
      <c r="D21" s="159"/>
      <c r="E21" s="20"/>
    </row>
    <row r="22" spans="1:6" x14ac:dyDescent="0.25">
      <c r="A22" s="16" t="s">
        <v>43</v>
      </c>
      <c r="B22" s="17" t="s">
        <v>44</v>
      </c>
      <c r="C22" s="153" t="s">
        <v>45</v>
      </c>
      <c r="D22" s="153"/>
      <c r="E22" s="20"/>
    </row>
    <row r="23" spans="1:6" x14ac:dyDescent="0.25">
      <c r="A23" s="16" t="s">
        <v>46</v>
      </c>
      <c r="B23" s="17" t="s">
        <v>47</v>
      </c>
      <c r="C23" s="152" t="s">
        <v>220</v>
      </c>
      <c r="D23" s="152"/>
      <c r="E23" s="20"/>
    </row>
    <row r="24" spans="1:6" x14ac:dyDescent="0.25">
      <c r="A24" s="16" t="s">
        <v>48</v>
      </c>
      <c r="B24" s="17" t="s">
        <v>49</v>
      </c>
      <c r="C24" s="153" t="s">
        <v>226</v>
      </c>
      <c r="D24" s="153"/>
      <c r="E24" s="20"/>
    </row>
    <row r="25" spans="1:6" x14ac:dyDescent="0.25">
      <c r="A25" s="16" t="s">
        <v>50</v>
      </c>
      <c r="B25" s="17" t="s">
        <v>51</v>
      </c>
      <c r="C25" s="154">
        <v>44966</v>
      </c>
      <c r="D25" s="154"/>
      <c r="E25" s="20"/>
    </row>
    <row r="27" spans="1:6" x14ac:dyDescent="0.25">
      <c r="F27" s="13" t="s">
        <v>52</v>
      </c>
    </row>
    <row r="28" spans="1:6" x14ac:dyDescent="0.25">
      <c r="A28" s="139" t="s">
        <v>53</v>
      </c>
      <c r="B28" s="139"/>
      <c r="C28" s="139"/>
      <c r="D28" s="139"/>
      <c r="F28" s="13" t="s">
        <v>54</v>
      </c>
    </row>
    <row r="30" spans="1:6" x14ac:dyDescent="0.25">
      <c r="A30" s="16">
        <v>1</v>
      </c>
      <c r="B30" s="16" t="s">
        <v>55</v>
      </c>
      <c r="C30" s="16" t="s">
        <v>56</v>
      </c>
      <c r="D30" s="16" t="s">
        <v>57</v>
      </c>
    </row>
    <row r="31" spans="1:6" x14ac:dyDescent="0.25">
      <c r="A31" s="21" t="s">
        <v>1</v>
      </c>
      <c r="B31" s="17" t="s">
        <v>58</v>
      </c>
      <c r="C31" s="22"/>
      <c r="D31" s="23">
        <f>C21</f>
        <v>1548.5</v>
      </c>
    </row>
    <row r="32" spans="1:6" x14ac:dyDescent="0.25">
      <c r="A32" s="24" t="s">
        <v>2</v>
      </c>
      <c r="B32" s="25" t="s">
        <v>59</v>
      </c>
      <c r="C32" s="26">
        <v>0.3</v>
      </c>
      <c r="D32" s="27">
        <f>ROUND(C32*D31,2)</f>
        <v>464.55</v>
      </c>
    </row>
    <row r="33" spans="1:4" x14ac:dyDescent="0.25">
      <c r="A33" s="24"/>
      <c r="B33" s="25"/>
      <c r="C33" s="26"/>
      <c r="D33" s="28"/>
    </row>
    <row r="34" spans="1:4" x14ac:dyDescent="0.25">
      <c r="A34" s="24"/>
      <c r="B34" s="25"/>
      <c r="C34" s="26"/>
      <c r="D34" s="27"/>
    </row>
    <row r="35" spans="1:4" x14ac:dyDescent="0.25">
      <c r="A35" s="24"/>
      <c r="B35" s="25"/>
      <c r="C35" s="26"/>
      <c r="D35" s="27"/>
    </row>
    <row r="36" spans="1:4" x14ac:dyDescent="0.25">
      <c r="A36" s="24"/>
      <c r="B36" s="25"/>
      <c r="C36" s="26"/>
      <c r="D36" s="27"/>
    </row>
    <row r="37" spans="1:4" ht="15.75" customHeight="1" x14ac:dyDescent="0.25">
      <c r="A37" s="136" t="s">
        <v>60</v>
      </c>
      <c r="B37" s="136"/>
      <c r="C37" s="29"/>
      <c r="D37" s="30">
        <f>SUM(D31:D36)</f>
        <v>2013.05</v>
      </c>
    </row>
    <row r="40" spans="1:4" x14ac:dyDescent="0.25">
      <c r="A40" s="139" t="s">
        <v>61</v>
      </c>
      <c r="B40" s="139"/>
      <c r="C40" s="139"/>
      <c r="D40" s="139"/>
    </row>
    <row r="41" spans="1:4" ht="16.5" thickBot="1" x14ac:dyDescent="0.3">
      <c r="A41" s="31"/>
    </row>
    <row r="42" spans="1:4" ht="17.25" thickTop="1" thickBot="1" x14ac:dyDescent="0.3">
      <c r="A42" s="155" t="s">
        <v>62</v>
      </c>
      <c r="B42" s="155"/>
      <c r="C42" s="32" t="s">
        <v>63</v>
      </c>
      <c r="D42" s="33">
        <f>D37</f>
        <v>2013.05</v>
      </c>
    </row>
    <row r="43" spans="1:4" ht="19.5" thickTop="1" thickBot="1" x14ac:dyDescent="0.3">
      <c r="A43" s="155"/>
      <c r="B43" s="155"/>
      <c r="C43" s="34" t="s">
        <v>64</v>
      </c>
      <c r="D43" s="35">
        <f>SUM(D42:D42)</f>
        <v>2013.05</v>
      </c>
    </row>
    <row r="44" spans="1:4" ht="16.5" thickTop="1" x14ac:dyDescent="0.25">
      <c r="A44" s="31"/>
    </row>
    <row r="45" spans="1:4" x14ac:dyDescent="0.25">
      <c r="A45" s="149" t="s">
        <v>65</v>
      </c>
      <c r="B45" s="149"/>
      <c r="C45" s="149"/>
      <c r="D45" s="149"/>
    </row>
    <row r="47" spans="1:4" x14ac:dyDescent="0.25">
      <c r="A47" s="16" t="s">
        <v>66</v>
      </c>
      <c r="B47" s="16" t="s">
        <v>67</v>
      </c>
      <c r="C47" s="16" t="s">
        <v>56</v>
      </c>
      <c r="D47" s="16" t="s">
        <v>57</v>
      </c>
    </row>
    <row r="48" spans="1:4" x14ac:dyDescent="0.25">
      <c r="A48" s="21" t="s">
        <v>1</v>
      </c>
      <c r="B48" s="17" t="s">
        <v>68</v>
      </c>
      <c r="C48" s="36">
        <f>1/12</f>
        <v>8.3333333333333329E-2</v>
      </c>
      <c r="D48" s="23">
        <f>ROUND($D$43*C48,2)</f>
        <v>167.75</v>
      </c>
    </row>
    <row r="49" spans="1:4" x14ac:dyDescent="0.25">
      <c r="A49" s="21" t="s">
        <v>2</v>
      </c>
      <c r="B49" s="17" t="s">
        <v>69</v>
      </c>
      <c r="C49" s="37">
        <f>1/12</f>
        <v>8.3333333333333329E-2</v>
      </c>
      <c r="D49" s="23">
        <f>ROUND($D$43*C49,2)</f>
        <v>167.75</v>
      </c>
    </row>
    <row r="50" spans="1:4" x14ac:dyDescent="0.25">
      <c r="A50" s="21" t="s">
        <v>3</v>
      </c>
      <c r="B50" s="17" t="s">
        <v>70</v>
      </c>
      <c r="C50" s="38">
        <f>100%/3/12</f>
        <v>2.7777777777777776E-2</v>
      </c>
      <c r="D50" s="23">
        <f>ROUND($D$43*C50,2)</f>
        <v>55.92</v>
      </c>
    </row>
    <row r="51" spans="1:4" ht="15.75" customHeight="1" x14ac:dyDescent="0.25">
      <c r="A51" s="136" t="s">
        <v>60</v>
      </c>
      <c r="B51" s="136"/>
      <c r="C51" s="136"/>
      <c r="D51" s="30">
        <f>SUM(D48:D50)</f>
        <v>391.42</v>
      </c>
    </row>
    <row r="52" spans="1:4" x14ac:dyDescent="0.25">
      <c r="A52" s="39"/>
    </row>
    <row r="54" spans="1:4" ht="17.25" thickTop="1" thickBot="1" x14ac:dyDescent="0.3">
      <c r="A54" s="155" t="s">
        <v>71</v>
      </c>
      <c r="B54" s="155"/>
      <c r="C54" s="32" t="s">
        <v>63</v>
      </c>
      <c r="D54" s="33">
        <f>D37</f>
        <v>2013.05</v>
      </c>
    </row>
    <row r="55" spans="1:4" ht="17.25" thickTop="1" thickBot="1" x14ac:dyDescent="0.3">
      <c r="A55" s="155"/>
      <c r="B55" s="155"/>
      <c r="C55" s="32" t="s">
        <v>72</v>
      </c>
      <c r="D55" s="35">
        <f>D51</f>
        <v>391.42</v>
      </c>
    </row>
    <row r="56" spans="1:4" ht="19.5" thickTop="1" thickBot="1" x14ac:dyDescent="0.3">
      <c r="A56" s="155"/>
      <c r="B56" s="155"/>
      <c r="C56" s="34" t="s">
        <v>64</v>
      </c>
      <c r="D56" s="35">
        <f>SUM(D54:D55)</f>
        <v>2404.4699999999998</v>
      </c>
    </row>
    <row r="58" spans="1:4" ht="15.75" customHeight="1" x14ac:dyDescent="0.25">
      <c r="A58" s="156" t="s">
        <v>73</v>
      </c>
      <c r="B58" s="156"/>
      <c r="C58" s="156"/>
      <c r="D58" s="156"/>
    </row>
    <row r="60" spans="1:4" x14ac:dyDescent="0.25">
      <c r="A60" s="16" t="s">
        <v>74</v>
      </c>
      <c r="B60" s="16" t="s">
        <v>75</v>
      </c>
      <c r="C60" s="16" t="s">
        <v>56</v>
      </c>
      <c r="D60" s="16" t="s">
        <v>57</v>
      </c>
    </row>
    <row r="61" spans="1:4" x14ac:dyDescent="0.25">
      <c r="A61" s="21" t="s">
        <v>1</v>
      </c>
      <c r="B61" s="17" t="s">
        <v>76</v>
      </c>
      <c r="C61" s="40">
        <v>0.2</v>
      </c>
      <c r="D61" s="41">
        <f t="shared" ref="D61:D68" si="0">ROUND($D$56*C61,2)</f>
        <v>480.89</v>
      </c>
    </row>
    <row r="62" spans="1:4" x14ac:dyDescent="0.25">
      <c r="A62" s="21" t="s">
        <v>2</v>
      </c>
      <c r="B62" s="17" t="s">
        <v>77</v>
      </c>
      <c r="C62" s="40">
        <v>2.5000000000000001E-2</v>
      </c>
      <c r="D62" s="41">
        <f t="shared" si="0"/>
        <v>60.11</v>
      </c>
    </row>
    <row r="63" spans="1:4" x14ac:dyDescent="0.25">
      <c r="A63" s="21" t="s">
        <v>3</v>
      </c>
      <c r="B63" s="17" t="s">
        <v>227</v>
      </c>
      <c r="C63" s="40">
        <v>0.06</v>
      </c>
      <c r="D63" s="41">
        <f t="shared" si="0"/>
        <v>144.27000000000001</v>
      </c>
    </row>
    <row r="64" spans="1:4" x14ac:dyDescent="0.25">
      <c r="A64" s="21" t="s">
        <v>4</v>
      </c>
      <c r="B64" s="17" t="s">
        <v>78</v>
      </c>
      <c r="C64" s="40">
        <v>1.4999999999999999E-2</v>
      </c>
      <c r="D64" s="41">
        <f t="shared" si="0"/>
        <v>36.07</v>
      </c>
    </row>
    <row r="65" spans="1:4" x14ac:dyDescent="0.25">
      <c r="A65" s="21" t="s">
        <v>5</v>
      </c>
      <c r="B65" s="17" t="s">
        <v>79</v>
      </c>
      <c r="C65" s="40">
        <v>0.01</v>
      </c>
      <c r="D65" s="41">
        <f t="shared" si="0"/>
        <v>24.04</v>
      </c>
    </row>
    <row r="66" spans="1:4" x14ac:dyDescent="0.25">
      <c r="A66" s="21" t="s">
        <v>6</v>
      </c>
      <c r="B66" s="17" t="s">
        <v>80</v>
      </c>
      <c r="C66" s="40">
        <v>6.0000000000000001E-3</v>
      </c>
      <c r="D66" s="41">
        <f t="shared" si="0"/>
        <v>14.43</v>
      </c>
    </row>
    <row r="67" spans="1:4" x14ac:dyDescent="0.25">
      <c r="A67" s="21" t="s">
        <v>7</v>
      </c>
      <c r="B67" s="17" t="s">
        <v>81</v>
      </c>
      <c r="C67" s="40">
        <v>2E-3</v>
      </c>
      <c r="D67" s="41">
        <f t="shared" si="0"/>
        <v>4.8099999999999996</v>
      </c>
    </row>
    <row r="68" spans="1:4" x14ac:dyDescent="0.25">
      <c r="A68" s="21" t="s">
        <v>8</v>
      </c>
      <c r="B68" s="17" t="s">
        <v>82</v>
      </c>
      <c r="C68" s="42">
        <v>0.08</v>
      </c>
      <c r="D68" s="41">
        <f t="shared" si="0"/>
        <v>192.36</v>
      </c>
    </row>
    <row r="69" spans="1:4" ht="15.75" customHeight="1" x14ac:dyDescent="0.25">
      <c r="A69" s="136" t="s">
        <v>83</v>
      </c>
      <c r="B69" s="136"/>
      <c r="C69" s="43">
        <f>SUM(C61:C68)</f>
        <v>0.39800000000000008</v>
      </c>
      <c r="D69" s="30">
        <f>SUM(D61:D68)</f>
        <v>956.9799999999999</v>
      </c>
    </row>
    <row r="70" spans="1:4" x14ac:dyDescent="0.25">
      <c r="A70" s="39"/>
    </row>
    <row r="72" spans="1:4" x14ac:dyDescent="0.25">
      <c r="A72" s="149" t="s">
        <v>84</v>
      </c>
      <c r="B72" s="149"/>
      <c r="C72" s="149"/>
      <c r="D72" s="149"/>
    </row>
    <row r="74" spans="1:4" ht="15.75" customHeight="1" x14ac:dyDescent="0.25">
      <c r="A74" s="16" t="s">
        <v>85</v>
      </c>
      <c r="B74" s="136" t="s">
        <v>86</v>
      </c>
      <c r="C74" s="136"/>
      <c r="D74" s="16" t="s">
        <v>57</v>
      </c>
    </row>
    <row r="75" spans="1:4" ht="15.75" customHeight="1" x14ac:dyDescent="0.25">
      <c r="A75" s="21" t="s">
        <v>87</v>
      </c>
      <c r="B75" s="137" t="s">
        <v>88</v>
      </c>
      <c r="C75" s="137"/>
      <c r="D75" s="27">
        <f>4.95*2*22</f>
        <v>217.8</v>
      </c>
    </row>
    <row r="76" spans="1:4" ht="15.75" customHeight="1" x14ac:dyDescent="0.25">
      <c r="A76" s="21" t="s">
        <v>89</v>
      </c>
      <c r="B76" s="137" t="s">
        <v>90</v>
      </c>
      <c r="C76" s="137"/>
      <c r="D76" s="23">
        <f>IF(D75&lt;=0,"0,00",IF(ROUND(D31*6%,2)&gt;D75,D75,ROUND(D31*6%,2)))</f>
        <v>92.91</v>
      </c>
    </row>
    <row r="77" spans="1:4" ht="15.75" customHeight="1" x14ac:dyDescent="0.25">
      <c r="A77" s="21" t="s">
        <v>91</v>
      </c>
      <c r="B77" s="137" t="s">
        <v>92</v>
      </c>
      <c r="C77" s="137"/>
      <c r="D77" s="23">
        <f>D75-D76</f>
        <v>124.89000000000001</v>
      </c>
    </row>
    <row r="78" spans="1:4" ht="15.75" customHeight="1" x14ac:dyDescent="0.25">
      <c r="A78" s="21" t="s">
        <v>93</v>
      </c>
      <c r="B78" s="137" t="s">
        <v>221</v>
      </c>
      <c r="C78" s="137"/>
      <c r="D78" s="27">
        <f>26*22</f>
        <v>572</v>
      </c>
    </row>
    <row r="79" spans="1:4" ht="15.75" customHeight="1" x14ac:dyDescent="0.25">
      <c r="A79" s="21" t="s">
        <v>94</v>
      </c>
      <c r="B79" s="137" t="s">
        <v>95</v>
      </c>
      <c r="C79" s="137"/>
      <c r="D79" s="27">
        <f>ROUND(D78*2%,2)</f>
        <v>11.44</v>
      </c>
    </row>
    <row r="80" spans="1:4" ht="15.75" customHeight="1" x14ac:dyDescent="0.25">
      <c r="A80" s="21" t="s">
        <v>96</v>
      </c>
      <c r="B80" s="137" t="s">
        <v>97</v>
      </c>
      <c r="C80" s="137"/>
      <c r="D80" s="23">
        <f>D78-D79</f>
        <v>560.55999999999995</v>
      </c>
    </row>
    <row r="81" spans="1:5" s="45" customFormat="1" ht="15.75" customHeight="1" x14ac:dyDescent="0.25">
      <c r="A81" s="24" t="s">
        <v>3</v>
      </c>
      <c r="B81" s="147" t="s">
        <v>222</v>
      </c>
      <c r="C81" s="147"/>
      <c r="D81" s="27">
        <v>112</v>
      </c>
      <c r="E81" s="44"/>
    </row>
    <row r="82" spans="1:5" s="45" customFormat="1" ht="15.75" customHeight="1" x14ac:dyDescent="0.25">
      <c r="A82" s="24" t="s">
        <v>4</v>
      </c>
      <c r="B82" s="150" t="s">
        <v>223</v>
      </c>
      <c r="C82" s="151"/>
      <c r="D82" s="27">
        <v>47.66</v>
      </c>
      <c r="E82" s="44"/>
    </row>
    <row r="83" spans="1:5" s="45" customFormat="1" ht="15.75" customHeight="1" x14ac:dyDescent="0.25">
      <c r="A83" s="24" t="s">
        <v>4</v>
      </c>
      <c r="B83" s="147" t="s">
        <v>225</v>
      </c>
      <c r="C83" s="147"/>
      <c r="D83" s="46">
        <v>7</v>
      </c>
      <c r="E83" s="44"/>
    </row>
    <row r="84" spans="1:5" s="45" customFormat="1" ht="15.75" customHeight="1" x14ac:dyDescent="0.25">
      <c r="A84" s="24" t="s">
        <v>5</v>
      </c>
      <c r="B84" s="147" t="s">
        <v>224</v>
      </c>
      <c r="C84" s="147"/>
      <c r="D84" s="46">
        <v>45</v>
      </c>
      <c r="E84" s="44"/>
    </row>
    <row r="85" spans="1:5" ht="15.75" customHeight="1" x14ac:dyDescent="0.25">
      <c r="A85" s="136" t="s">
        <v>98</v>
      </c>
      <c r="B85" s="136"/>
      <c r="C85" s="136"/>
      <c r="D85" s="30">
        <f>SUM(D81:D84)+D77+D80</f>
        <v>897.1099999999999</v>
      </c>
    </row>
    <row r="88" spans="1:5" x14ac:dyDescent="0.25">
      <c r="A88" s="149" t="s">
        <v>99</v>
      </c>
      <c r="B88" s="149"/>
      <c r="C88" s="149"/>
      <c r="D88" s="149"/>
    </row>
    <row r="90" spans="1:5" ht="15.75" customHeight="1" x14ac:dyDescent="0.25">
      <c r="A90" s="16" t="s">
        <v>100</v>
      </c>
      <c r="B90" s="136" t="s">
        <v>101</v>
      </c>
      <c r="C90" s="136"/>
      <c r="D90" s="29" t="s">
        <v>57</v>
      </c>
    </row>
    <row r="91" spans="1:5" ht="15.75" customHeight="1" x14ac:dyDescent="0.25">
      <c r="A91" s="21" t="s">
        <v>1</v>
      </c>
      <c r="B91" s="137" t="s">
        <v>228</v>
      </c>
      <c r="C91" s="137"/>
      <c r="D91" s="46">
        <v>102.94</v>
      </c>
    </row>
    <row r="92" spans="1:5" ht="15.75" customHeight="1" x14ac:dyDescent="0.25">
      <c r="A92" s="136" t="s">
        <v>60</v>
      </c>
      <c r="B92" s="136"/>
      <c r="C92" s="136"/>
      <c r="D92" s="30">
        <f>SUM(D91)</f>
        <v>102.94</v>
      </c>
    </row>
    <row r="93" spans="1:5" x14ac:dyDescent="0.25">
      <c r="A93" s="14"/>
      <c r="B93" s="14"/>
      <c r="C93" s="47"/>
    </row>
    <row r="94" spans="1:5" x14ac:dyDescent="0.25">
      <c r="A94" s="14"/>
      <c r="B94" s="14"/>
      <c r="C94" s="47"/>
    </row>
    <row r="95" spans="1:5" x14ac:dyDescent="0.25">
      <c r="A95" s="139" t="s">
        <v>102</v>
      </c>
      <c r="B95" s="139"/>
      <c r="C95" s="139"/>
      <c r="D95" s="139"/>
    </row>
    <row r="97" spans="1:5" ht="15.75" customHeight="1" x14ac:dyDescent="0.25">
      <c r="A97" s="16">
        <v>2</v>
      </c>
      <c r="B97" s="136" t="s">
        <v>103</v>
      </c>
      <c r="C97" s="136"/>
      <c r="D97" s="16" t="s">
        <v>57</v>
      </c>
    </row>
    <row r="98" spans="1:5" ht="15.75" customHeight="1" x14ac:dyDescent="0.25">
      <c r="A98" s="21" t="s">
        <v>66</v>
      </c>
      <c r="B98" s="137" t="s">
        <v>67</v>
      </c>
      <c r="C98" s="137"/>
      <c r="D98" s="48">
        <f>D51</f>
        <v>391.42</v>
      </c>
    </row>
    <row r="99" spans="1:5" ht="15.75" customHeight="1" x14ac:dyDescent="0.25">
      <c r="A99" s="21" t="s">
        <v>74</v>
      </c>
      <c r="B99" s="137" t="s">
        <v>75</v>
      </c>
      <c r="C99" s="137"/>
      <c r="D99" s="49">
        <f>D69</f>
        <v>956.9799999999999</v>
      </c>
    </row>
    <row r="100" spans="1:5" ht="15.75" customHeight="1" x14ac:dyDescent="0.25">
      <c r="A100" s="21" t="s">
        <v>85</v>
      </c>
      <c r="B100" s="137" t="s">
        <v>86</v>
      </c>
      <c r="C100" s="137"/>
      <c r="D100" s="49">
        <f>D85</f>
        <v>897.1099999999999</v>
      </c>
    </row>
    <row r="101" spans="1:5" ht="15.75" customHeight="1" x14ac:dyDescent="0.25">
      <c r="A101" s="21" t="s">
        <v>100</v>
      </c>
      <c r="B101" s="137" t="s">
        <v>228</v>
      </c>
      <c r="C101" s="137"/>
      <c r="D101" s="49">
        <f>D92</f>
        <v>102.94</v>
      </c>
    </row>
    <row r="102" spans="1:5" ht="15.75" customHeight="1" x14ac:dyDescent="0.25">
      <c r="A102" s="136" t="s">
        <v>60</v>
      </c>
      <c r="B102" s="136"/>
      <c r="C102" s="136"/>
      <c r="D102" s="30">
        <f>SUM(D98:D101)</f>
        <v>2348.4499999999998</v>
      </c>
    </row>
    <row r="104" spans="1:5" ht="16.5" thickBot="1" x14ac:dyDescent="0.3">
      <c r="E104" s="50"/>
    </row>
    <row r="105" spans="1:5" ht="17.25" customHeight="1" thickTop="1" thickBot="1" x14ac:dyDescent="0.3">
      <c r="A105" s="145" t="s">
        <v>104</v>
      </c>
      <c r="B105" s="145"/>
      <c r="C105" s="32" t="s">
        <v>63</v>
      </c>
      <c r="D105" s="33">
        <f>D37</f>
        <v>2013.05</v>
      </c>
    </row>
    <row r="106" spans="1:5" ht="17.25" customHeight="1" thickTop="1" thickBot="1" x14ac:dyDescent="0.3">
      <c r="A106" s="145"/>
      <c r="B106" s="145"/>
      <c r="C106" s="32" t="s">
        <v>105</v>
      </c>
      <c r="D106" s="33">
        <f>D51</f>
        <v>391.42</v>
      </c>
    </row>
    <row r="107" spans="1:5" ht="19.5" customHeight="1" thickTop="1" thickBot="1" x14ac:dyDescent="0.3">
      <c r="A107" s="145"/>
      <c r="B107" s="145"/>
      <c r="C107" s="34" t="s">
        <v>64</v>
      </c>
      <c r="D107" s="35">
        <f>SUM(D105:D106)</f>
        <v>2404.4699999999998</v>
      </c>
    </row>
    <row r="109" spans="1:5" x14ac:dyDescent="0.25">
      <c r="A109" s="139" t="s">
        <v>106</v>
      </c>
      <c r="B109" s="139"/>
      <c r="C109" s="139"/>
      <c r="D109" s="139"/>
    </row>
    <row r="111" spans="1:5" x14ac:dyDescent="0.25">
      <c r="A111" s="16">
        <v>3</v>
      </c>
      <c r="B111" s="16" t="s">
        <v>107</v>
      </c>
      <c r="C111" s="16" t="s">
        <v>56</v>
      </c>
      <c r="D111" s="16" t="s">
        <v>57</v>
      </c>
    </row>
    <row r="112" spans="1:5" x14ac:dyDescent="0.25">
      <c r="A112" s="21" t="s">
        <v>1</v>
      </c>
      <c r="B112" s="51" t="s">
        <v>108</v>
      </c>
      <c r="C112" s="40">
        <f>1/12*5.55%</f>
        <v>4.6249999999999998E-3</v>
      </c>
      <c r="D112" s="52">
        <f t="shared" ref="D112:D117" si="1">ROUND($D$107*C112,2)</f>
        <v>11.12</v>
      </c>
      <c r="E112" s="53"/>
    </row>
    <row r="113" spans="1:5" x14ac:dyDescent="0.25">
      <c r="A113" s="22" t="s">
        <v>2</v>
      </c>
      <c r="B113" s="54" t="s">
        <v>109</v>
      </c>
      <c r="C113" s="36">
        <f>8%*C112</f>
        <v>3.6999999999999999E-4</v>
      </c>
      <c r="D113" s="23">
        <f t="shared" si="1"/>
        <v>0.89</v>
      </c>
      <c r="E113" s="55"/>
    </row>
    <row r="114" spans="1:5" x14ac:dyDescent="0.25">
      <c r="A114" s="22" t="s">
        <v>3</v>
      </c>
      <c r="B114" s="54" t="s">
        <v>110</v>
      </c>
      <c r="C114" s="42">
        <f>(8%*40%*5.55%)</f>
        <v>1.776E-3</v>
      </c>
      <c r="D114" s="23">
        <f t="shared" si="1"/>
        <v>4.2699999999999996</v>
      </c>
      <c r="E114" s="56"/>
    </row>
    <row r="115" spans="1:5" x14ac:dyDescent="0.25">
      <c r="A115" s="22" t="s">
        <v>4</v>
      </c>
      <c r="B115" s="54" t="s">
        <v>111</v>
      </c>
      <c r="C115" s="42">
        <f>(1/30*7)/12</f>
        <v>1.9444444444444445E-2</v>
      </c>
      <c r="D115" s="23">
        <f t="shared" si="1"/>
        <v>46.75</v>
      </c>
    </row>
    <row r="116" spans="1:5" x14ac:dyDescent="0.25">
      <c r="A116" s="22" t="s">
        <v>5</v>
      </c>
      <c r="B116" s="57" t="s">
        <v>112</v>
      </c>
      <c r="C116" s="42">
        <v>7.1999999999999998E-3</v>
      </c>
      <c r="D116" s="23">
        <f t="shared" si="1"/>
        <v>17.309999999999999</v>
      </c>
    </row>
    <row r="117" spans="1:5" x14ac:dyDescent="0.25">
      <c r="A117" s="22" t="s">
        <v>6</v>
      </c>
      <c r="B117" s="54" t="s">
        <v>113</v>
      </c>
      <c r="C117" s="42">
        <f>((0.08*0.4))</f>
        <v>3.2000000000000001E-2</v>
      </c>
      <c r="D117" s="23">
        <f t="shared" si="1"/>
        <v>76.94</v>
      </c>
    </row>
    <row r="118" spans="1:5" ht="15.75" customHeight="1" x14ac:dyDescent="0.25">
      <c r="A118" s="148" t="s">
        <v>60</v>
      </c>
      <c r="B118" s="148"/>
      <c r="C118" s="148"/>
      <c r="D118" s="30">
        <f>SUM(D112:D117)</f>
        <v>157.28</v>
      </c>
    </row>
    <row r="119" spans="1:5" x14ac:dyDescent="0.25">
      <c r="D119" s="58"/>
    </row>
    <row r="121" spans="1:5" ht="17.25" customHeight="1" thickTop="1" thickBot="1" x14ac:dyDescent="0.3">
      <c r="A121" s="145" t="s">
        <v>114</v>
      </c>
      <c r="B121" s="145"/>
      <c r="C121" s="32" t="s">
        <v>115</v>
      </c>
      <c r="D121" s="35">
        <f>D37</f>
        <v>2013.05</v>
      </c>
    </row>
    <row r="122" spans="1:5" ht="17.25" customHeight="1" thickTop="1" thickBot="1" x14ac:dyDescent="0.3">
      <c r="A122" s="145"/>
      <c r="B122" s="145"/>
      <c r="C122" s="32" t="s">
        <v>105</v>
      </c>
      <c r="D122" s="35">
        <f>D51</f>
        <v>391.42</v>
      </c>
    </row>
    <row r="123" spans="1:5" ht="17.25" customHeight="1" thickTop="1" thickBot="1" x14ac:dyDescent="0.3">
      <c r="A123" s="145"/>
      <c r="B123" s="145"/>
      <c r="C123" s="32" t="s">
        <v>116</v>
      </c>
      <c r="D123" s="35">
        <f>D85-D77</f>
        <v>772.21999999999991</v>
      </c>
    </row>
    <row r="124" spans="1:5" ht="17.25" customHeight="1" thickTop="1" thickBot="1" x14ac:dyDescent="0.3">
      <c r="A124" s="145"/>
      <c r="B124" s="145"/>
      <c r="C124" s="32" t="s">
        <v>117</v>
      </c>
      <c r="D124" s="35">
        <f>D118</f>
        <v>157.28</v>
      </c>
    </row>
    <row r="125" spans="1:5" ht="19.5" customHeight="1" thickTop="1" thickBot="1" x14ac:dyDescent="0.3">
      <c r="A125" s="145"/>
      <c r="B125" s="145"/>
      <c r="C125" s="59" t="s">
        <v>118</v>
      </c>
      <c r="D125" s="35">
        <f>SUM(D121:D124)</f>
        <v>3333.97</v>
      </c>
    </row>
    <row r="127" spans="1:5" x14ac:dyDescent="0.25">
      <c r="A127" s="139" t="s">
        <v>119</v>
      </c>
      <c r="B127" s="139"/>
      <c r="C127" s="139"/>
      <c r="D127" s="139"/>
    </row>
    <row r="128" spans="1:5" x14ac:dyDescent="0.25">
      <c r="A128" s="15"/>
      <c r="B128" s="15"/>
      <c r="C128" s="15"/>
      <c r="D128" s="15"/>
    </row>
    <row r="129" spans="1:5" x14ac:dyDescent="0.25">
      <c r="A129" s="149" t="s">
        <v>120</v>
      </c>
      <c r="B129" s="149"/>
      <c r="C129" s="149"/>
      <c r="D129" s="149"/>
    </row>
    <row r="131" spans="1:5" x14ac:dyDescent="0.25">
      <c r="A131" s="16" t="s">
        <v>121</v>
      </c>
      <c r="B131" s="16" t="s">
        <v>122</v>
      </c>
      <c r="C131" s="16" t="s">
        <v>56</v>
      </c>
      <c r="D131" s="16" t="s">
        <v>57</v>
      </c>
    </row>
    <row r="132" spans="1:5" x14ac:dyDescent="0.25">
      <c r="A132" s="21" t="s">
        <v>1</v>
      </c>
      <c r="B132" s="17" t="s">
        <v>123</v>
      </c>
      <c r="C132" s="60">
        <v>0</v>
      </c>
      <c r="D132" s="52">
        <f>ROUND(C132*$D$125,2)</f>
        <v>0</v>
      </c>
    </row>
    <row r="133" spans="1:5" x14ac:dyDescent="0.25">
      <c r="A133" s="21" t="s">
        <v>2</v>
      </c>
      <c r="B133" s="17" t="s">
        <v>124</v>
      </c>
      <c r="C133" s="60">
        <f>ROUND(5.96/365,5)</f>
        <v>1.6330000000000001E-2</v>
      </c>
      <c r="D133" s="52">
        <f>ROUND(C133*$D$125,2)</f>
        <v>54.44</v>
      </c>
    </row>
    <row r="134" spans="1:5" x14ac:dyDescent="0.25">
      <c r="A134" s="21" t="s">
        <v>3</v>
      </c>
      <c r="B134" s="17" t="s">
        <v>125</v>
      </c>
      <c r="C134" s="60">
        <f>(5/30)/12*0.015</f>
        <v>2.0833333333333332E-4</v>
      </c>
      <c r="D134" s="52">
        <f>ROUND(C134*$D$125,2)</f>
        <v>0.69</v>
      </c>
    </row>
    <row r="135" spans="1:5" x14ac:dyDescent="0.25">
      <c r="A135" s="21" t="s">
        <v>4</v>
      </c>
      <c r="B135" s="17" t="s">
        <v>126</v>
      </c>
      <c r="C135" s="60">
        <f>15/30/12*8%</f>
        <v>3.3333333333333331E-3</v>
      </c>
      <c r="D135" s="52">
        <f>ROUND(C135*$D$125,2)</f>
        <v>11.11</v>
      </c>
    </row>
    <row r="136" spans="1:5" x14ac:dyDescent="0.25">
      <c r="A136" s="21" t="s">
        <v>5</v>
      </c>
      <c r="B136" s="17" t="s">
        <v>127</v>
      </c>
      <c r="C136" s="37">
        <f>0.02*(4/12)/12</f>
        <v>5.5555555555555556E-4</v>
      </c>
      <c r="D136" s="52">
        <f>ROUND(C136*$D$125,2)</f>
        <v>1.85</v>
      </c>
    </row>
    <row r="137" spans="1:5" s="45" customFormat="1" x14ac:dyDescent="0.25">
      <c r="A137" s="24" t="s">
        <v>6</v>
      </c>
      <c r="B137" s="25" t="s">
        <v>128</v>
      </c>
      <c r="C137" s="61"/>
      <c r="D137" s="27"/>
      <c r="E137" s="44"/>
    </row>
    <row r="138" spans="1:5" s="45" customFormat="1" x14ac:dyDescent="0.25">
      <c r="A138" s="24"/>
      <c r="B138" s="25"/>
      <c r="C138" s="61"/>
      <c r="D138" s="27"/>
      <c r="E138" s="44"/>
    </row>
    <row r="139" spans="1:5" ht="15.75" customHeight="1" x14ac:dyDescent="0.25">
      <c r="A139" s="136" t="s">
        <v>83</v>
      </c>
      <c r="B139" s="136"/>
      <c r="C139" s="62">
        <f>SUM(C132:C137)</f>
        <v>2.0427222222222225E-2</v>
      </c>
      <c r="D139" s="48">
        <f>SUM(D132:D138)</f>
        <v>68.089999999999989</v>
      </c>
    </row>
    <row r="140" spans="1:5" x14ac:dyDescent="0.25">
      <c r="A140" s="63"/>
      <c r="B140" s="63"/>
      <c r="C140" s="64"/>
      <c r="D140" s="65"/>
    </row>
    <row r="141" spans="1:5" x14ac:dyDescent="0.25">
      <c r="A141" s="149" t="s">
        <v>129</v>
      </c>
      <c r="B141" s="149"/>
      <c r="C141" s="149"/>
      <c r="D141" s="149"/>
    </row>
    <row r="143" spans="1:5" x14ac:dyDescent="0.25">
      <c r="A143" s="16" t="s">
        <v>130</v>
      </c>
      <c r="B143" s="16" t="s">
        <v>131</v>
      </c>
      <c r="C143" s="16" t="s">
        <v>56</v>
      </c>
      <c r="D143" s="16" t="s">
        <v>57</v>
      </c>
    </row>
    <row r="144" spans="1:5" x14ac:dyDescent="0.25">
      <c r="A144" s="66" t="s">
        <v>1</v>
      </c>
      <c r="B144" s="66" t="s">
        <v>131</v>
      </c>
      <c r="C144" s="67">
        <v>8.5400000000000007E-3</v>
      </c>
      <c r="D144" s="68">
        <f>ROUND(C144*D125,2)</f>
        <v>28.47</v>
      </c>
    </row>
    <row r="145" spans="1:4" ht="15.75" customHeight="1" x14ac:dyDescent="0.25">
      <c r="A145" s="136" t="s">
        <v>83</v>
      </c>
      <c r="B145" s="136"/>
      <c r="C145" s="136"/>
      <c r="D145" s="48">
        <f>D144</f>
        <v>28.47</v>
      </c>
    </row>
    <row r="146" spans="1:4" x14ac:dyDescent="0.25">
      <c r="A146" s="63"/>
      <c r="B146" s="63"/>
      <c r="C146" s="64"/>
      <c r="D146" s="65"/>
    </row>
    <row r="147" spans="1:4" x14ac:dyDescent="0.25">
      <c r="A147" s="139" t="s">
        <v>132</v>
      </c>
      <c r="B147" s="139"/>
      <c r="C147" s="139"/>
      <c r="D147" s="139"/>
    </row>
    <row r="149" spans="1:4" ht="15.75" customHeight="1" x14ac:dyDescent="0.25">
      <c r="A149" s="16">
        <v>4</v>
      </c>
      <c r="B149" s="136" t="s">
        <v>133</v>
      </c>
      <c r="C149" s="136"/>
      <c r="D149" s="16" t="s">
        <v>57</v>
      </c>
    </row>
    <row r="150" spans="1:4" x14ac:dyDescent="0.25">
      <c r="A150" s="21" t="s">
        <v>121</v>
      </c>
      <c r="B150" s="137" t="str">
        <f>B131</f>
        <v>Substituto nas Ausências Legais</v>
      </c>
      <c r="C150" s="137"/>
      <c r="D150" s="48">
        <f>D139</f>
        <v>68.089999999999989</v>
      </c>
    </row>
    <row r="151" spans="1:4" x14ac:dyDescent="0.25">
      <c r="A151" s="21" t="s">
        <v>130</v>
      </c>
      <c r="B151" s="137" t="str">
        <f>B143</f>
        <v>Incidencia do Submódulo 2.2 sobre o Substituto nas Ausências Legais</v>
      </c>
      <c r="C151" s="137"/>
      <c r="D151" s="49">
        <f>D145</f>
        <v>28.47</v>
      </c>
    </row>
    <row r="152" spans="1:4" ht="15.75" customHeight="1" x14ac:dyDescent="0.25">
      <c r="A152" s="136" t="s">
        <v>60</v>
      </c>
      <c r="B152" s="136"/>
      <c r="C152" s="136"/>
      <c r="D152" s="30">
        <f>SUM(D150:D151)</f>
        <v>96.559999999999988</v>
      </c>
    </row>
    <row r="153" spans="1:4" x14ac:dyDescent="0.25">
      <c r="A153" s="63"/>
      <c r="B153" s="63"/>
      <c r="C153" s="64"/>
      <c r="D153" s="65"/>
    </row>
    <row r="155" spans="1:4" ht="16.5" customHeight="1" thickTop="1" thickBot="1" x14ac:dyDescent="0.3">
      <c r="A155" s="145" t="s">
        <v>134</v>
      </c>
      <c r="B155" s="145"/>
      <c r="C155" s="145"/>
      <c r="D155" s="145"/>
    </row>
    <row r="156" spans="1:4" ht="29.25" customHeight="1" thickTop="1" x14ac:dyDescent="0.25">
      <c r="A156" s="145"/>
      <c r="B156" s="145"/>
      <c r="C156" s="145"/>
      <c r="D156" s="145"/>
    </row>
    <row r="158" spans="1:4" x14ac:dyDescent="0.25">
      <c r="A158" s="139" t="s">
        <v>135</v>
      </c>
      <c r="B158" s="139"/>
      <c r="C158" s="139"/>
      <c r="D158" s="139"/>
    </row>
    <row r="160" spans="1:4" ht="15.75" customHeight="1" x14ac:dyDescent="0.25">
      <c r="A160" s="16">
        <v>5</v>
      </c>
      <c r="B160" s="136" t="s">
        <v>136</v>
      </c>
      <c r="C160" s="136"/>
      <c r="D160" s="16" t="s">
        <v>57</v>
      </c>
    </row>
    <row r="161" spans="1:4" ht="15.75" customHeight="1" x14ac:dyDescent="0.25">
      <c r="A161" s="22" t="s">
        <v>1</v>
      </c>
      <c r="B161" s="146" t="s">
        <v>137</v>
      </c>
      <c r="C161" s="146"/>
      <c r="D161" s="46">
        <f>UNIFORMES!F11</f>
        <v>102.81666666666666</v>
      </c>
    </row>
    <row r="162" spans="1:4" ht="15.75" customHeight="1" x14ac:dyDescent="0.25">
      <c r="A162" s="22" t="s">
        <v>2</v>
      </c>
      <c r="B162" s="146" t="s">
        <v>138</v>
      </c>
      <c r="C162" s="146"/>
      <c r="D162" s="46">
        <f>EQUIPAMENTOS!I10</f>
        <v>58.848599999999998</v>
      </c>
    </row>
    <row r="163" spans="1:4" ht="15.75" customHeight="1" x14ac:dyDescent="0.25">
      <c r="A163" s="22" t="s">
        <v>3</v>
      </c>
      <c r="B163" s="147" t="s">
        <v>128</v>
      </c>
      <c r="C163" s="147"/>
      <c r="D163" s="46"/>
    </row>
    <row r="164" spans="1:4" ht="15.75" customHeight="1" x14ac:dyDescent="0.25">
      <c r="A164" s="24" t="s">
        <v>4</v>
      </c>
      <c r="B164" s="147" t="s">
        <v>128</v>
      </c>
      <c r="C164" s="147"/>
      <c r="D164" s="46"/>
    </row>
    <row r="165" spans="1:4" x14ac:dyDescent="0.25">
      <c r="A165" s="24"/>
      <c r="B165" s="147"/>
      <c r="C165" s="147"/>
      <c r="D165" s="46"/>
    </row>
    <row r="166" spans="1:4" ht="15.75" customHeight="1" x14ac:dyDescent="0.25">
      <c r="A166" s="136" t="s">
        <v>83</v>
      </c>
      <c r="B166" s="136"/>
      <c r="C166" s="136"/>
      <c r="D166" s="69">
        <f>SUM(D161:D165)</f>
        <v>161.66526666666667</v>
      </c>
    </row>
    <row r="169" spans="1:4" ht="17.25" customHeight="1" thickTop="1" thickBot="1" x14ac:dyDescent="0.3">
      <c r="A169" s="144" t="s">
        <v>139</v>
      </c>
      <c r="B169" s="144"/>
      <c r="C169" s="32" t="s">
        <v>115</v>
      </c>
      <c r="D169" s="35">
        <f>D37</f>
        <v>2013.05</v>
      </c>
    </row>
    <row r="170" spans="1:4" ht="17.25" customHeight="1" thickTop="1" thickBot="1" x14ac:dyDescent="0.3">
      <c r="A170" s="144"/>
      <c r="B170" s="144"/>
      <c r="C170" s="32" t="s">
        <v>140</v>
      </c>
      <c r="D170" s="35">
        <f>D102</f>
        <v>2348.4499999999998</v>
      </c>
    </row>
    <row r="171" spans="1:4" ht="17.25" customHeight="1" thickTop="1" thickBot="1" x14ac:dyDescent="0.3">
      <c r="A171" s="144"/>
      <c r="B171" s="144"/>
      <c r="C171" s="32" t="s">
        <v>117</v>
      </c>
      <c r="D171" s="35">
        <f>D118</f>
        <v>157.28</v>
      </c>
    </row>
    <row r="172" spans="1:4" ht="17.25" customHeight="1" thickTop="1" thickBot="1" x14ac:dyDescent="0.3">
      <c r="A172" s="144"/>
      <c r="B172" s="144"/>
      <c r="C172" s="32" t="s">
        <v>141</v>
      </c>
      <c r="D172" s="35">
        <f>D152</f>
        <v>96.559999999999988</v>
      </c>
    </row>
    <row r="173" spans="1:4" ht="17.25" customHeight="1" thickTop="1" thickBot="1" x14ac:dyDescent="0.3">
      <c r="A173" s="144"/>
      <c r="B173" s="144"/>
      <c r="C173" s="32" t="s">
        <v>142</v>
      </c>
      <c r="D173" s="35">
        <f>D166</f>
        <v>161.66526666666667</v>
      </c>
    </row>
    <row r="174" spans="1:4" ht="19.5" customHeight="1" thickTop="1" thickBot="1" x14ac:dyDescent="0.3">
      <c r="A174" s="144"/>
      <c r="B174" s="144"/>
      <c r="C174" s="59" t="s">
        <v>118</v>
      </c>
      <c r="D174" s="35">
        <f>SUM(D169:D173)</f>
        <v>4777.005266666667</v>
      </c>
    </row>
    <row r="175" spans="1:4" ht="17.25" customHeight="1" thickTop="1" thickBot="1" x14ac:dyDescent="0.3">
      <c r="A175" s="138" t="s">
        <v>143</v>
      </c>
      <c r="B175" s="138"/>
      <c r="C175" s="32" t="s">
        <v>115</v>
      </c>
      <c r="D175" s="35">
        <f>D43</f>
        <v>2013.05</v>
      </c>
    </row>
    <row r="176" spans="1:4" ht="17.25" customHeight="1" thickTop="1" thickBot="1" x14ac:dyDescent="0.3">
      <c r="A176" s="138"/>
      <c r="B176" s="138"/>
      <c r="C176" s="32" t="s">
        <v>140</v>
      </c>
      <c r="D176" s="35">
        <f>D170</f>
        <v>2348.4499999999998</v>
      </c>
    </row>
    <row r="177" spans="1:5" ht="17.25" customHeight="1" thickTop="1" thickBot="1" x14ac:dyDescent="0.3">
      <c r="A177" s="138"/>
      <c r="B177" s="138"/>
      <c r="C177" s="32" t="s">
        <v>117</v>
      </c>
      <c r="D177" s="35">
        <f>D171</f>
        <v>157.28</v>
      </c>
    </row>
    <row r="178" spans="1:5" ht="17.25" customHeight="1" thickTop="1" thickBot="1" x14ac:dyDescent="0.3">
      <c r="A178" s="138"/>
      <c r="B178" s="138"/>
      <c r="C178" s="32" t="s">
        <v>141</v>
      </c>
      <c r="D178" s="35">
        <f>D172</f>
        <v>96.559999999999988</v>
      </c>
    </row>
    <row r="179" spans="1:5" ht="17.25" customHeight="1" thickTop="1" thickBot="1" x14ac:dyDescent="0.3">
      <c r="A179" s="138"/>
      <c r="B179" s="138"/>
      <c r="C179" s="32" t="s">
        <v>142</v>
      </c>
      <c r="D179" s="35">
        <f>D173</f>
        <v>161.66526666666667</v>
      </c>
    </row>
    <row r="180" spans="1:5" ht="24" thickTop="1" thickBot="1" x14ac:dyDescent="0.3">
      <c r="A180" s="138"/>
      <c r="B180" s="138"/>
      <c r="C180" s="70" t="s">
        <v>144</v>
      </c>
      <c r="D180" s="35">
        <f>D186</f>
        <v>238.85</v>
      </c>
    </row>
    <row r="181" spans="1:5" ht="19.5" customHeight="1" thickTop="1" thickBot="1" x14ac:dyDescent="0.3">
      <c r="A181" s="138"/>
      <c r="B181" s="138"/>
      <c r="C181" s="59" t="s">
        <v>118</v>
      </c>
      <c r="D181" s="71">
        <f>SUM(D175:D180)</f>
        <v>5015.8552666666674</v>
      </c>
    </row>
    <row r="183" spans="1:5" x14ac:dyDescent="0.25">
      <c r="A183" s="139" t="s">
        <v>145</v>
      </c>
      <c r="B183" s="139"/>
      <c r="C183" s="139"/>
      <c r="D183" s="139"/>
    </row>
    <row r="185" spans="1:5" x14ac:dyDescent="0.25">
      <c r="A185" s="16">
        <v>6</v>
      </c>
      <c r="B185" s="16" t="s">
        <v>146</v>
      </c>
      <c r="C185" s="16" t="s">
        <v>56</v>
      </c>
      <c r="D185" s="16" t="s">
        <v>57</v>
      </c>
    </row>
    <row r="186" spans="1:5" x14ac:dyDescent="0.25">
      <c r="A186" s="72" t="s">
        <v>1</v>
      </c>
      <c r="B186" s="73" t="s">
        <v>147</v>
      </c>
      <c r="C186" s="74">
        <v>0.05</v>
      </c>
      <c r="D186" s="75">
        <f>IF(C186&gt;5%,"PERCENTUAL MÁXIMO ULTRAPASSADO",ROUND(+D174*C186,2))</f>
        <v>238.85</v>
      </c>
    </row>
    <row r="187" spans="1:5" ht="32.25" customHeight="1" x14ac:dyDescent="0.25">
      <c r="A187" s="72" t="s">
        <v>2</v>
      </c>
      <c r="B187" s="73" t="s">
        <v>148</v>
      </c>
      <c r="C187" s="74">
        <v>6.7900000000000002E-2</v>
      </c>
      <c r="D187" s="75">
        <f>IF(C187&gt;6.79%,"PERCENTUAL MÁXIMO ULTRAPASSADO)",ROUND(C187*(D181),2))</f>
        <v>340.58</v>
      </c>
    </row>
    <row r="188" spans="1:5" ht="15.75" customHeight="1" x14ac:dyDescent="0.25">
      <c r="A188" s="140" t="s">
        <v>149</v>
      </c>
      <c r="B188" s="140"/>
      <c r="C188" s="140"/>
      <c r="D188" s="76">
        <f>D174+D186+D187</f>
        <v>5356.4352666666673</v>
      </c>
    </row>
    <row r="189" spans="1:5" ht="15.75" customHeight="1" x14ac:dyDescent="0.25">
      <c r="A189" s="140" t="s">
        <v>150</v>
      </c>
      <c r="B189" s="140"/>
      <c r="C189" s="140"/>
      <c r="D189" s="76">
        <f>ROUND(D188/(1-C197),2)</f>
        <v>5768.91</v>
      </c>
    </row>
    <row r="190" spans="1:5" ht="15.75" customHeight="1" x14ac:dyDescent="0.25">
      <c r="A190" s="72" t="s">
        <v>3</v>
      </c>
      <c r="B190" s="141" t="s">
        <v>151</v>
      </c>
      <c r="C190" s="141"/>
      <c r="D190" s="141"/>
    </row>
    <row r="191" spans="1:5" ht="15.75" customHeight="1" x14ac:dyDescent="0.25">
      <c r="A191" s="73"/>
      <c r="B191" s="142" t="s">
        <v>152</v>
      </c>
      <c r="C191" s="142"/>
      <c r="D191" s="142"/>
      <c r="E191" s="53"/>
    </row>
    <row r="192" spans="1:5" x14ac:dyDescent="0.25">
      <c r="A192" s="73"/>
      <c r="B192" s="77" t="s">
        <v>153</v>
      </c>
      <c r="C192" s="78">
        <v>6.4999999999999997E-3</v>
      </c>
      <c r="D192" s="23">
        <f>ROUND($D$189*C192,2)</f>
        <v>37.5</v>
      </c>
    </row>
    <row r="193" spans="1:4" x14ac:dyDescent="0.25">
      <c r="A193" s="73"/>
      <c r="B193" s="77" t="s">
        <v>154</v>
      </c>
      <c r="C193" s="78">
        <v>0.03</v>
      </c>
      <c r="D193" s="23">
        <f>ROUND($D$189*C193,2)</f>
        <v>173.07</v>
      </c>
    </row>
    <row r="194" spans="1:4" ht="15.75" customHeight="1" x14ac:dyDescent="0.25">
      <c r="A194" s="73"/>
      <c r="B194" s="142" t="s">
        <v>155</v>
      </c>
      <c r="C194" s="142"/>
      <c r="D194" s="142"/>
    </row>
    <row r="195" spans="1:4" ht="15.75" customHeight="1" x14ac:dyDescent="0.25">
      <c r="A195" s="73"/>
      <c r="B195" s="142" t="s">
        <v>156</v>
      </c>
      <c r="C195" s="142"/>
      <c r="D195" s="142"/>
    </row>
    <row r="196" spans="1:4" x14ac:dyDescent="0.25">
      <c r="A196" s="73"/>
      <c r="B196" s="77" t="s">
        <v>157</v>
      </c>
      <c r="C196" s="79">
        <v>3.5000000000000003E-2</v>
      </c>
      <c r="D196" s="23">
        <f>ROUND($D$189*C196,2)</f>
        <v>201.91</v>
      </c>
    </row>
    <row r="197" spans="1:4" x14ac:dyDescent="0.25">
      <c r="A197" s="73"/>
      <c r="B197" s="80" t="s">
        <v>158</v>
      </c>
      <c r="C197" s="81">
        <f>C192+C193+C196</f>
        <v>7.1500000000000008E-2</v>
      </c>
      <c r="D197" s="82">
        <f>D192+D193+D196</f>
        <v>412.48</v>
      </c>
    </row>
    <row r="198" spans="1:4" ht="15.75" customHeight="1" x14ac:dyDescent="0.25">
      <c r="A198" s="143" t="s">
        <v>60</v>
      </c>
      <c r="B198" s="143"/>
      <c r="C198" s="143"/>
      <c r="D198" s="82">
        <f>D197+D187+D186</f>
        <v>991.91</v>
      </c>
    </row>
    <row r="202" spans="1:4" x14ac:dyDescent="0.25">
      <c r="A202" s="139" t="s">
        <v>159</v>
      </c>
      <c r="B202" s="139"/>
      <c r="C202" s="139"/>
      <c r="D202" s="139"/>
    </row>
    <row r="204" spans="1:4" ht="15.75" customHeight="1" x14ac:dyDescent="0.25">
      <c r="A204" s="136" t="s">
        <v>160</v>
      </c>
      <c r="B204" s="136"/>
      <c r="C204" s="136"/>
      <c r="D204" s="16" t="s">
        <v>57</v>
      </c>
    </row>
    <row r="205" spans="1:4" ht="15.75" customHeight="1" x14ac:dyDescent="0.25">
      <c r="A205" s="16" t="s">
        <v>1</v>
      </c>
      <c r="B205" s="137" t="s">
        <v>53</v>
      </c>
      <c r="C205" s="137"/>
      <c r="D205" s="48">
        <f>D37</f>
        <v>2013.05</v>
      </c>
    </row>
    <row r="206" spans="1:4" ht="15.75" customHeight="1" x14ac:dyDescent="0.25">
      <c r="A206" s="16" t="s">
        <v>2</v>
      </c>
      <c r="B206" s="137" t="s">
        <v>161</v>
      </c>
      <c r="C206" s="137"/>
      <c r="D206" s="48">
        <f>D102</f>
        <v>2348.4499999999998</v>
      </c>
    </row>
    <row r="207" spans="1:4" ht="15.75" customHeight="1" x14ac:dyDescent="0.25">
      <c r="A207" s="16" t="s">
        <v>3</v>
      </c>
      <c r="B207" s="137" t="s">
        <v>106</v>
      </c>
      <c r="C207" s="137"/>
      <c r="D207" s="48">
        <f>D118</f>
        <v>157.28</v>
      </c>
    </row>
    <row r="208" spans="1:4" ht="15.75" customHeight="1" x14ac:dyDescent="0.25">
      <c r="A208" s="16" t="s">
        <v>4</v>
      </c>
      <c r="B208" s="137" t="s">
        <v>119</v>
      </c>
      <c r="C208" s="137"/>
      <c r="D208" s="48">
        <f>D172</f>
        <v>96.559999999999988</v>
      </c>
    </row>
    <row r="209" spans="1:4" ht="15.75" customHeight="1" x14ac:dyDescent="0.25">
      <c r="A209" s="16" t="s">
        <v>5</v>
      </c>
      <c r="B209" s="137" t="s">
        <v>135</v>
      </c>
      <c r="C209" s="137"/>
      <c r="D209" s="48">
        <f>D166</f>
        <v>161.66526666666667</v>
      </c>
    </row>
    <row r="210" spans="1:4" ht="15.75" customHeight="1" x14ac:dyDescent="0.25">
      <c r="A210" s="136" t="s">
        <v>162</v>
      </c>
      <c r="B210" s="136"/>
      <c r="C210" s="136"/>
      <c r="D210" s="83">
        <f>SUM(D205:D209)</f>
        <v>4777.005266666667</v>
      </c>
    </row>
    <row r="211" spans="1:4" ht="15.75" customHeight="1" x14ac:dyDescent="0.25">
      <c r="A211" s="16" t="s">
        <v>6</v>
      </c>
      <c r="B211" s="137" t="s">
        <v>163</v>
      </c>
      <c r="C211" s="137"/>
      <c r="D211" s="48">
        <f>D198</f>
        <v>991.91</v>
      </c>
    </row>
    <row r="212" spans="1:4" ht="15.75" customHeight="1" x14ac:dyDescent="0.25">
      <c r="A212" s="136" t="s">
        <v>164</v>
      </c>
      <c r="B212" s="136"/>
      <c r="C212" s="136"/>
      <c r="D212" s="83">
        <f>ROUND(D210+D211,2)</f>
        <v>5768.92</v>
      </c>
    </row>
    <row r="214" spans="1:4" x14ac:dyDescent="0.25">
      <c r="D214" s="84"/>
    </row>
    <row r="216" spans="1:4" x14ac:dyDescent="0.25">
      <c r="D216" s="84"/>
    </row>
    <row r="218" spans="1:4" x14ac:dyDescent="0.25">
      <c r="D218" s="84"/>
    </row>
  </sheetData>
  <mergeCells count="97">
    <mergeCell ref="A9:D9"/>
    <mergeCell ref="A1:E1"/>
    <mergeCell ref="A2:D2"/>
    <mergeCell ref="A4:D4"/>
    <mergeCell ref="A6:D6"/>
    <mergeCell ref="A8:D8"/>
    <mergeCell ref="C22:D22"/>
    <mergeCell ref="A10:D10"/>
    <mergeCell ref="A11:D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69:B69"/>
    <mergeCell ref="C23:D23"/>
    <mergeCell ref="C24:D24"/>
    <mergeCell ref="C25:D25"/>
    <mergeCell ref="A28:D28"/>
    <mergeCell ref="A37:B37"/>
    <mergeCell ref="A40:D40"/>
    <mergeCell ref="A42:B43"/>
    <mergeCell ref="A45:D45"/>
    <mergeCell ref="A51:C51"/>
    <mergeCell ref="A54:B56"/>
    <mergeCell ref="A58:D58"/>
    <mergeCell ref="B84:C84"/>
    <mergeCell ref="A72:D72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102:C102"/>
    <mergeCell ref="A85:C85"/>
    <mergeCell ref="A88:D88"/>
    <mergeCell ref="B90:C90"/>
    <mergeCell ref="B91:C91"/>
    <mergeCell ref="A92:C92"/>
    <mergeCell ref="A95:D95"/>
    <mergeCell ref="B97:C97"/>
    <mergeCell ref="B98:C98"/>
    <mergeCell ref="B99:C99"/>
    <mergeCell ref="B100:C100"/>
    <mergeCell ref="B101:C101"/>
    <mergeCell ref="B150:C150"/>
    <mergeCell ref="A105:B107"/>
    <mergeCell ref="A109:D109"/>
    <mergeCell ref="A118:C118"/>
    <mergeCell ref="A121:B125"/>
    <mergeCell ref="A127:D127"/>
    <mergeCell ref="A129:D129"/>
    <mergeCell ref="A139:B139"/>
    <mergeCell ref="A141:D141"/>
    <mergeCell ref="A145:C145"/>
    <mergeCell ref="A147:D147"/>
    <mergeCell ref="B149:C149"/>
    <mergeCell ref="A169:B174"/>
    <mergeCell ref="B151:C151"/>
    <mergeCell ref="A152:C152"/>
    <mergeCell ref="A155:D156"/>
    <mergeCell ref="A158:D158"/>
    <mergeCell ref="B160:C160"/>
    <mergeCell ref="B161:C161"/>
    <mergeCell ref="B162:C162"/>
    <mergeCell ref="B163:C163"/>
    <mergeCell ref="B164:C164"/>
    <mergeCell ref="B165:C165"/>
    <mergeCell ref="A166:C166"/>
    <mergeCell ref="B205:C205"/>
    <mergeCell ref="A175:B181"/>
    <mergeCell ref="A183:D183"/>
    <mergeCell ref="A188:C188"/>
    <mergeCell ref="A189:C189"/>
    <mergeCell ref="B190:D190"/>
    <mergeCell ref="B191:D191"/>
    <mergeCell ref="B194:D194"/>
    <mergeCell ref="B195:D195"/>
    <mergeCell ref="A198:C198"/>
    <mergeCell ref="A202:D202"/>
    <mergeCell ref="A204:C204"/>
    <mergeCell ref="A212:C212"/>
    <mergeCell ref="B206:C206"/>
    <mergeCell ref="B207:C207"/>
    <mergeCell ref="B208:C208"/>
    <mergeCell ref="B209:C209"/>
    <mergeCell ref="A210:C210"/>
    <mergeCell ref="B211:C211"/>
  </mergeCells>
  <pageMargins left="0.51180555555555596" right="0.51180555555555596" top="0.78749999999999998" bottom="0.78749999999999998" header="0.511811023622047" footer="0.31527777777777799"/>
  <pageSetup paperSize="9" scale="65" fitToHeight="0" orientation="portrait" horizontalDpi="300" verticalDpi="300" r:id="rId1"/>
  <headerFooter>
    <oddFooter>&amp;LProcesso XXXX/2020&amp;C&amp;A</oddFooter>
  </headerFooter>
  <rowBreaks count="3" manualBreakCount="3">
    <brk id="70" max="16383" man="1"/>
    <brk id="139" max="16383" man="1"/>
    <brk id="199" max="16383" man="1"/>
  </rowBreaks>
  <colBreaks count="1" manualBreakCount="1">
    <brk id="4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18"/>
  <sheetViews>
    <sheetView showGridLines="0" view="pageBreakPreview" zoomScale="85" zoomScaleNormal="85" zoomScaleSheetLayoutView="85" workbookViewId="0">
      <selection activeCell="D34" sqref="D34"/>
    </sheetView>
  </sheetViews>
  <sheetFormatPr defaultColWidth="0" defaultRowHeight="15.75" x14ac:dyDescent="0.25"/>
  <cols>
    <col min="1" max="1" width="9.140625" style="11" customWidth="1"/>
    <col min="2" max="2" width="72.140625" style="11" customWidth="1"/>
    <col min="3" max="3" width="18" style="11" customWidth="1"/>
    <col min="4" max="4" width="40.85546875" style="11" customWidth="1"/>
    <col min="5" max="5" width="7.85546875" style="12" customWidth="1"/>
    <col min="6" max="6" width="12" style="13" hidden="1" customWidth="1"/>
    <col min="7" max="7" width="15.140625" style="13" hidden="1" customWidth="1"/>
    <col min="8" max="16384" width="14" style="13" hidden="1"/>
  </cols>
  <sheetData>
    <row r="1" spans="1:6" ht="15.75" customHeight="1" x14ac:dyDescent="0.25">
      <c r="A1" s="161"/>
      <c r="B1" s="161"/>
      <c r="C1" s="161"/>
      <c r="D1" s="161"/>
      <c r="E1" s="161"/>
    </row>
    <row r="2" spans="1:6" ht="57" customHeight="1" x14ac:dyDescent="0.25">
      <c r="A2" s="162" t="s">
        <v>23</v>
      </c>
      <c r="B2" s="162"/>
      <c r="C2" s="162"/>
      <c r="D2" s="162"/>
    </row>
    <row r="3" spans="1:6" ht="18.75" customHeight="1" x14ac:dyDescent="0.25">
      <c r="A3" s="14"/>
      <c r="B3" s="14"/>
      <c r="C3" s="14"/>
      <c r="D3" s="14"/>
    </row>
    <row r="4" spans="1:6" ht="57" customHeight="1" x14ac:dyDescent="0.25">
      <c r="A4" s="161" t="s">
        <v>24</v>
      </c>
      <c r="B4" s="161"/>
      <c r="C4" s="161"/>
      <c r="D4" s="161"/>
    </row>
    <row r="5" spans="1:6" ht="17.25" customHeight="1" x14ac:dyDescent="0.25">
      <c r="A5" s="14"/>
      <c r="B5" s="14"/>
      <c r="C5" s="14"/>
      <c r="D5" s="14"/>
    </row>
    <row r="6" spans="1:6" x14ac:dyDescent="0.25">
      <c r="A6" s="163" t="s">
        <v>25</v>
      </c>
      <c r="B6" s="163"/>
      <c r="C6" s="163"/>
      <c r="D6" s="163"/>
    </row>
    <row r="8" spans="1:6" ht="23.25" x14ac:dyDescent="0.25">
      <c r="A8" s="160" t="s">
        <v>26</v>
      </c>
      <c r="B8" s="160"/>
      <c r="C8" s="160"/>
      <c r="D8" s="160"/>
    </row>
    <row r="9" spans="1:6" ht="23.25" x14ac:dyDescent="0.25">
      <c r="A9" s="160" t="s">
        <v>27</v>
      </c>
      <c r="B9" s="160"/>
      <c r="C9" s="160"/>
      <c r="D9" s="160"/>
    </row>
    <row r="10" spans="1:6" x14ac:dyDescent="0.25">
      <c r="A10" s="157"/>
      <c r="B10" s="157"/>
      <c r="C10" s="157"/>
      <c r="D10" s="157"/>
    </row>
    <row r="11" spans="1:6" x14ac:dyDescent="0.25">
      <c r="A11" s="139" t="s">
        <v>28</v>
      </c>
      <c r="B11" s="139"/>
      <c r="C11" s="139"/>
      <c r="D11" s="139"/>
      <c r="F11" s="13" t="s">
        <v>29</v>
      </c>
    </row>
    <row r="12" spans="1:6" x14ac:dyDescent="0.25">
      <c r="A12" s="15"/>
      <c r="B12" s="15"/>
      <c r="C12" s="15"/>
      <c r="D12" s="15"/>
      <c r="F12" s="13" t="s">
        <v>30</v>
      </c>
    </row>
    <row r="13" spans="1:6" x14ac:dyDescent="0.25">
      <c r="A13" s="16" t="s">
        <v>1</v>
      </c>
      <c r="B13" s="17" t="s">
        <v>31</v>
      </c>
      <c r="C13" s="152" t="s">
        <v>216</v>
      </c>
      <c r="D13" s="152"/>
      <c r="E13" s="18"/>
    </row>
    <row r="14" spans="1:6" x14ac:dyDescent="0.25">
      <c r="A14" s="16" t="s">
        <v>2</v>
      </c>
      <c r="B14" s="17" t="s">
        <v>32</v>
      </c>
      <c r="C14" s="152" t="s">
        <v>217</v>
      </c>
      <c r="D14" s="152"/>
      <c r="E14" s="18"/>
    </row>
    <row r="15" spans="1:6" x14ac:dyDescent="0.25">
      <c r="A15" s="16" t="s">
        <v>3</v>
      </c>
      <c r="B15" s="17" t="s">
        <v>33</v>
      </c>
      <c r="C15" s="154" t="s">
        <v>218</v>
      </c>
      <c r="D15" s="154"/>
      <c r="E15" s="18"/>
    </row>
    <row r="16" spans="1:6" x14ac:dyDescent="0.25">
      <c r="A16" s="16" t="s">
        <v>4</v>
      </c>
      <c r="B16" s="17" t="s">
        <v>34</v>
      </c>
      <c r="C16" s="152" t="s">
        <v>35</v>
      </c>
      <c r="D16" s="152"/>
      <c r="E16" s="18"/>
    </row>
    <row r="17" spans="1:6" x14ac:dyDescent="0.25">
      <c r="A17" s="16" t="s">
        <v>5</v>
      </c>
      <c r="B17" s="19" t="s">
        <v>36</v>
      </c>
      <c r="C17" s="153">
        <v>24</v>
      </c>
      <c r="D17" s="153"/>
      <c r="E17" s="20"/>
    </row>
    <row r="18" spans="1:6" ht="36" customHeight="1" x14ac:dyDescent="0.25">
      <c r="A18" s="16" t="s">
        <v>6</v>
      </c>
      <c r="B18" s="19" t="s">
        <v>37</v>
      </c>
      <c r="C18" s="158" t="s">
        <v>219</v>
      </c>
      <c r="D18" s="158"/>
      <c r="E18" s="20"/>
    </row>
    <row r="19" spans="1:6" x14ac:dyDescent="0.25">
      <c r="A19" s="16" t="s">
        <v>7</v>
      </c>
      <c r="B19" s="19" t="s">
        <v>38</v>
      </c>
      <c r="C19" s="152" t="s">
        <v>39</v>
      </c>
      <c r="D19" s="152"/>
      <c r="E19" s="20"/>
    </row>
    <row r="20" spans="1:6" x14ac:dyDescent="0.25">
      <c r="A20" s="16" t="s">
        <v>8</v>
      </c>
      <c r="B20" s="17" t="s">
        <v>40</v>
      </c>
      <c r="C20" s="152" t="s">
        <v>41</v>
      </c>
      <c r="D20" s="152"/>
      <c r="E20" s="20"/>
    </row>
    <row r="21" spans="1:6" x14ac:dyDescent="0.25">
      <c r="A21" s="16" t="s">
        <v>9</v>
      </c>
      <c r="B21" s="17" t="s">
        <v>42</v>
      </c>
      <c r="C21" s="159">
        <v>1548.5</v>
      </c>
      <c r="D21" s="159"/>
      <c r="E21" s="20"/>
    </row>
    <row r="22" spans="1:6" x14ac:dyDescent="0.25">
      <c r="A22" s="16" t="s">
        <v>43</v>
      </c>
      <c r="B22" s="17" t="s">
        <v>44</v>
      </c>
      <c r="C22" s="153" t="s">
        <v>45</v>
      </c>
      <c r="D22" s="153"/>
      <c r="E22" s="20"/>
    </row>
    <row r="23" spans="1:6" x14ac:dyDescent="0.25">
      <c r="A23" s="16" t="s">
        <v>46</v>
      </c>
      <c r="B23" s="17" t="s">
        <v>47</v>
      </c>
      <c r="C23" s="152" t="s">
        <v>220</v>
      </c>
      <c r="D23" s="152"/>
      <c r="E23" s="20"/>
    </row>
    <row r="24" spans="1:6" x14ac:dyDescent="0.25">
      <c r="A24" s="16" t="s">
        <v>48</v>
      </c>
      <c r="B24" s="17" t="s">
        <v>49</v>
      </c>
      <c r="C24" s="153" t="s">
        <v>226</v>
      </c>
      <c r="D24" s="153"/>
      <c r="E24" s="20"/>
    </row>
    <row r="25" spans="1:6" x14ac:dyDescent="0.25">
      <c r="A25" s="16" t="s">
        <v>50</v>
      </c>
      <c r="B25" s="17" t="s">
        <v>51</v>
      </c>
      <c r="C25" s="154">
        <v>44966</v>
      </c>
      <c r="D25" s="154"/>
      <c r="E25" s="20"/>
    </row>
    <row r="27" spans="1:6" x14ac:dyDescent="0.25">
      <c r="F27" s="13" t="s">
        <v>52</v>
      </c>
    </row>
    <row r="28" spans="1:6" x14ac:dyDescent="0.25">
      <c r="A28" s="139" t="s">
        <v>53</v>
      </c>
      <c r="B28" s="139"/>
      <c r="C28" s="139"/>
      <c r="D28" s="139"/>
      <c r="F28" s="13" t="s">
        <v>54</v>
      </c>
    </row>
    <row r="30" spans="1:6" x14ac:dyDescent="0.25">
      <c r="A30" s="16">
        <v>1</v>
      </c>
      <c r="B30" s="16" t="s">
        <v>55</v>
      </c>
      <c r="C30" s="16" t="s">
        <v>56</v>
      </c>
      <c r="D30" s="16" t="s">
        <v>57</v>
      </c>
    </row>
    <row r="31" spans="1:6" x14ac:dyDescent="0.25">
      <c r="A31" s="21" t="s">
        <v>1</v>
      </c>
      <c r="B31" s="17" t="s">
        <v>58</v>
      </c>
      <c r="C31" s="22"/>
      <c r="D31" s="23">
        <f>C21</f>
        <v>1548.5</v>
      </c>
    </row>
    <row r="32" spans="1:6" x14ac:dyDescent="0.25">
      <c r="A32" s="24" t="s">
        <v>2</v>
      </c>
      <c r="B32" s="25" t="s">
        <v>59</v>
      </c>
      <c r="C32" s="26">
        <v>0.3</v>
      </c>
      <c r="D32" s="27">
        <f>ROUND(C32*D31,2)</f>
        <v>464.55</v>
      </c>
    </row>
    <row r="33" spans="1:4" x14ac:dyDescent="0.25">
      <c r="A33" s="24"/>
      <c r="B33" s="25"/>
      <c r="C33" s="26"/>
      <c r="D33" s="28"/>
    </row>
    <row r="34" spans="1:4" x14ac:dyDescent="0.25">
      <c r="A34" s="24"/>
      <c r="B34" s="25"/>
      <c r="C34" s="26"/>
      <c r="D34" s="27"/>
    </row>
    <row r="35" spans="1:4" x14ac:dyDescent="0.25">
      <c r="A35" s="24"/>
      <c r="B35" s="25"/>
      <c r="C35" s="26"/>
      <c r="D35" s="27"/>
    </row>
    <row r="36" spans="1:4" x14ac:dyDescent="0.25">
      <c r="A36" s="24"/>
      <c r="B36" s="25"/>
      <c r="C36" s="26"/>
      <c r="D36" s="27"/>
    </row>
    <row r="37" spans="1:4" ht="15.75" customHeight="1" x14ac:dyDescent="0.25">
      <c r="A37" s="136" t="s">
        <v>60</v>
      </c>
      <c r="B37" s="136"/>
      <c r="C37" s="29"/>
      <c r="D37" s="30">
        <f>SUM(D31:D36)</f>
        <v>2013.05</v>
      </c>
    </row>
    <row r="40" spans="1:4" x14ac:dyDescent="0.25">
      <c r="A40" s="139" t="s">
        <v>61</v>
      </c>
      <c r="B40" s="139"/>
      <c r="C40" s="139"/>
      <c r="D40" s="139"/>
    </row>
    <row r="41" spans="1:4" ht="16.5" thickBot="1" x14ac:dyDescent="0.3">
      <c r="A41" s="31"/>
    </row>
    <row r="42" spans="1:4" ht="17.25" thickTop="1" thickBot="1" x14ac:dyDescent="0.3">
      <c r="A42" s="155" t="s">
        <v>62</v>
      </c>
      <c r="B42" s="155"/>
      <c r="C42" s="32" t="s">
        <v>63</v>
      </c>
      <c r="D42" s="33">
        <f>D37</f>
        <v>2013.05</v>
      </c>
    </row>
    <row r="43" spans="1:4" ht="19.5" thickTop="1" thickBot="1" x14ac:dyDescent="0.3">
      <c r="A43" s="155"/>
      <c r="B43" s="155"/>
      <c r="C43" s="34" t="s">
        <v>64</v>
      </c>
      <c r="D43" s="35">
        <f>SUM(D42:D42)</f>
        <v>2013.05</v>
      </c>
    </row>
    <row r="44" spans="1:4" ht="16.5" thickTop="1" x14ac:dyDescent="0.25">
      <c r="A44" s="31"/>
    </row>
    <row r="45" spans="1:4" x14ac:dyDescent="0.25">
      <c r="A45" s="149" t="s">
        <v>65</v>
      </c>
      <c r="B45" s="149"/>
      <c r="C45" s="149"/>
      <c r="D45" s="149"/>
    </row>
    <row r="47" spans="1:4" x14ac:dyDescent="0.25">
      <c r="A47" s="16" t="s">
        <v>66</v>
      </c>
      <c r="B47" s="16" t="s">
        <v>67</v>
      </c>
      <c r="C47" s="16" t="s">
        <v>56</v>
      </c>
      <c r="D47" s="16" t="s">
        <v>57</v>
      </c>
    </row>
    <row r="48" spans="1:4" x14ac:dyDescent="0.25">
      <c r="A48" s="21" t="s">
        <v>1</v>
      </c>
      <c r="B48" s="17" t="s">
        <v>68</v>
      </c>
      <c r="C48" s="36">
        <f>1/12</f>
        <v>8.3333333333333329E-2</v>
      </c>
      <c r="D48" s="23">
        <f>ROUND($D$43*C48,2)</f>
        <v>167.75</v>
      </c>
    </row>
    <row r="49" spans="1:4" x14ac:dyDescent="0.25">
      <c r="A49" s="21" t="s">
        <v>2</v>
      </c>
      <c r="B49" s="17" t="s">
        <v>69</v>
      </c>
      <c r="C49" s="37">
        <f>1/12</f>
        <v>8.3333333333333329E-2</v>
      </c>
      <c r="D49" s="23">
        <f>ROUND($D$43*C49,2)</f>
        <v>167.75</v>
      </c>
    </row>
    <row r="50" spans="1:4" x14ac:dyDescent="0.25">
      <c r="A50" s="21" t="s">
        <v>3</v>
      </c>
      <c r="B50" s="17" t="s">
        <v>70</v>
      </c>
      <c r="C50" s="38">
        <f>100%/3/12</f>
        <v>2.7777777777777776E-2</v>
      </c>
      <c r="D50" s="23">
        <f>ROUND($D$43*C50,2)</f>
        <v>55.92</v>
      </c>
    </row>
    <row r="51" spans="1:4" ht="15.75" customHeight="1" x14ac:dyDescent="0.25">
      <c r="A51" s="136" t="s">
        <v>60</v>
      </c>
      <c r="B51" s="136"/>
      <c r="C51" s="136"/>
      <c r="D51" s="30">
        <f>SUM(D48:D50)</f>
        <v>391.42</v>
      </c>
    </row>
    <row r="52" spans="1:4" x14ac:dyDescent="0.25">
      <c r="A52" s="39"/>
    </row>
    <row r="54" spans="1:4" ht="17.25" thickTop="1" thickBot="1" x14ac:dyDescent="0.3">
      <c r="A54" s="155" t="s">
        <v>71</v>
      </c>
      <c r="B54" s="155"/>
      <c r="C54" s="32" t="s">
        <v>63</v>
      </c>
      <c r="D54" s="33">
        <f>D37</f>
        <v>2013.05</v>
      </c>
    </row>
    <row r="55" spans="1:4" ht="17.25" thickTop="1" thickBot="1" x14ac:dyDescent="0.3">
      <c r="A55" s="155"/>
      <c r="B55" s="155"/>
      <c r="C55" s="32" t="s">
        <v>72</v>
      </c>
      <c r="D55" s="35">
        <f>D51</f>
        <v>391.42</v>
      </c>
    </row>
    <row r="56" spans="1:4" ht="19.5" thickTop="1" thickBot="1" x14ac:dyDescent="0.3">
      <c r="A56" s="155"/>
      <c r="B56" s="155"/>
      <c r="C56" s="34" t="s">
        <v>64</v>
      </c>
      <c r="D56" s="35">
        <f>SUM(D54:D55)</f>
        <v>2404.4699999999998</v>
      </c>
    </row>
    <row r="58" spans="1:4" ht="15.75" customHeight="1" x14ac:dyDescent="0.25">
      <c r="A58" s="156" t="s">
        <v>73</v>
      </c>
      <c r="B58" s="156"/>
      <c r="C58" s="156"/>
      <c r="D58" s="156"/>
    </row>
    <row r="60" spans="1:4" x14ac:dyDescent="0.25">
      <c r="A60" s="16" t="s">
        <v>74</v>
      </c>
      <c r="B60" s="16" t="s">
        <v>75</v>
      </c>
      <c r="C60" s="16" t="s">
        <v>56</v>
      </c>
      <c r="D60" s="16" t="s">
        <v>57</v>
      </c>
    </row>
    <row r="61" spans="1:4" x14ac:dyDescent="0.25">
      <c r="A61" s="21" t="s">
        <v>1</v>
      </c>
      <c r="B61" s="17" t="s">
        <v>76</v>
      </c>
      <c r="C61" s="40">
        <v>0.2</v>
      </c>
      <c r="D61" s="41">
        <f t="shared" ref="D61:D68" si="0">ROUND($D$56*C61,2)</f>
        <v>480.89</v>
      </c>
    </row>
    <row r="62" spans="1:4" x14ac:dyDescent="0.25">
      <c r="A62" s="21" t="s">
        <v>2</v>
      </c>
      <c r="B62" s="17" t="s">
        <v>77</v>
      </c>
      <c r="C62" s="40">
        <v>2.5000000000000001E-2</v>
      </c>
      <c r="D62" s="41">
        <f t="shared" si="0"/>
        <v>60.11</v>
      </c>
    </row>
    <row r="63" spans="1:4" x14ac:dyDescent="0.25">
      <c r="A63" s="21" t="s">
        <v>3</v>
      </c>
      <c r="B63" s="17" t="s">
        <v>227</v>
      </c>
      <c r="C63" s="40">
        <v>0.06</v>
      </c>
      <c r="D63" s="41">
        <f t="shared" si="0"/>
        <v>144.27000000000001</v>
      </c>
    </row>
    <row r="64" spans="1:4" x14ac:dyDescent="0.25">
      <c r="A64" s="21" t="s">
        <v>4</v>
      </c>
      <c r="B64" s="17" t="s">
        <v>78</v>
      </c>
      <c r="C64" s="40">
        <v>1.4999999999999999E-2</v>
      </c>
      <c r="D64" s="41">
        <f t="shared" si="0"/>
        <v>36.07</v>
      </c>
    </row>
    <row r="65" spans="1:4" x14ac:dyDescent="0.25">
      <c r="A65" s="21" t="s">
        <v>5</v>
      </c>
      <c r="B65" s="17" t="s">
        <v>79</v>
      </c>
      <c r="C65" s="40">
        <v>0.01</v>
      </c>
      <c r="D65" s="41">
        <f t="shared" si="0"/>
        <v>24.04</v>
      </c>
    </row>
    <row r="66" spans="1:4" x14ac:dyDescent="0.25">
      <c r="A66" s="21" t="s">
        <v>6</v>
      </c>
      <c r="B66" s="17" t="s">
        <v>80</v>
      </c>
      <c r="C66" s="40">
        <v>6.0000000000000001E-3</v>
      </c>
      <c r="D66" s="41">
        <f t="shared" si="0"/>
        <v>14.43</v>
      </c>
    </row>
    <row r="67" spans="1:4" x14ac:dyDescent="0.25">
      <c r="A67" s="21" t="s">
        <v>7</v>
      </c>
      <c r="B67" s="17" t="s">
        <v>81</v>
      </c>
      <c r="C67" s="40">
        <v>2E-3</v>
      </c>
      <c r="D67" s="41">
        <f t="shared" si="0"/>
        <v>4.8099999999999996</v>
      </c>
    </row>
    <row r="68" spans="1:4" x14ac:dyDescent="0.25">
      <c r="A68" s="21" t="s">
        <v>8</v>
      </c>
      <c r="B68" s="17" t="s">
        <v>82</v>
      </c>
      <c r="C68" s="42">
        <v>0.08</v>
      </c>
      <c r="D68" s="41">
        <f t="shared" si="0"/>
        <v>192.36</v>
      </c>
    </row>
    <row r="69" spans="1:4" ht="15.75" customHeight="1" x14ac:dyDescent="0.25">
      <c r="A69" s="136" t="s">
        <v>83</v>
      </c>
      <c r="B69" s="136"/>
      <c r="C69" s="43">
        <f>SUM(C61:C68)</f>
        <v>0.39800000000000008</v>
      </c>
      <c r="D69" s="30">
        <f>SUM(D61:D68)</f>
        <v>956.9799999999999</v>
      </c>
    </row>
    <row r="70" spans="1:4" x14ac:dyDescent="0.25">
      <c r="A70" s="39"/>
    </row>
    <row r="72" spans="1:4" x14ac:dyDescent="0.25">
      <c r="A72" s="149" t="s">
        <v>84</v>
      </c>
      <c r="B72" s="149"/>
      <c r="C72" s="149"/>
      <c r="D72" s="149"/>
    </row>
    <row r="74" spans="1:4" ht="15.75" customHeight="1" x14ac:dyDescent="0.25">
      <c r="A74" s="16" t="s">
        <v>85</v>
      </c>
      <c r="B74" s="136" t="s">
        <v>86</v>
      </c>
      <c r="C74" s="136"/>
      <c r="D74" s="16" t="s">
        <v>57</v>
      </c>
    </row>
    <row r="75" spans="1:4" ht="15.75" customHeight="1" x14ac:dyDescent="0.25">
      <c r="A75" s="21" t="s">
        <v>87</v>
      </c>
      <c r="B75" s="137" t="s">
        <v>88</v>
      </c>
      <c r="C75" s="137"/>
      <c r="D75" s="27">
        <f>4.95*2*22</f>
        <v>217.8</v>
      </c>
    </row>
    <row r="76" spans="1:4" ht="15.75" customHeight="1" x14ac:dyDescent="0.25">
      <c r="A76" s="21" t="s">
        <v>89</v>
      </c>
      <c r="B76" s="137" t="s">
        <v>90</v>
      </c>
      <c r="C76" s="137"/>
      <c r="D76" s="23">
        <f>IF(D75&lt;=0,"0,00",IF(ROUND(D31*6%,2)&gt;D75,D75,ROUND(D31*6%,2)))</f>
        <v>92.91</v>
      </c>
    </row>
    <row r="77" spans="1:4" ht="15.75" customHeight="1" x14ac:dyDescent="0.25">
      <c r="A77" s="21" t="s">
        <v>91</v>
      </c>
      <c r="B77" s="137" t="s">
        <v>92</v>
      </c>
      <c r="C77" s="137"/>
      <c r="D77" s="23">
        <f>D75-D76</f>
        <v>124.89000000000001</v>
      </c>
    </row>
    <row r="78" spans="1:4" ht="15.75" customHeight="1" x14ac:dyDescent="0.25">
      <c r="A78" s="21" t="s">
        <v>93</v>
      </c>
      <c r="B78" s="137" t="s">
        <v>221</v>
      </c>
      <c r="C78" s="137"/>
      <c r="D78" s="27">
        <f>26*22</f>
        <v>572</v>
      </c>
    </row>
    <row r="79" spans="1:4" ht="15.75" customHeight="1" x14ac:dyDescent="0.25">
      <c r="A79" s="21" t="s">
        <v>94</v>
      </c>
      <c r="B79" s="137" t="s">
        <v>95</v>
      </c>
      <c r="C79" s="137"/>
      <c r="D79" s="27">
        <f>ROUND(D78*2%,2)</f>
        <v>11.44</v>
      </c>
    </row>
    <row r="80" spans="1:4" ht="15.75" customHeight="1" x14ac:dyDescent="0.25">
      <c r="A80" s="21" t="s">
        <v>96</v>
      </c>
      <c r="B80" s="137" t="s">
        <v>97</v>
      </c>
      <c r="C80" s="137"/>
      <c r="D80" s="23">
        <f>D78-D79</f>
        <v>560.55999999999995</v>
      </c>
    </row>
    <row r="81" spans="1:5" s="45" customFormat="1" ht="15.75" customHeight="1" x14ac:dyDescent="0.25">
      <c r="A81" s="24" t="s">
        <v>3</v>
      </c>
      <c r="B81" s="147" t="s">
        <v>222</v>
      </c>
      <c r="C81" s="147"/>
      <c r="D81" s="27">
        <v>112</v>
      </c>
      <c r="E81" s="44"/>
    </row>
    <row r="82" spans="1:5" s="45" customFormat="1" ht="15.75" customHeight="1" x14ac:dyDescent="0.25">
      <c r="A82" s="24" t="s">
        <v>4</v>
      </c>
      <c r="B82" s="150" t="s">
        <v>223</v>
      </c>
      <c r="C82" s="151"/>
      <c r="D82" s="27">
        <v>47.66</v>
      </c>
      <c r="E82" s="44"/>
    </row>
    <row r="83" spans="1:5" s="45" customFormat="1" ht="15.75" customHeight="1" x14ac:dyDescent="0.25">
      <c r="A83" s="24" t="s">
        <v>4</v>
      </c>
      <c r="B83" s="147" t="s">
        <v>225</v>
      </c>
      <c r="C83" s="147"/>
      <c r="D83" s="46">
        <v>7</v>
      </c>
      <c r="E83" s="44"/>
    </row>
    <row r="84" spans="1:5" s="45" customFormat="1" ht="15.75" customHeight="1" x14ac:dyDescent="0.25">
      <c r="A84" s="24" t="s">
        <v>5</v>
      </c>
      <c r="B84" s="147" t="s">
        <v>224</v>
      </c>
      <c r="C84" s="147"/>
      <c r="D84" s="46">
        <v>45</v>
      </c>
      <c r="E84" s="44"/>
    </row>
    <row r="85" spans="1:5" ht="15.75" customHeight="1" x14ac:dyDescent="0.25">
      <c r="A85" s="136" t="s">
        <v>98</v>
      </c>
      <c r="B85" s="136"/>
      <c r="C85" s="136"/>
      <c r="D85" s="30">
        <f>SUM(D81:D84)+D77+D80</f>
        <v>897.1099999999999</v>
      </c>
    </row>
    <row r="88" spans="1:5" x14ac:dyDescent="0.25">
      <c r="A88" s="149" t="s">
        <v>99</v>
      </c>
      <c r="B88" s="149"/>
      <c r="C88" s="149"/>
      <c r="D88" s="149"/>
    </row>
    <row r="90" spans="1:5" ht="15.75" customHeight="1" x14ac:dyDescent="0.25">
      <c r="A90" s="16" t="s">
        <v>100</v>
      </c>
      <c r="B90" s="136" t="s">
        <v>101</v>
      </c>
      <c r="C90" s="136"/>
      <c r="D90" s="29" t="s">
        <v>57</v>
      </c>
    </row>
    <row r="91" spans="1:5" ht="15.75" customHeight="1" x14ac:dyDescent="0.25">
      <c r="A91" s="21" t="s">
        <v>1</v>
      </c>
      <c r="B91" s="137" t="s">
        <v>228</v>
      </c>
      <c r="C91" s="137"/>
      <c r="D91" s="46">
        <v>102.94</v>
      </c>
    </row>
    <row r="92" spans="1:5" ht="15.75" customHeight="1" x14ac:dyDescent="0.25">
      <c r="A92" s="136" t="s">
        <v>60</v>
      </c>
      <c r="B92" s="136"/>
      <c r="C92" s="136"/>
      <c r="D92" s="30">
        <f>SUM(D91)</f>
        <v>102.94</v>
      </c>
    </row>
    <row r="93" spans="1:5" x14ac:dyDescent="0.25">
      <c r="A93" s="14"/>
      <c r="B93" s="14"/>
      <c r="C93" s="47"/>
    </row>
    <row r="94" spans="1:5" x14ac:dyDescent="0.25">
      <c r="A94" s="14"/>
      <c r="B94" s="14"/>
      <c r="C94" s="47"/>
    </row>
    <row r="95" spans="1:5" x14ac:dyDescent="0.25">
      <c r="A95" s="139" t="s">
        <v>102</v>
      </c>
      <c r="B95" s="139"/>
      <c r="C95" s="139"/>
      <c r="D95" s="139"/>
    </row>
    <row r="97" spans="1:5" ht="15.75" customHeight="1" x14ac:dyDescent="0.25">
      <c r="A97" s="16">
        <v>2</v>
      </c>
      <c r="B97" s="136" t="s">
        <v>103</v>
      </c>
      <c r="C97" s="136"/>
      <c r="D97" s="16" t="s">
        <v>57</v>
      </c>
    </row>
    <row r="98" spans="1:5" ht="15.75" customHeight="1" x14ac:dyDescent="0.25">
      <c r="A98" s="21" t="s">
        <v>66</v>
      </c>
      <c r="B98" s="137" t="s">
        <v>67</v>
      </c>
      <c r="C98" s="137"/>
      <c r="D98" s="48">
        <f>D51</f>
        <v>391.42</v>
      </c>
    </row>
    <row r="99" spans="1:5" ht="15.75" customHeight="1" x14ac:dyDescent="0.25">
      <c r="A99" s="21" t="s">
        <v>74</v>
      </c>
      <c r="B99" s="137" t="s">
        <v>75</v>
      </c>
      <c r="C99" s="137"/>
      <c r="D99" s="49">
        <f>D69</f>
        <v>956.9799999999999</v>
      </c>
    </row>
    <row r="100" spans="1:5" ht="15.75" customHeight="1" x14ac:dyDescent="0.25">
      <c r="A100" s="21" t="s">
        <v>85</v>
      </c>
      <c r="B100" s="137" t="s">
        <v>86</v>
      </c>
      <c r="C100" s="137"/>
      <c r="D100" s="49">
        <f>D85</f>
        <v>897.1099999999999</v>
      </c>
    </row>
    <row r="101" spans="1:5" ht="15.75" customHeight="1" x14ac:dyDescent="0.25">
      <c r="A101" s="21" t="s">
        <v>100</v>
      </c>
      <c r="B101" s="137" t="s">
        <v>228</v>
      </c>
      <c r="C101" s="137"/>
      <c r="D101" s="49">
        <f>D92</f>
        <v>102.94</v>
      </c>
    </row>
    <row r="102" spans="1:5" ht="15.75" customHeight="1" x14ac:dyDescent="0.25">
      <c r="A102" s="136" t="s">
        <v>60</v>
      </c>
      <c r="B102" s="136"/>
      <c r="C102" s="136"/>
      <c r="D102" s="30">
        <f>SUM(D98:D101)</f>
        <v>2348.4499999999998</v>
      </c>
    </row>
    <row r="104" spans="1:5" ht="16.5" thickBot="1" x14ac:dyDescent="0.3">
      <c r="E104" s="50"/>
    </row>
    <row r="105" spans="1:5" ht="17.25" customHeight="1" thickTop="1" thickBot="1" x14ac:dyDescent="0.3">
      <c r="A105" s="145" t="s">
        <v>104</v>
      </c>
      <c r="B105" s="145"/>
      <c r="C105" s="32" t="s">
        <v>63</v>
      </c>
      <c r="D105" s="33">
        <f>D37</f>
        <v>2013.05</v>
      </c>
    </row>
    <row r="106" spans="1:5" ht="17.25" customHeight="1" thickTop="1" thickBot="1" x14ac:dyDescent="0.3">
      <c r="A106" s="145"/>
      <c r="B106" s="145"/>
      <c r="C106" s="32" t="s">
        <v>105</v>
      </c>
      <c r="D106" s="33">
        <f>D51</f>
        <v>391.42</v>
      </c>
    </row>
    <row r="107" spans="1:5" ht="19.5" customHeight="1" thickTop="1" thickBot="1" x14ac:dyDescent="0.3">
      <c r="A107" s="145"/>
      <c r="B107" s="145"/>
      <c r="C107" s="34" t="s">
        <v>64</v>
      </c>
      <c r="D107" s="35">
        <f>SUM(D105:D106)</f>
        <v>2404.4699999999998</v>
      </c>
    </row>
    <row r="109" spans="1:5" x14ac:dyDescent="0.25">
      <c r="A109" s="139" t="s">
        <v>106</v>
      </c>
      <c r="B109" s="139"/>
      <c r="C109" s="139"/>
      <c r="D109" s="139"/>
    </row>
    <row r="111" spans="1:5" x14ac:dyDescent="0.25">
      <c r="A111" s="16">
        <v>3</v>
      </c>
      <c r="B111" s="16" t="s">
        <v>107</v>
      </c>
      <c r="C111" s="16" t="s">
        <v>56</v>
      </c>
      <c r="D111" s="16" t="s">
        <v>57</v>
      </c>
    </row>
    <row r="112" spans="1:5" x14ac:dyDescent="0.25">
      <c r="A112" s="21" t="s">
        <v>1</v>
      </c>
      <c r="B112" s="51" t="s">
        <v>108</v>
      </c>
      <c r="C112" s="40">
        <f>1/12*5.55%</f>
        <v>4.6249999999999998E-3</v>
      </c>
      <c r="D112" s="52">
        <f t="shared" ref="D112:D117" si="1">ROUND($D$107*C112,2)</f>
        <v>11.12</v>
      </c>
      <c r="E112" s="53"/>
    </row>
    <row r="113" spans="1:5" x14ac:dyDescent="0.25">
      <c r="A113" s="22" t="s">
        <v>2</v>
      </c>
      <c r="B113" s="54" t="s">
        <v>109</v>
      </c>
      <c r="C113" s="36">
        <f>8%*C112</f>
        <v>3.6999999999999999E-4</v>
      </c>
      <c r="D113" s="23">
        <f t="shared" si="1"/>
        <v>0.89</v>
      </c>
      <c r="E113" s="55"/>
    </row>
    <row r="114" spans="1:5" x14ac:dyDescent="0.25">
      <c r="A114" s="22" t="s">
        <v>3</v>
      </c>
      <c r="B114" s="54" t="s">
        <v>110</v>
      </c>
      <c r="C114" s="42">
        <f>(8%*40%*5.55%)</f>
        <v>1.776E-3</v>
      </c>
      <c r="D114" s="23">
        <f t="shared" si="1"/>
        <v>4.2699999999999996</v>
      </c>
      <c r="E114" s="56"/>
    </row>
    <row r="115" spans="1:5" x14ac:dyDescent="0.25">
      <c r="A115" s="22" t="s">
        <v>4</v>
      </c>
      <c r="B115" s="54" t="s">
        <v>111</v>
      </c>
      <c r="C115" s="42">
        <f>(1/30*7)/12</f>
        <v>1.9444444444444445E-2</v>
      </c>
      <c r="D115" s="23">
        <f t="shared" si="1"/>
        <v>46.75</v>
      </c>
    </row>
    <row r="116" spans="1:5" x14ac:dyDescent="0.25">
      <c r="A116" s="22" t="s">
        <v>5</v>
      </c>
      <c r="B116" s="57" t="s">
        <v>112</v>
      </c>
      <c r="C116" s="42">
        <v>7.1999999999999998E-3</v>
      </c>
      <c r="D116" s="23">
        <f t="shared" si="1"/>
        <v>17.309999999999999</v>
      </c>
    </row>
    <row r="117" spans="1:5" x14ac:dyDescent="0.25">
      <c r="A117" s="22" t="s">
        <v>6</v>
      </c>
      <c r="B117" s="54" t="s">
        <v>113</v>
      </c>
      <c r="C117" s="42">
        <f>((0.08*0.4))</f>
        <v>3.2000000000000001E-2</v>
      </c>
      <c r="D117" s="23">
        <f t="shared" si="1"/>
        <v>76.94</v>
      </c>
    </row>
    <row r="118" spans="1:5" ht="15.75" customHeight="1" x14ac:dyDescent="0.25">
      <c r="A118" s="148" t="s">
        <v>60</v>
      </c>
      <c r="B118" s="148"/>
      <c r="C118" s="148"/>
      <c r="D118" s="30">
        <f>SUM(D112:D117)</f>
        <v>157.28</v>
      </c>
    </row>
    <row r="119" spans="1:5" x14ac:dyDescent="0.25">
      <c r="D119" s="58"/>
    </row>
    <row r="121" spans="1:5" ht="17.25" customHeight="1" thickTop="1" thickBot="1" x14ac:dyDescent="0.3">
      <c r="A121" s="145" t="s">
        <v>114</v>
      </c>
      <c r="B121" s="145"/>
      <c r="C121" s="32" t="s">
        <v>115</v>
      </c>
      <c r="D121" s="35">
        <f>D37</f>
        <v>2013.05</v>
      </c>
    </row>
    <row r="122" spans="1:5" ht="17.25" customHeight="1" thickTop="1" thickBot="1" x14ac:dyDescent="0.3">
      <c r="A122" s="145"/>
      <c r="B122" s="145"/>
      <c r="C122" s="32" t="s">
        <v>105</v>
      </c>
      <c r="D122" s="35">
        <f>D51</f>
        <v>391.42</v>
      </c>
    </row>
    <row r="123" spans="1:5" ht="17.25" customHeight="1" thickTop="1" thickBot="1" x14ac:dyDescent="0.3">
      <c r="A123" s="145"/>
      <c r="B123" s="145"/>
      <c r="C123" s="32" t="s">
        <v>116</v>
      </c>
      <c r="D123" s="35">
        <f>D85-D77</f>
        <v>772.21999999999991</v>
      </c>
    </row>
    <row r="124" spans="1:5" ht="17.25" customHeight="1" thickTop="1" thickBot="1" x14ac:dyDescent="0.3">
      <c r="A124" s="145"/>
      <c r="B124" s="145"/>
      <c r="C124" s="32" t="s">
        <v>117</v>
      </c>
      <c r="D124" s="35">
        <f>D118</f>
        <v>157.28</v>
      </c>
    </row>
    <row r="125" spans="1:5" ht="19.5" customHeight="1" thickTop="1" thickBot="1" x14ac:dyDescent="0.3">
      <c r="A125" s="145"/>
      <c r="B125" s="145"/>
      <c r="C125" s="59" t="s">
        <v>118</v>
      </c>
      <c r="D125" s="35">
        <f>SUM(D121:D124)</f>
        <v>3333.97</v>
      </c>
    </row>
    <row r="127" spans="1:5" x14ac:dyDescent="0.25">
      <c r="A127" s="139" t="s">
        <v>119</v>
      </c>
      <c r="B127" s="139"/>
      <c r="C127" s="139"/>
      <c r="D127" s="139"/>
    </row>
    <row r="128" spans="1:5" x14ac:dyDescent="0.25">
      <c r="A128" s="15"/>
      <c r="B128" s="15"/>
      <c r="C128" s="15"/>
      <c r="D128" s="15"/>
    </row>
    <row r="129" spans="1:5" x14ac:dyDescent="0.25">
      <c r="A129" s="149" t="s">
        <v>120</v>
      </c>
      <c r="B129" s="149"/>
      <c r="C129" s="149"/>
      <c r="D129" s="149"/>
    </row>
    <row r="131" spans="1:5" x14ac:dyDescent="0.25">
      <c r="A131" s="16" t="s">
        <v>121</v>
      </c>
      <c r="B131" s="16" t="s">
        <v>122</v>
      </c>
      <c r="C131" s="16" t="s">
        <v>56</v>
      </c>
      <c r="D131" s="16" t="s">
        <v>57</v>
      </c>
    </row>
    <row r="132" spans="1:5" x14ac:dyDescent="0.25">
      <c r="A132" s="21" t="s">
        <v>1</v>
      </c>
      <c r="B132" s="17" t="s">
        <v>123</v>
      </c>
      <c r="C132" s="60">
        <v>0</v>
      </c>
      <c r="D132" s="52">
        <f>ROUND(C132*$D$125,2)</f>
        <v>0</v>
      </c>
    </row>
    <row r="133" spans="1:5" x14ac:dyDescent="0.25">
      <c r="A133" s="21" t="s">
        <v>2</v>
      </c>
      <c r="B133" s="17" t="s">
        <v>124</v>
      </c>
      <c r="C133" s="60">
        <f>ROUND(5.96/365,5)</f>
        <v>1.6330000000000001E-2</v>
      </c>
      <c r="D133" s="52">
        <f>ROUND(C133*$D$125,2)</f>
        <v>54.44</v>
      </c>
    </row>
    <row r="134" spans="1:5" x14ac:dyDescent="0.25">
      <c r="A134" s="21" t="s">
        <v>3</v>
      </c>
      <c r="B134" s="17" t="s">
        <v>125</v>
      </c>
      <c r="C134" s="60">
        <f>(5/30)/12*0.015</f>
        <v>2.0833333333333332E-4</v>
      </c>
      <c r="D134" s="52">
        <f>ROUND(C134*$D$125,2)</f>
        <v>0.69</v>
      </c>
    </row>
    <row r="135" spans="1:5" x14ac:dyDescent="0.25">
      <c r="A135" s="21" t="s">
        <v>4</v>
      </c>
      <c r="B135" s="17" t="s">
        <v>126</v>
      </c>
      <c r="C135" s="60">
        <f>15/30/12*8%</f>
        <v>3.3333333333333331E-3</v>
      </c>
      <c r="D135" s="52">
        <f>ROUND(C135*$D$125,2)</f>
        <v>11.11</v>
      </c>
    </row>
    <row r="136" spans="1:5" x14ac:dyDescent="0.25">
      <c r="A136" s="21" t="s">
        <v>5</v>
      </c>
      <c r="B136" s="17" t="s">
        <v>127</v>
      </c>
      <c r="C136" s="37">
        <f>0.02*(4/12)/12</f>
        <v>5.5555555555555556E-4</v>
      </c>
      <c r="D136" s="52">
        <f>ROUND(C136*$D$125,2)</f>
        <v>1.85</v>
      </c>
    </row>
    <row r="137" spans="1:5" s="45" customFormat="1" x14ac:dyDescent="0.25">
      <c r="A137" s="24" t="s">
        <v>6</v>
      </c>
      <c r="B137" s="25" t="s">
        <v>128</v>
      </c>
      <c r="C137" s="61"/>
      <c r="D137" s="27"/>
      <c r="E137" s="44"/>
    </row>
    <row r="138" spans="1:5" s="45" customFormat="1" x14ac:dyDescent="0.25">
      <c r="A138" s="24"/>
      <c r="B138" s="25"/>
      <c r="C138" s="61"/>
      <c r="D138" s="27"/>
      <c r="E138" s="44"/>
    </row>
    <row r="139" spans="1:5" ht="15.75" customHeight="1" x14ac:dyDescent="0.25">
      <c r="A139" s="136" t="s">
        <v>83</v>
      </c>
      <c r="B139" s="136"/>
      <c r="C139" s="62">
        <f>SUM(C132:C137)</f>
        <v>2.0427222222222225E-2</v>
      </c>
      <c r="D139" s="48">
        <f>SUM(D132:D138)</f>
        <v>68.089999999999989</v>
      </c>
    </row>
    <row r="140" spans="1:5" x14ac:dyDescent="0.25">
      <c r="A140" s="63"/>
      <c r="B140" s="63"/>
      <c r="C140" s="64"/>
      <c r="D140" s="65"/>
    </row>
    <row r="141" spans="1:5" x14ac:dyDescent="0.25">
      <c r="A141" s="149" t="s">
        <v>129</v>
      </c>
      <c r="B141" s="149"/>
      <c r="C141" s="149"/>
      <c r="D141" s="149"/>
    </row>
    <row r="143" spans="1:5" x14ac:dyDescent="0.25">
      <c r="A143" s="16" t="s">
        <v>130</v>
      </c>
      <c r="B143" s="16" t="s">
        <v>131</v>
      </c>
      <c r="C143" s="16" t="s">
        <v>56</v>
      </c>
      <c r="D143" s="16" t="s">
        <v>57</v>
      </c>
    </row>
    <row r="144" spans="1:5" x14ac:dyDescent="0.25">
      <c r="A144" s="66" t="s">
        <v>1</v>
      </c>
      <c r="B144" s="66" t="s">
        <v>131</v>
      </c>
      <c r="C144" s="67">
        <v>8.5400000000000007E-3</v>
      </c>
      <c r="D144" s="68">
        <f>ROUND(C144*D125,2)</f>
        <v>28.47</v>
      </c>
    </row>
    <row r="145" spans="1:4" ht="15.75" customHeight="1" x14ac:dyDescent="0.25">
      <c r="A145" s="136" t="s">
        <v>83</v>
      </c>
      <c r="B145" s="136"/>
      <c r="C145" s="136"/>
      <c r="D145" s="48">
        <f>D144</f>
        <v>28.47</v>
      </c>
    </row>
    <row r="146" spans="1:4" x14ac:dyDescent="0.25">
      <c r="A146" s="63"/>
      <c r="B146" s="63"/>
      <c r="C146" s="64"/>
      <c r="D146" s="65"/>
    </row>
    <row r="147" spans="1:4" x14ac:dyDescent="0.25">
      <c r="A147" s="139" t="s">
        <v>132</v>
      </c>
      <c r="B147" s="139"/>
      <c r="C147" s="139"/>
      <c r="D147" s="139"/>
    </row>
    <row r="149" spans="1:4" ht="15.75" customHeight="1" x14ac:dyDescent="0.25">
      <c r="A149" s="16">
        <v>4</v>
      </c>
      <c r="B149" s="136" t="s">
        <v>133</v>
      </c>
      <c r="C149" s="136"/>
      <c r="D149" s="16" t="s">
        <v>57</v>
      </c>
    </row>
    <row r="150" spans="1:4" x14ac:dyDescent="0.25">
      <c r="A150" s="21" t="s">
        <v>121</v>
      </c>
      <c r="B150" s="137" t="str">
        <f>B131</f>
        <v>Substituto nas Ausências Legais</v>
      </c>
      <c r="C150" s="137"/>
      <c r="D150" s="48">
        <f>D139</f>
        <v>68.089999999999989</v>
      </c>
    </row>
    <row r="151" spans="1:4" x14ac:dyDescent="0.25">
      <c r="A151" s="21" t="s">
        <v>130</v>
      </c>
      <c r="B151" s="137" t="str">
        <f>B143</f>
        <v>Incidencia do Submódulo 2.2 sobre o Substituto nas Ausências Legais</v>
      </c>
      <c r="C151" s="137"/>
      <c r="D151" s="49">
        <f>D145</f>
        <v>28.47</v>
      </c>
    </row>
    <row r="152" spans="1:4" ht="15.75" customHeight="1" x14ac:dyDescent="0.25">
      <c r="A152" s="136" t="s">
        <v>60</v>
      </c>
      <c r="B152" s="136"/>
      <c r="C152" s="136"/>
      <c r="D152" s="30">
        <f>SUM(D150:D151)</f>
        <v>96.559999999999988</v>
      </c>
    </row>
    <row r="153" spans="1:4" x14ac:dyDescent="0.25">
      <c r="A153" s="63"/>
      <c r="B153" s="63"/>
      <c r="C153" s="64"/>
      <c r="D153" s="65"/>
    </row>
    <row r="155" spans="1:4" ht="16.5" customHeight="1" thickTop="1" thickBot="1" x14ac:dyDescent="0.3">
      <c r="A155" s="145" t="s">
        <v>134</v>
      </c>
      <c r="B155" s="145"/>
      <c r="C155" s="145"/>
      <c r="D155" s="145"/>
    </row>
    <row r="156" spans="1:4" ht="29.25" customHeight="1" thickTop="1" x14ac:dyDescent="0.25">
      <c r="A156" s="145"/>
      <c r="B156" s="145"/>
      <c r="C156" s="145"/>
      <c r="D156" s="145"/>
    </row>
    <row r="158" spans="1:4" x14ac:dyDescent="0.25">
      <c r="A158" s="139" t="s">
        <v>135</v>
      </c>
      <c r="B158" s="139"/>
      <c r="C158" s="139"/>
      <c r="D158" s="139"/>
    </row>
    <row r="160" spans="1:4" ht="15.75" customHeight="1" x14ac:dyDescent="0.25">
      <c r="A160" s="16">
        <v>5</v>
      </c>
      <c r="B160" s="136" t="s">
        <v>136</v>
      </c>
      <c r="C160" s="136"/>
      <c r="D160" s="16" t="s">
        <v>57</v>
      </c>
    </row>
    <row r="161" spans="1:4" ht="15.75" customHeight="1" x14ac:dyDescent="0.25">
      <c r="A161" s="22" t="s">
        <v>1</v>
      </c>
      <c r="B161" s="146" t="s">
        <v>137</v>
      </c>
      <c r="C161" s="146"/>
      <c r="D161" s="46">
        <f>UNIFORMES!F11</f>
        <v>102.81666666666666</v>
      </c>
    </row>
    <row r="162" spans="1:4" ht="15.75" customHeight="1" x14ac:dyDescent="0.25">
      <c r="A162" s="22" t="s">
        <v>2</v>
      </c>
      <c r="B162" s="146" t="s">
        <v>138</v>
      </c>
      <c r="C162" s="146"/>
      <c r="D162" s="46">
        <f>EQUIPAMENTOS!I10</f>
        <v>58.848599999999998</v>
      </c>
    </row>
    <row r="163" spans="1:4" ht="15.75" customHeight="1" x14ac:dyDescent="0.25">
      <c r="A163" s="22" t="s">
        <v>3</v>
      </c>
      <c r="B163" s="147" t="s">
        <v>128</v>
      </c>
      <c r="C163" s="147"/>
      <c r="D163" s="46"/>
    </row>
    <row r="164" spans="1:4" ht="15.75" customHeight="1" x14ac:dyDescent="0.25">
      <c r="A164" s="24" t="s">
        <v>4</v>
      </c>
      <c r="B164" s="147" t="s">
        <v>128</v>
      </c>
      <c r="C164" s="147"/>
      <c r="D164" s="46"/>
    </row>
    <row r="165" spans="1:4" x14ac:dyDescent="0.25">
      <c r="A165" s="24"/>
      <c r="B165" s="147"/>
      <c r="C165" s="147"/>
      <c r="D165" s="46"/>
    </row>
    <row r="166" spans="1:4" ht="15.75" customHeight="1" x14ac:dyDescent="0.25">
      <c r="A166" s="136" t="s">
        <v>83</v>
      </c>
      <c r="B166" s="136"/>
      <c r="C166" s="136"/>
      <c r="D166" s="69">
        <f>SUM(D161:D165)</f>
        <v>161.66526666666667</v>
      </c>
    </row>
    <row r="169" spans="1:4" ht="17.25" customHeight="1" thickTop="1" thickBot="1" x14ac:dyDescent="0.3">
      <c r="A169" s="144" t="s">
        <v>139</v>
      </c>
      <c r="B169" s="144"/>
      <c r="C169" s="32" t="s">
        <v>115</v>
      </c>
      <c r="D169" s="35">
        <f>D37</f>
        <v>2013.05</v>
      </c>
    </row>
    <row r="170" spans="1:4" ht="17.25" customHeight="1" thickTop="1" thickBot="1" x14ac:dyDescent="0.3">
      <c r="A170" s="144"/>
      <c r="B170" s="144"/>
      <c r="C170" s="32" t="s">
        <v>140</v>
      </c>
      <c r="D170" s="35">
        <f>D102</f>
        <v>2348.4499999999998</v>
      </c>
    </row>
    <row r="171" spans="1:4" ht="17.25" customHeight="1" thickTop="1" thickBot="1" x14ac:dyDescent="0.3">
      <c r="A171" s="144"/>
      <c r="B171" s="144"/>
      <c r="C171" s="32" t="s">
        <v>117</v>
      </c>
      <c r="D171" s="35">
        <f>D118</f>
        <v>157.28</v>
      </c>
    </row>
    <row r="172" spans="1:4" ht="17.25" customHeight="1" thickTop="1" thickBot="1" x14ac:dyDescent="0.3">
      <c r="A172" s="144"/>
      <c r="B172" s="144"/>
      <c r="C172" s="32" t="s">
        <v>141</v>
      </c>
      <c r="D172" s="35">
        <f>D152</f>
        <v>96.559999999999988</v>
      </c>
    </row>
    <row r="173" spans="1:4" ht="17.25" customHeight="1" thickTop="1" thickBot="1" x14ac:dyDescent="0.3">
      <c r="A173" s="144"/>
      <c r="B173" s="144"/>
      <c r="C173" s="32" t="s">
        <v>142</v>
      </c>
      <c r="D173" s="35">
        <f>D166</f>
        <v>161.66526666666667</v>
      </c>
    </row>
    <row r="174" spans="1:4" ht="19.5" customHeight="1" thickTop="1" thickBot="1" x14ac:dyDescent="0.3">
      <c r="A174" s="144"/>
      <c r="B174" s="144"/>
      <c r="C174" s="59" t="s">
        <v>118</v>
      </c>
      <c r="D174" s="35">
        <f>SUM(D169:D173)</f>
        <v>4777.005266666667</v>
      </c>
    </row>
    <row r="175" spans="1:4" ht="17.25" customHeight="1" thickTop="1" thickBot="1" x14ac:dyDescent="0.3">
      <c r="A175" s="138" t="s">
        <v>143</v>
      </c>
      <c r="B175" s="138"/>
      <c r="C175" s="32" t="s">
        <v>115</v>
      </c>
      <c r="D175" s="35">
        <f>D43</f>
        <v>2013.05</v>
      </c>
    </row>
    <row r="176" spans="1:4" ht="17.25" customHeight="1" thickTop="1" thickBot="1" x14ac:dyDescent="0.3">
      <c r="A176" s="138"/>
      <c r="B176" s="138"/>
      <c r="C176" s="32" t="s">
        <v>140</v>
      </c>
      <c r="D176" s="35">
        <f>D170</f>
        <v>2348.4499999999998</v>
      </c>
    </row>
    <row r="177" spans="1:5" ht="17.25" customHeight="1" thickTop="1" thickBot="1" x14ac:dyDescent="0.3">
      <c r="A177" s="138"/>
      <c r="B177" s="138"/>
      <c r="C177" s="32" t="s">
        <v>117</v>
      </c>
      <c r="D177" s="35">
        <f>D171</f>
        <v>157.28</v>
      </c>
    </row>
    <row r="178" spans="1:5" ht="17.25" customHeight="1" thickTop="1" thickBot="1" x14ac:dyDescent="0.3">
      <c r="A178" s="138"/>
      <c r="B178" s="138"/>
      <c r="C178" s="32" t="s">
        <v>141</v>
      </c>
      <c r="D178" s="35">
        <f>D172</f>
        <v>96.559999999999988</v>
      </c>
    </row>
    <row r="179" spans="1:5" ht="17.25" customHeight="1" thickTop="1" thickBot="1" x14ac:dyDescent="0.3">
      <c r="A179" s="138"/>
      <c r="B179" s="138"/>
      <c r="C179" s="32" t="s">
        <v>142</v>
      </c>
      <c r="D179" s="35">
        <f>D173</f>
        <v>161.66526666666667</v>
      </c>
    </row>
    <row r="180" spans="1:5" ht="24" thickTop="1" thickBot="1" x14ac:dyDescent="0.3">
      <c r="A180" s="138"/>
      <c r="B180" s="138"/>
      <c r="C180" s="70" t="s">
        <v>144</v>
      </c>
      <c r="D180" s="35">
        <f>D186</f>
        <v>238.85</v>
      </c>
    </row>
    <row r="181" spans="1:5" ht="19.5" customHeight="1" thickTop="1" thickBot="1" x14ac:dyDescent="0.3">
      <c r="A181" s="138"/>
      <c r="B181" s="138"/>
      <c r="C181" s="59" t="s">
        <v>118</v>
      </c>
      <c r="D181" s="71">
        <f>SUM(D175:D180)</f>
        <v>5015.8552666666674</v>
      </c>
    </row>
    <row r="183" spans="1:5" x14ac:dyDescent="0.25">
      <c r="A183" s="139" t="s">
        <v>145</v>
      </c>
      <c r="B183" s="139"/>
      <c r="C183" s="139"/>
      <c r="D183" s="139"/>
    </row>
    <row r="185" spans="1:5" x14ac:dyDescent="0.25">
      <c r="A185" s="16">
        <v>6</v>
      </c>
      <c r="B185" s="16" t="s">
        <v>146</v>
      </c>
      <c r="C185" s="16" t="s">
        <v>56</v>
      </c>
      <c r="D185" s="16" t="s">
        <v>57</v>
      </c>
    </row>
    <row r="186" spans="1:5" x14ac:dyDescent="0.25">
      <c r="A186" s="72" t="s">
        <v>1</v>
      </c>
      <c r="B186" s="73" t="s">
        <v>147</v>
      </c>
      <c r="C186" s="74">
        <v>0.05</v>
      </c>
      <c r="D186" s="75">
        <f>IF(C186&gt;5%,"PERCENTUAL MÁXIMO ULTRAPASSADO",ROUND(+D174*C186,2))</f>
        <v>238.85</v>
      </c>
    </row>
    <row r="187" spans="1:5" ht="32.25" customHeight="1" x14ac:dyDescent="0.25">
      <c r="A187" s="72" t="s">
        <v>2</v>
      </c>
      <c r="B187" s="73" t="s">
        <v>148</v>
      </c>
      <c r="C187" s="74">
        <v>6.7900000000000002E-2</v>
      </c>
      <c r="D187" s="75">
        <f>IF(C187&gt;6.79%,"PERCENTUAL MÁXIMO ULTRAPASSADO)",ROUND(C187*(D181),2))</f>
        <v>340.58</v>
      </c>
    </row>
    <row r="188" spans="1:5" ht="15.75" customHeight="1" x14ac:dyDescent="0.25">
      <c r="A188" s="140" t="s">
        <v>149</v>
      </c>
      <c r="B188" s="140"/>
      <c r="C188" s="140"/>
      <c r="D188" s="76">
        <f>D174+D186+D187</f>
        <v>5356.4352666666673</v>
      </c>
    </row>
    <row r="189" spans="1:5" ht="15.75" customHeight="1" x14ac:dyDescent="0.25">
      <c r="A189" s="140" t="s">
        <v>150</v>
      </c>
      <c r="B189" s="140"/>
      <c r="C189" s="140"/>
      <c r="D189" s="76">
        <f>ROUND(D188/(1-C197),2)</f>
        <v>5800.15</v>
      </c>
    </row>
    <row r="190" spans="1:5" ht="15.75" customHeight="1" x14ac:dyDescent="0.25">
      <c r="A190" s="72" t="s">
        <v>3</v>
      </c>
      <c r="B190" s="141" t="s">
        <v>151</v>
      </c>
      <c r="C190" s="141"/>
      <c r="D190" s="141"/>
    </row>
    <row r="191" spans="1:5" ht="15.75" customHeight="1" x14ac:dyDescent="0.25">
      <c r="A191" s="73"/>
      <c r="B191" s="142" t="s">
        <v>152</v>
      </c>
      <c r="C191" s="142"/>
      <c r="D191" s="142"/>
      <c r="E191" s="53"/>
    </row>
    <row r="192" spans="1:5" x14ac:dyDescent="0.25">
      <c r="A192" s="73"/>
      <c r="B192" s="77" t="s">
        <v>153</v>
      </c>
      <c r="C192" s="78">
        <v>6.4999999999999997E-3</v>
      </c>
      <c r="D192" s="23">
        <f>ROUND($D$189*C192,2)</f>
        <v>37.700000000000003</v>
      </c>
    </row>
    <row r="193" spans="1:4" x14ac:dyDescent="0.25">
      <c r="A193" s="73"/>
      <c r="B193" s="77" t="s">
        <v>154</v>
      </c>
      <c r="C193" s="78">
        <v>0.03</v>
      </c>
      <c r="D193" s="23">
        <f>ROUND($D$189*C193,2)</f>
        <v>174</v>
      </c>
    </row>
    <row r="194" spans="1:4" ht="15.75" customHeight="1" x14ac:dyDescent="0.25">
      <c r="A194" s="73"/>
      <c r="B194" s="142" t="s">
        <v>155</v>
      </c>
      <c r="C194" s="142"/>
      <c r="D194" s="142"/>
    </row>
    <row r="195" spans="1:4" ht="15.75" customHeight="1" x14ac:dyDescent="0.25">
      <c r="A195" s="73"/>
      <c r="B195" s="142" t="s">
        <v>156</v>
      </c>
      <c r="C195" s="142"/>
      <c r="D195" s="142"/>
    </row>
    <row r="196" spans="1:4" x14ac:dyDescent="0.25">
      <c r="A196" s="73"/>
      <c r="B196" s="77" t="s">
        <v>157</v>
      </c>
      <c r="C196" s="79">
        <v>0.04</v>
      </c>
      <c r="D196" s="23">
        <f>ROUND($D$189*C196,2)</f>
        <v>232.01</v>
      </c>
    </row>
    <row r="197" spans="1:4" x14ac:dyDescent="0.25">
      <c r="A197" s="73"/>
      <c r="B197" s="80" t="s">
        <v>158</v>
      </c>
      <c r="C197" s="81">
        <f>C192+C193+C196</f>
        <v>7.6499999999999999E-2</v>
      </c>
      <c r="D197" s="82">
        <f>D192+D193+D196</f>
        <v>443.71</v>
      </c>
    </row>
    <row r="198" spans="1:4" ht="15.75" customHeight="1" x14ac:dyDescent="0.25">
      <c r="A198" s="143" t="s">
        <v>60</v>
      </c>
      <c r="B198" s="143"/>
      <c r="C198" s="143"/>
      <c r="D198" s="82">
        <f>D197+D187+D186</f>
        <v>1023.14</v>
      </c>
    </row>
    <row r="202" spans="1:4" x14ac:dyDescent="0.25">
      <c r="A202" s="139" t="s">
        <v>159</v>
      </c>
      <c r="B202" s="139"/>
      <c r="C202" s="139"/>
      <c r="D202" s="139"/>
    </row>
    <row r="204" spans="1:4" ht="15.75" customHeight="1" x14ac:dyDescent="0.25">
      <c r="A204" s="136" t="s">
        <v>160</v>
      </c>
      <c r="B204" s="136"/>
      <c r="C204" s="136"/>
      <c r="D204" s="16" t="s">
        <v>57</v>
      </c>
    </row>
    <row r="205" spans="1:4" ht="15.75" customHeight="1" x14ac:dyDescent="0.25">
      <c r="A205" s="16" t="s">
        <v>1</v>
      </c>
      <c r="B205" s="137" t="s">
        <v>53</v>
      </c>
      <c r="C205" s="137"/>
      <c r="D205" s="48">
        <f>D37</f>
        <v>2013.05</v>
      </c>
    </row>
    <row r="206" spans="1:4" ht="15.75" customHeight="1" x14ac:dyDescent="0.25">
      <c r="A206" s="16" t="s">
        <v>2</v>
      </c>
      <c r="B206" s="137" t="s">
        <v>161</v>
      </c>
      <c r="C206" s="137"/>
      <c r="D206" s="48">
        <f>D102</f>
        <v>2348.4499999999998</v>
      </c>
    </row>
    <row r="207" spans="1:4" ht="15.75" customHeight="1" x14ac:dyDescent="0.25">
      <c r="A207" s="16" t="s">
        <v>3</v>
      </c>
      <c r="B207" s="137" t="s">
        <v>106</v>
      </c>
      <c r="C207" s="137"/>
      <c r="D207" s="48">
        <f>D118</f>
        <v>157.28</v>
      </c>
    </row>
    <row r="208" spans="1:4" ht="15.75" customHeight="1" x14ac:dyDescent="0.25">
      <c r="A208" s="16" t="s">
        <v>4</v>
      </c>
      <c r="B208" s="137" t="s">
        <v>119</v>
      </c>
      <c r="C208" s="137"/>
      <c r="D208" s="48">
        <f>D172</f>
        <v>96.559999999999988</v>
      </c>
    </row>
    <row r="209" spans="1:4" ht="15.75" customHeight="1" x14ac:dyDescent="0.25">
      <c r="A209" s="16" t="s">
        <v>5</v>
      </c>
      <c r="B209" s="137" t="s">
        <v>135</v>
      </c>
      <c r="C209" s="137"/>
      <c r="D209" s="48">
        <f>D166</f>
        <v>161.66526666666667</v>
      </c>
    </row>
    <row r="210" spans="1:4" ht="15.75" customHeight="1" x14ac:dyDescent="0.25">
      <c r="A210" s="136" t="s">
        <v>162</v>
      </c>
      <c r="B210" s="136"/>
      <c r="C210" s="136"/>
      <c r="D210" s="83">
        <f>SUM(D205:D209)</f>
        <v>4777.005266666667</v>
      </c>
    </row>
    <row r="211" spans="1:4" ht="15.75" customHeight="1" x14ac:dyDescent="0.25">
      <c r="A211" s="16" t="s">
        <v>6</v>
      </c>
      <c r="B211" s="137" t="s">
        <v>163</v>
      </c>
      <c r="C211" s="137"/>
      <c r="D211" s="48">
        <f>D198</f>
        <v>1023.14</v>
      </c>
    </row>
    <row r="212" spans="1:4" ht="15.75" customHeight="1" x14ac:dyDescent="0.25">
      <c r="A212" s="136" t="s">
        <v>164</v>
      </c>
      <c r="B212" s="136"/>
      <c r="C212" s="136"/>
      <c r="D212" s="83">
        <f>ROUND(D210+D211,2)</f>
        <v>5800.15</v>
      </c>
    </row>
    <row r="214" spans="1:4" x14ac:dyDescent="0.25">
      <c r="D214" s="84"/>
    </row>
    <row r="216" spans="1:4" x14ac:dyDescent="0.25">
      <c r="D216" s="84"/>
    </row>
    <row r="218" spans="1:4" x14ac:dyDescent="0.25">
      <c r="D218" s="84"/>
    </row>
  </sheetData>
  <mergeCells count="97">
    <mergeCell ref="A9:D9"/>
    <mergeCell ref="A1:E1"/>
    <mergeCell ref="A2:D2"/>
    <mergeCell ref="A4:D4"/>
    <mergeCell ref="A6:D6"/>
    <mergeCell ref="A8:D8"/>
    <mergeCell ref="C22:D22"/>
    <mergeCell ref="A10:D10"/>
    <mergeCell ref="A11:D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69:B69"/>
    <mergeCell ref="C23:D23"/>
    <mergeCell ref="C24:D24"/>
    <mergeCell ref="C25:D25"/>
    <mergeCell ref="A28:D28"/>
    <mergeCell ref="A37:B37"/>
    <mergeCell ref="A40:D40"/>
    <mergeCell ref="A42:B43"/>
    <mergeCell ref="A45:D45"/>
    <mergeCell ref="A51:C51"/>
    <mergeCell ref="A54:B56"/>
    <mergeCell ref="A58:D58"/>
    <mergeCell ref="B84:C84"/>
    <mergeCell ref="A72:D72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102:C102"/>
    <mergeCell ref="A85:C85"/>
    <mergeCell ref="A88:D88"/>
    <mergeCell ref="B90:C90"/>
    <mergeCell ref="B91:C91"/>
    <mergeCell ref="A92:C92"/>
    <mergeCell ref="A95:D95"/>
    <mergeCell ref="B97:C97"/>
    <mergeCell ref="B98:C98"/>
    <mergeCell ref="B99:C99"/>
    <mergeCell ref="B100:C100"/>
    <mergeCell ref="B101:C101"/>
    <mergeCell ref="B150:C150"/>
    <mergeCell ref="A105:B107"/>
    <mergeCell ref="A109:D109"/>
    <mergeCell ref="A118:C118"/>
    <mergeCell ref="A121:B125"/>
    <mergeCell ref="A127:D127"/>
    <mergeCell ref="A129:D129"/>
    <mergeCell ref="A139:B139"/>
    <mergeCell ref="A141:D141"/>
    <mergeCell ref="A145:C145"/>
    <mergeCell ref="A147:D147"/>
    <mergeCell ref="B149:C149"/>
    <mergeCell ref="A169:B174"/>
    <mergeCell ref="B151:C151"/>
    <mergeCell ref="A152:C152"/>
    <mergeCell ref="A155:D156"/>
    <mergeCell ref="A158:D158"/>
    <mergeCell ref="B160:C160"/>
    <mergeCell ref="B161:C161"/>
    <mergeCell ref="B162:C162"/>
    <mergeCell ref="B163:C163"/>
    <mergeCell ref="B164:C164"/>
    <mergeCell ref="B165:C165"/>
    <mergeCell ref="A166:C166"/>
    <mergeCell ref="B205:C205"/>
    <mergeCell ref="A175:B181"/>
    <mergeCell ref="A183:D183"/>
    <mergeCell ref="A188:C188"/>
    <mergeCell ref="A189:C189"/>
    <mergeCell ref="B190:D190"/>
    <mergeCell ref="B191:D191"/>
    <mergeCell ref="B194:D194"/>
    <mergeCell ref="B195:D195"/>
    <mergeCell ref="A198:C198"/>
    <mergeCell ref="A202:D202"/>
    <mergeCell ref="A204:C204"/>
    <mergeCell ref="A212:C212"/>
    <mergeCell ref="B206:C206"/>
    <mergeCell ref="B207:C207"/>
    <mergeCell ref="B208:C208"/>
    <mergeCell ref="B209:C209"/>
    <mergeCell ref="A210:C210"/>
    <mergeCell ref="B211:C211"/>
  </mergeCells>
  <pageMargins left="0.51180555555555596" right="0.51180555555555596" top="0.78749999999999998" bottom="0.78749999999999998" header="0.511811023622047" footer="0.31527777777777799"/>
  <pageSetup paperSize="9" scale="65" fitToHeight="0" orientation="portrait" horizontalDpi="300" verticalDpi="300" r:id="rId1"/>
  <headerFooter>
    <oddFooter>&amp;LProcesso XXXX/2020&amp;C&amp;A</oddFooter>
  </headerFooter>
  <rowBreaks count="3" manualBreakCount="3">
    <brk id="70" max="16383" man="1"/>
    <brk id="139" max="16383" man="1"/>
    <brk id="199" max="16383" man="1"/>
  </rowBreaks>
  <colBreaks count="1" manualBreakCount="1">
    <brk id="4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8"/>
  <sheetViews>
    <sheetView showGridLines="0" view="pageBreakPreview" topLeftCell="A181" zoomScale="85" zoomScaleNormal="85" zoomScaleSheetLayoutView="85" workbookViewId="0">
      <selection activeCell="D161" sqref="D161"/>
    </sheetView>
  </sheetViews>
  <sheetFormatPr defaultColWidth="0" defaultRowHeight="15.75" x14ac:dyDescent="0.25"/>
  <cols>
    <col min="1" max="1" width="9.140625" style="11" customWidth="1"/>
    <col min="2" max="2" width="72.140625" style="11" customWidth="1"/>
    <col min="3" max="3" width="18" style="11" customWidth="1"/>
    <col min="4" max="4" width="40.85546875" style="11" customWidth="1"/>
    <col min="5" max="5" width="7.85546875" style="12" customWidth="1"/>
    <col min="6" max="6" width="12" style="13" hidden="1" customWidth="1"/>
    <col min="7" max="7" width="15.140625" style="13" hidden="1" customWidth="1"/>
    <col min="8" max="16384" width="14" style="13" hidden="1"/>
  </cols>
  <sheetData>
    <row r="1" spans="1:6" ht="15.75" customHeight="1" x14ac:dyDescent="0.25">
      <c r="A1" s="161"/>
      <c r="B1" s="161"/>
      <c r="C1" s="161"/>
      <c r="D1" s="161"/>
      <c r="E1" s="161"/>
    </row>
    <row r="2" spans="1:6" ht="57" customHeight="1" x14ac:dyDescent="0.25">
      <c r="A2" s="162" t="s">
        <v>23</v>
      </c>
      <c r="B2" s="162"/>
      <c r="C2" s="162"/>
      <c r="D2" s="162"/>
    </row>
    <row r="3" spans="1:6" ht="18.75" customHeight="1" x14ac:dyDescent="0.25">
      <c r="A3" s="14"/>
      <c r="B3" s="14"/>
      <c r="C3" s="14"/>
      <c r="D3" s="14"/>
    </row>
    <row r="4" spans="1:6" ht="57" customHeight="1" x14ac:dyDescent="0.25">
      <c r="A4" s="161" t="s">
        <v>24</v>
      </c>
      <c r="B4" s="161"/>
      <c r="C4" s="161"/>
      <c r="D4" s="161"/>
    </row>
    <row r="5" spans="1:6" ht="17.25" customHeight="1" x14ac:dyDescent="0.25">
      <c r="A5" s="14"/>
      <c r="B5" s="14"/>
      <c r="C5" s="14"/>
      <c r="D5" s="14"/>
    </row>
    <row r="6" spans="1:6" x14ac:dyDescent="0.25">
      <c r="A6" s="163" t="s">
        <v>25</v>
      </c>
      <c r="B6" s="163"/>
      <c r="C6" s="163"/>
      <c r="D6" s="163"/>
    </row>
    <row r="8" spans="1:6" ht="23.25" x14ac:dyDescent="0.25">
      <c r="A8" s="160" t="s">
        <v>26</v>
      </c>
      <c r="B8" s="160"/>
      <c r="C8" s="160"/>
      <c r="D8" s="160"/>
    </row>
    <row r="9" spans="1:6" ht="23.25" x14ac:dyDescent="0.25">
      <c r="A9" s="160" t="s">
        <v>27</v>
      </c>
      <c r="B9" s="160"/>
      <c r="C9" s="160"/>
      <c r="D9" s="160"/>
    </row>
    <row r="10" spans="1:6" x14ac:dyDescent="0.25">
      <c r="A10" s="157"/>
      <c r="B10" s="157"/>
      <c r="C10" s="157"/>
      <c r="D10" s="157"/>
    </row>
    <row r="11" spans="1:6" x14ac:dyDescent="0.25">
      <c r="A11" s="139" t="s">
        <v>28</v>
      </c>
      <c r="B11" s="139"/>
      <c r="C11" s="139"/>
      <c r="D11" s="139"/>
      <c r="F11" s="13" t="s">
        <v>29</v>
      </c>
    </row>
    <row r="12" spans="1:6" x14ac:dyDescent="0.25">
      <c r="A12" s="15"/>
      <c r="B12" s="15"/>
      <c r="C12" s="15"/>
      <c r="D12" s="15"/>
      <c r="F12" s="13" t="s">
        <v>30</v>
      </c>
    </row>
    <row r="13" spans="1:6" x14ac:dyDescent="0.25">
      <c r="A13" s="16" t="s">
        <v>1</v>
      </c>
      <c r="B13" s="17" t="s">
        <v>31</v>
      </c>
      <c r="C13" s="152" t="s">
        <v>216</v>
      </c>
      <c r="D13" s="152"/>
      <c r="E13" s="18"/>
    </row>
    <row r="14" spans="1:6" x14ac:dyDescent="0.25">
      <c r="A14" s="16" t="s">
        <v>2</v>
      </c>
      <c r="B14" s="17" t="s">
        <v>32</v>
      </c>
      <c r="C14" s="152" t="s">
        <v>217</v>
      </c>
      <c r="D14" s="152"/>
      <c r="E14" s="18"/>
    </row>
    <row r="15" spans="1:6" x14ac:dyDescent="0.25">
      <c r="A15" s="16" t="s">
        <v>3</v>
      </c>
      <c r="B15" s="17" t="s">
        <v>33</v>
      </c>
      <c r="C15" s="154" t="s">
        <v>218</v>
      </c>
      <c r="D15" s="154"/>
      <c r="E15" s="18"/>
    </row>
    <row r="16" spans="1:6" x14ac:dyDescent="0.25">
      <c r="A16" s="16" t="s">
        <v>4</v>
      </c>
      <c r="B16" s="17" t="s">
        <v>34</v>
      </c>
      <c r="C16" s="152" t="s">
        <v>35</v>
      </c>
      <c r="D16" s="152"/>
      <c r="E16" s="18"/>
    </row>
    <row r="17" spans="1:6" x14ac:dyDescent="0.25">
      <c r="A17" s="16" t="s">
        <v>5</v>
      </c>
      <c r="B17" s="19" t="s">
        <v>36</v>
      </c>
      <c r="C17" s="153">
        <v>24</v>
      </c>
      <c r="D17" s="153"/>
      <c r="E17" s="20"/>
    </row>
    <row r="18" spans="1:6" ht="36" customHeight="1" x14ac:dyDescent="0.25">
      <c r="A18" s="16" t="s">
        <v>6</v>
      </c>
      <c r="B18" s="19" t="s">
        <v>37</v>
      </c>
      <c r="C18" s="158" t="s">
        <v>219</v>
      </c>
      <c r="D18" s="158"/>
      <c r="E18" s="20"/>
    </row>
    <row r="19" spans="1:6" x14ac:dyDescent="0.25">
      <c r="A19" s="16" t="s">
        <v>7</v>
      </c>
      <c r="B19" s="19" t="s">
        <v>38</v>
      </c>
      <c r="C19" s="152" t="s">
        <v>39</v>
      </c>
      <c r="D19" s="152"/>
      <c r="E19" s="20"/>
    </row>
    <row r="20" spans="1:6" x14ac:dyDescent="0.25">
      <c r="A20" s="16" t="s">
        <v>8</v>
      </c>
      <c r="B20" s="17" t="s">
        <v>40</v>
      </c>
      <c r="C20" s="152" t="s">
        <v>41</v>
      </c>
      <c r="D20" s="152"/>
      <c r="E20" s="20"/>
    </row>
    <row r="21" spans="1:6" x14ac:dyDescent="0.25">
      <c r="A21" s="16" t="s">
        <v>9</v>
      </c>
      <c r="B21" s="17" t="s">
        <v>42</v>
      </c>
      <c r="C21" s="159">
        <v>1548.5</v>
      </c>
      <c r="D21" s="159"/>
      <c r="E21" s="20"/>
    </row>
    <row r="22" spans="1:6" x14ac:dyDescent="0.25">
      <c r="A22" s="16" t="s">
        <v>43</v>
      </c>
      <c r="B22" s="17" t="s">
        <v>44</v>
      </c>
      <c r="C22" s="153" t="s">
        <v>45</v>
      </c>
      <c r="D22" s="153"/>
      <c r="E22" s="20"/>
    </row>
    <row r="23" spans="1:6" x14ac:dyDescent="0.25">
      <c r="A23" s="16" t="s">
        <v>46</v>
      </c>
      <c r="B23" s="17" t="s">
        <v>47</v>
      </c>
      <c r="C23" s="152" t="s">
        <v>220</v>
      </c>
      <c r="D23" s="152"/>
      <c r="E23" s="20"/>
    </row>
    <row r="24" spans="1:6" x14ac:dyDescent="0.25">
      <c r="A24" s="16" t="s">
        <v>48</v>
      </c>
      <c r="B24" s="17" t="s">
        <v>49</v>
      </c>
      <c r="C24" s="153" t="s">
        <v>226</v>
      </c>
      <c r="D24" s="153"/>
      <c r="E24" s="20"/>
    </row>
    <row r="25" spans="1:6" x14ac:dyDescent="0.25">
      <c r="A25" s="16" t="s">
        <v>50</v>
      </c>
      <c r="B25" s="17" t="s">
        <v>51</v>
      </c>
      <c r="C25" s="154">
        <v>44966</v>
      </c>
      <c r="D25" s="154"/>
      <c r="E25" s="20"/>
    </row>
    <row r="27" spans="1:6" x14ac:dyDescent="0.25">
      <c r="F27" s="13" t="s">
        <v>52</v>
      </c>
    </row>
    <row r="28" spans="1:6" x14ac:dyDescent="0.25">
      <c r="A28" s="139" t="s">
        <v>53</v>
      </c>
      <c r="B28" s="139"/>
      <c r="C28" s="139"/>
      <c r="D28" s="139"/>
      <c r="F28" s="13" t="s">
        <v>54</v>
      </c>
    </row>
    <row r="30" spans="1:6" x14ac:dyDescent="0.25">
      <c r="A30" s="16">
        <v>1</v>
      </c>
      <c r="B30" s="16" t="s">
        <v>55</v>
      </c>
      <c r="C30" s="16" t="s">
        <v>56</v>
      </c>
      <c r="D30" s="16" t="s">
        <v>57</v>
      </c>
    </row>
    <row r="31" spans="1:6" x14ac:dyDescent="0.25">
      <c r="A31" s="21" t="s">
        <v>1</v>
      </c>
      <c r="B31" s="17" t="s">
        <v>58</v>
      </c>
      <c r="C31" s="22"/>
      <c r="D31" s="23">
        <f>C21</f>
        <v>1548.5</v>
      </c>
    </row>
    <row r="32" spans="1:6" x14ac:dyDescent="0.25">
      <c r="A32" s="24" t="s">
        <v>2</v>
      </c>
      <c r="B32" s="25" t="s">
        <v>59</v>
      </c>
      <c r="C32" s="26">
        <v>0.3</v>
      </c>
      <c r="D32" s="27">
        <f>ROUND(C32*D31,2)</f>
        <v>464.55</v>
      </c>
    </row>
    <row r="33" spans="1:4" x14ac:dyDescent="0.25">
      <c r="A33" s="24"/>
      <c r="B33" s="25"/>
      <c r="C33" s="26"/>
      <c r="D33" s="28"/>
    </row>
    <row r="34" spans="1:4" x14ac:dyDescent="0.25">
      <c r="A34" s="24"/>
      <c r="B34" s="25"/>
      <c r="C34" s="26"/>
      <c r="D34" s="27"/>
    </row>
    <row r="35" spans="1:4" x14ac:dyDescent="0.25">
      <c r="A35" s="24"/>
      <c r="B35" s="25"/>
      <c r="C35" s="26"/>
      <c r="D35" s="27"/>
    </row>
    <row r="36" spans="1:4" x14ac:dyDescent="0.25">
      <c r="A36" s="24"/>
      <c r="B36" s="25"/>
      <c r="C36" s="26"/>
      <c r="D36" s="27"/>
    </row>
    <row r="37" spans="1:4" ht="15.75" customHeight="1" x14ac:dyDescent="0.25">
      <c r="A37" s="136" t="s">
        <v>60</v>
      </c>
      <c r="B37" s="136"/>
      <c r="C37" s="29"/>
      <c r="D37" s="30">
        <f>SUM(D31:D36)</f>
        <v>2013.05</v>
      </c>
    </row>
    <row r="40" spans="1:4" x14ac:dyDescent="0.25">
      <c r="A40" s="139" t="s">
        <v>61</v>
      </c>
      <c r="B40" s="139"/>
      <c r="C40" s="139"/>
      <c r="D40" s="139"/>
    </row>
    <row r="41" spans="1:4" x14ac:dyDescent="0.25">
      <c r="A41" s="31"/>
    </row>
    <row r="42" spans="1:4" x14ac:dyDescent="0.25">
      <c r="A42" s="155" t="s">
        <v>62</v>
      </c>
      <c r="B42" s="155"/>
      <c r="C42" s="32" t="s">
        <v>63</v>
      </c>
      <c r="D42" s="33">
        <f>D37</f>
        <v>2013.05</v>
      </c>
    </row>
    <row r="43" spans="1:4" ht="18" x14ac:dyDescent="0.25">
      <c r="A43" s="155"/>
      <c r="B43" s="155"/>
      <c r="C43" s="34" t="s">
        <v>64</v>
      </c>
      <c r="D43" s="35">
        <f>SUM(D42:D42)</f>
        <v>2013.05</v>
      </c>
    </row>
    <row r="44" spans="1:4" x14ac:dyDescent="0.25">
      <c r="A44" s="31"/>
    </row>
    <row r="45" spans="1:4" x14ac:dyDescent="0.25">
      <c r="A45" s="149" t="s">
        <v>65</v>
      </c>
      <c r="B45" s="149"/>
      <c r="C45" s="149"/>
      <c r="D45" s="149"/>
    </row>
    <row r="47" spans="1:4" x14ac:dyDescent="0.25">
      <c r="A47" s="16" t="s">
        <v>66</v>
      </c>
      <c r="B47" s="16" t="s">
        <v>67</v>
      </c>
      <c r="C47" s="16" t="s">
        <v>56</v>
      </c>
      <c r="D47" s="16" t="s">
        <v>57</v>
      </c>
    </row>
    <row r="48" spans="1:4" x14ac:dyDescent="0.25">
      <c r="A48" s="21" t="s">
        <v>1</v>
      </c>
      <c r="B48" s="17" t="s">
        <v>68</v>
      </c>
      <c r="C48" s="36">
        <f>1/12</f>
        <v>8.3333333333333329E-2</v>
      </c>
      <c r="D48" s="23">
        <f>ROUND($D$43*C48,2)</f>
        <v>167.75</v>
      </c>
    </row>
    <row r="49" spans="1:4" x14ac:dyDescent="0.25">
      <c r="A49" s="21" t="s">
        <v>2</v>
      </c>
      <c r="B49" s="17" t="s">
        <v>69</v>
      </c>
      <c r="C49" s="37">
        <f>1/12</f>
        <v>8.3333333333333329E-2</v>
      </c>
      <c r="D49" s="23">
        <f>ROUND($D$43*C49,2)</f>
        <v>167.75</v>
      </c>
    </row>
    <row r="50" spans="1:4" x14ac:dyDescent="0.25">
      <c r="A50" s="21" t="s">
        <v>3</v>
      </c>
      <c r="B50" s="17" t="s">
        <v>70</v>
      </c>
      <c r="C50" s="38">
        <f>100%/3/12</f>
        <v>2.7777777777777776E-2</v>
      </c>
      <c r="D50" s="23">
        <f>ROUND($D$43*C50,2)</f>
        <v>55.92</v>
      </c>
    </row>
    <row r="51" spans="1:4" ht="15.75" customHeight="1" x14ac:dyDescent="0.25">
      <c r="A51" s="136" t="s">
        <v>60</v>
      </c>
      <c r="B51" s="136"/>
      <c r="C51" s="136"/>
      <c r="D51" s="30">
        <f>SUM(D48:D50)</f>
        <v>391.42</v>
      </c>
    </row>
    <row r="52" spans="1:4" x14ac:dyDescent="0.25">
      <c r="A52" s="39"/>
    </row>
    <row r="54" spans="1:4" x14ac:dyDescent="0.25">
      <c r="A54" s="155" t="s">
        <v>71</v>
      </c>
      <c r="B54" s="155"/>
      <c r="C54" s="32" t="s">
        <v>63</v>
      </c>
      <c r="D54" s="33">
        <f>D37</f>
        <v>2013.05</v>
      </c>
    </row>
    <row r="55" spans="1:4" x14ac:dyDescent="0.25">
      <c r="A55" s="155"/>
      <c r="B55" s="155"/>
      <c r="C55" s="32" t="s">
        <v>72</v>
      </c>
      <c r="D55" s="35">
        <f>D51</f>
        <v>391.42</v>
      </c>
    </row>
    <row r="56" spans="1:4" ht="18" x14ac:dyDescent="0.25">
      <c r="A56" s="155"/>
      <c r="B56" s="155"/>
      <c r="C56" s="34" t="s">
        <v>64</v>
      </c>
      <c r="D56" s="35">
        <f>SUM(D54:D55)</f>
        <v>2404.4699999999998</v>
      </c>
    </row>
    <row r="58" spans="1:4" ht="15.75" customHeight="1" x14ac:dyDescent="0.25">
      <c r="A58" s="156" t="s">
        <v>73</v>
      </c>
      <c r="B58" s="156"/>
      <c r="C58" s="156"/>
      <c r="D58" s="156"/>
    </row>
    <row r="60" spans="1:4" x14ac:dyDescent="0.25">
      <c r="A60" s="16" t="s">
        <v>74</v>
      </c>
      <c r="B60" s="16" t="s">
        <v>75</v>
      </c>
      <c r="C60" s="16" t="s">
        <v>56</v>
      </c>
      <c r="D60" s="16" t="s">
        <v>57</v>
      </c>
    </row>
    <row r="61" spans="1:4" x14ac:dyDescent="0.25">
      <c r="A61" s="21" t="s">
        <v>1</v>
      </c>
      <c r="B61" s="17" t="s">
        <v>76</v>
      </c>
      <c r="C61" s="40">
        <v>0.2</v>
      </c>
      <c r="D61" s="41">
        <f t="shared" ref="D61:D68" si="0">ROUND($D$56*C61,2)</f>
        <v>480.89</v>
      </c>
    </row>
    <row r="62" spans="1:4" x14ac:dyDescent="0.25">
      <c r="A62" s="21" t="s">
        <v>2</v>
      </c>
      <c r="B62" s="17" t="s">
        <v>77</v>
      </c>
      <c r="C62" s="40">
        <v>2.5000000000000001E-2</v>
      </c>
      <c r="D62" s="41">
        <f t="shared" si="0"/>
        <v>60.11</v>
      </c>
    </row>
    <row r="63" spans="1:4" x14ac:dyDescent="0.25">
      <c r="A63" s="21" t="s">
        <v>3</v>
      </c>
      <c r="B63" s="17" t="s">
        <v>227</v>
      </c>
      <c r="C63" s="40">
        <v>0.06</v>
      </c>
      <c r="D63" s="41">
        <f t="shared" si="0"/>
        <v>144.27000000000001</v>
      </c>
    </row>
    <row r="64" spans="1:4" x14ac:dyDescent="0.25">
      <c r="A64" s="21" t="s">
        <v>4</v>
      </c>
      <c r="B64" s="17" t="s">
        <v>78</v>
      </c>
      <c r="C64" s="40">
        <v>1.4999999999999999E-2</v>
      </c>
      <c r="D64" s="41">
        <f t="shared" si="0"/>
        <v>36.07</v>
      </c>
    </row>
    <row r="65" spans="1:4" x14ac:dyDescent="0.25">
      <c r="A65" s="21" t="s">
        <v>5</v>
      </c>
      <c r="B65" s="17" t="s">
        <v>79</v>
      </c>
      <c r="C65" s="40">
        <v>0.01</v>
      </c>
      <c r="D65" s="41">
        <f t="shared" si="0"/>
        <v>24.04</v>
      </c>
    </row>
    <row r="66" spans="1:4" x14ac:dyDescent="0.25">
      <c r="A66" s="21" t="s">
        <v>6</v>
      </c>
      <c r="B66" s="17" t="s">
        <v>80</v>
      </c>
      <c r="C66" s="40">
        <v>6.0000000000000001E-3</v>
      </c>
      <c r="D66" s="41">
        <f t="shared" si="0"/>
        <v>14.43</v>
      </c>
    </row>
    <row r="67" spans="1:4" x14ac:dyDescent="0.25">
      <c r="A67" s="21" t="s">
        <v>7</v>
      </c>
      <c r="B67" s="17" t="s">
        <v>81</v>
      </c>
      <c r="C67" s="40">
        <v>2E-3</v>
      </c>
      <c r="D67" s="41">
        <f t="shared" si="0"/>
        <v>4.8099999999999996</v>
      </c>
    </row>
    <row r="68" spans="1:4" x14ac:dyDescent="0.25">
      <c r="A68" s="21" t="s">
        <v>8</v>
      </c>
      <c r="B68" s="17" t="s">
        <v>82</v>
      </c>
      <c r="C68" s="42">
        <v>0.08</v>
      </c>
      <c r="D68" s="41">
        <f t="shared" si="0"/>
        <v>192.36</v>
      </c>
    </row>
    <row r="69" spans="1:4" ht="15.75" customHeight="1" x14ac:dyDescent="0.25">
      <c r="A69" s="136" t="s">
        <v>83</v>
      </c>
      <c r="B69" s="136"/>
      <c r="C69" s="43">
        <f>SUM(C61:C68)</f>
        <v>0.39800000000000008</v>
      </c>
      <c r="D69" s="30">
        <f>SUM(D61:D68)</f>
        <v>956.9799999999999</v>
      </c>
    </row>
    <row r="70" spans="1:4" x14ac:dyDescent="0.25">
      <c r="A70" s="39"/>
    </row>
    <row r="72" spans="1:4" x14ac:dyDescent="0.25">
      <c r="A72" s="149" t="s">
        <v>84</v>
      </c>
      <c r="B72" s="149"/>
      <c r="C72" s="149"/>
      <c r="D72" s="149"/>
    </row>
    <row r="74" spans="1:4" ht="15.75" customHeight="1" x14ac:dyDescent="0.25">
      <c r="A74" s="16" t="s">
        <v>85</v>
      </c>
      <c r="B74" s="136" t="s">
        <v>86</v>
      </c>
      <c r="C74" s="136"/>
      <c r="D74" s="16" t="s">
        <v>57</v>
      </c>
    </row>
    <row r="75" spans="1:4" ht="15.75" customHeight="1" x14ac:dyDescent="0.25">
      <c r="A75" s="21" t="s">
        <v>87</v>
      </c>
      <c r="B75" s="137" t="s">
        <v>88</v>
      </c>
      <c r="C75" s="137"/>
      <c r="D75" s="27">
        <f>4.95*2*22</f>
        <v>217.8</v>
      </c>
    </row>
    <row r="76" spans="1:4" ht="15.75" customHeight="1" x14ac:dyDescent="0.25">
      <c r="A76" s="21" t="s">
        <v>89</v>
      </c>
      <c r="B76" s="137" t="s">
        <v>90</v>
      </c>
      <c r="C76" s="137"/>
      <c r="D76" s="23">
        <f>IF(D75&lt;=0,"0,00",IF(ROUND(D31*6%,2)&gt;D75,D75,ROUND(D31*6%,2)))</f>
        <v>92.91</v>
      </c>
    </row>
    <row r="77" spans="1:4" ht="15.75" customHeight="1" x14ac:dyDescent="0.25">
      <c r="A77" s="21" t="s">
        <v>91</v>
      </c>
      <c r="B77" s="137" t="s">
        <v>92</v>
      </c>
      <c r="C77" s="137"/>
      <c r="D77" s="23">
        <f>D75-D76</f>
        <v>124.89000000000001</v>
      </c>
    </row>
    <row r="78" spans="1:4" ht="15.75" customHeight="1" x14ac:dyDescent="0.25">
      <c r="A78" s="21" t="s">
        <v>93</v>
      </c>
      <c r="B78" s="137" t="s">
        <v>221</v>
      </c>
      <c r="C78" s="137"/>
      <c r="D78" s="27">
        <f>26*22</f>
        <v>572</v>
      </c>
    </row>
    <row r="79" spans="1:4" ht="15.75" customHeight="1" x14ac:dyDescent="0.25">
      <c r="A79" s="21" t="s">
        <v>94</v>
      </c>
      <c r="B79" s="137" t="s">
        <v>95</v>
      </c>
      <c r="C79" s="137"/>
      <c r="D79" s="27">
        <f>ROUND(D78*2%,2)</f>
        <v>11.44</v>
      </c>
    </row>
    <row r="80" spans="1:4" ht="15.75" customHeight="1" x14ac:dyDescent="0.25">
      <c r="A80" s="21" t="s">
        <v>96</v>
      </c>
      <c r="B80" s="137" t="s">
        <v>97</v>
      </c>
      <c r="C80" s="137"/>
      <c r="D80" s="23">
        <f>D78-D79</f>
        <v>560.55999999999995</v>
      </c>
    </row>
    <row r="81" spans="1:5" s="45" customFormat="1" ht="15.75" customHeight="1" x14ac:dyDescent="0.25">
      <c r="A81" s="24" t="s">
        <v>3</v>
      </c>
      <c r="B81" s="147" t="s">
        <v>222</v>
      </c>
      <c r="C81" s="147"/>
      <c r="D81" s="27">
        <v>112</v>
      </c>
      <c r="E81" s="44"/>
    </row>
    <row r="82" spans="1:5" s="45" customFormat="1" ht="15.75" customHeight="1" x14ac:dyDescent="0.25">
      <c r="A82" s="24" t="s">
        <v>4</v>
      </c>
      <c r="B82" s="150" t="s">
        <v>223</v>
      </c>
      <c r="C82" s="151"/>
      <c r="D82" s="27">
        <v>47.66</v>
      </c>
      <c r="E82" s="44"/>
    </row>
    <row r="83" spans="1:5" s="45" customFormat="1" ht="15.75" customHeight="1" x14ac:dyDescent="0.25">
      <c r="A83" s="24" t="s">
        <v>4</v>
      </c>
      <c r="B83" s="147" t="s">
        <v>225</v>
      </c>
      <c r="C83" s="147"/>
      <c r="D83" s="46">
        <v>7</v>
      </c>
      <c r="E83" s="44"/>
    </row>
    <row r="84" spans="1:5" s="45" customFormat="1" ht="15.75" customHeight="1" x14ac:dyDescent="0.25">
      <c r="A84" s="24" t="s">
        <v>5</v>
      </c>
      <c r="B84" s="147" t="s">
        <v>224</v>
      </c>
      <c r="C84" s="147"/>
      <c r="D84" s="46">
        <v>45</v>
      </c>
      <c r="E84" s="44"/>
    </row>
    <row r="85" spans="1:5" ht="15.75" customHeight="1" x14ac:dyDescent="0.25">
      <c r="A85" s="136" t="s">
        <v>98</v>
      </c>
      <c r="B85" s="136"/>
      <c r="C85" s="136"/>
      <c r="D85" s="30">
        <f>SUM(D81:D84)+D77+D80</f>
        <v>897.1099999999999</v>
      </c>
    </row>
    <row r="88" spans="1:5" x14ac:dyDescent="0.25">
      <c r="A88" s="149" t="s">
        <v>99</v>
      </c>
      <c r="B88" s="149"/>
      <c r="C88" s="149"/>
      <c r="D88" s="149"/>
    </row>
    <row r="90" spans="1:5" ht="15.75" customHeight="1" x14ac:dyDescent="0.25">
      <c r="A90" s="16" t="s">
        <v>100</v>
      </c>
      <c r="B90" s="136" t="s">
        <v>101</v>
      </c>
      <c r="C90" s="136"/>
      <c r="D90" s="29" t="s">
        <v>57</v>
      </c>
    </row>
    <row r="91" spans="1:5" ht="15.75" customHeight="1" x14ac:dyDescent="0.25">
      <c r="A91" s="21" t="s">
        <v>1</v>
      </c>
      <c r="B91" s="137" t="s">
        <v>228</v>
      </c>
      <c r="C91" s="137"/>
      <c r="D91" s="46">
        <v>102.94</v>
      </c>
    </row>
    <row r="92" spans="1:5" ht="15.75" customHeight="1" x14ac:dyDescent="0.25">
      <c r="A92" s="136" t="s">
        <v>60</v>
      </c>
      <c r="B92" s="136"/>
      <c r="C92" s="136"/>
      <c r="D92" s="30">
        <f>SUM(D91)</f>
        <v>102.94</v>
      </c>
    </row>
    <row r="93" spans="1:5" x14ac:dyDescent="0.25">
      <c r="A93" s="14"/>
      <c r="B93" s="14"/>
      <c r="C93" s="47"/>
    </row>
    <row r="94" spans="1:5" x14ac:dyDescent="0.25">
      <c r="A94" s="14"/>
      <c r="B94" s="14"/>
      <c r="C94" s="47"/>
    </row>
    <row r="95" spans="1:5" x14ac:dyDescent="0.25">
      <c r="A95" s="139" t="s">
        <v>102</v>
      </c>
      <c r="B95" s="139"/>
      <c r="C95" s="139"/>
      <c r="D95" s="139"/>
    </row>
    <row r="97" spans="1:5" ht="15.75" customHeight="1" x14ac:dyDescent="0.25">
      <c r="A97" s="16">
        <v>2</v>
      </c>
      <c r="B97" s="136" t="s">
        <v>103</v>
      </c>
      <c r="C97" s="136"/>
      <c r="D97" s="16" t="s">
        <v>57</v>
      </c>
    </row>
    <row r="98" spans="1:5" ht="15.75" customHeight="1" x14ac:dyDescent="0.25">
      <c r="A98" s="21" t="s">
        <v>66</v>
      </c>
      <c r="B98" s="137" t="s">
        <v>67</v>
      </c>
      <c r="C98" s="137"/>
      <c r="D98" s="48">
        <f>D51</f>
        <v>391.42</v>
      </c>
    </row>
    <row r="99" spans="1:5" ht="15.75" customHeight="1" x14ac:dyDescent="0.25">
      <c r="A99" s="21" t="s">
        <v>74</v>
      </c>
      <c r="B99" s="137" t="s">
        <v>75</v>
      </c>
      <c r="C99" s="137"/>
      <c r="D99" s="49">
        <f>D69</f>
        <v>956.9799999999999</v>
      </c>
    </row>
    <row r="100" spans="1:5" ht="15.75" customHeight="1" x14ac:dyDescent="0.25">
      <c r="A100" s="21" t="s">
        <v>85</v>
      </c>
      <c r="B100" s="137" t="s">
        <v>86</v>
      </c>
      <c r="C100" s="137"/>
      <c r="D100" s="49">
        <f>D85</f>
        <v>897.1099999999999</v>
      </c>
    </row>
    <row r="101" spans="1:5" ht="15.75" customHeight="1" x14ac:dyDescent="0.25">
      <c r="A101" s="21" t="s">
        <v>100</v>
      </c>
      <c r="B101" s="137" t="s">
        <v>228</v>
      </c>
      <c r="C101" s="137"/>
      <c r="D101" s="49">
        <f>D92</f>
        <v>102.94</v>
      </c>
    </row>
    <row r="102" spans="1:5" ht="15.75" customHeight="1" x14ac:dyDescent="0.25">
      <c r="A102" s="136" t="s">
        <v>60</v>
      </c>
      <c r="B102" s="136"/>
      <c r="C102" s="136"/>
      <c r="D102" s="30">
        <f>SUM(D98:D101)</f>
        <v>2348.4499999999998</v>
      </c>
    </row>
    <row r="104" spans="1:5" x14ac:dyDescent="0.25">
      <c r="E104" s="50"/>
    </row>
    <row r="105" spans="1:5" ht="17.25" customHeight="1" x14ac:dyDescent="0.25">
      <c r="A105" s="145" t="s">
        <v>104</v>
      </c>
      <c r="B105" s="145"/>
      <c r="C105" s="32" t="s">
        <v>63</v>
      </c>
      <c r="D105" s="33">
        <f>D37</f>
        <v>2013.05</v>
      </c>
    </row>
    <row r="106" spans="1:5" ht="17.25" customHeight="1" x14ac:dyDescent="0.25">
      <c r="A106" s="145"/>
      <c r="B106" s="145"/>
      <c r="C106" s="32" t="s">
        <v>105</v>
      </c>
      <c r="D106" s="33">
        <f>D51</f>
        <v>391.42</v>
      </c>
    </row>
    <row r="107" spans="1:5" ht="19.5" customHeight="1" x14ac:dyDescent="0.25">
      <c r="A107" s="145"/>
      <c r="B107" s="145"/>
      <c r="C107" s="34" t="s">
        <v>64</v>
      </c>
      <c r="D107" s="35">
        <f>SUM(D105:D106)</f>
        <v>2404.4699999999998</v>
      </c>
    </row>
    <row r="109" spans="1:5" x14ac:dyDescent="0.25">
      <c r="A109" s="139" t="s">
        <v>106</v>
      </c>
      <c r="B109" s="139"/>
      <c r="C109" s="139"/>
      <c r="D109" s="139"/>
    </row>
    <row r="111" spans="1:5" x14ac:dyDescent="0.25">
      <c r="A111" s="16">
        <v>3</v>
      </c>
      <c r="B111" s="16" t="s">
        <v>107</v>
      </c>
      <c r="C111" s="16" t="s">
        <v>56</v>
      </c>
      <c r="D111" s="16" t="s">
        <v>57</v>
      </c>
    </row>
    <row r="112" spans="1:5" x14ac:dyDescent="0.25">
      <c r="A112" s="21" t="s">
        <v>1</v>
      </c>
      <c r="B112" s="51" t="s">
        <v>108</v>
      </c>
      <c r="C112" s="40">
        <f>1/12*5.55%</f>
        <v>4.6249999999999998E-3</v>
      </c>
      <c r="D112" s="52">
        <f t="shared" ref="D112:D117" si="1">ROUND($D$107*C112,2)</f>
        <v>11.12</v>
      </c>
      <c r="E112" s="53"/>
    </row>
    <row r="113" spans="1:5" x14ac:dyDescent="0.25">
      <c r="A113" s="22" t="s">
        <v>2</v>
      </c>
      <c r="B113" s="54" t="s">
        <v>109</v>
      </c>
      <c r="C113" s="36">
        <f>8%*C112</f>
        <v>3.6999999999999999E-4</v>
      </c>
      <c r="D113" s="23">
        <f t="shared" si="1"/>
        <v>0.89</v>
      </c>
      <c r="E113" s="55"/>
    </row>
    <row r="114" spans="1:5" x14ac:dyDescent="0.25">
      <c r="A114" s="22" t="s">
        <v>3</v>
      </c>
      <c r="B114" s="54" t="s">
        <v>110</v>
      </c>
      <c r="C114" s="42">
        <f>(8%*40%*5.55%)</f>
        <v>1.776E-3</v>
      </c>
      <c r="D114" s="23">
        <f t="shared" si="1"/>
        <v>4.2699999999999996</v>
      </c>
      <c r="E114" s="56"/>
    </row>
    <row r="115" spans="1:5" x14ac:dyDescent="0.25">
      <c r="A115" s="22" t="s">
        <v>4</v>
      </c>
      <c r="B115" s="54" t="s">
        <v>111</v>
      </c>
      <c r="C115" s="42">
        <f>(1/30*7)/12</f>
        <v>1.9444444444444445E-2</v>
      </c>
      <c r="D115" s="23">
        <f t="shared" si="1"/>
        <v>46.75</v>
      </c>
    </row>
    <row r="116" spans="1:5" x14ac:dyDescent="0.25">
      <c r="A116" s="22" t="s">
        <v>5</v>
      </c>
      <c r="B116" s="57" t="s">
        <v>112</v>
      </c>
      <c r="C116" s="42">
        <v>7.1999999999999998E-3</v>
      </c>
      <c r="D116" s="23">
        <f t="shared" si="1"/>
        <v>17.309999999999999</v>
      </c>
    </row>
    <row r="117" spans="1:5" x14ac:dyDescent="0.25">
      <c r="A117" s="22" t="s">
        <v>6</v>
      </c>
      <c r="B117" s="54" t="s">
        <v>113</v>
      </c>
      <c r="C117" s="42">
        <f>((0.08*0.4))</f>
        <v>3.2000000000000001E-2</v>
      </c>
      <c r="D117" s="23">
        <f t="shared" si="1"/>
        <v>76.94</v>
      </c>
    </row>
    <row r="118" spans="1:5" ht="15.75" customHeight="1" x14ac:dyDescent="0.25">
      <c r="A118" s="148" t="s">
        <v>60</v>
      </c>
      <c r="B118" s="148"/>
      <c r="C118" s="148"/>
      <c r="D118" s="30">
        <f>SUM(D112:D117)</f>
        <v>157.28</v>
      </c>
    </row>
    <row r="119" spans="1:5" x14ac:dyDescent="0.25">
      <c r="D119" s="58"/>
    </row>
    <row r="121" spans="1:5" ht="17.25" customHeight="1" x14ac:dyDescent="0.25">
      <c r="A121" s="145" t="s">
        <v>114</v>
      </c>
      <c r="B121" s="145"/>
      <c r="C121" s="32" t="s">
        <v>115</v>
      </c>
      <c r="D121" s="35">
        <f>D37</f>
        <v>2013.05</v>
      </c>
    </row>
    <row r="122" spans="1:5" ht="17.25" customHeight="1" x14ac:dyDescent="0.25">
      <c r="A122" s="145"/>
      <c r="B122" s="145"/>
      <c r="C122" s="32" t="s">
        <v>105</v>
      </c>
      <c r="D122" s="35">
        <f>D51</f>
        <v>391.42</v>
      </c>
    </row>
    <row r="123" spans="1:5" ht="17.25" customHeight="1" x14ac:dyDescent="0.25">
      <c r="A123" s="145"/>
      <c r="B123" s="145"/>
      <c r="C123" s="32" t="s">
        <v>116</v>
      </c>
      <c r="D123" s="35">
        <f>D85-D77</f>
        <v>772.21999999999991</v>
      </c>
    </row>
    <row r="124" spans="1:5" ht="17.25" customHeight="1" x14ac:dyDescent="0.25">
      <c r="A124" s="145"/>
      <c r="B124" s="145"/>
      <c r="C124" s="32" t="s">
        <v>117</v>
      </c>
      <c r="D124" s="35">
        <f>D118</f>
        <v>157.28</v>
      </c>
    </row>
    <row r="125" spans="1:5" ht="19.5" customHeight="1" x14ac:dyDescent="0.25">
      <c r="A125" s="145"/>
      <c r="B125" s="145"/>
      <c r="C125" s="59" t="s">
        <v>118</v>
      </c>
      <c r="D125" s="35">
        <f>SUM(D121:D124)</f>
        <v>3333.97</v>
      </c>
    </row>
    <row r="127" spans="1:5" x14ac:dyDescent="0.25">
      <c r="A127" s="139" t="s">
        <v>119</v>
      </c>
      <c r="B127" s="139"/>
      <c r="C127" s="139"/>
      <c r="D127" s="139"/>
    </row>
    <row r="128" spans="1:5" x14ac:dyDescent="0.25">
      <c r="A128" s="15"/>
      <c r="B128" s="15"/>
      <c r="C128" s="15"/>
      <c r="D128" s="15"/>
    </row>
    <row r="129" spans="1:5" x14ac:dyDescent="0.25">
      <c r="A129" s="149" t="s">
        <v>120</v>
      </c>
      <c r="B129" s="149"/>
      <c r="C129" s="149"/>
      <c r="D129" s="149"/>
    </row>
    <row r="131" spans="1:5" x14ac:dyDescent="0.25">
      <c r="A131" s="16" t="s">
        <v>121</v>
      </c>
      <c r="B131" s="16" t="s">
        <v>122</v>
      </c>
      <c r="C131" s="16" t="s">
        <v>56</v>
      </c>
      <c r="D131" s="16" t="s">
        <v>57</v>
      </c>
    </row>
    <row r="132" spans="1:5" x14ac:dyDescent="0.25">
      <c r="A132" s="21" t="s">
        <v>1</v>
      </c>
      <c r="B132" s="17" t="s">
        <v>123</v>
      </c>
      <c r="C132" s="60">
        <v>0</v>
      </c>
      <c r="D132" s="52">
        <f>ROUND(C132*$D$125,2)</f>
        <v>0</v>
      </c>
    </row>
    <row r="133" spans="1:5" x14ac:dyDescent="0.25">
      <c r="A133" s="21" t="s">
        <v>2</v>
      </c>
      <c r="B133" s="17" t="s">
        <v>124</v>
      </c>
      <c r="C133" s="60">
        <f>ROUND(5.96/365,5)</f>
        <v>1.6330000000000001E-2</v>
      </c>
      <c r="D133" s="52">
        <f>ROUND(C133*$D$125,2)</f>
        <v>54.44</v>
      </c>
    </row>
    <row r="134" spans="1:5" x14ac:dyDescent="0.25">
      <c r="A134" s="21" t="s">
        <v>3</v>
      </c>
      <c r="B134" s="17" t="s">
        <v>125</v>
      </c>
      <c r="C134" s="60">
        <f>(5/30)/12*0.015</f>
        <v>2.0833333333333332E-4</v>
      </c>
      <c r="D134" s="52">
        <f>ROUND(C134*$D$125,2)</f>
        <v>0.69</v>
      </c>
    </row>
    <row r="135" spans="1:5" x14ac:dyDescent="0.25">
      <c r="A135" s="21" t="s">
        <v>4</v>
      </c>
      <c r="B135" s="17" t="s">
        <v>126</v>
      </c>
      <c r="C135" s="60">
        <f>15/30/12*8%</f>
        <v>3.3333333333333331E-3</v>
      </c>
      <c r="D135" s="52">
        <f>ROUND(C135*$D$125,2)</f>
        <v>11.11</v>
      </c>
    </row>
    <row r="136" spans="1:5" x14ac:dyDescent="0.25">
      <c r="A136" s="21" t="s">
        <v>5</v>
      </c>
      <c r="B136" s="17" t="s">
        <v>127</v>
      </c>
      <c r="C136" s="37">
        <f>0.02*(4/12)/12</f>
        <v>5.5555555555555556E-4</v>
      </c>
      <c r="D136" s="52">
        <f>ROUND(C136*$D$125,2)</f>
        <v>1.85</v>
      </c>
    </row>
    <row r="137" spans="1:5" s="45" customFormat="1" x14ac:dyDescent="0.25">
      <c r="A137" s="24" t="s">
        <v>6</v>
      </c>
      <c r="B137" s="25" t="s">
        <v>128</v>
      </c>
      <c r="C137" s="61"/>
      <c r="D137" s="27"/>
      <c r="E137" s="44"/>
    </row>
    <row r="138" spans="1:5" s="45" customFormat="1" x14ac:dyDescent="0.25">
      <c r="A138" s="24"/>
      <c r="B138" s="25"/>
      <c r="C138" s="61"/>
      <c r="D138" s="27"/>
      <c r="E138" s="44"/>
    </row>
    <row r="139" spans="1:5" ht="15.75" customHeight="1" x14ac:dyDescent="0.25">
      <c r="A139" s="136" t="s">
        <v>83</v>
      </c>
      <c r="B139" s="136"/>
      <c r="C139" s="62">
        <f>SUM(C132:C137)</f>
        <v>2.0427222222222225E-2</v>
      </c>
      <c r="D139" s="48">
        <f>SUM(D132:D138)</f>
        <v>68.089999999999989</v>
      </c>
    </row>
    <row r="140" spans="1:5" x14ac:dyDescent="0.25">
      <c r="A140" s="63"/>
      <c r="B140" s="63"/>
      <c r="C140" s="64"/>
      <c r="D140" s="65"/>
    </row>
    <row r="141" spans="1:5" x14ac:dyDescent="0.25">
      <c r="A141" s="149" t="s">
        <v>129</v>
      </c>
      <c r="B141" s="149"/>
      <c r="C141" s="149"/>
      <c r="D141" s="149"/>
    </row>
    <row r="143" spans="1:5" x14ac:dyDescent="0.25">
      <c r="A143" s="16" t="s">
        <v>130</v>
      </c>
      <c r="B143" s="16" t="s">
        <v>131</v>
      </c>
      <c r="C143" s="16" t="s">
        <v>56</v>
      </c>
      <c r="D143" s="16" t="s">
        <v>57</v>
      </c>
    </row>
    <row r="144" spans="1:5" x14ac:dyDescent="0.25">
      <c r="A144" s="66" t="s">
        <v>1</v>
      </c>
      <c r="B144" s="66" t="s">
        <v>131</v>
      </c>
      <c r="C144" s="67">
        <v>8.5400000000000007E-3</v>
      </c>
      <c r="D144" s="68">
        <f>ROUND(C144*D125,2)</f>
        <v>28.47</v>
      </c>
    </row>
    <row r="145" spans="1:4" ht="15.75" customHeight="1" x14ac:dyDescent="0.25">
      <c r="A145" s="136" t="s">
        <v>83</v>
      </c>
      <c r="B145" s="136"/>
      <c r="C145" s="136"/>
      <c r="D145" s="48">
        <f>D144</f>
        <v>28.47</v>
      </c>
    </row>
    <row r="146" spans="1:4" x14ac:dyDescent="0.25">
      <c r="A146" s="63"/>
      <c r="B146" s="63"/>
      <c r="C146" s="64"/>
      <c r="D146" s="65"/>
    </row>
    <row r="147" spans="1:4" x14ac:dyDescent="0.25">
      <c r="A147" s="139" t="s">
        <v>132</v>
      </c>
      <c r="B147" s="139"/>
      <c r="C147" s="139"/>
      <c r="D147" s="139"/>
    </row>
    <row r="149" spans="1:4" ht="15.75" customHeight="1" x14ac:dyDescent="0.25">
      <c r="A149" s="16">
        <v>4</v>
      </c>
      <c r="B149" s="136" t="s">
        <v>133</v>
      </c>
      <c r="C149" s="136"/>
      <c r="D149" s="16" t="s">
        <v>57</v>
      </c>
    </row>
    <row r="150" spans="1:4" x14ac:dyDescent="0.25">
      <c r="A150" s="21" t="s">
        <v>121</v>
      </c>
      <c r="B150" s="137" t="str">
        <f>B131</f>
        <v>Substituto nas Ausências Legais</v>
      </c>
      <c r="C150" s="137"/>
      <c r="D150" s="48">
        <f>D139</f>
        <v>68.089999999999989</v>
      </c>
    </row>
    <row r="151" spans="1:4" x14ac:dyDescent="0.25">
      <c r="A151" s="21" t="s">
        <v>130</v>
      </c>
      <c r="B151" s="137" t="str">
        <f>B143</f>
        <v>Incidencia do Submódulo 2.2 sobre o Substituto nas Ausências Legais</v>
      </c>
      <c r="C151" s="137"/>
      <c r="D151" s="49">
        <f>D145</f>
        <v>28.47</v>
      </c>
    </row>
    <row r="152" spans="1:4" ht="15.75" customHeight="1" x14ac:dyDescent="0.25">
      <c r="A152" s="136" t="s">
        <v>60</v>
      </c>
      <c r="B152" s="136"/>
      <c r="C152" s="136"/>
      <c r="D152" s="30">
        <f>SUM(D150:D151)</f>
        <v>96.559999999999988</v>
      </c>
    </row>
    <row r="153" spans="1:4" x14ac:dyDescent="0.25">
      <c r="A153" s="63"/>
      <c r="B153" s="63"/>
      <c r="C153" s="64"/>
      <c r="D153" s="65"/>
    </row>
    <row r="155" spans="1:4" ht="16.5" customHeight="1" x14ac:dyDescent="0.25">
      <c r="A155" s="145" t="s">
        <v>134</v>
      </c>
      <c r="B155" s="145"/>
      <c r="C155" s="145"/>
      <c r="D155" s="145"/>
    </row>
    <row r="156" spans="1:4" ht="29.25" customHeight="1" x14ac:dyDescent="0.25">
      <c r="A156" s="145"/>
      <c r="B156" s="145"/>
      <c r="C156" s="145"/>
      <c r="D156" s="145"/>
    </row>
    <row r="158" spans="1:4" x14ac:dyDescent="0.25">
      <c r="A158" s="139" t="s">
        <v>135</v>
      </c>
      <c r="B158" s="139"/>
      <c r="C158" s="139"/>
      <c r="D158" s="139"/>
    </row>
    <row r="160" spans="1:4" ht="15.75" customHeight="1" x14ac:dyDescent="0.25">
      <c r="A160" s="16">
        <v>5</v>
      </c>
      <c r="B160" s="136" t="s">
        <v>136</v>
      </c>
      <c r="C160" s="136"/>
      <c r="D160" s="16" t="s">
        <v>57</v>
      </c>
    </row>
    <row r="161" spans="1:4" ht="15.75" customHeight="1" x14ac:dyDescent="0.25">
      <c r="A161" s="22" t="s">
        <v>1</v>
      </c>
      <c r="B161" s="146" t="s">
        <v>137</v>
      </c>
      <c r="C161" s="146"/>
      <c r="D161" s="46">
        <f>UNIFORMES!F11</f>
        <v>102.81666666666666</v>
      </c>
    </row>
    <row r="162" spans="1:4" ht="15.75" customHeight="1" x14ac:dyDescent="0.25">
      <c r="A162" s="22" t="s">
        <v>2</v>
      </c>
      <c r="B162" s="146" t="s">
        <v>138</v>
      </c>
      <c r="C162" s="146"/>
      <c r="D162" s="46">
        <f>EQUIPAMENTOS!I10</f>
        <v>58.848599999999998</v>
      </c>
    </row>
    <row r="163" spans="1:4" ht="15.75" customHeight="1" x14ac:dyDescent="0.25">
      <c r="A163" s="22" t="s">
        <v>3</v>
      </c>
      <c r="B163" s="147" t="s">
        <v>128</v>
      </c>
      <c r="C163" s="147"/>
      <c r="D163" s="46"/>
    </row>
    <row r="164" spans="1:4" ht="15.75" customHeight="1" x14ac:dyDescent="0.25">
      <c r="A164" s="24" t="s">
        <v>4</v>
      </c>
      <c r="B164" s="147" t="s">
        <v>128</v>
      </c>
      <c r="C164" s="147"/>
      <c r="D164" s="46"/>
    </row>
    <row r="165" spans="1:4" x14ac:dyDescent="0.25">
      <c r="A165" s="24"/>
      <c r="B165" s="147"/>
      <c r="C165" s="147"/>
      <c r="D165" s="46"/>
    </row>
    <row r="166" spans="1:4" ht="15.75" customHeight="1" x14ac:dyDescent="0.25">
      <c r="A166" s="136" t="s">
        <v>83</v>
      </c>
      <c r="B166" s="136"/>
      <c r="C166" s="136"/>
      <c r="D166" s="69">
        <f>SUM(D161:D165)</f>
        <v>161.66526666666667</v>
      </c>
    </row>
    <row r="169" spans="1:4" ht="17.25" customHeight="1" x14ac:dyDescent="0.25">
      <c r="A169" s="144" t="s">
        <v>139</v>
      </c>
      <c r="B169" s="144"/>
      <c r="C169" s="32" t="s">
        <v>115</v>
      </c>
      <c r="D169" s="35">
        <f>D37</f>
        <v>2013.05</v>
      </c>
    </row>
    <row r="170" spans="1:4" ht="17.25" customHeight="1" x14ac:dyDescent="0.25">
      <c r="A170" s="144"/>
      <c r="B170" s="144"/>
      <c r="C170" s="32" t="s">
        <v>140</v>
      </c>
      <c r="D170" s="35">
        <f>D102</f>
        <v>2348.4499999999998</v>
      </c>
    </row>
    <row r="171" spans="1:4" ht="17.25" customHeight="1" x14ac:dyDescent="0.25">
      <c r="A171" s="144"/>
      <c r="B171" s="144"/>
      <c r="C171" s="32" t="s">
        <v>117</v>
      </c>
      <c r="D171" s="35">
        <f>D118</f>
        <v>157.28</v>
      </c>
    </row>
    <row r="172" spans="1:4" ht="17.25" customHeight="1" x14ac:dyDescent="0.25">
      <c r="A172" s="144"/>
      <c r="B172" s="144"/>
      <c r="C172" s="32" t="s">
        <v>141</v>
      </c>
      <c r="D172" s="35">
        <f>D152</f>
        <v>96.559999999999988</v>
      </c>
    </row>
    <row r="173" spans="1:4" ht="17.25" customHeight="1" x14ac:dyDescent="0.25">
      <c r="A173" s="144"/>
      <c r="B173" s="144"/>
      <c r="C173" s="32" t="s">
        <v>142</v>
      </c>
      <c r="D173" s="35">
        <f>D166</f>
        <v>161.66526666666667</v>
      </c>
    </row>
    <row r="174" spans="1:4" ht="19.5" customHeight="1" x14ac:dyDescent="0.25">
      <c r="A174" s="144"/>
      <c r="B174" s="144"/>
      <c r="C174" s="59" t="s">
        <v>118</v>
      </c>
      <c r="D174" s="35">
        <f>SUM(D169:D173)</f>
        <v>4777.005266666667</v>
      </c>
    </row>
    <row r="175" spans="1:4" ht="17.25" customHeight="1" x14ac:dyDescent="0.25">
      <c r="A175" s="138" t="s">
        <v>143</v>
      </c>
      <c r="B175" s="138"/>
      <c r="C175" s="32" t="s">
        <v>115</v>
      </c>
      <c r="D175" s="35">
        <f>D43</f>
        <v>2013.05</v>
      </c>
    </row>
    <row r="176" spans="1:4" ht="17.25" customHeight="1" x14ac:dyDescent="0.25">
      <c r="A176" s="138"/>
      <c r="B176" s="138"/>
      <c r="C176" s="32" t="s">
        <v>140</v>
      </c>
      <c r="D176" s="35">
        <f>D170</f>
        <v>2348.4499999999998</v>
      </c>
    </row>
    <row r="177" spans="1:5" ht="17.25" customHeight="1" x14ac:dyDescent="0.25">
      <c r="A177" s="138"/>
      <c r="B177" s="138"/>
      <c r="C177" s="32" t="s">
        <v>117</v>
      </c>
      <c r="D177" s="35">
        <f>D171</f>
        <v>157.28</v>
      </c>
    </row>
    <row r="178" spans="1:5" ht="17.25" customHeight="1" x14ac:dyDescent="0.25">
      <c r="A178" s="138"/>
      <c r="B178" s="138"/>
      <c r="C178" s="32" t="s">
        <v>141</v>
      </c>
      <c r="D178" s="35">
        <f>D172</f>
        <v>96.559999999999988</v>
      </c>
    </row>
    <row r="179" spans="1:5" ht="17.25" customHeight="1" x14ac:dyDescent="0.25">
      <c r="A179" s="138"/>
      <c r="B179" s="138"/>
      <c r="C179" s="32" t="s">
        <v>142</v>
      </c>
      <c r="D179" s="35">
        <f>D173</f>
        <v>161.66526666666667</v>
      </c>
    </row>
    <row r="180" spans="1:5" ht="22.5" x14ac:dyDescent="0.25">
      <c r="A180" s="138"/>
      <c r="B180" s="138"/>
      <c r="C180" s="70" t="s">
        <v>144</v>
      </c>
      <c r="D180" s="35">
        <f>D186</f>
        <v>238.85</v>
      </c>
    </row>
    <row r="181" spans="1:5" ht="19.5" customHeight="1" x14ac:dyDescent="0.25">
      <c r="A181" s="138"/>
      <c r="B181" s="138"/>
      <c r="C181" s="59" t="s">
        <v>118</v>
      </c>
      <c r="D181" s="71">
        <f>SUM(D175:D180)</f>
        <v>5015.8552666666674</v>
      </c>
    </row>
    <row r="183" spans="1:5" x14ac:dyDescent="0.25">
      <c r="A183" s="139" t="s">
        <v>145</v>
      </c>
      <c r="B183" s="139"/>
      <c r="C183" s="139"/>
      <c r="D183" s="139"/>
    </row>
    <row r="185" spans="1:5" x14ac:dyDescent="0.25">
      <c r="A185" s="16">
        <v>6</v>
      </c>
      <c r="B185" s="16" t="s">
        <v>146</v>
      </c>
      <c r="C185" s="16" t="s">
        <v>56</v>
      </c>
      <c r="D185" s="16" t="s">
        <v>57</v>
      </c>
    </row>
    <row r="186" spans="1:5" x14ac:dyDescent="0.25">
      <c r="A186" s="72" t="s">
        <v>1</v>
      </c>
      <c r="B186" s="73" t="s">
        <v>147</v>
      </c>
      <c r="C186" s="74">
        <v>0.05</v>
      </c>
      <c r="D186" s="75">
        <f>IF(C186&gt;5%,"PERCENTUAL MÁXIMO ULTRAPASSADO",ROUND(+D174*C186,2))</f>
        <v>238.85</v>
      </c>
    </row>
    <row r="187" spans="1:5" ht="32.25" customHeight="1" x14ac:dyDescent="0.25">
      <c r="A187" s="72" t="s">
        <v>2</v>
      </c>
      <c r="B187" s="73" t="s">
        <v>148</v>
      </c>
      <c r="C187" s="74">
        <v>6.7900000000000002E-2</v>
      </c>
      <c r="D187" s="75">
        <f>IF(C187&gt;6.79%,"PERCENTUAL MÁXIMO ULTRAPASSADO)",ROUND(C187*(D181),2))</f>
        <v>340.58</v>
      </c>
    </row>
    <row r="188" spans="1:5" ht="15.75" customHeight="1" x14ac:dyDescent="0.25">
      <c r="A188" s="140" t="s">
        <v>149</v>
      </c>
      <c r="B188" s="140"/>
      <c r="C188" s="140"/>
      <c r="D188" s="76">
        <f>D174+D186+D187</f>
        <v>5356.4352666666673</v>
      </c>
    </row>
    <row r="189" spans="1:5" ht="15.75" customHeight="1" x14ac:dyDescent="0.25">
      <c r="A189" s="140" t="s">
        <v>150</v>
      </c>
      <c r="B189" s="140"/>
      <c r="C189" s="140"/>
      <c r="D189" s="76">
        <f>ROUND(D188/(1-C197),2)</f>
        <v>5738.01</v>
      </c>
    </row>
    <row r="190" spans="1:5" ht="15.75" customHeight="1" x14ac:dyDescent="0.25">
      <c r="A190" s="72" t="s">
        <v>3</v>
      </c>
      <c r="B190" s="141" t="s">
        <v>151</v>
      </c>
      <c r="C190" s="141"/>
      <c r="D190" s="141"/>
    </row>
    <row r="191" spans="1:5" ht="15.75" customHeight="1" x14ac:dyDescent="0.25">
      <c r="A191" s="73"/>
      <c r="B191" s="142" t="s">
        <v>152</v>
      </c>
      <c r="C191" s="142"/>
      <c r="D191" s="142"/>
      <c r="E191" s="53"/>
    </row>
    <row r="192" spans="1:5" x14ac:dyDescent="0.25">
      <c r="A192" s="73"/>
      <c r="B192" s="77" t="s">
        <v>153</v>
      </c>
      <c r="C192" s="78">
        <v>6.4999999999999997E-3</v>
      </c>
      <c r="D192" s="23">
        <f>ROUND($D$189*C192,2)</f>
        <v>37.299999999999997</v>
      </c>
    </row>
    <row r="193" spans="1:4" x14ac:dyDescent="0.25">
      <c r="A193" s="73"/>
      <c r="B193" s="77" t="s">
        <v>154</v>
      </c>
      <c r="C193" s="78">
        <v>0.03</v>
      </c>
      <c r="D193" s="23">
        <f>ROUND($D$189*C193,2)</f>
        <v>172.14</v>
      </c>
    </row>
    <row r="194" spans="1:4" ht="15.75" customHeight="1" x14ac:dyDescent="0.25">
      <c r="A194" s="73"/>
      <c r="B194" s="142" t="s">
        <v>155</v>
      </c>
      <c r="C194" s="142"/>
      <c r="D194" s="142"/>
    </row>
    <row r="195" spans="1:4" ht="15.75" customHeight="1" x14ac:dyDescent="0.25">
      <c r="A195" s="73"/>
      <c r="B195" s="142" t="s">
        <v>156</v>
      </c>
      <c r="C195" s="142"/>
      <c r="D195" s="142"/>
    </row>
    <row r="196" spans="1:4" x14ac:dyDescent="0.25">
      <c r="A196" s="73"/>
      <c r="B196" s="77" t="s">
        <v>157</v>
      </c>
      <c r="C196" s="79">
        <v>0.03</v>
      </c>
      <c r="D196" s="23">
        <f>ROUND($D$189*C196,2)</f>
        <v>172.14</v>
      </c>
    </row>
    <row r="197" spans="1:4" x14ac:dyDescent="0.25">
      <c r="A197" s="73"/>
      <c r="B197" s="80" t="s">
        <v>158</v>
      </c>
      <c r="C197" s="81">
        <f>C192+C193+C196</f>
        <v>6.6500000000000004E-2</v>
      </c>
      <c r="D197" s="82">
        <f>D192+D193+D196</f>
        <v>381.58</v>
      </c>
    </row>
    <row r="198" spans="1:4" ht="15.75" customHeight="1" x14ac:dyDescent="0.25">
      <c r="A198" s="143" t="s">
        <v>60</v>
      </c>
      <c r="B198" s="143"/>
      <c r="C198" s="143"/>
      <c r="D198" s="82">
        <f>D197+D187+D186</f>
        <v>961.01</v>
      </c>
    </row>
    <row r="202" spans="1:4" x14ac:dyDescent="0.25">
      <c r="A202" s="139" t="s">
        <v>159</v>
      </c>
      <c r="B202" s="139"/>
      <c r="C202" s="139"/>
      <c r="D202" s="139"/>
    </row>
    <row r="204" spans="1:4" ht="15.75" customHeight="1" x14ac:dyDescent="0.25">
      <c r="A204" s="136" t="s">
        <v>160</v>
      </c>
      <c r="B204" s="136"/>
      <c r="C204" s="136"/>
      <c r="D204" s="16" t="s">
        <v>57</v>
      </c>
    </row>
    <row r="205" spans="1:4" ht="15.75" customHeight="1" x14ac:dyDescent="0.25">
      <c r="A205" s="16" t="s">
        <v>1</v>
      </c>
      <c r="B205" s="137" t="s">
        <v>53</v>
      </c>
      <c r="C205" s="137"/>
      <c r="D205" s="48">
        <f>D37</f>
        <v>2013.05</v>
      </c>
    </row>
    <row r="206" spans="1:4" ht="15.75" customHeight="1" x14ac:dyDescent="0.25">
      <c r="A206" s="16" t="s">
        <v>2</v>
      </c>
      <c r="B206" s="137" t="s">
        <v>161</v>
      </c>
      <c r="C206" s="137"/>
      <c r="D206" s="48">
        <f>D102</f>
        <v>2348.4499999999998</v>
      </c>
    </row>
    <row r="207" spans="1:4" ht="15.75" customHeight="1" x14ac:dyDescent="0.25">
      <c r="A207" s="16" t="s">
        <v>3</v>
      </c>
      <c r="B207" s="137" t="s">
        <v>106</v>
      </c>
      <c r="C207" s="137"/>
      <c r="D207" s="48">
        <f>D118</f>
        <v>157.28</v>
      </c>
    </row>
    <row r="208" spans="1:4" ht="15.75" customHeight="1" x14ac:dyDescent="0.25">
      <c r="A208" s="16" t="s">
        <v>4</v>
      </c>
      <c r="B208" s="137" t="s">
        <v>119</v>
      </c>
      <c r="C208" s="137"/>
      <c r="D208" s="48">
        <f>D172</f>
        <v>96.559999999999988</v>
      </c>
    </row>
    <row r="209" spans="1:4" ht="15.75" customHeight="1" x14ac:dyDescent="0.25">
      <c r="A209" s="16" t="s">
        <v>5</v>
      </c>
      <c r="B209" s="137" t="s">
        <v>135</v>
      </c>
      <c r="C209" s="137"/>
      <c r="D209" s="48">
        <f>D166</f>
        <v>161.66526666666667</v>
      </c>
    </row>
    <row r="210" spans="1:4" ht="15.75" customHeight="1" x14ac:dyDescent="0.25">
      <c r="A210" s="136" t="s">
        <v>162</v>
      </c>
      <c r="B210" s="136"/>
      <c r="C210" s="136"/>
      <c r="D210" s="83">
        <f>SUM(D205:D209)</f>
        <v>4777.005266666667</v>
      </c>
    </row>
    <row r="211" spans="1:4" ht="15.75" customHeight="1" x14ac:dyDescent="0.25">
      <c r="A211" s="16" t="s">
        <v>6</v>
      </c>
      <c r="B211" s="137" t="s">
        <v>163</v>
      </c>
      <c r="C211" s="137"/>
      <c r="D211" s="48">
        <f>D198</f>
        <v>961.01</v>
      </c>
    </row>
    <row r="212" spans="1:4" ht="15.75" customHeight="1" x14ac:dyDescent="0.25">
      <c r="A212" s="136" t="s">
        <v>164</v>
      </c>
      <c r="B212" s="136"/>
      <c r="C212" s="136"/>
      <c r="D212" s="83">
        <f>ROUND(D210+D211,2)</f>
        <v>5738.02</v>
      </c>
    </row>
    <row r="214" spans="1:4" x14ac:dyDescent="0.25">
      <c r="D214" s="84"/>
    </row>
    <row r="216" spans="1:4" x14ac:dyDescent="0.25">
      <c r="D216" s="84"/>
    </row>
    <row r="218" spans="1:4" x14ac:dyDescent="0.25">
      <c r="D218" s="84"/>
    </row>
  </sheetData>
  <mergeCells count="97">
    <mergeCell ref="A212:C212"/>
    <mergeCell ref="B207:C207"/>
    <mergeCell ref="B208:C208"/>
    <mergeCell ref="B209:C209"/>
    <mergeCell ref="A210:C210"/>
    <mergeCell ref="B211:C211"/>
    <mergeCell ref="A198:C198"/>
    <mergeCell ref="A202:D202"/>
    <mergeCell ref="A204:C204"/>
    <mergeCell ref="B205:C205"/>
    <mergeCell ref="B206:C206"/>
    <mergeCell ref="A189:C189"/>
    <mergeCell ref="B190:D190"/>
    <mergeCell ref="B191:D191"/>
    <mergeCell ref="B194:D194"/>
    <mergeCell ref="B195:D195"/>
    <mergeCell ref="A166:C166"/>
    <mergeCell ref="A169:B174"/>
    <mergeCell ref="A175:B181"/>
    <mergeCell ref="A183:D183"/>
    <mergeCell ref="A188:C188"/>
    <mergeCell ref="B161:C161"/>
    <mergeCell ref="B162:C162"/>
    <mergeCell ref="B163:C163"/>
    <mergeCell ref="B164:C164"/>
    <mergeCell ref="B165:C165"/>
    <mergeCell ref="B151:C151"/>
    <mergeCell ref="A152:C152"/>
    <mergeCell ref="A155:D156"/>
    <mergeCell ref="A158:D158"/>
    <mergeCell ref="B160:C160"/>
    <mergeCell ref="A141:D141"/>
    <mergeCell ref="A145:C145"/>
    <mergeCell ref="A147:D147"/>
    <mergeCell ref="B149:C149"/>
    <mergeCell ref="B150:C150"/>
    <mergeCell ref="A118:C118"/>
    <mergeCell ref="A121:B125"/>
    <mergeCell ref="A127:D127"/>
    <mergeCell ref="A129:D129"/>
    <mergeCell ref="A139:B139"/>
    <mergeCell ref="B100:C100"/>
    <mergeCell ref="B101:C101"/>
    <mergeCell ref="A102:C102"/>
    <mergeCell ref="A105:B107"/>
    <mergeCell ref="A109:D109"/>
    <mergeCell ref="A92:C92"/>
    <mergeCell ref="A95:D95"/>
    <mergeCell ref="B97:C97"/>
    <mergeCell ref="B98:C98"/>
    <mergeCell ref="B99:C99"/>
    <mergeCell ref="B84:C84"/>
    <mergeCell ref="A85:C85"/>
    <mergeCell ref="A88:D88"/>
    <mergeCell ref="B90:C90"/>
    <mergeCell ref="B91:C91"/>
    <mergeCell ref="B78:C78"/>
    <mergeCell ref="B79:C79"/>
    <mergeCell ref="B80:C80"/>
    <mergeCell ref="B81:C81"/>
    <mergeCell ref="B83:C83"/>
    <mergeCell ref="B82:C82"/>
    <mergeCell ref="A72:D72"/>
    <mergeCell ref="B74:C74"/>
    <mergeCell ref="B75:C75"/>
    <mergeCell ref="B76:C76"/>
    <mergeCell ref="B77:C77"/>
    <mergeCell ref="A45:D45"/>
    <mergeCell ref="A51:C51"/>
    <mergeCell ref="A54:B56"/>
    <mergeCell ref="A58:D58"/>
    <mergeCell ref="A69:B69"/>
    <mergeCell ref="C25:D25"/>
    <mergeCell ref="A28:D28"/>
    <mergeCell ref="A37:B37"/>
    <mergeCell ref="A40:D40"/>
    <mergeCell ref="A42:B43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A9:D9"/>
    <mergeCell ref="A10:D10"/>
    <mergeCell ref="A11:D11"/>
    <mergeCell ref="C13:D13"/>
    <mergeCell ref="C14:D14"/>
    <mergeCell ref="A1:E1"/>
    <mergeCell ref="A2:D2"/>
    <mergeCell ref="A4:D4"/>
    <mergeCell ref="A6:D6"/>
    <mergeCell ref="A8:D8"/>
  </mergeCells>
  <pageMargins left="0.51180555555555596" right="0.51180555555555596" top="0.78749999999999998" bottom="0.78749999999999998" header="0.511811023622047" footer="0.31527777777777799"/>
  <pageSetup paperSize="9" scale="65" fitToHeight="0" orientation="portrait" horizontalDpi="300" verticalDpi="300" r:id="rId1"/>
  <headerFooter>
    <oddFooter>&amp;LProcesso XXXX/2020&amp;C&amp;A</oddFooter>
  </headerFooter>
  <rowBreaks count="3" manualBreakCount="3">
    <brk id="70" max="16383" man="1"/>
    <brk id="139" max="16383" man="1"/>
    <brk id="199" max="16383" man="1"/>
  </rowBreaks>
  <colBreaks count="1" manualBreakCount="1">
    <brk id="4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XFC22"/>
  <sheetViews>
    <sheetView showGridLines="0" view="pageBreakPreview" zoomScale="90" zoomScaleNormal="90" zoomScalePageLayoutView="90" workbookViewId="0">
      <selection activeCell="D6" sqref="D6"/>
    </sheetView>
  </sheetViews>
  <sheetFormatPr defaultColWidth="8.85546875" defaultRowHeight="15" zeroHeight="1" x14ac:dyDescent="0.25"/>
  <cols>
    <col min="1" max="1" width="9.7109375" style="85" customWidth="1"/>
    <col min="2" max="2" width="42.7109375" style="85" customWidth="1"/>
    <col min="3" max="3" width="20.28515625" style="85" customWidth="1"/>
    <col min="4" max="4" width="19" style="85" customWidth="1"/>
    <col min="5" max="5" width="15.28515625" style="85" customWidth="1"/>
    <col min="6" max="6" width="17.140625" style="85" customWidth="1"/>
    <col min="7" max="7" width="64" style="85" customWidth="1"/>
    <col min="8" max="16377" width="8.85546875" style="85" hidden="1"/>
    <col min="16378" max="16378" width="20.85546875" style="85" hidden="1" customWidth="1"/>
    <col min="16379" max="16379" width="21.42578125" style="85" hidden="1" customWidth="1"/>
    <col min="16380" max="16380" width="22.42578125" style="85" hidden="1" customWidth="1"/>
    <col min="16381" max="16381" width="19.140625" style="85" hidden="1" customWidth="1"/>
    <col min="16382" max="16383" width="20.42578125" style="85" hidden="1" customWidth="1"/>
    <col min="16384" max="16384" width="13.140625" style="85" hidden="1" customWidth="1"/>
  </cols>
  <sheetData>
    <row r="1" spans="1:7" ht="60" customHeight="1" x14ac:dyDescent="0.25">
      <c r="A1" s="164" t="s">
        <v>165</v>
      </c>
      <c r="B1" s="164"/>
      <c r="C1" s="164"/>
      <c r="D1" s="164"/>
      <c r="E1" s="164"/>
      <c r="F1" s="164"/>
      <c r="G1" s="164"/>
    </row>
    <row r="2" spans="1:7" ht="38.25" customHeight="1" x14ac:dyDescent="0.25">
      <c r="A2" s="86" t="s">
        <v>166</v>
      </c>
      <c r="B2" s="87" t="s">
        <v>11</v>
      </c>
      <c r="C2" s="87" t="s">
        <v>167</v>
      </c>
      <c r="D2" s="87" t="s">
        <v>168</v>
      </c>
      <c r="E2" s="87" t="s">
        <v>169</v>
      </c>
      <c r="F2" s="88" t="s">
        <v>170</v>
      </c>
      <c r="G2" s="89" t="s">
        <v>171</v>
      </c>
    </row>
    <row r="3" spans="1:7" ht="30" customHeight="1" x14ac:dyDescent="0.25">
      <c r="A3" s="90">
        <v>1</v>
      </c>
      <c r="B3" s="91" t="s">
        <v>172</v>
      </c>
      <c r="C3" s="92">
        <v>6</v>
      </c>
      <c r="D3" s="93">
        <v>29.19</v>
      </c>
      <c r="E3" s="93">
        <f t="shared" ref="E3:E10" si="0">C3*D3</f>
        <v>175.14000000000001</v>
      </c>
      <c r="F3" s="93">
        <f t="shared" ref="F3:F10" si="1">E3/12</f>
        <v>14.595000000000001</v>
      </c>
      <c r="G3" s="93"/>
    </row>
    <row r="4" spans="1:7" ht="30" customHeight="1" x14ac:dyDescent="0.25">
      <c r="A4" s="90">
        <v>2</v>
      </c>
      <c r="B4" s="91" t="s">
        <v>173</v>
      </c>
      <c r="C4" s="94">
        <v>6</v>
      </c>
      <c r="D4" s="95">
        <v>61.38</v>
      </c>
      <c r="E4" s="95">
        <f t="shared" si="0"/>
        <v>368.28000000000003</v>
      </c>
      <c r="F4" s="95">
        <f t="shared" si="1"/>
        <v>30.69</v>
      </c>
      <c r="G4" s="95"/>
    </row>
    <row r="5" spans="1:7" ht="30" customHeight="1" x14ac:dyDescent="0.25">
      <c r="A5" s="90">
        <v>3</v>
      </c>
      <c r="B5" s="91" t="s">
        <v>174</v>
      </c>
      <c r="C5" s="94">
        <v>4</v>
      </c>
      <c r="D5" s="96">
        <v>25.93</v>
      </c>
      <c r="E5" s="95">
        <f t="shared" si="0"/>
        <v>103.72</v>
      </c>
      <c r="F5" s="95">
        <f t="shared" si="1"/>
        <v>8.6433333333333326</v>
      </c>
      <c r="G5" s="95"/>
    </row>
    <row r="6" spans="1:7" ht="30" customHeight="1" x14ac:dyDescent="0.25">
      <c r="A6" s="90">
        <v>4</v>
      </c>
      <c r="B6" s="91" t="s">
        <v>175</v>
      </c>
      <c r="C6" s="94">
        <v>4</v>
      </c>
      <c r="D6" s="96">
        <v>91.64</v>
      </c>
      <c r="E6" s="95">
        <f t="shared" si="0"/>
        <v>366.56</v>
      </c>
      <c r="F6" s="95">
        <f t="shared" si="1"/>
        <v>30.546666666666667</v>
      </c>
      <c r="G6" s="95"/>
    </row>
    <row r="7" spans="1:7" ht="30" customHeight="1" x14ac:dyDescent="0.25">
      <c r="A7" s="90">
        <v>5</v>
      </c>
      <c r="B7" s="91" t="s">
        <v>176</v>
      </c>
      <c r="C7" s="94">
        <v>6</v>
      </c>
      <c r="D7" s="96">
        <v>13.12</v>
      </c>
      <c r="E7" s="95">
        <f t="shared" si="0"/>
        <v>78.72</v>
      </c>
      <c r="F7" s="95">
        <f t="shared" si="1"/>
        <v>6.56</v>
      </c>
      <c r="G7" s="95"/>
    </row>
    <row r="8" spans="1:7" ht="30" customHeight="1" x14ac:dyDescent="0.25">
      <c r="A8" s="90">
        <v>6</v>
      </c>
      <c r="B8" s="91" t="s">
        <v>177</v>
      </c>
      <c r="C8" s="94">
        <v>4</v>
      </c>
      <c r="D8" s="96">
        <v>19.78</v>
      </c>
      <c r="E8" s="95">
        <f t="shared" si="0"/>
        <v>79.12</v>
      </c>
      <c r="F8" s="95">
        <f t="shared" si="1"/>
        <v>6.5933333333333337</v>
      </c>
      <c r="G8" s="95"/>
    </row>
    <row r="9" spans="1:7" ht="30" customHeight="1" x14ac:dyDescent="0.25">
      <c r="A9" s="90">
        <v>7</v>
      </c>
      <c r="B9" s="91" t="s">
        <v>178</v>
      </c>
      <c r="C9" s="92">
        <v>2</v>
      </c>
      <c r="D9" s="97">
        <v>9.27</v>
      </c>
      <c r="E9" s="93">
        <f t="shared" si="0"/>
        <v>18.54</v>
      </c>
      <c r="F9" s="93">
        <f t="shared" si="1"/>
        <v>1.5449999999999999</v>
      </c>
      <c r="G9" s="93"/>
    </row>
    <row r="10" spans="1:7" ht="30" customHeight="1" x14ac:dyDescent="0.25">
      <c r="A10" s="98">
        <v>9</v>
      </c>
      <c r="B10" s="99" t="s">
        <v>179</v>
      </c>
      <c r="C10" s="94">
        <v>2</v>
      </c>
      <c r="D10" s="96">
        <v>21.86</v>
      </c>
      <c r="E10" s="95">
        <f t="shared" si="0"/>
        <v>43.72</v>
      </c>
      <c r="F10" s="95">
        <f t="shared" si="1"/>
        <v>3.6433333333333331</v>
      </c>
      <c r="G10" s="100"/>
    </row>
    <row r="11" spans="1:7" ht="22.5" customHeight="1" x14ac:dyDescent="0.25">
      <c r="A11" s="165" t="s">
        <v>180</v>
      </c>
      <c r="B11" s="165"/>
      <c r="C11" s="165"/>
      <c r="D11" s="165"/>
      <c r="E11" s="101">
        <f>SUM(E3:E10)</f>
        <v>1233.8</v>
      </c>
      <c r="F11" s="101">
        <f>SUM(F3:F10)</f>
        <v>102.81666666666666</v>
      </c>
      <c r="G11" s="101"/>
    </row>
    <row r="12" spans="1:7" ht="6" customHeight="1" x14ac:dyDescent="0.25"/>
    <row r="13" spans="1:7" s="103" customFormat="1" ht="23.25" customHeight="1" x14ac:dyDescent="0.25">
      <c r="A13" s="102" t="s">
        <v>181</v>
      </c>
      <c r="B13" s="166" t="s">
        <v>182</v>
      </c>
      <c r="C13" s="166"/>
      <c r="D13" s="166"/>
      <c r="E13" s="166"/>
      <c r="F13" s="166"/>
      <c r="G13" s="166"/>
    </row>
    <row r="14" spans="1:7" s="103" customFormat="1" ht="21.75" customHeight="1" x14ac:dyDescent="0.25">
      <c r="A14" s="102" t="s">
        <v>183</v>
      </c>
      <c r="B14" s="166" t="s">
        <v>184</v>
      </c>
      <c r="C14" s="166"/>
      <c r="D14" s="166"/>
      <c r="E14" s="166"/>
      <c r="F14" s="166"/>
      <c r="G14" s="166"/>
    </row>
    <row r="15" spans="1:7" s="103" customFormat="1" ht="23.25" customHeight="1" x14ac:dyDescent="0.25">
      <c r="A15" s="104"/>
      <c r="B15" s="166" t="s">
        <v>185</v>
      </c>
      <c r="C15" s="166"/>
      <c r="D15" s="166"/>
      <c r="E15" s="166"/>
      <c r="F15" s="166"/>
    </row>
    <row r="16" spans="1:7" s="103" customFormat="1" ht="28.5" customHeight="1" x14ac:dyDescent="0.25">
      <c r="A16" s="104"/>
      <c r="B16" s="166" t="s">
        <v>186</v>
      </c>
      <c r="C16" s="166"/>
      <c r="D16" s="166"/>
      <c r="E16" s="166"/>
      <c r="F16" s="166"/>
    </row>
    <row r="17" spans="1:7" s="103" customFormat="1" ht="16.5" customHeight="1" x14ac:dyDescent="0.25">
      <c r="A17" s="104"/>
      <c r="B17" s="166" t="s">
        <v>187</v>
      </c>
      <c r="C17" s="166"/>
      <c r="D17" s="166"/>
      <c r="E17" s="166"/>
      <c r="F17" s="166"/>
    </row>
    <row r="18" spans="1:7" s="103" customFormat="1" ht="27" customHeight="1" x14ac:dyDescent="0.25">
      <c r="A18" s="104"/>
      <c r="B18" s="166" t="s">
        <v>188</v>
      </c>
      <c r="C18" s="166"/>
      <c r="D18" s="166"/>
      <c r="E18" s="166"/>
      <c r="F18" s="166"/>
      <c r="G18" s="166"/>
    </row>
    <row r="19" spans="1:7" s="103" customFormat="1" ht="23.25" customHeight="1" x14ac:dyDescent="0.25">
      <c r="A19" s="104"/>
      <c r="B19" s="166" t="s">
        <v>189</v>
      </c>
      <c r="C19" s="166"/>
      <c r="D19" s="166"/>
      <c r="E19" s="166"/>
      <c r="F19" s="166"/>
    </row>
    <row r="20" spans="1:7" s="103" customFormat="1" ht="31.5" customHeight="1" x14ac:dyDescent="0.25">
      <c r="A20" s="104"/>
      <c r="B20" s="166" t="s">
        <v>190</v>
      </c>
      <c r="C20" s="166"/>
      <c r="D20" s="166"/>
      <c r="E20" s="166"/>
      <c r="F20" s="166"/>
      <c r="G20" s="166"/>
    </row>
    <row r="21" spans="1:7" s="103" customFormat="1" ht="0.75" customHeight="1" x14ac:dyDescent="0.25"/>
    <row r="22" spans="1:7" s="103" customFormat="1" ht="11.25" hidden="1" x14ac:dyDescent="0.25"/>
  </sheetData>
  <mergeCells count="10">
    <mergeCell ref="B16:F16"/>
    <mergeCell ref="B17:F17"/>
    <mergeCell ref="B18:G18"/>
    <mergeCell ref="B19:F19"/>
    <mergeCell ref="B20:G20"/>
    <mergeCell ref="A1:G1"/>
    <mergeCell ref="A11:D11"/>
    <mergeCell ref="B13:G13"/>
    <mergeCell ref="B14:G14"/>
    <mergeCell ref="B15:F15"/>
  </mergeCells>
  <printOptions horizontalCentered="1"/>
  <pageMargins left="0.78749999999999998" right="0.78749999999999998" top="0.78749999999999998" bottom="0.39305555555555599" header="0.511811023622047" footer="0.196527777777778"/>
  <pageSetup paperSize="9" scale="70" orientation="landscape" horizontalDpi="300" verticalDpi="300" r:id="rId1"/>
  <headerFooter>
    <oddFooter>&amp;L Processo nº 290141/2018&amp;C&amp;A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88"/>
  <sheetViews>
    <sheetView showGridLines="0" view="pageBreakPreview" topLeftCell="A2" zoomScale="80" zoomScaleNormal="80" zoomScalePageLayoutView="80" workbookViewId="0">
      <selection activeCell="C3" sqref="C3:C9"/>
    </sheetView>
  </sheetViews>
  <sheetFormatPr defaultColWidth="0" defaultRowHeight="15" zeroHeight="1" x14ac:dyDescent="0.25"/>
  <cols>
    <col min="1" max="1" width="9.42578125" style="85" customWidth="1"/>
    <col min="2" max="2" width="29.28515625" style="85" customWidth="1"/>
    <col min="3" max="3" width="19" style="85" customWidth="1"/>
    <col min="4" max="4" width="14.28515625" style="85" customWidth="1"/>
    <col min="5" max="6" width="15.28515625" style="85" customWidth="1"/>
    <col min="7" max="8" width="17.28515625" style="85" customWidth="1"/>
    <col min="9" max="9" width="15.5703125" style="85" customWidth="1"/>
    <col min="10" max="10" width="54.85546875" style="85" customWidth="1"/>
    <col min="11" max="11" width="8.5703125" style="85" hidden="1" customWidth="1"/>
    <col min="12" max="16384" width="8.85546875" style="85" hidden="1"/>
  </cols>
  <sheetData>
    <row r="1" spans="1:10" ht="60" customHeight="1" x14ac:dyDescent="0.25">
      <c r="A1" s="167" t="s">
        <v>191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69.75" customHeight="1" x14ac:dyDescent="0.25">
      <c r="A2" s="86" t="s">
        <v>166</v>
      </c>
      <c r="B2" s="87" t="s">
        <v>11</v>
      </c>
      <c r="C2" s="87" t="s">
        <v>168</v>
      </c>
      <c r="D2" s="87" t="s">
        <v>192</v>
      </c>
      <c r="E2" s="87" t="s">
        <v>193</v>
      </c>
      <c r="F2" s="105" t="s">
        <v>194</v>
      </c>
      <c r="G2" s="87" t="s">
        <v>195</v>
      </c>
      <c r="H2" s="87" t="s">
        <v>196</v>
      </c>
      <c r="I2" s="88" t="s">
        <v>197</v>
      </c>
      <c r="J2" s="106" t="s">
        <v>171</v>
      </c>
    </row>
    <row r="3" spans="1:10" ht="45" customHeight="1" x14ac:dyDescent="0.25">
      <c r="A3" s="107">
        <v>1</v>
      </c>
      <c r="B3" s="91" t="s">
        <v>198</v>
      </c>
      <c r="C3" s="108">
        <v>51.58</v>
      </c>
      <c r="D3" s="92">
        <v>1</v>
      </c>
      <c r="E3" s="108">
        <f t="shared" ref="E3:E9" si="0">C3*D3</f>
        <v>51.58</v>
      </c>
      <c r="F3" s="92">
        <v>60</v>
      </c>
      <c r="G3" s="93">
        <f>E3*20%</f>
        <v>10.316000000000001</v>
      </c>
      <c r="H3" s="93">
        <f t="shared" ref="H3:H9" si="1">E3-G3</f>
        <v>41.263999999999996</v>
      </c>
      <c r="I3" s="93">
        <f t="shared" ref="I3:I9" si="2">H3/F3</f>
        <v>0.68773333333333331</v>
      </c>
      <c r="J3" s="109"/>
    </row>
    <row r="4" spans="1:10" ht="36.75" customHeight="1" x14ac:dyDescent="0.25">
      <c r="A4" s="107">
        <v>2</v>
      </c>
      <c r="B4" s="91" t="s">
        <v>199</v>
      </c>
      <c r="C4" s="110">
        <v>3064.33</v>
      </c>
      <c r="D4" s="94">
        <v>1</v>
      </c>
      <c r="E4" s="110">
        <f t="shared" si="0"/>
        <v>3064.33</v>
      </c>
      <c r="F4" s="94">
        <v>60</v>
      </c>
      <c r="G4" s="95">
        <f>E4*20%</f>
        <v>612.86599999999999</v>
      </c>
      <c r="H4" s="95">
        <f t="shared" si="1"/>
        <v>2451.4639999999999</v>
      </c>
      <c r="I4" s="95">
        <f t="shared" si="2"/>
        <v>40.857733333333336</v>
      </c>
      <c r="J4" s="100"/>
    </row>
    <row r="5" spans="1:10" ht="36.75" customHeight="1" x14ac:dyDescent="0.25">
      <c r="A5" s="90">
        <v>3</v>
      </c>
      <c r="B5" s="91" t="s">
        <v>200</v>
      </c>
      <c r="C5" s="110">
        <v>590.37</v>
      </c>
      <c r="D5" s="94">
        <v>1</v>
      </c>
      <c r="E5" s="110">
        <f t="shared" si="0"/>
        <v>590.37</v>
      </c>
      <c r="F5" s="94">
        <v>60</v>
      </c>
      <c r="G5" s="95">
        <f>E5*20%</f>
        <v>118.07400000000001</v>
      </c>
      <c r="H5" s="95">
        <f t="shared" si="1"/>
        <v>472.29599999999999</v>
      </c>
      <c r="I5" s="95">
        <f t="shared" si="2"/>
        <v>7.8715999999999999</v>
      </c>
      <c r="J5" s="111"/>
    </row>
    <row r="6" spans="1:10" ht="36.75" customHeight="1" x14ac:dyDescent="0.25">
      <c r="A6" s="107">
        <v>4</v>
      </c>
      <c r="B6" s="91" t="s">
        <v>201</v>
      </c>
      <c r="C6" s="110">
        <v>6.04</v>
      </c>
      <c r="D6" s="94">
        <v>6</v>
      </c>
      <c r="E6" s="112">
        <f t="shared" si="0"/>
        <v>36.24</v>
      </c>
      <c r="F6" s="94">
        <v>60</v>
      </c>
      <c r="G6" s="95">
        <f>E6*20%</f>
        <v>7.2480000000000011</v>
      </c>
      <c r="H6" s="95">
        <f t="shared" si="1"/>
        <v>28.992000000000001</v>
      </c>
      <c r="I6" s="95">
        <f t="shared" si="2"/>
        <v>0.48320000000000002</v>
      </c>
      <c r="J6" s="100"/>
    </row>
    <row r="7" spans="1:10" ht="36.75" customHeight="1" x14ac:dyDescent="0.25">
      <c r="A7" s="90">
        <v>5</v>
      </c>
      <c r="B7" s="91" t="s">
        <v>202</v>
      </c>
      <c r="C7" s="110">
        <v>11.35</v>
      </c>
      <c r="D7" s="94">
        <v>2</v>
      </c>
      <c r="E7" s="110">
        <f t="shared" si="0"/>
        <v>22.7</v>
      </c>
      <c r="F7" s="94">
        <v>24</v>
      </c>
      <c r="G7" s="95"/>
      <c r="H7" s="95">
        <f t="shared" si="1"/>
        <v>22.7</v>
      </c>
      <c r="I7" s="95">
        <f t="shared" si="2"/>
        <v>0.9458333333333333</v>
      </c>
      <c r="J7" s="111"/>
    </row>
    <row r="8" spans="1:10" ht="36.75" customHeight="1" x14ac:dyDescent="0.25">
      <c r="A8" s="107">
        <v>6</v>
      </c>
      <c r="B8" s="91" t="s">
        <v>203</v>
      </c>
      <c r="C8" s="110">
        <v>55.63</v>
      </c>
      <c r="D8" s="94">
        <v>2</v>
      </c>
      <c r="E8" s="110">
        <f t="shared" si="0"/>
        <v>111.26</v>
      </c>
      <c r="F8" s="94">
        <v>24</v>
      </c>
      <c r="G8" s="95"/>
      <c r="H8" s="95">
        <f t="shared" si="1"/>
        <v>111.26</v>
      </c>
      <c r="I8" s="95">
        <f t="shared" si="2"/>
        <v>4.6358333333333333</v>
      </c>
      <c r="J8" s="100"/>
    </row>
    <row r="9" spans="1:10" ht="36.75" customHeight="1" x14ac:dyDescent="0.25">
      <c r="A9" s="107">
        <v>7</v>
      </c>
      <c r="B9" s="91" t="s">
        <v>204</v>
      </c>
      <c r="C9" s="113">
        <v>40.4</v>
      </c>
      <c r="D9" s="114">
        <v>2</v>
      </c>
      <c r="E9" s="113">
        <f t="shared" si="0"/>
        <v>80.8</v>
      </c>
      <c r="F9" s="114">
        <v>24</v>
      </c>
      <c r="G9" s="95"/>
      <c r="H9" s="95">
        <f t="shared" si="1"/>
        <v>80.8</v>
      </c>
      <c r="I9" s="95">
        <f t="shared" si="2"/>
        <v>3.3666666666666667</v>
      </c>
      <c r="J9" s="111"/>
    </row>
    <row r="10" spans="1:10" ht="20.25" customHeight="1" x14ac:dyDescent="0.25">
      <c r="A10" s="168" t="s">
        <v>205</v>
      </c>
      <c r="B10" s="168"/>
      <c r="C10" s="168"/>
      <c r="D10" s="168"/>
      <c r="E10" s="168"/>
      <c r="F10" s="168"/>
      <c r="G10" s="168"/>
      <c r="H10" s="115"/>
      <c r="I10" s="116">
        <f>SUM(Tabela1[CUSTO MENSAL 
(R$)])</f>
        <v>58.848599999999998</v>
      </c>
      <c r="J10" s="115"/>
    </row>
    <row r="11" spans="1:10" ht="20.25" customHeight="1" x14ac:dyDescent="0.25">
      <c r="A11" s="168"/>
      <c r="B11" s="168"/>
      <c r="C11" s="168"/>
      <c r="D11" s="168"/>
      <c r="E11" s="168"/>
      <c r="F11" s="168"/>
      <c r="G11" s="168"/>
      <c r="H11" s="117"/>
      <c r="I11" s="116"/>
      <c r="J11" s="115"/>
    </row>
    <row r="12" spans="1:10" ht="0.75" customHeight="1" x14ac:dyDescent="0.25"/>
    <row r="13" spans="1:10" ht="6" hidden="1" customHeight="1" x14ac:dyDescent="0.25">
      <c r="A13" s="118"/>
      <c r="B13" s="118"/>
      <c r="C13" s="118"/>
      <c r="D13" s="118"/>
      <c r="E13" s="118"/>
      <c r="F13" s="118"/>
      <c r="G13" s="118"/>
      <c r="H13" s="118"/>
    </row>
    <row r="14" spans="1:10" ht="0.75" customHeight="1" x14ac:dyDescent="0.25"/>
    <row r="64" x14ac:dyDescent="0.25"/>
    <row r="65" spans="1:10" ht="32.25" customHeight="1" x14ac:dyDescent="0.25">
      <c r="A65" s="119" t="s">
        <v>181</v>
      </c>
      <c r="B65" s="166" t="s">
        <v>206</v>
      </c>
      <c r="C65" s="166"/>
      <c r="D65" s="166"/>
      <c r="E65" s="166"/>
      <c r="F65" s="166"/>
      <c r="G65" s="166"/>
      <c r="H65" s="166"/>
      <c r="I65" s="166"/>
      <c r="J65" s="166"/>
    </row>
    <row r="66" spans="1:10" ht="24.75" customHeight="1" x14ac:dyDescent="0.25">
      <c r="A66" s="119" t="s">
        <v>183</v>
      </c>
      <c r="B66" s="166" t="s">
        <v>184</v>
      </c>
      <c r="C66" s="166"/>
      <c r="D66" s="166"/>
      <c r="E66" s="166"/>
      <c r="F66" s="166"/>
      <c r="G66" s="166"/>
      <c r="H66" s="166"/>
      <c r="I66" s="166"/>
    </row>
    <row r="67" spans="1:10" ht="19.5" customHeight="1" x14ac:dyDescent="0.25">
      <c r="A67" s="120"/>
      <c r="B67" s="166" t="s">
        <v>207</v>
      </c>
      <c r="C67" s="166"/>
      <c r="D67" s="166"/>
      <c r="E67" s="166"/>
      <c r="F67" s="166"/>
      <c r="G67" s="166"/>
      <c r="H67" s="166"/>
      <c r="I67" s="166"/>
      <c r="J67" s="166"/>
    </row>
    <row r="68" spans="1:10" ht="21" customHeight="1" x14ac:dyDescent="0.25">
      <c r="A68" s="120"/>
      <c r="B68" s="166" t="s">
        <v>208</v>
      </c>
      <c r="C68" s="166"/>
      <c r="D68" s="166"/>
      <c r="E68" s="166"/>
      <c r="F68" s="166"/>
      <c r="G68" s="166"/>
      <c r="H68" s="166"/>
      <c r="I68" s="166"/>
    </row>
    <row r="69" spans="1:10" ht="21" customHeight="1" x14ac:dyDescent="0.25">
      <c r="A69" s="120"/>
      <c r="B69" s="166" t="s">
        <v>209</v>
      </c>
      <c r="C69" s="166"/>
      <c r="D69" s="166"/>
      <c r="E69" s="166"/>
      <c r="F69" s="166"/>
      <c r="G69" s="166"/>
      <c r="H69" s="166"/>
      <c r="I69" s="166"/>
    </row>
    <row r="70" spans="1:10" ht="23.25" customHeight="1" x14ac:dyDescent="0.25">
      <c r="A70" s="120"/>
      <c r="B70" s="166" t="s">
        <v>210</v>
      </c>
      <c r="C70" s="166"/>
      <c r="D70" s="166"/>
      <c r="E70" s="166"/>
      <c r="F70" s="166"/>
      <c r="G70" s="166"/>
      <c r="H70" s="166"/>
      <c r="I70" s="166"/>
    </row>
    <row r="71" spans="1:10" ht="28.5" customHeight="1" x14ac:dyDescent="0.25">
      <c r="A71" s="120"/>
      <c r="B71" s="166" t="s">
        <v>211</v>
      </c>
      <c r="C71" s="166"/>
      <c r="D71" s="166"/>
      <c r="E71" s="166"/>
      <c r="F71" s="166"/>
      <c r="G71" s="166"/>
      <c r="H71" s="166"/>
      <c r="I71" s="166"/>
      <c r="J71" s="166"/>
    </row>
    <row r="72" spans="1:10" ht="33.75" customHeight="1" x14ac:dyDescent="0.25">
      <c r="A72" s="120"/>
      <c r="B72" s="166" t="s">
        <v>212</v>
      </c>
      <c r="C72" s="166"/>
      <c r="D72" s="166"/>
      <c r="E72" s="166"/>
      <c r="F72" s="166"/>
      <c r="G72" s="166"/>
      <c r="H72" s="166"/>
      <c r="I72" s="166"/>
      <c r="J72" s="166"/>
    </row>
    <row r="73" spans="1:10" ht="21.75" customHeight="1" x14ac:dyDescent="0.25">
      <c r="A73" s="120"/>
      <c r="B73" s="166" t="s">
        <v>213</v>
      </c>
      <c r="C73" s="166"/>
      <c r="D73" s="166"/>
      <c r="E73" s="166"/>
      <c r="F73" s="166"/>
      <c r="G73" s="166"/>
      <c r="H73" s="166"/>
      <c r="I73" s="166"/>
    </row>
    <row r="74" spans="1:10" ht="21.75" customHeight="1" x14ac:dyDescent="0.25">
      <c r="A74" s="120"/>
      <c r="B74" s="166" t="s">
        <v>214</v>
      </c>
      <c r="C74" s="166"/>
      <c r="D74" s="166"/>
      <c r="E74" s="166"/>
      <c r="F74" s="166"/>
      <c r="G74" s="166"/>
      <c r="H74" s="166"/>
      <c r="I74" s="166"/>
      <c r="J74" s="166"/>
    </row>
    <row r="75" spans="1:10" ht="19.5" customHeight="1" x14ac:dyDescent="0.25">
      <c r="A75" s="121"/>
      <c r="B75" s="166" t="s">
        <v>215</v>
      </c>
      <c r="C75" s="166"/>
      <c r="D75" s="166"/>
      <c r="E75" s="166"/>
      <c r="F75" s="166"/>
      <c r="G75" s="166"/>
      <c r="H75" s="166"/>
      <c r="I75" s="166"/>
      <c r="J75" s="122"/>
    </row>
    <row r="76" spans="1:10" x14ac:dyDescent="0.25">
      <c r="A76" s="123"/>
      <c r="B76" s="123"/>
      <c r="C76" s="123"/>
      <c r="D76" s="123"/>
      <c r="E76" s="123"/>
      <c r="F76" s="123"/>
      <c r="G76" s="123"/>
      <c r="H76" s="123"/>
      <c r="I76" s="123"/>
    </row>
    <row r="77" spans="1:10" x14ac:dyDescent="0.25"/>
    <row r="78" spans="1:10" x14ac:dyDescent="0.25"/>
    <row r="79" spans="1:10" x14ac:dyDescent="0.25"/>
    <row r="80" spans="1:1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</sheetData>
  <mergeCells count="14">
    <mergeCell ref="B72:J72"/>
    <mergeCell ref="B73:I73"/>
    <mergeCell ref="B74:J74"/>
    <mergeCell ref="B75:I75"/>
    <mergeCell ref="B67:J67"/>
    <mergeCell ref="B68:I68"/>
    <mergeCell ref="B69:I69"/>
    <mergeCell ref="B70:I70"/>
    <mergeCell ref="B71:J71"/>
    <mergeCell ref="A1:J1"/>
    <mergeCell ref="A10:G10"/>
    <mergeCell ref="A11:G11"/>
    <mergeCell ref="B65:J65"/>
    <mergeCell ref="B66:I66"/>
  </mergeCells>
  <printOptions horizontalCentered="1"/>
  <pageMargins left="0.78749999999999998" right="0.78749999999999998" top="0.78749999999999998" bottom="0.39374999999999999" header="0.511811023622047" footer="0"/>
  <pageSetup paperSize="9" scale="62" orientation="landscape" horizontalDpi="300" verticalDpi="300" r:id="rId1"/>
  <headerFooter>
    <oddFooter>&amp;L Processo nº 290141/2018&amp;C&amp;A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RESUMO DA CONTRATRAÇÃO</vt:lpstr>
      <vt:lpstr>RESUMO CUSTO</vt:lpstr>
      <vt:lpstr>5x2 - 5%</vt:lpstr>
      <vt:lpstr>5x2 - 3,5%</vt:lpstr>
      <vt:lpstr>5x2 - 4%</vt:lpstr>
      <vt:lpstr>5x2 - 3%</vt:lpstr>
      <vt:lpstr>UNIFORMES</vt:lpstr>
      <vt:lpstr>EQUIPAMENTOS</vt:lpstr>
      <vt:lpstr>'5x2 - 3%'!Area_de_impressao</vt:lpstr>
      <vt:lpstr>'5x2 - 3,5%'!Area_de_impressao</vt:lpstr>
      <vt:lpstr>'5x2 - 4%'!Area_de_impressao</vt:lpstr>
      <vt:lpstr>'5x2 - 5%'!Area_de_impressao</vt:lpstr>
      <vt:lpstr>EQUIPAMENTOS!Area_de_impressao</vt:lpstr>
      <vt:lpstr>'RESUMO CUSTO'!Area_de_impressao</vt:lpstr>
      <vt:lpstr>UNIFORMES!Area_de_impressao</vt:lpstr>
    </vt:vector>
  </TitlesOfParts>
  <Company>SEGES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Wellington Caninja Soares Ferreira</dc:creator>
  <dc:description/>
  <cp:lastModifiedBy>Thamia Karoline M da Silva</cp:lastModifiedBy>
  <cp:revision>1</cp:revision>
  <cp:lastPrinted>2023-12-01T14:37:22Z</cp:lastPrinted>
  <dcterms:created xsi:type="dcterms:W3CDTF">2019-10-15T20:19:12Z</dcterms:created>
  <dcterms:modified xsi:type="dcterms:W3CDTF">2023-12-01T14:37:30Z</dcterms:modified>
  <dc:language>pt-BR</dc:language>
</cp:coreProperties>
</file>