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202\coordenadoria de engenharia de transito\0001 - GERAL DETRAN\007- COORDENADORIA DE OBRAS 2022\012 - REFORMA BRASNORTE\60ª CIRETRAN - BRASNORTE\PLANILHA\"/>
    </mc:Choice>
  </mc:AlternateContent>
  <bookViews>
    <workbookView xWindow="0" yWindow="0" windowWidth="28800" windowHeight="12300" activeTab="2"/>
  </bookViews>
  <sheets>
    <sheet name="orcam" sheetId="1" r:id="rId1"/>
    <sheet name="conograma" sheetId="2" r:id="rId2"/>
    <sheet name="composições" sheetId="3" r:id="rId3"/>
    <sheet name="comp__eletrica" sheetId="4" r:id="rId4"/>
  </sheets>
  <definedNames>
    <definedName name="_xlnm.Print_Area" localSheetId="2">composições!$A$1:$F$216</definedName>
    <definedName name="_xlnm.Print_Area" localSheetId="1">conograma!$A$1:$Q$53</definedName>
    <definedName name="_xlnm.Print_Area" localSheetId="0">orcam!$A$1:$H$332</definedName>
  </definedNames>
  <calcPr calcId="162913"/>
</workbook>
</file>

<file path=xl/calcChain.xml><?xml version="1.0" encoding="utf-8"?>
<calcChain xmlns="http://schemas.openxmlformats.org/spreadsheetml/2006/main">
  <c r="H117" i="1" l="1"/>
  <c r="G208" i="1"/>
  <c r="F208" i="1"/>
  <c r="E208" i="1"/>
  <c r="G207" i="1"/>
  <c r="F207" i="1"/>
  <c r="E207" i="1"/>
  <c r="H207" i="1" s="1"/>
  <c r="I206" i="1"/>
  <c r="E206" i="1"/>
  <c r="H206" i="1" s="1"/>
  <c r="F206" i="1"/>
  <c r="G206" i="1"/>
  <c r="G205" i="1"/>
  <c r="H205" i="1" s="1"/>
  <c r="F205" i="1"/>
  <c r="E205" i="1"/>
  <c r="I205" i="1"/>
  <c r="G209" i="1"/>
  <c r="F209" i="1"/>
  <c r="I209" i="1"/>
  <c r="E209" i="1" s="1"/>
  <c r="G286" i="1"/>
  <c r="F286" i="1"/>
  <c r="E286" i="1"/>
  <c r="G285" i="1"/>
  <c r="H285" i="1" s="1"/>
  <c r="F285" i="1"/>
  <c r="E285" i="1"/>
  <c r="I284" i="1"/>
  <c r="I275" i="1"/>
  <c r="I274" i="1"/>
  <c r="H208" i="1" l="1"/>
  <c r="H286" i="1"/>
  <c r="H209" i="1"/>
  <c r="I258" i="1"/>
  <c r="I259" i="1"/>
  <c r="I153" i="1" l="1"/>
  <c r="J70" i="3" l="1"/>
  <c r="I31" i="1"/>
  <c r="I81" i="1"/>
  <c r="L31" i="1"/>
  <c r="I121" i="1"/>
  <c r="I127" i="1"/>
  <c r="E127" i="1" s="1"/>
  <c r="G128" i="1"/>
  <c r="F128" i="1"/>
  <c r="G127" i="1"/>
  <c r="F127" i="1"/>
  <c r="I128" i="1"/>
  <c r="E128" i="1" s="1"/>
  <c r="H128" i="1" s="1"/>
  <c r="I125" i="1"/>
  <c r="I126" i="1" s="1"/>
  <c r="I88" i="1"/>
  <c r="E88" i="1" s="1"/>
  <c r="G88" i="1"/>
  <c r="F88" i="1"/>
  <c r="I123" i="1"/>
  <c r="I124" i="1" s="1"/>
  <c r="I122" i="1"/>
  <c r="I120" i="1"/>
  <c r="I295" i="1"/>
  <c r="I294" i="1"/>
  <c r="K294" i="1"/>
  <c r="I60" i="1"/>
  <c r="I79" i="1"/>
  <c r="I78" i="1"/>
  <c r="E78" i="1" s="1"/>
  <c r="G78" i="1"/>
  <c r="F78" i="1"/>
  <c r="I318" i="1"/>
  <c r="I317" i="1"/>
  <c r="I321" i="1" s="1"/>
  <c r="I316" i="1"/>
  <c r="I312" i="1"/>
  <c r="I313" i="1" s="1"/>
  <c r="I311" i="1"/>
  <c r="I310" i="1"/>
  <c r="I304" i="1"/>
  <c r="I302" i="1"/>
  <c r="I314" i="1" l="1"/>
  <c r="I315" i="1"/>
  <c r="H127" i="1"/>
  <c r="H88" i="1"/>
  <c r="H78" i="1"/>
  <c r="G292" i="1"/>
  <c r="F292" i="1"/>
  <c r="I292" i="1"/>
  <c r="E292" i="1" s="1"/>
  <c r="I298" i="1"/>
  <c r="I297" i="1"/>
  <c r="I296" i="1"/>
  <c r="L294" i="1"/>
  <c r="I293" i="1"/>
  <c r="I299" i="1" s="1"/>
  <c r="I300" i="1" s="1"/>
  <c r="H292" i="1" l="1"/>
  <c r="E189" i="1"/>
  <c r="F189" i="1"/>
  <c r="G189" i="1"/>
  <c r="E190" i="1"/>
  <c r="F190" i="1"/>
  <c r="G190" i="1"/>
  <c r="E191" i="1"/>
  <c r="F191" i="1"/>
  <c r="G191" i="1"/>
  <c r="E192" i="1"/>
  <c r="F192" i="1"/>
  <c r="G192" i="1"/>
  <c r="F244" i="4"/>
  <c r="F245" i="4" s="1"/>
  <c r="F241" i="4"/>
  <c r="F242" i="4" s="1"/>
  <c r="F240" i="4"/>
  <c r="H189" i="1" l="1"/>
  <c r="H192" i="1"/>
  <c r="H190" i="1"/>
  <c r="H191" i="1"/>
  <c r="F246" i="4"/>
  <c r="G129" i="1"/>
  <c r="F129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G228" i="1"/>
  <c r="F228" i="1"/>
  <c r="E228" i="1"/>
  <c r="G227" i="1"/>
  <c r="F227" i="1"/>
  <c r="E227" i="1"/>
  <c r="G226" i="1"/>
  <c r="F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87" i="1"/>
  <c r="F287" i="1"/>
  <c r="E287" i="1"/>
  <c r="G284" i="1"/>
  <c r="F284" i="1"/>
  <c r="E284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62" i="1"/>
  <c r="F262" i="1"/>
  <c r="E262" i="1"/>
  <c r="G261" i="1"/>
  <c r="F261" i="1"/>
  <c r="E261" i="1"/>
  <c r="G260" i="1"/>
  <c r="F260" i="1"/>
  <c r="E260" i="1"/>
  <c r="G259" i="1"/>
  <c r="F259" i="1"/>
  <c r="E259" i="1"/>
  <c r="G258" i="1"/>
  <c r="F258" i="1"/>
  <c r="E258" i="1"/>
  <c r="G257" i="1"/>
  <c r="F257" i="1"/>
  <c r="E257" i="1"/>
  <c r="G256" i="1"/>
  <c r="F256" i="1"/>
  <c r="E256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H122" i="1" l="1"/>
  <c r="H123" i="1"/>
  <c r="H230" i="1"/>
  <c r="H234" i="1"/>
  <c r="H238" i="1"/>
  <c r="H121" i="1"/>
  <c r="H248" i="1"/>
  <c r="H252" i="1"/>
  <c r="H256" i="1"/>
  <c r="H259" i="1"/>
  <c r="H233" i="1"/>
  <c r="H237" i="1"/>
  <c r="H124" i="1"/>
  <c r="H126" i="1"/>
  <c r="H315" i="1"/>
  <c r="H251" i="1"/>
  <c r="H255" i="1"/>
  <c r="H261" i="1"/>
  <c r="H263" i="1"/>
  <c r="H266" i="1"/>
  <c r="H270" i="1"/>
  <c r="H274" i="1"/>
  <c r="H278" i="1"/>
  <c r="H287" i="1"/>
  <c r="H218" i="1"/>
  <c r="H222" i="1"/>
  <c r="H265" i="1"/>
  <c r="H269" i="1"/>
  <c r="H273" i="1"/>
  <c r="H280" i="1"/>
  <c r="H284" i="1"/>
  <c r="H217" i="1"/>
  <c r="H221" i="1"/>
  <c r="H225" i="1"/>
  <c r="H310" i="1"/>
  <c r="H314" i="1"/>
  <c r="H322" i="1"/>
  <c r="H216" i="1"/>
  <c r="H220" i="1"/>
  <c r="H224" i="1"/>
  <c r="H228" i="1"/>
  <c r="H232" i="1"/>
  <c r="H236" i="1"/>
  <c r="H125" i="1"/>
  <c r="H249" i="1"/>
  <c r="H253" i="1"/>
  <c r="H257" i="1"/>
  <c r="H260" i="1"/>
  <c r="H264" i="1"/>
  <c r="H267" i="1"/>
  <c r="H271" i="1"/>
  <c r="H276" i="1"/>
  <c r="H215" i="1"/>
  <c r="H219" i="1"/>
  <c r="H223" i="1"/>
  <c r="H227" i="1"/>
  <c r="H231" i="1"/>
  <c r="H235" i="1"/>
  <c r="H239" i="1"/>
  <c r="H321" i="1"/>
  <c r="H320" i="1"/>
  <c r="H319" i="1"/>
  <c r="H318" i="1"/>
  <c r="H317" i="1"/>
  <c r="H316" i="1"/>
  <c r="H313" i="1"/>
  <c r="H312" i="1"/>
  <c r="H311" i="1"/>
  <c r="H281" i="1"/>
  <c r="H247" i="1"/>
  <c r="H250" i="1"/>
  <c r="H258" i="1"/>
  <c r="H246" i="1"/>
  <c r="H254" i="1"/>
  <c r="H268" i="1"/>
  <c r="H272" i="1"/>
  <c r="H275" i="1"/>
  <c r="H277" i="1"/>
  <c r="H279" i="1"/>
  <c r="H283" i="1"/>
  <c r="H245" i="1"/>
  <c r="H262" i="1"/>
  <c r="H282" i="1"/>
  <c r="G326" i="1" l="1"/>
  <c r="F326" i="1"/>
  <c r="G309" i="1"/>
  <c r="F309" i="1"/>
  <c r="E309" i="1"/>
  <c r="G304" i="1"/>
  <c r="F304" i="1"/>
  <c r="E304" i="1"/>
  <c r="G303" i="1"/>
  <c r="F303" i="1"/>
  <c r="E303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44" i="1"/>
  <c r="F244" i="1"/>
  <c r="E244" i="1"/>
  <c r="G214" i="1"/>
  <c r="F214" i="1"/>
  <c r="E214" i="1"/>
  <c r="I229" i="1"/>
  <c r="E229" i="1" s="1"/>
  <c r="H229" i="1" s="1"/>
  <c r="I226" i="1"/>
  <c r="E226" i="1" s="1"/>
  <c r="H226" i="1" s="1"/>
  <c r="I151" i="1"/>
  <c r="E151" i="1" s="1"/>
  <c r="I147" i="1"/>
  <c r="E147" i="1" s="1"/>
  <c r="I146" i="1"/>
  <c r="E146" i="1" s="1"/>
  <c r="I145" i="1"/>
  <c r="E145" i="1" s="1"/>
  <c r="I144" i="1"/>
  <c r="E144" i="1" s="1"/>
  <c r="I143" i="1"/>
  <c r="E143" i="1" s="1"/>
  <c r="I142" i="1"/>
  <c r="E142" i="1" s="1"/>
  <c r="I141" i="1"/>
  <c r="E141" i="1" s="1"/>
  <c r="I140" i="1"/>
  <c r="E140" i="1" s="1"/>
  <c r="I139" i="1"/>
  <c r="E139" i="1" s="1"/>
  <c r="I138" i="1"/>
  <c r="E138" i="1" s="1"/>
  <c r="I137" i="1"/>
  <c r="E137" i="1" s="1"/>
  <c r="I136" i="1"/>
  <c r="E136" i="1" s="1"/>
  <c r="I135" i="1"/>
  <c r="E135" i="1" s="1"/>
  <c r="I134" i="1"/>
  <c r="E134" i="1" s="1"/>
  <c r="E133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E148" i="1"/>
  <c r="F148" i="1"/>
  <c r="G148" i="1"/>
  <c r="E149" i="1"/>
  <c r="F149" i="1"/>
  <c r="G149" i="1"/>
  <c r="E150" i="1"/>
  <c r="F150" i="1"/>
  <c r="G150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10" i="1"/>
  <c r="F210" i="1"/>
  <c r="G210" i="1"/>
  <c r="B51" i="2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F382" i="4"/>
  <c r="F381" i="4"/>
  <c r="F378" i="4"/>
  <c r="F377" i="4"/>
  <c r="F379" i="4"/>
  <c r="F383" i="4"/>
  <c r="C372" i="4"/>
  <c r="F365" i="4"/>
  <c r="F366" i="4" s="1"/>
  <c r="F367" i="4" s="1"/>
  <c r="D365" i="4"/>
  <c r="F363" i="4"/>
  <c r="F362" i="4"/>
  <c r="F361" i="4"/>
  <c r="F355" i="4"/>
  <c r="F354" i="4"/>
  <c r="F351" i="4"/>
  <c r="F350" i="4"/>
  <c r="F352" i="4"/>
  <c r="F344" i="4"/>
  <c r="F341" i="4"/>
  <c r="F340" i="4"/>
  <c r="F333" i="4"/>
  <c r="F334" i="4"/>
  <c r="F331" i="4"/>
  <c r="F335" i="4"/>
  <c r="F330" i="4"/>
  <c r="F329" i="4"/>
  <c r="F322" i="4"/>
  <c r="F323" i="4" s="1"/>
  <c r="F324" i="4" s="1"/>
  <c r="F319" i="4"/>
  <c r="F318" i="4"/>
  <c r="F320" i="4"/>
  <c r="F310" i="4"/>
  <c r="F311" i="4"/>
  <c r="F308" i="4"/>
  <c r="F312" i="4"/>
  <c r="F307" i="4"/>
  <c r="F306" i="4"/>
  <c r="F299" i="4"/>
  <c r="F298" i="4"/>
  <c r="F295" i="4"/>
  <c r="F296" i="4"/>
  <c r="F300" i="4"/>
  <c r="F294" i="4"/>
  <c r="C289" i="4"/>
  <c r="F284" i="4"/>
  <c r="F283" i="4"/>
  <c r="E283" i="4"/>
  <c r="F280" i="4"/>
  <c r="F281" i="4"/>
  <c r="F285" i="4"/>
  <c r="F279" i="4"/>
  <c r="F271" i="4"/>
  <c r="F270" i="4"/>
  <c r="F272" i="4"/>
  <c r="F267" i="4"/>
  <c r="F266" i="4"/>
  <c r="F268" i="4"/>
  <c r="F257" i="4"/>
  <c r="F256" i="4"/>
  <c r="F254" i="4"/>
  <c r="F258" i="4"/>
  <c r="F253" i="4"/>
  <c r="F252" i="4"/>
  <c r="F251" i="4"/>
  <c r="F234" i="4"/>
  <c r="F233" i="4"/>
  <c r="F230" i="4"/>
  <c r="F231" i="4"/>
  <c r="F235" i="4" s="1"/>
  <c r="F229" i="4"/>
  <c r="F222" i="4"/>
  <c r="F223" i="4" s="1"/>
  <c r="F219" i="4"/>
  <c r="F218" i="4"/>
  <c r="F211" i="4"/>
  <c r="F212" i="4" s="1"/>
  <c r="F208" i="4"/>
  <c r="F209" i="4" s="1"/>
  <c r="F207" i="4"/>
  <c r="F200" i="4"/>
  <c r="F201" i="4" s="1"/>
  <c r="F202" i="4" s="1"/>
  <c r="F198" i="4"/>
  <c r="F197" i="4"/>
  <c r="F196" i="4"/>
  <c r="F189" i="4"/>
  <c r="F190" i="4" s="1"/>
  <c r="F191" i="4" s="1"/>
  <c r="F186" i="4"/>
  <c r="F187" i="4"/>
  <c r="F185" i="4"/>
  <c r="F178" i="4"/>
  <c r="F177" i="4"/>
  <c r="F179" i="4"/>
  <c r="F180" i="4" s="1"/>
  <c r="F174" i="4"/>
  <c r="F175" i="4"/>
  <c r="F173" i="4"/>
  <c r="F166" i="4"/>
  <c r="F165" i="4"/>
  <c r="F167" i="4"/>
  <c r="F162" i="4"/>
  <c r="F163" i="4"/>
  <c r="F168" i="4"/>
  <c r="F161" i="4"/>
  <c r="F153" i="4"/>
  <c r="F154" i="4"/>
  <c r="F150" i="4"/>
  <c r="F151" i="4" s="1"/>
  <c r="F155" i="4" s="1"/>
  <c r="F149" i="4"/>
  <c r="F142" i="4"/>
  <c r="F141" i="4"/>
  <c r="F143" i="4" s="1"/>
  <c r="F144" i="4" s="1"/>
  <c r="F138" i="4"/>
  <c r="F137" i="4"/>
  <c r="F139" i="4"/>
  <c r="F130" i="4"/>
  <c r="F129" i="4"/>
  <c r="F131" i="4" s="1"/>
  <c r="F132" i="4" s="1"/>
  <c r="F126" i="4"/>
  <c r="F125" i="4"/>
  <c r="F127" i="4"/>
  <c r="F118" i="4"/>
  <c r="F117" i="4"/>
  <c r="F116" i="4"/>
  <c r="F119" i="4"/>
  <c r="F113" i="4"/>
  <c r="F112" i="4"/>
  <c r="F114" i="4"/>
  <c r="F104" i="4"/>
  <c r="F103" i="4"/>
  <c r="F105" i="4"/>
  <c r="F100" i="4"/>
  <c r="F99" i="4"/>
  <c r="F98" i="4"/>
  <c r="F97" i="4"/>
  <c r="F101" i="4"/>
  <c r="F90" i="4"/>
  <c r="F89" i="4"/>
  <c r="F88" i="4"/>
  <c r="F87" i="4"/>
  <c r="F91" i="4" s="1"/>
  <c r="F86" i="4"/>
  <c r="F83" i="4"/>
  <c r="F82" i="4"/>
  <c r="F81" i="4"/>
  <c r="F80" i="4"/>
  <c r="F84" i="4" s="1"/>
  <c r="F72" i="4"/>
  <c r="F71" i="4"/>
  <c r="F70" i="4"/>
  <c r="F73" i="4"/>
  <c r="F74" i="4" s="1"/>
  <c r="F67" i="4"/>
  <c r="F66" i="4"/>
  <c r="F68" i="4"/>
  <c r="F59" i="4"/>
  <c r="F58" i="4"/>
  <c r="F57" i="4"/>
  <c r="F60" i="4"/>
  <c r="F61" i="4"/>
  <c r="F54" i="4"/>
  <c r="F53" i="4"/>
  <c r="F55" i="4"/>
  <c r="F46" i="4"/>
  <c r="F45" i="4"/>
  <c r="F44" i="4"/>
  <c r="F47" i="4"/>
  <c r="F48" i="4" s="1"/>
  <c r="F41" i="4"/>
  <c r="F40" i="4"/>
  <c r="F42" i="4"/>
  <c r="F33" i="4"/>
  <c r="F32" i="4"/>
  <c r="F31" i="4"/>
  <c r="F30" i="4"/>
  <c r="F29" i="4"/>
  <c r="F28" i="4"/>
  <c r="D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2" i="4"/>
  <c r="F11" i="4"/>
  <c r="F10" i="4"/>
  <c r="F13" i="4"/>
  <c r="F199" i="3"/>
  <c r="F198" i="3"/>
  <c r="F197" i="3"/>
  <c r="F201" i="3" s="1"/>
  <c r="F196" i="3"/>
  <c r="K194" i="3"/>
  <c r="F193" i="3"/>
  <c r="F194" i="3" s="1"/>
  <c r="F192" i="3"/>
  <c r="F179" i="3"/>
  <c r="F178" i="3"/>
  <c r="F180" i="3" s="1"/>
  <c r="F175" i="3"/>
  <c r="K174" i="3"/>
  <c r="F174" i="3"/>
  <c r="K173" i="3"/>
  <c r="F173" i="3"/>
  <c r="F176" i="3" s="1"/>
  <c r="F167" i="3"/>
  <c r="F166" i="3"/>
  <c r="F165" i="3"/>
  <c r="F164" i="3"/>
  <c r="F168" i="3" s="1"/>
  <c r="F161" i="3"/>
  <c r="F160" i="3"/>
  <c r="F162" i="3" s="1"/>
  <c r="J154" i="3"/>
  <c r="F154" i="3"/>
  <c r="F153" i="3"/>
  <c r="F155" i="3" s="1"/>
  <c r="F150" i="3"/>
  <c r="F149" i="3"/>
  <c r="K148" i="3"/>
  <c r="G148" i="3"/>
  <c r="F148" i="3"/>
  <c r="F143" i="3"/>
  <c r="F144" i="3" s="1"/>
  <c r="F142" i="3"/>
  <c r="F136" i="3"/>
  <c r="F137" i="3"/>
  <c r="F133" i="3"/>
  <c r="F132" i="3"/>
  <c r="F134" i="3" s="1"/>
  <c r="F124" i="3"/>
  <c r="F125" i="3" s="1"/>
  <c r="F126" i="3" s="1"/>
  <c r="F121" i="3"/>
  <c r="F122" i="3" s="1"/>
  <c r="F120" i="3"/>
  <c r="F111" i="3"/>
  <c r="F112" i="3" s="1"/>
  <c r="F110" i="3"/>
  <c r="F109" i="3"/>
  <c r="F107" i="3"/>
  <c r="F106" i="3"/>
  <c r="F108" i="3" s="1"/>
  <c r="F100" i="3"/>
  <c r="F99" i="3"/>
  <c r="F101" i="3"/>
  <c r="F84" i="3"/>
  <c r="F83" i="3"/>
  <c r="F82" i="3"/>
  <c r="F86" i="3" s="1"/>
  <c r="F81" i="3"/>
  <c r="K79" i="3"/>
  <c r="F78" i="3"/>
  <c r="F79" i="3" s="1"/>
  <c r="F77" i="3"/>
  <c r="F68" i="3"/>
  <c r="F67" i="3"/>
  <c r="F66" i="3"/>
  <c r="F65" i="3"/>
  <c r="F64" i="3"/>
  <c r="F62" i="3"/>
  <c r="F61" i="3"/>
  <c r="F60" i="3"/>
  <c r="F59" i="3"/>
  <c r="F58" i="3"/>
  <c r="F57" i="3"/>
  <c r="F63" i="3" s="1"/>
  <c r="F56" i="3"/>
  <c r="F55" i="3"/>
  <c r="G50" i="3"/>
  <c r="G49" i="3"/>
  <c r="N48" i="3"/>
  <c r="J48" i="3"/>
  <c r="H48" i="3"/>
  <c r="I46" i="3"/>
  <c r="O44" i="3"/>
  <c r="J44" i="3"/>
  <c r="I42" i="3"/>
  <c r="F41" i="3"/>
  <c r="F42" i="3"/>
  <c r="P39" i="3"/>
  <c r="F38" i="3"/>
  <c r="F39" i="3" s="1"/>
  <c r="F37" i="3"/>
  <c r="F30" i="3"/>
  <c r="K29" i="3"/>
  <c r="F29" i="3"/>
  <c r="F31" i="3" s="1"/>
  <c r="F20" i="3"/>
  <c r="F19" i="3"/>
  <c r="F21" i="3"/>
  <c r="F22" i="3"/>
  <c r="Q14" i="3"/>
  <c r="F13" i="3"/>
  <c r="F12" i="3"/>
  <c r="F11" i="3"/>
  <c r="F10" i="3"/>
  <c r="F9" i="3"/>
  <c r="F8" i="3"/>
  <c r="F7" i="3"/>
  <c r="U25" i="2"/>
  <c r="G120" i="1"/>
  <c r="F120" i="1"/>
  <c r="E120" i="1"/>
  <c r="I116" i="1"/>
  <c r="E116" i="1" s="1"/>
  <c r="G116" i="1"/>
  <c r="F116" i="1"/>
  <c r="G115" i="1"/>
  <c r="F115" i="1"/>
  <c r="E115" i="1"/>
  <c r="I111" i="1"/>
  <c r="E111" i="1" s="1"/>
  <c r="G111" i="1"/>
  <c r="F111" i="1"/>
  <c r="L110" i="1"/>
  <c r="G110" i="1"/>
  <c r="F110" i="1"/>
  <c r="E110" i="1"/>
  <c r="I109" i="1"/>
  <c r="E109" i="1" s="1"/>
  <c r="G109" i="1"/>
  <c r="F109" i="1"/>
  <c r="I108" i="1"/>
  <c r="E108" i="1" s="1"/>
  <c r="G108" i="1"/>
  <c r="F108" i="1"/>
  <c r="L107" i="1"/>
  <c r="I107" i="1"/>
  <c r="I326" i="1" s="1"/>
  <c r="E326" i="1" s="1"/>
  <c r="G107" i="1"/>
  <c r="F107" i="1"/>
  <c r="G103" i="1"/>
  <c r="F103" i="1"/>
  <c r="E103" i="1"/>
  <c r="I102" i="1"/>
  <c r="E102" i="1" s="1"/>
  <c r="G102" i="1"/>
  <c r="F102" i="1"/>
  <c r="I101" i="1"/>
  <c r="E101" i="1" s="1"/>
  <c r="G101" i="1"/>
  <c r="F101" i="1"/>
  <c r="G100" i="1"/>
  <c r="F100" i="1"/>
  <c r="G99" i="1"/>
  <c r="F99" i="1"/>
  <c r="I95" i="1"/>
  <c r="I129" i="1" s="1"/>
  <c r="E129" i="1" s="1"/>
  <c r="H129" i="1" s="1"/>
  <c r="G95" i="1"/>
  <c r="F95" i="1"/>
  <c r="I94" i="1"/>
  <c r="E94" i="1" s="1"/>
  <c r="G94" i="1"/>
  <c r="F94" i="1"/>
  <c r="I93" i="1"/>
  <c r="E93" i="1" s="1"/>
  <c r="G93" i="1"/>
  <c r="F93" i="1"/>
  <c r="I92" i="1"/>
  <c r="E92" i="1" s="1"/>
  <c r="G92" i="1"/>
  <c r="F92" i="1"/>
  <c r="I91" i="1"/>
  <c r="E91" i="1" s="1"/>
  <c r="G91" i="1"/>
  <c r="F91" i="1"/>
  <c r="G89" i="1"/>
  <c r="F89" i="1"/>
  <c r="E89" i="1"/>
  <c r="G87" i="1"/>
  <c r="F87" i="1"/>
  <c r="E87" i="1"/>
  <c r="G86" i="1"/>
  <c r="F86" i="1"/>
  <c r="E86" i="1"/>
  <c r="G81" i="1"/>
  <c r="F81" i="1"/>
  <c r="I80" i="1"/>
  <c r="E80" i="1" s="1"/>
  <c r="G80" i="1"/>
  <c r="F80" i="1"/>
  <c r="L79" i="1"/>
  <c r="K79" i="1"/>
  <c r="E79" i="1"/>
  <c r="G79" i="1"/>
  <c r="F79" i="1"/>
  <c r="I77" i="1"/>
  <c r="E77" i="1" s="1"/>
  <c r="G77" i="1"/>
  <c r="F77" i="1"/>
  <c r="G76" i="1"/>
  <c r="F76" i="1"/>
  <c r="E76" i="1"/>
  <c r="G75" i="1"/>
  <c r="F75" i="1"/>
  <c r="E75" i="1"/>
  <c r="I71" i="1"/>
  <c r="E71" i="1" s="1"/>
  <c r="G71" i="1"/>
  <c r="F71" i="1"/>
  <c r="I70" i="1"/>
  <c r="E70" i="1" s="1"/>
  <c r="G70" i="1"/>
  <c r="F70" i="1"/>
  <c r="I69" i="1"/>
  <c r="I99" i="1" s="1"/>
  <c r="I100" i="1" s="1"/>
  <c r="E100" i="1" s="1"/>
  <c r="G69" i="1"/>
  <c r="F69" i="1"/>
  <c r="G65" i="1"/>
  <c r="F65" i="1"/>
  <c r="G64" i="1"/>
  <c r="F64" i="1"/>
  <c r="I63" i="1"/>
  <c r="E63" i="1" s="1"/>
  <c r="G63" i="1"/>
  <c r="F63" i="1"/>
  <c r="I62" i="1"/>
  <c r="E62" i="1" s="1"/>
  <c r="G62" i="1"/>
  <c r="F62" i="1"/>
  <c r="G61" i="1"/>
  <c r="F61" i="1"/>
  <c r="K60" i="1"/>
  <c r="G60" i="1"/>
  <c r="F60" i="1"/>
  <c r="I56" i="1"/>
  <c r="E56" i="1" s="1"/>
  <c r="G56" i="1"/>
  <c r="F56" i="1"/>
  <c r="G55" i="1"/>
  <c r="F55" i="1"/>
  <c r="G54" i="1"/>
  <c r="F54" i="1"/>
  <c r="I53" i="1"/>
  <c r="E53" i="1" s="1"/>
  <c r="G53" i="1"/>
  <c r="F53" i="1"/>
  <c r="G52" i="1"/>
  <c r="F52" i="1"/>
  <c r="I51" i="1"/>
  <c r="I54" i="1" s="1"/>
  <c r="E54" i="1" s="1"/>
  <c r="G51" i="1"/>
  <c r="F51" i="1"/>
  <c r="I50" i="1"/>
  <c r="E50" i="1" s="1"/>
  <c r="G50" i="1"/>
  <c r="F50" i="1"/>
  <c r="G46" i="1"/>
  <c r="F46" i="1"/>
  <c r="K45" i="1"/>
  <c r="I45" i="1"/>
  <c r="E45" i="1" s="1"/>
  <c r="G45" i="1"/>
  <c r="F45" i="1"/>
  <c r="I41" i="1"/>
  <c r="E41" i="1" s="1"/>
  <c r="G41" i="1"/>
  <c r="F41" i="1"/>
  <c r="G40" i="1"/>
  <c r="F40" i="1"/>
  <c r="E40" i="1"/>
  <c r="G39" i="1"/>
  <c r="F39" i="1"/>
  <c r="E39" i="1"/>
  <c r="G38" i="1"/>
  <c r="F38" i="1"/>
  <c r="E38" i="1"/>
  <c r="M37" i="1"/>
  <c r="I37" i="1"/>
  <c r="E37" i="1" s="1"/>
  <c r="G37" i="1"/>
  <c r="F37" i="1"/>
  <c r="G36" i="1"/>
  <c r="F36" i="1"/>
  <c r="E36" i="1"/>
  <c r="G35" i="1"/>
  <c r="F35" i="1"/>
  <c r="K34" i="1"/>
  <c r="I34" i="1"/>
  <c r="E34" i="1" s="1"/>
  <c r="G34" i="1"/>
  <c r="F34" i="1"/>
  <c r="L33" i="1"/>
  <c r="K33" i="1"/>
  <c r="E33" i="1" s="1"/>
  <c r="I33" i="1"/>
  <c r="G33" i="1"/>
  <c r="F33" i="1"/>
  <c r="I32" i="1"/>
  <c r="E32" i="1" s="1"/>
  <c r="G32" i="1"/>
  <c r="F32" i="1"/>
  <c r="E81" i="1"/>
  <c r="G31" i="1"/>
  <c r="F31" i="1"/>
  <c r="G30" i="1"/>
  <c r="F30" i="1"/>
  <c r="I29" i="1"/>
  <c r="G29" i="1"/>
  <c r="F29" i="1"/>
  <c r="G25" i="1"/>
  <c r="F25" i="1"/>
  <c r="E25" i="1"/>
  <c r="I24" i="1"/>
  <c r="E24" i="1" s="1"/>
  <c r="G24" i="1"/>
  <c r="F24" i="1"/>
  <c r="I23" i="1"/>
  <c r="E23" i="1" s="1"/>
  <c r="G23" i="1"/>
  <c r="F23" i="1"/>
  <c r="I22" i="1"/>
  <c r="E22" i="1" s="1"/>
  <c r="G22" i="1"/>
  <c r="F22" i="1"/>
  <c r="E60" i="1"/>
  <c r="I64" i="1"/>
  <c r="E64" i="1" s="1"/>
  <c r="F106" i="4"/>
  <c r="F120" i="4"/>
  <c r="F273" i="4"/>
  <c r="F356" i="4"/>
  <c r="H326" i="1" l="1"/>
  <c r="H327" i="1" s="1"/>
  <c r="D51" i="2" s="1"/>
  <c r="H296" i="1"/>
  <c r="H54" i="1"/>
  <c r="H111" i="1"/>
  <c r="H23" i="1"/>
  <c r="H41" i="1"/>
  <c r="H91" i="1"/>
  <c r="H133" i="1"/>
  <c r="H143" i="1"/>
  <c r="H94" i="1"/>
  <c r="H139" i="1"/>
  <c r="H137" i="1"/>
  <c r="H135" i="1"/>
  <c r="H204" i="1"/>
  <c r="H202" i="1"/>
  <c r="H200" i="1"/>
  <c r="H196" i="1"/>
  <c r="H188" i="1"/>
  <c r="H184" i="1"/>
  <c r="H180" i="1"/>
  <c r="H178" i="1"/>
  <c r="H176" i="1"/>
  <c r="H172" i="1"/>
  <c r="H168" i="1"/>
  <c r="H166" i="1"/>
  <c r="H164" i="1"/>
  <c r="H162" i="1"/>
  <c r="H160" i="1"/>
  <c r="H158" i="1"/>
  <c r="H156" i="1"/>
  <c r="H152" i="1"/>
  <c r="H149" i="1"/>
  <c r="H145" i="1"/>
  <c r="H141" i="1"/>
  <c r="E69" i="1"/>
  <c r="H69" i="1" s="1"/>
  <c r="H210" i="1"/>
  <c r="H203" i="1"/>
  <c r="H201" i="1"/>
  <c r="H199" i="1"/>
  <c r="H197" i="1"/>
  <c r="H304" i="1"/>
  <c r="F151" i="3"/>
  <c r="F156" i="3"/>
  <c r="H300" i="1"/>
  <c r="F345" i="4"/>
  <c r="H214" i="1"/>
  <c r="H240" i="1" s="1"/>
  <c r="D43" i="2" s="1"/>
  <c r="H198" i="1"/>
  <c r="H194" i="1"/>
  <c r="F213" i="4"/>
  <c r="H186" i="1"/>
  <c r="H182" i="1"/>
  <c r="H174" i="1"/>
  <c r="F92" i="4"/>
  <c r="H170" i="1"/>
  <c r="H154" i="1"/>
  <c r="H147" i="1"/>
  <c r="F34" i="4"/>
  <c r="F35" i="4" s="1"/>
  <c r="I198" i="3"/>
  <c r="K198" i="3" s="1"/>
  <c r="F202" i="3"/>
  <c r="F203" i="3" s="1"/>
  <c r="J37" i="3"/>
  <c r="F43" i="3"/>
  <c r="F113" i="3"/>
  <c r="F181" i="3"/>
  <c r="I83" i="3"/>
  <c r="K83" i="3" s="1"/>
  <c r="F87" i="3"/>
  <c r="F88" i="3" s="1"/>
  <c r="F138" i="3"/>
  <c r="F169" i="3"/>
  <c r="H109" i="1"/>
  <c r="F69" i="3"/>
  <c r="F70" i="3" s="1"/>
  <c r="H89" i="1"/>
  <c r="H25" i="1"/>
  <c r="H100" i="1"/>
  <c r="K101" i="1"/>
  <c r="H195" i="1"/>
  <c r="H193" i="1"/>
  <c r="H187" i="1"/>
  <c r="H185" i="1"/>
  <c r="H183" i="1"/>
  <c r="H181" i="1"/>
  <c r="H179" i="1"/>
  <c r="H177" i="1"/>
  <c r="H175" i="1"/>
  <c r="H171" i="1"/>
  <c r="H169" i="1"/>
  <c r="H167" i="1"/>
  <c r="H165" i="1"/>
  <c r="H163" i="1"/>
  <c r="H161" i="1"/>
  <c r="H159" i="1"/>
  <c r="H157" i="1"/>
  <c r="H155" i="1"/>
  <c r="H153" i="1"/>
  <c r="H150" i="1"/>
  <c r="H148" i="1"/>
  <c r="H146" i="1"/>
  <c r="H144" i="1"/>
  <c r="H142" i="1"/>
  <c r="H140" i="1"/>
  <c r="H138" i="1"/>
  <c r="H136" i="1"/>
  <c r="H134" i="1"/>
  <c r="H151" i="1"/>
  <c r="H295" i="1"/>
  <c r="H299" i="1"/>
  <c r="H303" i="1"/>
  <c r="H22" i="1"/>
  <c r="H76" i="1"/>
  <c r="H34" i="1"/>
  <c r="H45" i="1"/>
  <c r="H77" i="1"/>
  <c r="H92" i="1"/>
  <c r="I52" i="1"/>
  <c r="I46" i="1" s="1"/>
  <c r="E46" i="1" s="1"/>
  <c r="H46" i="1" s="1"/>
  <c r="H81" i="1"/>
  <c r="H62" i="1"/>
  <c r="H108" i="1"/>
  <c r="H110" i="1"/>
  <c r="H115" i="1"/>
  <c r="H63" i="1"/>
  <c r="H101" i="1"/>
  <c r="E51" i="1"/>
  <c r="H51" i="1" s="1"/>
  <c r="I55" i="1"/>
  <c r="E55" i="1" s="1"/>
  <c r="H55" i="1" s="1"/>
  <c r="H116" i="1"/>
  <c r="H64" i="1"/>
  <c r="H36" i="1"/>
  <c r="H38" i="1"/>
  <c r="H40" i="1"/>
  <c r="H79" i="1"/>
  <c r="H80" i="1"/>
  <c r="H87" i="1"/>
  <c r="H93" i="1"/>
  <c r="H102" i="1"/>
  <c r="E31" i="1"/>
  <c r="H31" i="1" s="1"/>
  <c r="H33" i="1"/>
  <c r="H86" i="1"/>
  <c r="H103" i="1"/>
  <c r="H32" i="1"/>
  <c r="I35" i="1"/>
  <c r="E35" i="1" s="1"/>
  <c r="H35" i="1" s="1"/>
  <c r="H24" i="1"/>
  <c r="H50" i="1"/>
  <c r="H53" i="1"/>
  <c r="H56" i="1"/>
  <c r="E107" i="1"/>
  <c r="H107" i="1" s="1"/>
  <c r="H120" i="1"/>
  <c r="H130" i="1" s="1"/>
  <c r="F14" i="3"/>
  <c r="H173" i="1"/>
  <c r="F220" i="4"/>
  <c r="F224" i="4" s="1"/>
  <c r="E99" i="1"/>
  <c r="H99" i="1" s="1"/>
  <c r="H60" i="1"/>
  <c r="I65" i="1"/>
  <c r="E65" i="1" s="1"/>
  <c r="H65" i="1" s="1"/>
  <c r="I61" i="1"/>
  <c r="E61" i="1" s="1"/>
  <c r="H61" i="1" s="1"/>
  <c r="E95" i="1"/>
  <c r="H95" i="1" s="1"/>
  <c r="I30" i="1"/>
  <c r="E30" i="1" s="1"/>
  <c r="H30" i="1" s="1"/>
  <c r="E29" i="1"/>
  <c r="H29" i="1" s="1"/>
  <c r="H70" i="1"/>
  <c r="H71" i="1"/>
  <c r="H37" i="1"/>
  <c r="H294" i="1"/>
  <c r="H302" i="1"/>
  <c r="H39" i="1"/>
  <c r="H75" i="1"/>
  <c r="L51" i="2"/>
  <c r="H293" i="1"/>
  <c r="H301" i="1"/>
  <c r="H309" i="1"/>
  <c r="H298" i="1"/>
  <c r="H297" i="1"/>
  <c r="H244" i="1"/>
  <c r="H288" i="1" s="1"/>
  <c r="D45" i="2" s="1"/>
  <c r="J45" i="2" s="1"/>
  <c r="H305" i="1" l="1"/>
  <c r="D47" i="2" s="1"/>
  <c r="L47" i="2" s="1"/>
  <c r="D39" i="2"/>
  <c r="L39" i="2" s="1"/>
  <c r="H26" i="1"/>
  <c r="D17" i="2" s="1"/>
  <c r="F17" i="2" s="1"/>
  <c r="P45" i="2"/>
  <c r="F45" i="2"/>
  <c r="N45" i="2"/>
  <c r="L45" i="2"/>
  <c r="H45" i="2"/>
  <c r="H112" i="1"/>
  <c r="H211" i="1"/>
  <c r="D41" i="2" s="1"/>
  <c r="H47" i="1"/>
  <c r="H66" i="1"/>
  <c r="D25" i="2" s="1"/>
  <c r="J25" i="2" s="1"/>
  <c r="H72" i="1"/>
  <c r="H82" i="1"/>
  <c r="H104" i="1"/>
  <c r="E52" i="1"/>
  <c r="H52" i="1" s="1"/>
  <c r="H57" i="1" s="1"/>
  <c r="H96" i="1"/>
  <c r="D31" i="2" s="1"/>
  <c r="H42" i="1"/>
  <c r="J51" i="2"/>
  <c r="N51" i="2"/>
  <c r="F51" i="2"/>
  <c r="P51" i="2"/>
  <c r="H51" i="2"/>
  <c r="H323" i="1"/>
  <c r="D49" i="2" s="1"/>
  <c r="P49" i="2" s="1"/>
  <c r="F43" i="2"/>
  <c r="N43" i="2"/>
  <c r="J43" i="2"/>
  <c r="P43" i="2"/>
  <c r="H43" i="2"/>
  <c r="L43" i="2"/>
  <c r="N39" i="2" l="1"/>
  <c r="H39" i="2"/>
  <c r="N17" i="2"/>
  <c r="J39" i="2"/>
  <c r="P39" i="2"/>
  <c r="F47" i="2"/>
  <c r="H17" i="2"/>
  <c r="H47" i="2"/>
  <c r="P17" i="2"/>
  <c r="F39" i="2"/>
  <c r="J49" i="2"/>
  <c r="F49" i="2"/>
  <c r="D33" i="2"/>
  <c r="F33" i="2" s="1"/>
  <c r="D21" i="2"/>
  <c r="L21" i="2" s="1"/>
  <c r="J47" i="2"/>
  <c r="L49" i="2"/>
  <c r="H49" i="2"/>
  <c r="D19" i="2"/>
  <c r="L19" i="2" s="1"/>
  <c r="D29" i="2"/>
  <c r="H29" i="2" s="1"/>
  <c r="P47" i="2"/>
  <c r="L17" i="2"/>
  <c r="J17" i="2"/>
  <c r="N49" i="2"/>
  <c r="N47" i="2"/>
  <c r="D27" i="2"/>
  <c r="N27" i="2" s="1"/>
  <c r="D35" i="2"/>
  <c r="J35" i="2" s="1"/>
  <c r="D23" i="2"/>
  <c r="N23" i="2" s="1"/>
  <c r="D37" i="2"/>
  <c r="N37" i="2" s="1"/>
  <c r="Q45" i="2"/>
  <c r="L41" i="2"/>
  <c r="P41" i="2"/>
  <c r="F41" i="2"/>
  <c r="N41" i="2"/>
  <c r="H41" i="2"/>
  <c r="J41" i="2"/>
  <c r="P37" i="2"/>
  <c r="F25" i="2"/>
  <c r="H25" i="2"/>
  <c r="N25" i="2"/>
  <c r="L25" i="2"/>
  <c r="P25" i="2"/>
  <c r="H329" i="1"/>
  <c r="Q51" i="2"/>
  <c r="Q43" i="2"/>
  <c r="N31" i="2"/>
  <c r="Q39" i="2" l="1"/>
  <c r="P29" i="2"/>
  <c r="F19" i="2"/>
  <c r="J19" i="2"/>
  <c r="F21" i="2"/>
  <c r="J29" i="2"/>
  <c r="L35" i="2"/>
  <c r="H21" i="2"/>
  <c r="P21" i="2"/>
  <c r="N19" i="2"/>
  <c r="N21" i="2"/>
  <c r="P19" i="2"/>
  <c r="J21" i="2"/>
  <c r="P27" i="2"/>
  <c r="J37" i="2"/>
  <c r="F27" i="2"/>
  <c r="F29" i="2"/>
  <c r="H37" i="2"/>
  <c r="Q49" i="2"/>
  <c r="N29" i="2"/>
  <c r="N35" i="2"/>
  <c r="P35" i="2"/>
  <c r="H35" i="2"/>
  <c r="Q17" i="2"/>
  <c r="L29" i="2"/>
  <c r="Q47" i="2"/>
  <c r="F35" i="2"/>
  <c r="J23" i="2"/>
  <c r="F37" i="2"/>
  <c r="L37" i="2"/>
  <c r="L33" i="2"/>
  <c r="J33" i="2"/>
  <c r="N33" i="2"/>
  <c r="L23" i="2"/>
  <c r="L27" i="2"/>
  <c r="H33" i="2"/>
  <c r="H19" i="2"/>
  <c r="P33" i="2"/>
  <c r="F23" i="2"/>
  <c r="H27" i="2"/>
  <c r="H23" i="2"/>
  <c r="P23" i="2"/>
  <c r="J27" i="2"/>
  <c r="Q41" i="2"/>
  <c r="Q25" i="2"/>
  <c r="F31" i="2"/>
  <c r="D53" i="2"/>
  <c r="C27" i="2" s="1"/>
  <c r="L31" i="2"/>
  <c r="P31" i="2"/>
  <c r="J31" i="2"/>
  <c r="H31" i="2"/>
  <c r="Q21" i="2" l="1"/>
  <c r="Q19" i="2"/>
  <c r="Q35" i="2"/>
  <c r="N53" i="2"/>
  <c r="M53" i="2" s="1"/>
  <c r="Q37" i="2"/>
  <c r="Q23" i="2"/>
  <c r="Q33" i="2"/>
  <c r="Q29" i="2"/>
  <c r="P53" i="2"/>
  <c r="O53" i="2" s="1"/>
  <c r="Q27" i="2"/>
  <c r="L53" i="2"/>
  <c r="K53" i="2" s="1"/>
  <c r="F53" i="2"/>
  <c r="E53" i="2" s="1"/>
  <c r="J53" i="2"/>
  <c r="I53" i="2" s="1"/>
  <c r="C23" i="2"/>
  <c r="C33" i="2"/>
  <c r="C29" i="2"/>
  <c r="C51" i="2"/>
  <c r="C31" i="2"/>
  <c r="C37" i="2"/>
  <c r="C25" i="2"/>
  <c r="C39" i="2"/>
  <c r="C43" i="2"/>
  <c r="C21" i="2"/>
  <c r="C17" i="2"/>
  <c r="C49" i="2"/>
  <c r="C45" i="2"/>
  <c r="C19" i="2"/>
  <c r="C35" i="2"/>
  <c r="C47" i="2"/>
  <c r="C41" i="2"/>
  <c r="Q31" i="2"/>
  <c r="H53" i="2"/>
  <c r="G53" i="2" s="1"/>
  <c r="Q53" i="2" l="1"/>
  <c r="Q57" i="2" s="1"/>
  <c r="C53" i="2"/>
</calcChain>
</file>

<file path=xl/sharedStrings.xml><?xml version="1.0" encoding="utf-8"?>
<sst xmlns="http://schemas.openxmlformats.org/spreadsheetml/2006/main" count="1825" uniqueCount="863">
  <si>
    <t>PLANILHA DE REFORMA  DA  60ª  CIRETRAN BRASNORTE</t>
  </si>
  <si>
    <t>Local: BRASNORTE/MT</t>
  </si>
  <si>
    <t>BDI 27,63%</t>
  </si>
  <si>
    <t>ITEM</t>
  </si>
  <si>
    <t>CÓDIGO</t>
  </si>
  <si>
    <t>DESCRIÇÃO</t>
  </si>
  <si>
    <t>UNID</t>
  </si>
  <si>
    <t>QUANT</t>
  </si>
  <si>
    <t>V. UNIT</t>
  </si>
  <si>
    <t>V. TOTAL</t>
  </si>
  <si>
    <t>1.0</t>
  </si>
  <si>
    <t>SERVIÇOS PRELIMINARES</t>
  </si>
  <si>
    <t>SEM BDI</t>
  </si>
  <si>
    <t>COM BDI</t>
  </si>
  <si>
    <t>1.1</t>
  </si>
  <si>
    <t>ENGENHEIRO/ARQUITETO TRAINEE/JUNIOR/AUXILIAR 2 HORAS NA OBRA 2 VEZES POR SEMANA</t>
  </si>
  <si>
    <t>h</t>
  </si>
  <si>
    <t>1.2</t>
  </si>
  <si>
    <t>FEITOR OU ENCARREGADO GERAL DE OBRA</t>
  </si>
  <si>
    <t>1.3</t>
  </si>
  <si>
    <t>COMP. DETRAN</t>
  </si>
  <si>
    <t>PLACA DE OBRA EM CHAPA DE ACO GALVANIZADO</t>
  </si>
  <si>
    <t>m²</t>
  </si>
  <si>
    <t>1.4</t>
  </si>
  <si>
    <t>CAÇAMBA BOTA FORA 5,0 M³</t>
  </si>
  <si>
    <t>ud</t>
  </si>
  <si>
    <t>TOTAL DA ETAPA</t>
  </si>
  <si>
    <t>2.0</t>
  </si>
  <si>
    <t>RETIRADAS E DEMOLIÇÕES</t>
  </si>
  <si>
    <t>2.1</t>
  </si>
  <si>
    <t>REMOÇÃO DE TELHAS, DE FIBROCIMENTO, METÁLICA E CERÂMICA, DE FORMA MANUAL, SEM REAPROVEITAMENTO. AF_12/2017</t>
  </si>
  <si>
    <t>2.2</t>
  </si>
  <si>
    <t>REMOÇÃO DE TRAMA DE MADEIRA PARA COBERTURA, DE FORMA MANUAL, SEM REAPROVEITAMENTO. AF_12/2017</t>
  </si>
  <si>
    <t>2.3</t>
  </si>
  <si>
    <t>REMOÇÃO DE FORROS DE DRYWALL, PVC E FIBROMINERAL, DE FORMA MANUAL, SEM REAPROVEITAMENTO. AF_12/2017</t>
  </si>
  <si>
    <t>2.4</t>
  </si>
  <si>
    <t>DEMOLIÇÃO DE REVESTIMENTO CERÂMICO, DE FORMA MANUAL, SEM REAPROVEITAMENTO. AF_12/2017</t>
  </si>
  <si>
    <r>
      <t xml:space="preserve">de acordo com as normas da </t>
    </r>
    <r>
      <rPr>
        <b/>
        <sz val="12"/>
        <color indexed="8"/>
        <rFont val="Arial"/>
        <family val="2"/>
      </rPr>
      <t>ABNT NBR 9050/2020</t>
    </r>
  </si>
  <si>
    <t>2.5</t>
  </si>
  <si>
    <t>REMOÇÃO DE JANELAS, DE FORMA MANUAL, SEM REAPROVEITAMENTO. AF_12/2017</t>
  </si>
  <si>
    <t>2.6</t>
  </si>
  <si>
    <t>REMOÇÃO DE PORTAS, DE FORMA MANUAL, SEM REAPROVEITAMENTO. AF_12/2017</t>
  </si>
  <si>
    <t>2.7</t>
  </si>
  <si>
    <t>DEMOLIÇÃO DE ARGAMASSAS, DE FORMA MANUAL, SEM REAPROVEITAMENTO. AF_12/2017 (REBOCO)</t>
  </si>
  <si>
    <t>3 pardes cozinha</t>
  </si>
  <si>
    <t>2.8</t>
  </si>
  <si>
    <t>REMOÇÃO DE METAIS SANITÁRIOS, DE FORMA MANUAL, SEM REAPROVEITAMENTO. AF_12/2017</t>
  </si>
  <si>
    <t>2.9</t>
  </si>
  <si>
    <t>DEMOLIÇÃO DE ALVENARIA DE BLOCO FURADO, DE FORMA MANUAL, SEM REAPROVEITAMENTO. AF_12/2017</t>
  </si>
  <si>
    <t>m³</t>
  </si>
  <si>
    <t>2.10</t>
  </si>
  <si>
    <t>RETIRADA DE PIA DE COZINHA E ACESSÓRIOS.</t>
  </si>
  <si>
    <t>2.11</t>
  </si>
  <si>
    <t>RETIRADA DE APARELHOS SANITARIOS (LAVATÓRIOS)</t>
  </si>
  <si>
    <t>2.12</t>
  </si>
  <si>
    <t>RETIRADA DE APARELHOS SANITARIOS (VASOS)</t>
  </si>
  <si>
    <t>2.13</t>
  </si>
  <si>
    <t>DEMOLIÇÃO DE CONCRETO SIMPLES</t>
  </si>
  <si>
    <t>CALÇADA EXTERNA E CONTRAPISO balcao atendimento</t>
  </si>
  <si>
    <t>3.0</t>
  </si>
  <si>
    <t>MOVIMENTO DE TERRA</t>
  </si>
  <si>
    <t>3.1</t>
  </si>
  <si>
    <t>ESCAVAÇÃO MANUAL DE VALA COM PROFUNDIDADE MENOR OU IGUAL A 1,30 M. AF_03/2016</t>
  </si>
  <si>
    <t>3.2</t>
  </si>
  <si>
    <t>REATERRO MANUAL APILOADO COM SOQUETE. AF_10/2017</t>
  </si>
  <si>
    <t>4.0</t>
  </si>
  <si>
    <t>FUNDAÇÕES</t>
  </si>
  <si>
    <t>4.1</t>
  </si>
  <si>
    <t>CONCRETO MAGRO PARA LASTRO, TRAÇO 1:4,5:4,5 (CIMENTO/ AREIA MÉDIA/ BRITA 1) - PREPARO MECÂNICO COM BETONEIRA 400 L. AF_07/2016</t>
  </si>
  <si>
    <t>4.2</t>
  </si>
  <si>
    <t>CONCRETO FCK = 25MPA, TRAÇO 1:2,3:2,7 (CIMENTO/ AREIA MÉDIA/ BRITA 1)PREPARO MECÂNICO COM BETONEIRA 600 L. AF_07/2016</t>
  </si>
  <si>
    <t>4.3</t>
  </si>
  <si>
    <t>LANCAMENTO/APLICACAO MANUAL DE CONCRETO EM FUNDACOES</t>
  </si>
  <si>
    <t>4.4</t>
  </si>
  <si>
    <t>FABRICAÇÃO, MONTAGEM E DESMONTAGEM DE FÔRMA PARA VIGA BALDRAME, EM MADEIRA SERRADA, E=25 MM, 4 UTILIZAÇÕES. AF_06/2017</t>
  </si>
  <si>
    <t xml:space="preserve"> </t>
  </si>
  <si>
    <t>4.5</t>
  </si>
  <si>
    <t>ARMAÇÃO DE FUNDAÇÕES E ESTRUTURAS DE CONCRETO ARMADO, EXCETO VIGAS, PILARES E LAJES (DE EDIFÍCIOS DE MÚLTIPLOS PAVIMENTOS, EDIFICAÇÃO TÉRREAOU SOBRADO), UTILIZANDO AÇO CA-50 DE 10,0 MM - MONTAGEM. AF_12/2015</t>
  </si>
  <si>
    <t>kg</t>
  </si>
  <si>
    <t>4.6</t>
  </si>
  <si>
    <t>ARMAÇÃO DE FUNDAÇÕES E ESTRUTURAS DE CONCRETO ARMADO, EXCETO VIGAS, PILARES E LAJES (DE EDIFÍCIOS DE MÚLTIPLOS PAVIMENTOS, EDIFICAÇÃO TÉRREAOU SOBRADO), UTILIZANDO AÇO CA-50 DE 6.3 MM - MONTAGEM. AF_12/2015</t>
  </si>
  <si>
    <t>4.7</t>
  </si>
  <si>
    <t>ALVENARIA DE EMBASAMENTO COM BLOCO ESTRUTURAL DE CONCRETO, DE 14X19X29 CM E ARGAMASSA DE ASSENTAMENTO COM PREPARO EM BETONEIRA. AF_05/2020</t>
  </si>
  <si>
    <t>5.0</t>
  </si>
  <si>
    <t>ESTRUTURA</t>
  </si>
  <si>
    <t>5.1</t>
  </si>
  <si>
    <t>5.2</t>
  </si>
  <si>
    <t>5.3</t>
  </si>
  <si>
    <t>LAJE PRÉ-MOLDADA UNIDIRECIONAL, BIAPOIADA, PARA FORRO, ENCHIMENTO EM CERÂMICA, VIGOTA CONVENCIONAL, ALTURA TOTAL DA LAJE (ENCHIMENTO+CAPA) =(8+3). AF_11/2020</t>
  </si>
  <si>
    <t>5.4</t>
  </si>
  <si>
    <t>MONTAGEM E DESMONTAGEM DE FÔRMA DE PILARES RETANGULARES E ESTRUTURAS SIMILARES, PÉ-DIREITO SIMPLES, EM MADEIRA SERRADA, 2 UTILIZAÇÕES. AF_09/2020</t>
  </si>
  <si>
    <t>5.5</t>
  </si>
  <si>
    <t>ARMAÇÃO DE PILAR OU VIGA DE UMA ESTRUTURA CONVENCIONAL DE CONCRETO ARMADO EM UMA EDIFICAÇÃO TÉRREA OU SOBRADO UTILIZANDO AÇO CA-50 DE 10,0 MM - MONTAGEM. AF_12/2015</t>
  </si>
  <si>
    <t>5.6</t>
  </si>
  <si>
    <t>ARMAÇÃO DE PILAR OU VIGA DE UMA ESTRUTURA CONVENCIONAL DE CONCRETO ARMADO EM UMA EDIFICAÇÃO TÉRREA OU SOBRADO UTILIZANDO AÇO CA-60 DE 5,0 MM - MONTAGEM. AF_12/2015</t>
  </si>
  <si>
    <t>6.0</t>
  </si>
  <si>
    <t>ALVENARIA</t>
  </si>
  <si>
    <t>6.1</t>
  </si>
  <si>
    <t>ALVENARIA DE VEDAÇÃO DE BLOCOS CERÂMICOS FURADOS NA HORIZONTAL DE 9X19X19CM (ESPESSURA 9CM) DE PAREDES COM ÁREA LÍQUIDA MAIOR OU IGUAL A 6M² COM VÃOS E ARGAMASSA DE ASSENTAMENTO COM PREPARO EM BETONEIRA. AF_06/2014</t>
  </si>
  <si>
    <t>6.2</t>
  </si>
  <si>
    <t>VERGA PRÉ-MOLDADA PARA JANELAS COM ATÉ 1,5 M DE VÃO. AF_03/2016</t>
  </si>
  <si>
    <t>m</t>
  </si>
  <si>
    <t>6.3</t>
  </si>
  <si>
    <t>CONTRA VERGA PRÉ-MOLDADA PARA JANELAS COM ATÉ 1,5 M DE VÃO. AF_03/2016</t>
  </si>
  <si>
    <t>7.0</t>
  </si>
  <si>
    <t>COBERTURA</t>
  </si>
  <si>
    <t>7.1</t>
  </si>
  <si>
    <t>FABRICAÇÃO E INSTALAÇÃO DE TESOURA INTEIRA EM AÇO, VÃO DE 12 M, PARA TELHA ONDULADA DE FIBROCIMENTO, METÁLICA, PLÁSTICA OU TERMOACÚSTICA, INCLUSO IÇAMENTO. AF_12/2015</t>
  </si>
  <si>
    <t>7.2</t>
  </si>
  <si>
    <t>FABRICAÇÃO E INSTALAÇÃO DE TESOURA INTEIRA EM AÇO, VÃO DE 11 M, PARA TELHA ONDULADA DE FIBROCIMENTO, METÁLICA, PLÁSTICA OU TERMOACÚSTICA, INCLUSO IÇAMENTO. AF_12/2015</t>
  </si>
  <si>
    <t>7.3</t>
  </si>
  <si>
    <t>TELHAMENTO COM TELHA METÁLICA TERMOACÚSTICA E = 30 MM, COM ATÉ 2 ÁGUAS , INCLUSO IÇAMENTO. AF_07/2019</t>
  </si>
  <si>
    <t>7.4</t>
  </si>
  <si>
    <t>ESTRUTURA  DE AÇO PARA COBERTURA EM PERFIL C 100mmx50mmx15mm na # 11 ASSENTADOS COMO TERÇA A CADA 1,20 M (09 linhas de 8,80 DE COMPRIMENTO e 10linhas de 17,15 de coprimento )</t>
  </si>
  <si>
    <t>7.5</t>
  </si>
  <si>
    <t>CALHA/RUFO/PINGADEIRA EM CHAPA DE ACO GALVANIZADO NUMERO 24, DESENVOLVIMENTO DE 33CM (RUFO)</t>
  </si>
  <si>
    <t>7.6</t>
  </si>
  <si>
    <t>FORRO EM RÉGUAS DE PVC, FRISADO, PARA AMBIENTES COMERCIAIS, INCLUSIVE ESTRUTURA DE FIXAÇÃO. AF_05/2017_P(FIXAR FORRO COM PARAFUSO AUTO BROCANTE)</t>
  </si>
  <si>
    <t>8.0</t>
  </si>
  <si>
    <t>ESQUDRIAS</t>
  </si>
  <si>
    <t>8.1</t>
  </si>
  <si>
    <t>ESQUADRIAS MADEIRA</t>
  </si>
  <si>
    <t>8.1.1</t>
  </si>
  <si>
    <t>KIT DE PORTA DE MADEIRA PARA VERNIZ, SEMI-OCA (LEVE OU MÉDIA), PADRÃO MÉDIO, 90X210CM, ESPESSURA DE 3,5CM, ITENS INCLUSOS: DOBRADIÇAS, MONTAGEM E INSTALAÇÃO DO BATENTE, SEM FECHADURA FORNECIMENTO E INSTALAÇÃO AF_08/2015</t>
  </si>
  <si>
    <t>8.1.2</t>
  </si>
  <si>
    <t>FECHADURA DE EMBUTIR PARA PORTAS INTERNAS, COMPLETA, ACABAMENTO PADRÃO MÉDIO, COM EXECUÇÃO DE FURO - FORNECIMENTO E INSTALAÇÃO. AF_12/2019</t>
  </si>
  <si>
    <t>8.1.3</t>
  </si>
  <si>
    <t>KIT DE PORTA DE MADEIRA PARA VERNIZ, SEMI-OCA (LEVE OU MÉDIA), PADRÃO MÉDIO, 70X210CM, ESPESSURA DE 3,5CM, ITENS INCLUSOS: DOBRADIÇAS, MONTAGEM E INSTALAÇÃO DO BATENTE, SEM FECHADURA - FORNECIMENTO E INSTALAÇÃO . AF_12/2019</t>
  </si>
  <si>
    <t>8.2</t>
  </si>
  <si>
    <t>ESQUADRIAS METÁLICAS</t>
  </si>
  <si>
    <t>8.2.1</t>
  </si>
  <si>
    <t>8.2.2</t>
  </si>
  <si>
    <t>PORTA DE ALUMÍNIO DE ABRIR COM LAMBRI, COM GUARNIÇÃO, FIXAÇÃO COM PARA FUSOS - FORNECIMENTO E INSTALAÇÃO. AF_12/2019</t>
  </si>
  <si>
    <t>8.2.3</t>
  </si>
  <si>
    <t>GRADIL EM ALUMÍNIO FIXADO EM VÃOS DE JANELAS, FORMADO POR TUBOS DE 3/4  ". AF_04/2019</t>
  </si>
  <si>
    <t>obs 0,20 cm maior que o vao luz para cada lado</t>
  </si>
  <si>
    <t>8.2.4</t>
  </si>
  <si>
    <t>JANELA DE ALUMÍNIO DE CORRER COM 2 FOLHAS PARA VIDROS, COM VIDROS, BATENTE, ACABAMENTO COM ACETATO OU BRILHANTE E FERRAGENS. EXCLUSIVE ALIZAR E CONTRAMARCO. FORNECIMENTO E INSTALAÇÃO. AF_12/2019</t>
  </si>
  <si>
    <t>8.2.5</t>
  </si>
  <si>
    <t>JANELA DE ALUMÍNIO TIPO MAXIM-AR, COM VIDROS, BATENTE E FERRAGENS. EXCLUSIVE ALIZAR, ACABAMENTO E CONTRAMARCO. FORNECIMENTO E INSTALAÇÃO. AF12/2019</t>
  </si>
  <si>
    <t>FORNECIMENTO E INSTTALAÇÃO  DE PORTÃO DE FERRO, DE ABRIR, TIPO CHAPA CANALETA, COM GUARNICOES</t>
  </si>
  <si>
    <t>9.0</t>
  </si>
  <si>
    <t>REVESTIMENTO</t>
  </si>
  <si>
    <t>9.1</t>
  </si>
  <si>
    <t>CHAPISCO APLICADO TANTO EM PILARES E VIGAS DE CONCRETO COMO EM ALVENARIAS DE PAREDES INTERNAS, COM COLHER DE PEDREIRO. ARGAMASSA TRAÇO 1:3 COM PREPARO EM BETONEIRA 400L. AF_06/2014</t>
  </si>
  <si>
    <t xml:space="preserve">INCLUSIVE RASGOS </t>
  </si>
  <si>
    <t>9.2</t>
  </si>
  <si>
    <t>87529</t>
  </si>
  <si>
    <t>MASSA ÚNICA, PARA RECEBIMENTO DE PINTURA, EM ARGAMASSA TRAÇO 1:2:8, PREPARO MECÂNICO COM BETONEIRA 400L, APLICADA MANUALMENTE EM FACES INTERNAS DE PAREDES DE AMBIENTES COM ÁREA MENOR QUE 10M2, ESPESSURA DE 20MM , COM EXECUÇÃO DE TALISCAS. AF_06/2014</t>
  </si>
  <si>
    <t>9.3</t>
  </si>
  <si>
    <t>REVESTIMENTO CERÂMICO PARA PAREDES INTERNAS COM PLACAS TIPO ESMALTADA EXTRA DE DIMENSÕES 33X45 CM APLICADAS EM AMBIENTES DE ÁREA MENOR QUE 5M² A MEIA ALTURA DAS PAREDES. AF_06/2014</t>
  </si>
  <si>
    <t>9.4</t>
  </si>
  <si>
    <t>DIVISORIA SANITÁRIA, TIPO CABINE, EM GRANITO CINZA POLIDO, ESP = 3CM, ASSENTADO COM ARGAMASSA COLANTE AC III-E, EXCLUSIVE FERRAGENS. AF_01/2021</t>
  </si>
  <si>
    <t>9.5</t>
  </si>
  <si>
    <t>BANCADA DE GRANITO CINZA POLIDO PARA BALCAO DE ATENDIMENTO</t>
  </si>
  <si>
    <t>10.0</t>
  </si>
  <si>
    <t>PISOS E RODAPES</t>
  </si>
  <si>
    <t>10.1</t>
  </si>
  <si>
    <t>REVESTIMENTO CERÂMICO PARA PISO COM PLACAS TIPO ESMALTADA EXTRA DE DIMENSÕES 45X45 CM APLICADA EM AMBIENTES DE ÁREA  ENTRE 5 M² E 10 M². AF_06/2014</t>
  </si>
  <si>
    <t>10.2</t>
  </si>
  <si>
    <t>88649</t>
  </si>
  <si>
    <t>RODAPÉ CERÂMICO DE 7CM DE ALTURA COM PLACAS TIPO GRÊS DE DIMENSÕES 45X45CM. AF_06/201</t>
  </si>
  <si>
    <t>10.3</t>
  </si>
  <si>
    <t>10.4</t>
  </si>
  <si>
    <t>SOLEIRA EM GRANITO, LARGURA 15 CM, ESPESSURA 2,0 CM. AF_09/2020</t>
  </si>
  <si>
    <t>10.5</t>
  </si>
  <si>
    <t>EXECUÇÃO DE PASSEIO (CALÇADA) OU PISO DE CONCRETO COM CONCRETO MOLDADO IN LOCO, FEITO EM OBRA, ACABAMENTO CONVENCIONAL, NÃO ARMADO. AF_07/2016 (CALÇADA FRONTAL À CIRETRAN E=7 CM)</t>
  </si>
  <si>
    <t>contrapiso incluso</t>
  </si>
  <si>
    <t>PISO PODOTÁTIL, DIRECIONAL OU ALERTA, ASSENTADO SOBRE ARGAMASSA. AF_05/2020</t>
  </si>
  <si>
    <t>11.0</t>
  </si>
  <si>
    <t>VIDROS</t>
  </si>
  <si>
    <t>11.1</t>
  </si>
  <si>
    <t>PORTA DE ABRIR COM MOLA HIDRÁULICA, EM VIDRO TEMPERADO, 2 FOLHAS DE 90X210 CM, ESPESSURA DD 10MM, INCLUSIVE ACESSÓRIOS. AF_01/202</t>
  </si>
  <si>
    <t>11.2</t>
  </si>
  <si>
    <t>INSTALAÇÃO DE VIDRO TEMPERADO, E = 10 MM, ENCAIXADO EM PERFIL U. AF_01/2021_P</t>
  </si>
  <si>
    <t>ENTRADA</t>
  </si>
  <si>
    <t>12.0</t>
  </si>
  <si>
    <t>PINTURA</t>
  </si>
  <si>
    <t>12.1</t>
  </si>
  <si>
    <t>COMP..DETRAN</t>
  </si>
  <si>
    <t>REMOÇÃO DE TEXTURA EM PAREDES</t>
  </si>
  <si>
    <t>12.2</t>
  </si>
  <si>
    <t>88431</t>
  </si>
  <si>
    <t>APLICAÇÃO MANUAL DE PINTURA COM TINTA TEXTURIZADA ACRÍLICA EM PAREDES EXTERNAS DE CASAS, DUAS CORES. AF_06/2014</t>
  </si>
  <si>
    <t>12.3</t>
  </si>
  <si>
    <t>REVESTIMENTO TEXTURIZADO (GRAFIATO) EM PAREDE INTERNA OU EXTERNA DE ALTA CAMADA, APLICADO COM DESEMPENADEIRA NOS PILARES DO PORTICO DA FACHADA</t>
  </si>
  <si>
    <t>12.4</t>
  </si>
  <si>
    <t>88489</t>
  </si>
  <si>
    <t>APLICAÇÃO MANUAL DE PINTURA COM TINTA LÁTEX ACRÍLICA EM PAREDES, DUAS DEMÃOS. AF_06/2014</t>
  </si>
  <si>
    <t>aumentar dml</t>
  </si>
  <si>
    <t>12.5</t>
  </si>
  <si>
    <t>88497</t>
  </si>
  <si>
    <t>APLICAÇÃO E LIXAMENTO DE MASSA LÁTEX EM PAREDES, DUAS DEMÃOS. AF_06/2014</t>
  </si>
  <si>
    <t>12.6</t>
  </si>
  <si>
    <t>APLICAÇÃO MASSA ALQUÍDICA PARA MADEIRA, PARA PINTURA COM TINTA DE ACABAMENTO (PIGMENTADA). AF_01/2021</t>
  </si>
  <si>
    <t>12.7</t>
  </si>
  <si>
    <t>PINTURA TINTA DE ACABAMENTO (PIGMENTADA) ESMALTE SINTÉTICO ACETINADO E M MADEIRA, 2 DEMÃOS. AF_01/2021</t>
  </si>
  <si>
    <t>12.9</t>
  </si>
  <si>
    <t>PINTURA DE PISO COM TINTA ACRÍLICA, APLICAÇÃO MANUAL, 2 DEMÃOS, INCLUSO FUNDO PREPARADOR. AF_05/2021</t>
  </si>
  <si>
    <t>12.10</t>
  </si>
  <si>
    <t>PINTURA DE DEMARCAÇÃO DE VAGA COM TINTA ACRÍLICA, E = 10 CM, APLICAÇÃO MANUAL. AF_05/2021</t>
  </si>
  <si>
    <t>PINTURA COM TINTA ACRÍLICA DE ACABAMENTO APLICADA A ROLO OU PINCEL SOBRE SUPERFÍCIES METÁLICAS (EXCETO PERFIL) EXECUTADO EM OBRA (02 DEMÃOS). AF_01/2020 (LOGOTIPO FRONTAL)</t>
  </si>
  <si>
    <t>13.0</t>
  </si>
  <si>
    <t>INSTALAÇÕES ELÉTRICAS</t>
  </si>
  <si>
    <t>13.1</t>
  </si>
  <si>
    <t>COMP DETRAN</t>
  </si>
  <si>
    <t>PADRÃO DE ENTRADA T4 35,05KW INCLUSO POSTE 9M – CONFORME EXIGÊNCIA DA CONCESSIONÁRIA DE ENERGIA – FORNECIMENTO E INSTALAÇÃO</t>
  </si>
  <si>
    <t>CJ</t>
  </si>
  <si>
    <t>13.2</t>
  </si>
  <si>
    <t>CABO DE COBRE FLEXÍVEL ISOLADO, 35 MM², ANTI-CHAMA 0,6/1,0 KV, PARA DISTRIBUIÇÃO - FORNECIMENTO E INSTALAÇÃO. AF_12/2015</t>
  </si>
  <si>
    <t>13.3</t>
  </si>
  <si>
    <t>CABO DE COBRE FLEXÍVEL ISOLADO, 25 MM², ANTI-CHAMA 0,6/1,0 KV, PARA DISTRIBUIÇÃO - FORNECIMENTO E INSTALAÇÃO. AF_12/2015</t>
  </si>
  <si>
    <t>13.4</t>
  </si>
  <si>
    <t>13.5</t>
  </si>
  <si>
    <t>13.6</t>
  </si>
  <si>
    <t>CABO DE COBRE FLEXÍVEL ISOLADO, 6 MM², ANTI-CHAMA, 450/750 V, PARA CIRCUITOS TERMINAIS - FORNECIMENTO E INSTALAÇÃO. AF_12/2015</t>
  </si>
  <si>
    <t>13.7</t>
  </si>
  <si>
    <t>CABO DE COBRE FLEXÍVEL ISOLADO, 4 MM², ANTI-CHAMA, 450/750 V, PARA CIRCUITOS TERMINAIS - FORNECIMENTO E INSTALAÇÃO. AF_12/2015</t>
  </si>
  <si>
    <t>13.8</t>
  </si>
  <si>
    <t>CABO DE COBRE FLEXÍVEL ISOLADO, 2,5 MM², ANTI-CHAMA, 450/750 V, PARA CIRCUITOS TERMINAIS - FORNECIMENTO E INSTALAÇÃO. AF_12/2015</t>
  </si>
  <si>
    <t>13.9</t>
  </si>
  <si>
    <t>CABO DE COBRE FLEXÍVEL ISOLADO, 1,5 MM², ANTI-CHAMA, 450/750 V, PARA CIRCUITOS TERMINAIS - FORNECIMENTO E INSTALAÇÃO. AF_12/2015</t>
  </si>
  <si>
    <t>13.10</t>
  </si>
  <si>
    <t>CORDOALHA DE COBRE NU 50 MM², ENTERRADA, SEM ISOLADOR - FORNECIMENTO E INSTALAÇÃO. AF_12/2017</t>
  </si>
  <si>
    <t>13.11</t>
  </si>
  <si>
    <t>RASGO EM CONTRAPISO PARA RAMAIS/ DISTRIBUIÇÃO COM DIÂMETROS MENORES OU IGUAIS A 40 MM. AF_05/2015</t>
  </si>
  <si>
    <t>13.12</t>
  </si>
  <si>
    <t>RASGO EM ALVENARIA PARA ELETRODUTOS COM DIAMETROS MENORES OU IGUAIS A 40 MM. AF_05/2015</t>
  </si>
  <si>
    <t>13.13</t>
  </si>
  <si>
    <t>ELETRODUTO DE FERRO GALVANIZADO, CLASSE LEVE, DN 20 MM (3/4''), APARENTE INSTALADO EM PAREDE - FORNECIMENTO E INSTALAÇÃO. AF_11/2016</t>
  </si>
  <si>
    <t>13.14</t>
  </si>
  <si>
    <t>ELETRODUTO DE FERRO GALVANIZADO, CLASSE LEVE, DN 25 MM (1''), APARENTE INSTALADO EM PAREDE - FORNECIMENTO E INSTALAÇÃO. AF_11/2016</t>
  </si>
  <si>
    <t>13.15</t>
  </si>
  <si>
    <t>ELETRODUTO FLEXÍVEL CORRUGADO, PEAD, DN 63 (2") - FORNECIMENTO E INST ALAÇÃO. AF_04/2016</t>
  </si>
  <si>
    <t>13.16</t>
  </si>
  <si>
    <t>ELETRODUTO FLEXÍVEL CORRUGADO, PVC, DN 25 MM (3/4"), PARA CIRCUITOS TERMINAIS, INSTALADO EM PAREDE - FORNECIMENTO E INSTALAÇÃO. AF_12/2015</t>
  </si>
  <si>
    <t>13.17</t>
  </si>
  <si>
    <t>CONDULETE DE ALUMÍNIO, TIPO C, PARA ELETRODUTO DE FERRO GALVANIZADO DN25 MM (3/4''), APARENTE - FORNECIMENTO E INSTALAÇÃO. AF_11/2016_P</t>
  </si>
  <si>
    <t>13.18</t>
  </si>
  <si>
    <t>CAIXA DE SOBREPOR 15X15X10CM COM TAMPA INSTALADO EM PAREDE-FORNECIMENTO E INSTALAÇÃO</t>
  </si>
  <si>
    <t>13.19</t>
  </si>
  <si>
    <t>TOMADA BAIXA DE EMBUTIR (2 MÓDULOS), 2P+T 10 A, INCLUINDO SUPORTE E PLACA - FORNECIMENTO E INSTALAÇÃO. AF_12/2015</t>
  </si>
  <si>
    <t>13.20</t>
  </si>
  <si>
    <t>TOMADA MÉDIA DE EMBUTIR (2 MÓDULOS), 2P+T 10 A, INCLUINDO SUPORTE E PLACA - FORNECIMENTO E INSTALAÇÃO. AF_12/2015</t>
  </si>
  <si>
    <t>13.21</t>
  </si>
  <si>
    <t>TOMADA MÉDIA DE EMBUTIR (2 MÓDULOS), 2P+T 20 A, INCLUINDO SUPORTE E PLACA - FORNECIMENTO E INSTALAÇÃO. AF_12/2015</t>
  </si>
  <si>
    <t>13.22</t>
  </si>
  <si>
    <t>TOMADA ALTA DE EMBUTIR (1 MÓDULO), 2P+T 10 A, INCLUINDO SUPORTE E PLACA - FORNECIMENTO E INSTALAÇÃO. AF_12/2015</t>
  </si>
  <si>
    <t>13.23</t>
  </si>
  <si>
    <t>INTERRUPTOR SIMPLES (1 MÓDULO), 10A/250V, INCLUINDO SUPORTE E PLACA -FORNECIMENTO E INSTALAÇÃO. AF_12/2015</t>
  </si>
  <si>
    <t>13.24</t>
  </si>
  <si>
    <t>13.25</t>
  </si>
  <si>
    <t>INTERRUPTOR SIMPLES (2 MÓDULOS) COM INTERRUPTOR PARALELO (1 MÓDULO), 10A/250V, INCLUINDO SUPORTE E PLACA - FORNECIMENTO E INSTALAÇÃO. AF_12/2015</t>
  </si>
  <si>
    <t>13.26</t>
  </si>
  <si>
    <t>LUMINARIA DE SOBREPOR EM CHAPA DE ACO PARA 2 LAMPADAS LED DE *18* W, PERFIL COMERCIAL (NAO INCLUI REATOR E LAMPADAS)-FORNECIMENTO E INSTALAÇÃO</t>
  </si>
  <si>
    <t>cj</t>
  </si>
  <si>
    <t>13.27</t>
  </si>
  <si>
    <t>LUMINÁRIA DE EMERGÊNCIA, COM 30 LÂMPADAS LED DE 2 W, SEM REATOR - FORNECIMENTO E INSTALAÇÃO. AF_02/2020</t>
  </si>
  <si>
    <t>13.28</t>
  </si>
  <si>
    <t>LUMINÁRIA TIPO PLAFON, DE SOBREPOR, COM 1 LÂMPADA LED DE 12/13 W, SEMREATOR - FORNECIMENTO E INSTALAÇÃO. AF_02/2020</t>
  </si>
  <si>
    <t>13.29</t>
  </si>
  <si>
    <t>REFLETOR LED 100W PARA ILUMINAÇÃO EM AMBIENTES EXTERNOS-FORNECIMENTO E INSTALAÇÃO 127/220V</t>
  </si>
  <si>
    <t>13.30</t>
  </si>
  <si>
    <t>REFLETOR LED 50W PARA ILUMINAÇÃO EM AMBIENTES EXTERNOS-FORNECIMENTO E INSTALAÇÃO 127/220V</t>
  </si>
  <si>
    <t>13.31</t>
  </si>
  <si>
    <t>13.32</t>
  </si>
  <si>
    <t>DISJUNTOR TRIPOLAR TIPO DIN, CORRENTE NOMINAL DE 63A - FORNECIMENTO E INSTALAÇÃO. AF_10/2020</t>
  </si>
  <si>
    <t>13.33</t>
  </si>
  <si>
    <t>13.34</t>
  </si>
  <si>
    <t>DISJUNTOR MONOPOLAR TIPO DIN, CORRENTE NOMINAL DE 10A - FORNECIMENTO E INSTALAÇÃO. AF_10/2020</t>
  </si>
  <si>
    <t>13.35</t>
  </si>
  <si>
    <t>DISJUNTOR MONOPOLAR TIPO DIN, CORRENTE NOMINAL DE 16A - FORNECIMENTO E INSTALAÇÃO. AF_10/2020</t>
  </si>
  <si>
    <t>13.36</t>
  </si>
  <si>
    <t>DISJUNTOR MONOPOLAR TIPO DIN, CORRENTE NOMINAL DE 20A - FORNECIMENTO E INSTALAÇÃO. AF_10/2020</t>
  </si>
  <si>
    <t>13.37</t>
  </si>
  <si>
    <t>13.38</t>
  </si>
  <si>
    <t>DISJUNTOR BIPOLAR TIPO DIN, CORRENTE NOMINAL DE 16A - FORNECIMENTO E INSTALAÇÃO. AF_10/2020</t>
  </si>
  <si>
    <t>13.39</t>
  </si>
  <si>
    <t>DISJUNTOR BIPOLAR TIPO DIN, CORRENTE NOMINAL DE 20A - FORNECIMENTO E INSTALAÇÃO. AF_10/2020</t>
  </si>
  <si>
    <t>13.40</t>
  </si>
  <si>
    <t>DISJUNTOR BIPOLAR TIPO DIN, CORRENTE NOMINAL DE 25A - FORNECIMENTO E INSTALAÇÃO. AF_10/2020</t>
  </si>
  <si>
    <t>13.41</t>
  </si>
  <si>
    <t>13.42</t>
  </si>
  <si>
    <t>13.43</t>
  </si>
  <si>
    <t>DISPOSITIVO DPS CLASSE II, 1 POLO, TENSAO MAXIMA DE 175 V, CORRENTE MAXIMA DE *45* KA (TIPO AC) - FORNECIMENTO E INSTALAÇÃO</t>
  </si>
  <si>
    <t>13.44</t>
  </si>
  <si>
    <t>HASTE DE ATERRAMENTO 5/8 PARA SPDA - FORNECIMENTO E INSTALAÇÃO. AF_12/2017</t>
  </si>
  <si>
    <t>13.45</t>
  </si>
  <si>
    <t>CONECTOR METALICO TIPO PARAFUSO FENDIDO (SPLIT BOLT), PARA CABOS ATE 50 MM2 - FORNECIMENTO E INSTALAÇÃO</t>
  </si>
  <si>
    <t>13.46</t>
  </si>
  <si>
    <t>TERMINAL A COMPRESSAO EM COBRE ESTANHADO PARA CABO 35 MM2, 1 FURO E 1 COMPRESSAO, PARA PARAFUSO DE FIXACAO M8 - FORNECIMENTO E INSTALAÇÃO</t>
  </si>
  <si>
    <t>13.47</t>
  </si>
  <si>
    <t>TERMINAL A COMPRESSAO EM COBRE ESTANHADO PARA CABO 16 MM2, 1 FURO E 1 COMPRESSAO, PARA PARAFUSO DE FIXACAO M6 - FORNECIMENTO E INSTALAÇÃO</t>
  </si>
  <si>
    <t>13.48</t>
  </si>
  <si>
    <t>TERMINAL A COMPRESSAO EM COBRE ESTANHADO PARA CABO 4 MM2, 1 FURO E 1 COMPRESSAO, PARA PARAFUSO DE FIXACAO M5 - FORNECIMENTO E INSTALAÇÃO</t>
  </si>
  <si>
    <t>13.49</t>
  </si>
  <si>
    <t>CAIXA ENTERRADA ELÉTRICA RETANGULAR, EM CONCRETO PRÉ-MOLDADO, FUNDO COM BRITA, DIMENSÕES INTERNAS: 0,6X0,6X0,5 M. AF_12/2020</t>
  </si>
  <si>
    <t>13.50</t>
  </si>
  <si>
    <t>QUADRO DE DISTRIBUIÇÃO DE ENERGIA EM CHAPA DE AÇO GALVANIZADO, DE EMBU TIR, COM BARRAMENTO TRIFÁSICO, PARA 40 DISJUNTORES DIN 100A - FORNECIMENTO E INSTALAÇÃO. AF_10/2020</t>
  </si>
  <si>
    <t>13.51</t>
  </si>
  <si>
    <t>13.52</t>
  </si>
  <si>
    <t>QUADRO DE DISTRIBUIÇÃO DE ENERGIA EM CHAPA DE AÇO GALVANIZADO, DE EMBUIR, COM BARRAMENTO TRIFÁSICO, PARA 24 DISJUNTORES DIN 100A - FORNECIMENTO E INSTALAÇÃO. AF_10/2020</t>
  </si>
  <si>
    <t>13.53</t>
  </si>
  <si>
    <t>CAIXA RETANGULAR 4" X 2" BAIXA (0,30 M DO PISO), PVC, INSTALADA EM PAREDE - FORNECIMENTO E INSTALAÇÃO. AF_12/2015</t>
  </si>
  <si>
    <t>13.54</t>
  </si>
  <si>
    <t>CAIXA RETANGULAR 4" X 2" MÉDIA (1,30 M DO PISO), PVC, INSTALADA EM PAREDE - FORNECIMENTO E INSTALAÇÃO. AF_12/2015</t>
  </si>
  <si>
    <t>13.55</t>
  </si>
  <si>
    <t>CAIXA RETANGULAR 4" X 2" ALTA (2,00 M DO PISO), PVC, INSTALADA EM PAREDE - FORNECIMENTO E INSTALAÇÃO. AF_12/2015</t>
  </si>
  <si>
    <t>13.56</t>
  </si>
  <si>
    <t>CAIXA RETANGULAR 4" X 4" BAIXA (0,30 M DO PISO), PVC, INSTALADA EM PAREDE - FORNECIMENTO E INSTALAÇÃO. AF_12/2015</t>
  </si>
  <si>
    <t>13.57</t>
  </si>
  <si>
    <t>13.58</t>
  </si>
  <si>
    <t>RELÉ FOTOELÉTRICO PARA COMANDO DE ILUMINAÇÃO EXTERNA 1000 W - FORNECIMENTO E INSTALAÇÃO. AF_08/2020</t>
  </si>
  <si>
    <t>13.59</t>
  </si>
  <si>
    <t>REMOÇÃO DE INTERRUPTORES/TOMADAS ELÉTRICAS, DE FORMA MANUAL, SEM REAPROVEITAMENTO. AF_12/2017</t>
  </si>
  <si>
    <t>13.60</t>
  </si>
  <si>
    <t>REMOÇÃO DE CABOS ELÉTRICOS, DE FORMA MANUAL, SEM REAPROVEITAMENTO. AF12/2017</t>
  </si>
  <si>
    <t>13.61</t>
  </si>
  <si>
    <t>REMOÇÃO DE LUMINÁRIAS, DE FORMA MANUAL, SEM REAPROVEITAMENTO. AF_12/2017</t>
  </si>
  <si>
    <t>13.62</t>
  </si>
  <si>
    <t xml:space="preserve"> ELETRODUTO FLEXÍVEL CORRUGADO REFORÇADO, PVC, DN 25 MM (3/4"), PARA CIRCUITOS TERMINAIS, INSTALADO EM FORRO - FORNECIMENTO E INSTALAÇÃO. AF12/2015</t>
  </si>
  <si>
    <t>13.63</t>
  </si>
  <si>
    <t>PONTO DE TOMADA RESIDENCIAL INCLUINDO TOMADA 10A/250V, CAIXA ELÉTRICA,ELETRODUTO, CABO, RASGO, QUEBRA E CHUMBAMENTO. AF_01/2016</t>
  </si>
  <si>
    <t>14.0</t>
  </si>
  <si>
    <t>INSTALAÇÃOES DE LÓGICA/TELEFONIA</t>
  </si>
  <si>
    <t>14.1</t>
  </si>
  <si>
    <t>14.2</t>
  </si>
  <si>
    <t>CAIXA DE PASSAGEM DE PAREDE, DE EMBUTIR, EM PVC, DIMENSOES *200 X 200 X 90* MM - FORNECIMENTO INSTALAÇÃO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</si>
  <si>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</si>
  <si>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</si>
  <si>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</si>
  <si>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</si>
  <si>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</si>
  <si>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</si>
  <si>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</si>
  <si>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</si>
  <si>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</si>
  <si>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</si>
  <si>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ELETRODUTO FLEXÍVEL CORRUGADO REFORÇADO, PVC, DN 32 MM (1"), PARA CIRCUITOS TERMINAIS, INSTALADO EM PAREDE - FORNECIMENTO E INSTALAÇÃO. AF_12/2015</t>
  </si>
  <si>
    <t>14.13</t>
  </si>
  <si>
    <t>14.14</t>
  </si>
  <si>
    <t>TOMADA DE REDE RJ45 - FORNECIMENTO E INSTALAÇÃO. AF_11/2019</t>
  </si>
  <si>
    <t>14.15</t>
  </si>
  <si>
    <t>14.16</t>
  </si>
  <si>
    <t>14.17</t>
  </si>
  <si>
    <t>CABO ELETRÔNICO CATEGORIA 6, INSTALADO EM EDIFICAÇÃO INSTITUCIONAL - FORNECIMENTO E INSTALAÇÃO. AF_11/2019</t>
  </si>
  <si>
    <t>14.18</t>
  </si>
  <si>
    <t>PATCH PANEL 24 PORTAS, CATEGORIA 5E - FORNECIMENTO E INSTALAÇÃO. AF_11/2019</t>
  </si>
  <si>
    <t>14.19</t>
  </si>
  <si>
    <t>14.20</t>
  </si>
  <si>
    <t>ORGANIZADOR DE CABOS HORIZONTAL COM TAMPA FRONTAL REMOVÍVEL 19" X 1U -FORNECIMENTO E INSTALAÇÃO</t>
  </si>
  <si>
    <t>14.21</t>
  </si>
  <si>
    <t>BANDEJA DUPLA FIXAÇÃO COM COMPRIMENTO DE  600mm PARA RACK 19" - FORNECIMENTO E INSTALAÇÃO</t>
  </si>
  <si>
    <t>14.22</t>
  </si>
  <si>
    <t xml:space="preserve"> PATCH CORD CORD 45 CAT 5E COM  1,50M - FORNECIMENTO E INSTALAÇÃO</t>
  </si>
  <si>
    <t>14.23</t>
  </si>
  <si>
    <t xml:space="preserve"> PATCH CORD CORD 45 CAT 5E COM  2,50M - FORNECIMENTO E INSTALAÇÃO</t>
  </si>
  <si>
    <t>14.24</t>
  </si>
  <si>
    <t>CONECTORES RJ45, 8 VIAS MACHO - FORNECIMENTO E INSTALAÇÃO</t>
  </si>
  <si>
    <t>14.25</t>
  </si>
  <si>
    <t>14.26</t>
  </si>
  <si>
    <t>LUVA PARA ELETRODUTO, EM ACO GALVANIZADO ELETROLITICO, DIAMETRO DE 25 MM - FORNECIMENTO E INSTALAÇÃO</t>
  </si>
  <si>
    <t>14.27</t>
  </si>
  <si>
    <t>ELETROCALHA PERFURADA GALVANIZADA DE 100 X 50 X 3000mm - FORNECIMENTO E INSTALAÇÃO</t>
  </si>
  <si>
    <t>ELETRODUTO FLEXIVEL, EM ACO GALVANIZADO, REVESTIDO EXTERNAMENTE COM PVC  PRETO, DIAMETRO EXTERNO DE 32 MM (1"), TIPO SEALTUBO - FORNECIMENTO E INSTALAÇÃO</t>
  </si>
  <si>
    <t>15.0</t>
  </si>
  <si>
    <t>INSTALAÇÃO HIDRÁULICA E SANITÁRIA</t>
  </si>
  <si>
    <t>15.1</t>
  </si>
  <si>
    <t xml:space="preserve">INSTALAÇÃO HIDRÁULICA  </t>
  </si>
  <si>
    <t>15.1.1</t>
  </si>
  <si>
    <t>15.1.2</t>
  </si>
  <si>
    <t>VÁLVULA EM METAL CROMADO TIPO AMERICANA 3.1/2 X 1.1/2 PARA PIA - FORNECIMENTO E INSTALAÇÃO. AF_01/2020</t>
  </si>
  <si>
    <t>15.1.3</t>
  </si>
  <si>
    <t>BANCADA DE GRANITO CINZA POLIDO, DE 1,50 X 0,60 M, PARA PIA DE COZINHA - FORNECIMENTO E INSTALAÇÃO. AF_01/2020</t>
  </si>
  <si>
    <t>15.1.4</t>
  </si>
  <si>
    <t>TORNEIRA CROMADA TUBO MÓVEL, DE MESA, 1/2 OU 3/4, PARA PIA DE COZINHA, PADRÃO ALTO - FORNECIMENTO E INSTALAÇÃO. AF_01/2020</t>
  </si>
  <si>
    <t>15.1.5</t>
  </si>
  <si>
    <t>86903</t>
  </si>
  <si>
    <t>LAVATÓRIO LOUÇA BRANCA COM COLUNA, 45 X 55CM OU EQUIVALENTE, PADRÃO MÉDIO - FORNECIMENTO E INSTALAÇÃO. AF_12/2013_P</t>
  </si>
  <si>
    <t>15.1.6</t>
  </si>
  <si>
    <t>LAVATORIO DE LOUÇA BRANCO SUSPENSO DECA MASTER L76 CANTO 17 BRANCO E</t>
  </si>
  <si>
    <t>15.1.7</t>
  </si>
  <si>
    <t>15.1.8</t>
  </si>
  <si>
    <t>TORNEIRA CROMADA DE MESA, 1/2 OU 3/4, PARA LAVATÓRIO, PADRÃO MÉDIO -FORNECIMENTO E INSTALAÇÃO. AF_01/2020</t>
  </si>
  <si>
    <t>15.1.9</t>
  </si>
  <si>
    <t>CUBA DE EMBUTIR RETANGULAR DE AÇO INOXIDÁVEL, 46 X 30 X 12 CM - FORNEC IMENTO E INSTALAÇÃO. AF_01/2020</t>
  </si>
  <si>
    <t>15.1.10</t>
  </si>
  <si>
    <t>TORNEIRA CROMADA 1/2" OU 3/4" PARA TANQUE, PADRÃO MÉDIO - FORNECIMENTO E INSTALAÇÃO. AF_12/2013 USO GERAL</t>
  </si>
  <si>
    <t>15.1.11</t>
  </si>
  <si>
    <t>VÁLVULA DE DESCARGA METÁLICA, BASE 1 1/2 ", ACABAMENTO METALICO CROMADO - FORNECIMENTO E INSTALAÇÃO. AF_01/2019</t>
  </si>
  <si>
    <t>15.1.12</t>
  </si>
  <si>
    <t>ADAPTADOR COM FLANGE E ANEL DE VEDAÇÃO, PVC, SOLDÁVEL, DN 50 MM X 1 1/2 , INSTALADO EM RESERVAÇÃO DE ÁGUA DE EDIFICAÇÃO QUE POSSUA RESERVATÓRIO DE FIBRA/FIBROCIMENTO FORNECIMENTO E INSTALAÇÃO. AF_06/2016</t>
  </si>
  <si>
    <t>15.1.13</t>
  </si>
  <si>
    <t>15.1.14</t>
  </si>
  <si>
    <t>15.1.15</t>
  </si>
  <si>
    <t>REGISTRO DE GAVETA BRUTO, LATÃO, ROSCÁVEL, 3/4", COM ACABAMENTO E CANOPLA CROMADOS - FORNECIMENTO E INSTALAÇÃO. AF_08/2021</t>
  </si>
  <si>
    <t>15.1.16</t>
  </si>
  <si>
    <t>TUBO, PVC, SOLDÁVEL, DN 25MM, INSTALADO EM PRUMADA DE ÁGUA - FORNECIMENTO E INSTALAÇÃO. AF_12/2014</t>
  </si>
  <si>
    <t>15.1.17</t>
  </si>
  <si>
    <t>15.1.18</t>
  </si>
  <si>
    <t>TUBO, PVC, SOLDÁVEL, DN 50MM, INSTALADO EM PRUMADA DE ÁGUA - FORNECIMENTO E INSTALAÇÃO. AF_12/2014</t>
  </si>
  <si>
    <t>15.1.19</t>
  </si>
  <si>
    <t>15.1.20</t>
  </si>
  <si>
    <t>15.1.21</t>
  </si>
  <si>
    <t>15.1.22</t>
  </si>
  <si>
    <t>JOELHO 90 GRAUS, PVC, SOLDÁVEL, DN 50MM, INSTALADO EM PRUMADA DE ÁGUA - FORNECIMENTO E INSTALAÇÃO. AF_12/2014</t>
  </si>
  <si>
    <t>us</t>
  </si>
  <si>
    <t>JOELHO 90 GRAUS COM BUCHA DE LATÃO, PVC, SOLDÁVEL, DN 25 MM, X 3/4 INSTALADO EM RESERVAÇÃO DE ÁGUA DE EDIFICAÇÃO QUE POSSUA RESERVATÓRIO DE FIBRA/FIBROCIMENTO FORNECIMENTO E INSTALAÇÃO. AF_06/2016</t>
  </si>
  <si>
    <t>TÊ DE REDUÇÃO, PVC, SOLDÁVEL, DN 50MM X 25MM, INSTALADO EM PRUMADA DE ÁGUA - FORNECIMENTO E INSTALAÇÃO. AF_12/2014</t>
  </si>
  <si>
    <t>TÊ, PVC, SOLDÁVEL, DN 50 MM INSTALADO EM RESERVAÇÃO DE ÁGUA DE EDIFICAÇÃO QUE POSSUA RESERVATÓRIO DE FIBRA/FIBROCIMENTO FORNECIMENTO E INSALAÇÃO. AF_06/2016</t>
  </si>
  <si>
    <t>TORNEIRA DE BOIA PARA CAIXA D'ÁGUA, ROSCÁVEL, 1/2" - FORNECIMENTO E INSTALAÇÃO. AF_08/2021</t>
  </si>
  <si>
    <t>CAIXA D´ÁGUA EM POLIETILENO, 1000 LITROS - FORNECIMENTO E INSTALAÇÃO. AF_06/2021</t>
  </si>
  <si>
    <t>SANITÁRIA</t>
  </si>
  <si>
    <t>15.2.1</t>
  </si>
  <si>
    <t>PAPELEIRA DE PAREDE EM METAL CROMADO SEM TAMPA, INCLUSO FIXAÇÃO. AF_01/2020</t>
  </si>
  <si>
    <t>15.2.2</t>
  </si>
  <si>
    <t>SABONETEIRA DE PAREDE EM METAL CROMADO, INCLUSO FIXAÇÃO. AF_01/2020</t>
  </si>
  <si>
    <t>15.2.3</t>
  </si>
  <si>
    <t>CAIXA ENTERRADA HIDRÁULICA RETANGULAR EM ALVENARIA COM TIJOLOS CERÂMICOS MACIÇOS, DIMENSÕES INTERNAS: 0,6X0,6X0,6 M PARA REDE DE DRENAGEM. AF_12/2020</t>
  </si>
  <si>
    <t>15.2.4</t>
  </si>
  <si>
    <t>VASO SANITARIO SIFONADO CONVENCIONAL COM LOUÇA BRANCA - FORNECIMENTO E INSTALAÇÃO. AF_10/2016</t>
  </si>
  <si>
    <t>15.2.6</t>
  </si>
  <si>
    <t>VASO SANITARIO SIFONADO CONVENCIONAL PARA PCD SEM FURO FRONTAL COM LOUÇA BRANCA SEM ASSENTO, INCLUSO CONJUNTO DE LIGAÇÃO PARA BACIA SANITÁRIA AJUSTÁVEL - FORNECIMENTO E INSTALAÇÃO. AF_01/2020</t>
  </si>
  <si>
    <t>15.2.7</t>
  </si>
  <si>
    <t>89707</t>
  </si>
  <si>
    <t>CAIXA SIFONADA, PVC, DN 100 X 100 X 50 MM, JUNTA ELÁSTICA, FORNECIDA E INSTALADA EM RAMAL DE DESCARGA OU EM RAMAL DE ESGOTO SANITÁRIO. AF_12/2014_P</t>
  </si>
  <si>
    <t>15.2.8</t>
  </si>
  <si>
    <t>ASSENTO SANITÁRIO CONVENCIONAL - FORNECIMENTO E INSTALACAO. AF_01/2020</t>
  </si>
  <si>
    <t>89714</t>
  </si>
  <si>
    <t>TUBO PVC, SERIE NORMAL, ESGOTO PREDIAL, DN 100 MM, FORNECIDO E INSTALADO EM RAMAL DE DESCARGA OU RAMAL DE ESGOTO SANITÁRIO. AF_12/2014_P</t>
  </si>
  <si>
    <t>TUBO PVC, SERIE NORMAL, ESGOTO PREDIAL, DN 50 MM, FORNECIDO E INSTALADO EM RAMAL DE DESCARGA OU RAMAL DE ESGOTO SANITÁRIO. AF_12/2014</t>
  </si>
  <si>
    <t>89809</t>
  </si>
  <si>
    <t>JOELHO 90 GRAUS, PVC, SERIE NORMAL, ESGOTO PREDIAL, DN 100 MM, JUNTA ELÁSTICA, FORNECIDO E INSTALADO EM PRUMADA DE ESGOTO SANITÁRIO OU VENTILAÇÃO. AF_12/2014</t>
  </si>
  <si>
    <t>BARRA DE APOIO RETA, EM ACO INOX POLIDO, COMPRIMENTO 60CM, DIAMETRO MINIMO 3CM</t>
  </si>
  <si>
    <t>TANQUE SÉPTICO CIRCULAR, EM CONCRETO PRÉ-MOLDADO, DIÂMETRO INTERNO = 1,10 M, ALTURA INTERNA = 2,50 M, VOLUME ÚTIL: 2138,2 L (PARA 5 CONTRIBUINTES). AF_12/2020</t>
  </si>
  <si>
    <t>SUMIDOURO CIRCULAR, EM CONCRETO PRÉ-MOLDADO, DIÂMETRO INTERNO = 1,88 M , ALTURA INTERNA = 2,00 M, ÁREA DE INFILTRAÇÃO: 13,1 M² (PARA 5 CONTRIBUINTES). AF_12/2020</t>
  </si>
  <si>
    <t>ESCAVAÇÃO MANUAL DE VALAS. AF_03/2016</t>
  </si>
  <si>
    <t>TANQUE DE LOUÇA BRANCA COM COLUNA, 30L OU EQUIVALENTE, INCLUSO SIFÃO F LEXÍVEL EM PVC, VÁLVULA PLÁSTICA E TORNEIRA DE METAL CROMADO PADRÃO MEDIO - FORNECIMENTO E INSTALAÇÃO. AF_01/2020</t>
  </si>
  <si>
    <t>16.0</t>
  </si>
  <si>
    <t>IMPLANTAÇÃO/URBANIZAÇÃO</t>
  </si>
  <si>
    <t>16.1</t>
  </si>
  <si>
    <t>MURO FECHAMENTO</t>
  </si>
  <si>
    <t>16.1.1</t>
  </si>
  <si>
    <t>16.1.2</t>
  </si>
  <si>
    <t>16.1.3</t>
  </si>
  <si>
    <t>16.1.4</t>
  </si>
  <si>
    <t>LANÇAMENTO COM USO DE BALDES, ADENSAMENTO E ACABAMENTO DE CONCRETO EM ESTRUTURAS. AF_12/2015</t>
  </si>
  <si>
    <t>16.1.5</t>
  </si>
  <si>
    <t>16.1.6</t>
  </si>
  <si>
    <t>ARMAÇÃO DE PILAR OU VIGA DE UMA ESTRUTURA CONVENCIONAL DE CONCRETO ARMADO EM UMA EDIFICAÇÃO TÉRREA OU SOBRADO UTILIZANDO AÇO CA-50 DE 6,3 MM MONTAGEM. AF_12/2015</t>
  </si>
  <si>
    <t>16.1.7</t>
  </si>
  <si>
    <t>16.1.8</t>
  </si>
  <si>
    <t>16.1.9</t>
  </si>
  <si>
    <t>PLACA DE SINALIZACAO EM CHAPA DE ACO NUM 16 COM PINTURA REFLETIVA</t>
  </si>
  <si>
    <t>16.1.10</t>
  </si>
  <si>
    <t xml:space="preserve">PLANTIO DE GRAMA EM PLACAS. AF_05/2018 </t>
  </si>
  <si>
    <t>16.1.11</t>
  </si>
  <si>
    <t>ASSENTAMENTO DE GUIA (MEIO-FIO) EM TRECHO RETO, CONFECCIONADA EM CONCRETO PRÉ-FABRICADO, DIMENSÕES 100X15X13X30 CM (COMPRIMENTO X BASE INFERIOR X BASE SUPERIOR X ALTURA), PARA VIAS URBANAS (USO VIÁRIO). AF_06/2016</t>
  </si>
  <si>
    <t>16.1.12</t>
  </si>
  <si>
    <t>CONCERTINA CLIPADA (DUPLA) EM AÇO GALVANIZADO DE ALTA RESISTENCIA, COM ESPIRAL M 27,02
DE 300 MM, D = 2,76 MM, COM SUPORTE (HASTE) A CADA 2 M  - FORNECIMENTO E INSTALAÇÃO</t>
  </si>
  <si>
    <t>17.0</t>
  </si>
  <si>
    <t>SERVIÇOS COMPLEMENTARES</t>
  </si>
  <si>
    <t>17.1.1</t>
  </si>
  <si>
    <t>FOSSO/URBANISMO</t>
  </si>
  <si>
    <t>17.1.2</t>
  </si>
  <si>
    <t>17.1.3</t>
  </si>
  <si>
    <t>17.1.4</t>
  </si>
  <si>
    <t>17.1.5</t>
  </si>
  <si>
    <t>17.1.6</t>
  </si>
  <si>
    <t>17.1.9</t>
  </si>
  <si>
    <t>17.1.10</t>
  </si>
  <si>
    <t>17.1.11</t>
  </si>
  <si>
    <t>17.1.12</t>
  </si>
  <si>
    <t>17.1.13</t>
  </si>
  <si>
    <t>17.1.14</t>
  </si>
  <si>
    <t>PROTEÇÃO MECÂNICA DE SUPERFÍCIE HORIZONTAL COM ARGAMASSA DE CIMENTO E AREIA, TRAÇO 1:3, E=2CM. AF_06/2018</t>
  </si>
  <si>
    <t>17.1.15</t>
  </si>
  <si>
    <t>PROTEÇÃO MECÂNICA DE SUPERFÍCIE VERTICAL COM ARGAMASSA DE CIMENTO E AREIA, TRAÇO 1:3, E=2CM. AF_06/2018</t>
  </si>
  <si>
    <t>IMPERMEABILIZAÇÃO DE SUPERFÍCIE COM MEMBRANA À BASE DE POLIURETANO, 2 DEMÃOS. AF_06/2018</t>
  </si>
  <si>
    <t>17.1.17</t>
  </si>
  <si>
    <t>CHAPA METÁLICA DOBRADA MEDINDO 100X160X100X6000 E 100X160X100X1200 NA CHAPA #11 (INSTALAR NA BORDA DO FOSSO) PINTADO EM ZEBRA AMARELO E PRETO</t>
  </si>
  <si>
    <t>18.0</t>
  </si>
  <si>
    <t>LIMPEZA FINAL DA OBRA</t>
  </si>
  <si>
    <t>18.1</t>
  </si>
  <si>
    <t>LIMPEZA DE PISO CERÂMICO OU PORCELANATO COM PANO ÚMIDO. AF_04/2019</t>
  </si>
  <si>
    <t>TOTAL GERAL DO ORÇAMENTO</t>
  </si>
  <si>
    <t>CRONOGRAMA FÍSICO FINANCEIRO</t>
  </si>
  <si>
    <t>Obra: Reforma 60ª  Ciretran Brasnorte MT</t>
  </si>
  <si>
    <t>Local: Brasnorte/MT</t>
  </si>
  <si>
    <t>ESPECIFICAÇÃO</t>
  </si>
  <si>
    <t>%</t>
  </si>
  <si>
    <t>TOTAL
DO ITEM</t>
  </si>
  <si>
    <t>DIAS</t>
  </si>
  <si>
    <t>TOTAL</t>
  </si>
  <si>
    <t>00-30</t>
  </si>
  <si>
    <t>31-60</t>
  </si>
  <si>
    <t>61-90</t>
  </si>
  <si>
    <t>90-120</t>
  </si>
  <si>
    <t>120-150</t>
  </si>
  <si>
    <t>150-180</t>
  </si>
  <si>
    <t>TOTAL MENSAL/ ACUMULADO</t>
  </si>
  <si>
    <t>item</t>
  </si>
  <si>
    <t>descrição</t>
  </si>
  <si>
    <t>unid</t>
  </si>
  <si>
    <t>quant.</t>
  </si>
  <si>
    <t>cust. Unit.</t>
  </si>
  <si>
    <t>cust. Total</t>
  </si>
  <si>
    <t>COMP. 1.3</t>
  </si>
  <si>
    <t>Descrição dos Serviços</t>
  </si>
  <si>
    <t>unidade</t>
  </si>
  <si>
    <t>quantidade</t>
  </si>
  <si>
    <t>valor unitário</t>
  </si>
  <si>
    <t>valor total</t>
  </si>
  <si>
    <t>COD:74209/1</t>
  </si>
  <si>
    <t>SARRAFO DE MADEIRA NAO APARELHADA *2,5 X 7* CM, MACARANDUBA, ANGELIM OU EQUIVALENTE DA REGIAO</t>
  </si>
  <si>
    <t>M</t>
  </si>
  <si>
    <t>1,0000000</t>
  </si>
  <si>
    <t>PONTALETE DE MADEIRA NAO APARELHADA *7,5 X 7,5* CM (3 X 3 ") PINUS, MISTA OU EQUIVALENTE DA REGIAO</t>
  </si>
  <si>
    <t>4,0000000</t>
  </si>
  <si>
    <t>PLACA DE OBRA (PARA CONSTRUCAO CIVIL) EM CHAPA GALVANIZADA *N. 22*, DE *2,0 X 1,125* M</t>
  </si>
  <si>
    <t>M2</t>
  </si>
  <si>
    <t>PREGO DE ACO POLIDO COM CABECA 18 X 30 (2 3/4 X 10)</t>
  </si>
  <si>
    <t>KG</t>
  </si>
  <si>
    <t>0,1100000</t>
  </si>
  <si>
    <t>CARPINTEIRO DE FORMAS COM ENCARGOS COMPLEMENTARES</t>
  </si>
  <si>
    <t>H</t>
  </si>
  <si>
    <t>SERVENTE COM ENCARGOS COMPLEMENTARES</t>
  </si>
  <si>
    <t>2,0000000</t>
  </si>
  <si>
    <t>CONCRETO MAGRO PARA LASTRO, TRAÇO 1:4,5:4,5 (CIMENTO/ AREIA MÉDIA/ BRITA 1)  - PREPARO MECÂNICO COM BETONEIRA 400 L. AF_07/2016</t>
  </si>
  <si>
    <t>M3</t>
  </si>
  <si>
    <t>0,0100000</t>
  </si>
  <si>
    <t>Composição referência para adoção de coeficientes de consumo: SINAP 01/2021</t>
  </si>
  <si>
    <t>Taxa de destinação final de resíduos sólidos da construção civil</t>
  </si>
  <si>
    <t>Caçamba bota fora  5,0 M³</t>
  </si>
  <si>
    <t>unid:ud</t>
  </si>
  <si>
    <t>materiais</t>
  </si>
  <si>
    <t>Caçambas bota fora 5,0 M³</t>
  </si>
  <si>
    <t>total</t>
  </si>
  <si>
    <t>preço de venda</t>
  </si>
  <si>
    <t>OBS preço cotado loca mix  construção R$220,00 tel 36233040</t>
  </si>
  <si>
    <t>2.14</t>
  </si>
  <si>
    <t>Demolição de concreto simples</t>
  </si>
  <si>
    <t>unid:m³</t>
  </si>
  <si>
    <t>pedreiro</t>
  </si>
  <si>
    <t>servente</t>
  </si>
  <si>
    <t>coeficientes retirados planilha secid</t>
  </si>
  <si>
    <t>Estrutura de aço para cobertura em perfil C 100mmx50mmx15mm na # 11 assentados como terça a cada 1,20 (10 linhas de 12,40 de comprimento e 10 linhas de 6,00)</t>
  </si>
  <si>
    <t>und: m</t>
  </si>
  <si>
    <t>mão de obra</t>
  </si>
  <si>
    <t>serralheiro</t>
  </si>
  <si>
    <t>ajudante se serralheiro</t>
  </si>
  <si>
    <t>perfil de aço carbono tipo "C" 100x50x15mm na chapa #11</t>
  </si>
  <si>
    <t>OBS: perfil cotado na Açofer R$ 404,40 barras de 6,00 m R$ 67,40/m</t>
  </si>
  <si>
    <t>PERFILADOS R$ 349,00 barras com 6,0 metros R$ 58,16/m</t>
  </si>
  <si>
    <t>FERMAT R$405,00 R$ 67,50</t>
  </si>
  <si>
    <t>9 linhas de  12,70</t>
  </si>
  <si>
    <t>portão chapa metálica #16 requadro metalon 50x30mm #16 MEDINDO 4,00X2,60</t>
  </si>
  <si>
    <t>ud:ud</t>
  </si>
  <si>
    <t>Metalon 50x30 chapa 16</t>
  </si>
  <si>
    <t>chapa de aço #16</t>
  </si>
  <si>
    <t>Cantoneira L 1"x3/16"</t>
  </si>
  <si>
    <t>Roldana com Caixa 3"</t>
  </si>
  <si>
    <t>Cantoneira U 40x40#14</t>
  </si>
  <si>
    <t>Perfil 100x100 #12</t>
  </si>
  <si>
    <t>trinco ppara portão</t>
  </si>
  <si>
    <t>eletrodo 2.1/2</t>
  </si>
  <si>
    <t>ajudante</t>
  </si>
  <si>
    <t>cotação vencedora fermat</t>
  </si>
  <si>
    <t>Portão em chapa corrugada #18 com requadro de metalon 60x60 na chapa 14 e reforço no lado dos pilares com cantoneira L 2.1/2"x3/16"</t>
  </si>
  <si>
    <t>unid:m²</t>
  </si>
  <si>
    <t>chapa corrugada nº 18</t>
  </si>
  <si>
    <t>metalon 60x60 chapa 14</t>
  </si>
  <si>
    <t>dobradiça tipo cachimbo 1.1/4"</t>
  </si>
  <si>
    <t>Cantoneira 2.1/2'x3/16"</t>
  </si>
  <si>
    <t>Preço por m²</t>
  </si>
  <si>
    <t>01 portão 6x3</t>
  </si>
  <si>
    <t>01 acrescimo de 4x1,30</t>
  </si>
  <si>
    <t>metalon 60x60 chapa 14 R$ 105,00</t>
  </si>
  <si>
    <t>chapa corrugada 0,90x3,00 nº 18 R$ 159,90</t>
  </si>
  <si>
    <t xml:space="preserve"> dobradiça tipo gonzo R$ 4,90</t>
  </si>
  <si>
    <t>cantoneira 2.1/2"x3/16" R$119,00</t>
  </si>
  <si>
    <t>cotado Perfilados  multiaço fone 36343050</t>
  </si>
  <si>
    <t>unid: m²</t>
  </si>
  <si>
    <t>REMOÇÃO DE MASSA /PINTURA EM PAREDES</t>
  </si>
  <si>
    <t>LIXA EM FOLHA PARA PAREDE OU MADEIRA, NUMERO 120 (COR VERMELHA)</t>
  </si>
  <si>
    <t>UD</t>
  </si>
  <si>
    <t>TOTAL DE CUSTO</t>
  </si>
  <si>
    <t>Lavatorio de louça branco suspenso Deca master  L76 canto 17 branco E</t>
  </si>
  <si>
    <t>UD:m²</t>
  </si>
  <si>
    <t>Encanador ou bombeiro hidraulico com encargos complementares</t>
  </si>
  <si>
    <t>AUXILIAR DE ENCANADOR OU BOMBEIRO HIDRAULICO</t>
  </si>
  <si>
    <t>todimo</t>
  </si>
  <si>
    <t>parafuso niquelado 3 1/2" com acabamento cromado para fixar peça sanitária, inclui porca cega, arruela e bucha de naylon tamanho S8</t>
  </si>
  <si>
    <t>rejunte epoxi branco</t>
  </si>
  <si>
    <t>LAVATÓRIO COTADO NA INTERNET PADOVANI</t>
  </si>
  <si>
    <t>15.2.16</t>
  </si>
  <si>
    <t>Fornecimento e instalação de suporte para vaso sanitário de portadores de necessidades especiais , conforme determina a legislação</t>
  </si>
  <si>
    <t>36218</t>
  </si>
  <si>
    <t>suporte para deficiente 0,60</t>
  </si>
  <si>
    <t>OBS: suporte cotado na todimo jack Wall</t>
  </si>
  <si>
    <t>15.2.17</t>
  </si>
  <si>
    <t>Fornecimento e instalação de suporte para lavatórios de portadores de necessidades especiais , conforme determina a legislação</t>
  </si>
  <si>
    <t>36080</t>
  </si>
  <si>
    <t>suporte para deficiente 0,80</t>
  </si>
  <si>
    <t>RETIRADA DE ARAME FARPADO INCLUSIVE SUPORTE METÁLICO</t>
  </si>
  <si>
    <t>SERVENTE</t>
  </si>
  <si>
    <t>34723 insumo</t>
  </si>
  <si>
    <t>PLACA DE SINALIZACAO EM CHAPA DE ACO NUM 16 COM PINTURA REFLETIVA MEDINDO 0,50X0,75 M</t>
  </si>
  <si>
    <t>4491 insumo</t>
  </si>
  <si>
    <t>PONTALETE *7,5 X 7,5* CM EM PINUS, MISTA OU EQUIVALENTE DA REGIAO - BRUTA</t>
  </si>
  <si>
    <t>CONCRETO MAGRO PARA LASTRO, TRAÇO 1:4,5:4,5 (CIMENTO/ AREIA MÉDIA/ BRIA 1) - PREPARO MANUAL. AF_07/2016</t>
  </si>
  <si>
    <t>PEDREIRO</t>
  </si>
  <si>
    <t>Pedreiro com encargos complementares</t>
  </si>
  <si>
    <t>Servente com encargos complementares</t>
  </si>
  <si>
    <t>TOTAL MAO DE OBRA</t>
  </si>
  <si>
    <t>INSUMO 34348</t>
  </si>
  <si>
    <t>Concertina clipada (dupla) em aço galvanizado de alta resistencia, com espiral de 300 MM, D = 2,76 MM</t>
  </si>
  <si>
    <t>Haste de aço galvanizado para fixação de concertina 2 "/3 M</t>
  </si>
  <si>
    <t>Furo em alvenaria para diâmetros maiores que 40 MM e menores ou igual a 75 MM. AF_05/2015</t>
  </si>
  <si>
    <t>Concreto magro para lastro, traço 1:4,5:4,5 (cimento/ areia média/ brita 1) - preparo manual. AF_07/2016</t>
  </si>
  <si>
    <t>TOTAL DE MATERIAL</t>
  </si>
  <si>
    <t>TOTALA GERAL</t>
  </si>
  <si>
    <t>CHAPA METÁLICA DOBRADA MEDINDO 100X160X100X6000 E 100X160X100X1200 NA CHAPA #11 (INSTALAR NA BORDA DO FOSSO)</t>
  </si>
  <si>
    <t>chapa metálica dobrada medindo (100x160x100x6200)x2+(100x160x100x1000)x2</t>
  </si>
  <si>
    <t>parabolt 3/8x50mm</t>
  </si>
  <si>
    <t>Pintura esmalte sintetico fosco, duas demaos, sobre superficie metalica</t>
  </si>
  <si>
    <t>total do material</t>
  </si>
  <si>
    <t>'''''''''</t>
  </si>
  <si>
    <t xml:space="preserve">total geral </t>
  </si>
  <si>
    <t>AÇOFER 2X6000 MM R$ 812,00  6 METROS</t>
  </si>
  <si>
    <t>FERMAT  R$725,00 6 METROS</t>
  </si>
  <si>
    <t>MULTIAÇO R$ 740,00 6 METROS</t>
  </si>
  <si>
    <t>COMPOSIÇÕES INSTALAÇÕES ELÉTRICAS E REDE LÓGICA</t>
  </si>
  <si>
    <t xml:space="preserve">unid: </t>
  </si>
  <si>
    <t>88264</t>
  </si>
  <si>
    <t>eletricista</t>
  </si>
  <si>
    <t>88247</t>
  </si>
  <si>
    <t>ajudante de eletricista</t>
  </si>
  <si>
    <t>88309</t>
  </si>
  <si>
    <t>00001062</t>
  </si>
  <si>
    <t>CAIXA INTERNA/EXTERNA DE MEDICAO PARA 1 MEDIDOR TRIFASICO, COM VISOR, EM CHAPADE ACO 18 USG (PADRAO DA CONCESSIONARIA LOCAL)</t>
  </si>
  <si>
    <t>00039233</t>
  </si>
  <si>
    <t>CABO DE COBRE, FLEXIVEL, CLASSE 4 OU 5, ISOLACAO EM PVC/A, ANTICHAMA BWF-B, 1CONDUTOR, 450/750 V, SECAO NOMINAL 35 MM2</t>
  </si>
  <si>
    <t>POSTE DE CONCRETO ARMADO DE SECAO DUPLO T, EXTENSAO DE 8,00 M, RESISTENCIA DE 150 DAN, TIPO D</t>
  </si>
  <si>
    <t>ASSENTAMENTO DE POSTE DE CONCRETO COM COMPRIMENTO NOMINAL DE 9 M, CARGA NOMINAL MENOR OU IGUAL A 1000 DAN, ENGASTAMENTO SIMPLES COM 1,5 M DE SOLO (NÃO INCLUI FORNECIMENTO). AF_11/2019</t>
  </si>
  <si>
    <t>as</t>
  </si>
  <si>
    <t>00002681</t>
  </si>
  <si>
    <t>ELETRODUTO DE PVC RIGIDO ROSCAVEL DE 2 ", SEM LUVA</t>
  </si>
  <si>
    <t>00001100</t>
  </si>
  <si>
    <t>CABECOTE PARA ENTRADA DE LINHA DE ALIMENTACAO PARA ELETRODUTO, EM LIGA DEALUMINIO COM ACABAMENTO ANTI CORROSIVO, COM FIXACAO POR ENCAIXE LISO DE 360 GRAUS, DE 2"</t>
  </si>
  <si>
    <t>00039132</t>
  </si>
  <si>
    <t>ABRACADEIRA EM ACO PARA AMARRACAO DE ELETRODUTOS, TIPO D, COM 2" E CUNHA DE FIXACAO</t>
  </si>
  <si>
    <t>1094</t>
  </si>
  <si>
    <t>ARMACAO VERTICAL COM HASTE E CONTRA-PINO, EM CHAPA DE ACO GALVANIZADO 3/16",COM 1 ESTRIBO, SEM ISOLADOR</t>
  </si>
  <si>
    <t>00003398</t>
  </si>
  <si>
    <t>ISOLADOR DE PORCELANA, TIPO ROLDANA, DIMENSOES DE *72* X *72* MM, PARA USO EMBAIXA TENSAO</t>
  </si>
  <si>
    <t>PARAFUSO DE FERRO POLIDO, SEXTAVADO, COM ROSCA PARCIAL, DIAMETRO 5/8", COMPRIMENTO 6", COM PORCA E ARRUELA DE PRESSAO MEDIA</t>
  </si>
  <si>
    <t>11267</t>
  </si>
  <si>
    <t>ARRUELA LISA, REDONDA, DE LATAO POLIDO, DIAMETRO NOMINAL 5/8", DIAMETRO EXTERNO = 34 MM, DIAMETRO DO FURO = 17 MM, ESPESSURA = *2,5* MM</t>
  </si>
  <si>
    <t>00002373</t>
  </si>
  <si>
    <t>DISJUNTOR TIPO NEMA, TRIPOLAR 60 ATE 100 A, TENSAO MAXIMA DE 415 V</t>
  </si>
  <si>
    <t>96985</t>
  </si>
  <si>
    <t>96977</t>
  </si>
  <si>
    <t>00000425</t>
  </si>
  <si>
    <t>GRAMPO METALICO TIPO OLHAL PARA HASTE DE ATERRAMENTO DE 5/8'', CONDUTOR DE *10* A 50 MM2</t>
  </si>
  <si>
    <t>00000404</t>
  </si>
  <si>
    <t>FITA ISOLANTE DE BORRACHA AUTOFUSAO, USO ATE 69 KV (ALTA TENSAO)</t>
  </si>
  <si>
    <t>00041628</t>
  </si>
  <si>
    <t>CAIXA DE CONCRETO ARMADO PRE-MOLDADO, COM FUNDO E TAMPA, DIMENSOES DE 0,40 X0,40 X 0,40 M</t>
  </si>
  <si>
    <t>00034643</t>
  </si>
  <si>
    <t>CAIXA INSPECAO EM POLIETILENO PARA ATERRAMENTO E PARA RAIOS DIAMETRO = 300 MM</t>
  </si>
  <si>
    <t>94975</t>
  </si>
  <si>
    <t>CONCRETO FCK = 15MPA, TRAÇO 1:3,4:3,5 (CIMENTO/ AREIA MÉDIA/ BRITA 1)- PREPARO MANUAL. AF_07/2016</t>
  </si>
  <si>
    <t>unid: unitario</t>
  </si>
  <si>
    <t>00012239</t>
  </si>
  <si>
    <t>LUMINARIA DE SOBREPOR EM CHAPA DE ACO PARA 2 LAMPADAS FLUORESCENTES DE *36* W, PERFIL COMERCIAL (NAO INCLUI REATOR E LAMPADAS)</t>
  </si>
  <si>
    <t>00039387</t>
  </si>
  <si>
    <t>LAMPADA LED TUBULAR BIVOLT 18/20 W, BASE G13</t>
  </si>
  <si>
    <t>FITA ISOLANTE ADESIVA ANTICHAMA, USO ATE 750 V, EM ROLO DE 19 MM X 5 M</t>
  </si>
  <si>
    <t>REFLETOR LED 100W PARA ILUMINAÇÃO EM AMBIENTES EXTERNOS 127/220V</t>
  </si>
  <si>
    <t>00039391</t>
  </si>
  <si>
    <t>LUMINARIA LED REFLETOR RETANGULAR BIVOLT, LUZ BRANCA, 50 W</t>
  </si>
  <si>
    <t>11950</t>
  </si>
  <si>
    <t>BUCHA DE NYLON SEM ABA S6, COM PARAFUSO DE 4,20 X 40 MM EM ACO ZINCADO COM ROSCA SOBERBA, CABECA CHATA E FENDA PHILLIPS</t>
  </si>
  <si>
    <t>REFLETOR LED 50W PARA ILUMINAÇÃO EM AMBIENTES EXTERNOS 127/220V</t>
  </si>
  <si>
    <t>POSTE DE AÇO PARA ILUMINAÇÃO DE JARDIM 3,00 M DOIS BRAÇOS LUMINÁRIAS LED IP 65 - 40 W – FORNECIMENTO E INSTALAÇÃO</t>
  </si>
  <si>
    <t>unid:</t>
  </si>
  <si>
    <t>88242</t>
  </si>
  <si>
    <t>ajudante de pedreiro</t>
  </si>
  <si>
    <t>POSTE CONICO CONTINUO EM ACO GALVANIZADO, RETO, FLANGEADO, H = 3 M, DIAMETRO INFERIOR = *95* MM</t>
  </si>
  <si>
    <t>BRACO P/ LUMINARIA PUBLICA 1 X 1,50M ROMAGNOLE OU EQUIV</t>
  </si>
  <si>
    <t>RELE FOTOELETRICO P/ COMANDO DE ILUMINACAO EXTERNA 220V/1000W – FORNECIMENTO E INSTALAÇÃO</t>
  </si>
  <si>
    <t>LUMINARIA HERMETICA IP-65 PARA 2 DUAS LAMPADAS DE 28/32/36/40 W (NAO INCLUI REATOR E LAMPADAS)</t>
  </si>
  <si>
    <t>74104/001</t>
  </si>
  <si>
    <t>CAIXA DE INSPEÇÃO EM ALVENARIA DE TIJOLO MACIÇO 60X60X60CM, REVESTIDA 
INTERNAMENTO COM BARRA LISA (CIMENTO E AREIA, TRAÇO 1:4) E=2,0CM, COM
TAMPA PRÉ-MOLDADA DE CONCRETO E FUNDO DE CONCRETO 15MPA TIPO C - ESCAV
AÇÃO E CONFECÇÃO</t>
  </si>
  <si>
    <t>EXAUSTOR DE  50 CM VAZÃODE 5.000 m³/hora-  (EXAUSTÃO E VENTILAÇÃO) FORNECIMENTO E INSTALAÇÃO</t>
  </si>
  <si>
    <t>00002436</t>
  </si>
  <si>
    <t>0000247</t>
  </si>
  <si>
    <t>00004750</t>
  </si>
  <si>
    <t>EXAUSTOR 50 CM VAZÃO DE 5.000 m³/hora – 220V</t>
  </si>
  <si>
    <t>REFLETOR LED 50W PARA ILUMINAÇÃO EM MBIENTES EXTERNOS 127/220V</t>
  </si>
  <si>
    <t>AUXILIAR DE ELETRICISTA COM ENCARGOS COMPLEMENTARES</t>
  </si>
  <si>
    <t>00039467</t>
  </si>
  <si>
    <t>DISPOSITIVO DPS CLASSE II, 1 POLO, TENSAO MAXIMA DE 175 V, CORRENTE MAXIMA DE *45* KA (TIPO AC</t>
  </si>
  <si>
    <t>DISPOSITIVO DR, 4 POLOS, SENSIBILIDADE DE 30 MA, CORRENTE DE 100 A, TIPO AC – FORNECIMENTO E INSTALAÇÃO</t>
  </si>
  <si>
    <t>00039458</t>
  </si>
  <si>
    <t>DISPOSITIVO DR, 4 POLOS, SENSIBILIDADE DE 30 MA, CORRENTE DE 100 A, TIPO AC</t>
  </si>
  <si>
    <t>PEDREIRO COM ENCARGOS COMPLEMENTARES</t>
  </si>
  <si>
    <t>88316</t>
  </si>
  <si>
    <t>00039812</t>
  </si>
  <si>
    <t>CAIXA DE PASSAGEM DE PAREDE, DE EMBUTIR, EM PVC, DIMENSOES *200 X 200 X 90* MM</t>
  </si>
  <si>
    <t>unid: ud</t>
  </si>
  <si>
    <t>00043097</t>
  </si>
  <si>
    <t>CAIXA DE PASSAGEM ELETRICA DE PAREDE, DE SOBREPOR, EM TERMOPLASTICO / PVCCOM TAMPA APARAFUSADA, DIMENSOES, 150 X 150 X *100* MM</t>
  </si>
  <si>
    <t>ELETRICISTA COM ENCARGOS COMPLEMENTARES</t>
  </si>
  <si>
    <t>DISJUNTOR TIPO DIN/IEC, TRIPOLAR 63 A</t>
  </si>
  <si>
    <t>00001576</t>
  </si>
  <si>
    <t>TERMINAL A COMPRESSAO EM COBRE ESTANHADO PARA CABO 25 MM2, 1 FURO E 1 COMPRESSAO, PARA PARAFUSO DE FIXACAO M8</t>
  </si>
  <si>
    <t>DISPOSITIVO DR, 2 POLOS, SENSIBILIDADE DE 30 MA, CORRENTE DE 25 A, TIPO AC - FORNECIMENTO E INSTALAÇÃO. AF_10/2020</t>
  </si>
  <si>
    <t>00011862</t>
  </si>
  <si>
    <t>CONECTOR METALICO TIPO PARAFUSO FENDIDO (SPLIT BOLT), PARA CABOS ATE 50 MM2</t>
  </si>
  <si>
    <t>00001577</t>
  </si>
  <si>
    <t>TERMINAL A COMPRESSAO EM COBRE ESTANHADO PARA CABO 35 MM2, 1 FURO E 1 COMPRESSAO, PARA PARAFUSO DE FIXACAO M8</t>
  </si>
  <si>
    <t>00001575</t>
  </si>
  <si>
    <t>TERMINAL A COMPRESSAO EM COBRE ESTANHADO PARA CABO 16 MM2, 1 FURO E 1 COMPRESSAO, PARA PARAFUSO DE FIXACAO M6</t>
  </si>
  <si>
    <t>00001571</t>
  </si>
  <si>
    <t>TERMINAL A COMPRESSAO EM COBRE ESTANHADO PARA CABO 4 MM2, 1 FURO E 1 COMPRESSAO, PARA PARAFUSO DE FIXACAO M5</t>
  </si>
  <si>
    <t>CAIXA DE CONCRETO ARMADO PRE-MOLDADO, COM FUNDO E TAMPA, DIMENSOES DE 0,60 X0,60 X 0,50 M - FORNECIMENTO E INSTALAÇÃO</t>
  </si>
  <si>
    <t>101618</t>
  </si>
  <si>
    <t>PREPARO DE FUNDO DE VALA COM LARGURA MENOR QUE 1,5 M, COM CAMADA DE AR EIA, LANÇAMENTO MANUAL. AF_08/2020</t>
  </si>
  <si>
    <t>CAIXA DE CONCRETO ARMADO PRE-MOLDADO, COM FUNDO E TAMPA, DIMENSOES DE 0,60 X0,60 X 0,50 M</t>
  </si>
  <si>
    <t>REDE LÓGICA</t>
  </si>
  <si>
    <t>14.01</t>
  </si>
  <si>
    <t>RACK FECHADO 12Ux19"x450mm, PORTA EM ACRÍLICO, SEGUNDO PLANO DE RECUO - FONECIMENTO E INSTALAÇÃO</t>
  </si>
  <si>
    <t>COTAÇÃO</t>
  </si>
  <si>
    <t>Fornecimento e instalação de rack fechado 12Ux19"x450mm, porta em acrilico, segundo plano de recuo, regua para 5 tomadas.</t>
  </si>
  <si>
    <t>STEEL TELECOM</t>
  </si>
  <si>
    <t>01.182.364/0001-00</t>
  </si>
  <si>
    <t>(11)3989-2842</t>
  </si>
  <si>
    <t>steeltelecom.com.br</t>
  </si>
  <si>
    <t>KADRI</t>
  </si>
  <si>
    <t>07.870.634/0001-44</t>
  </si>
  <si>
    <t>(65)3648-5600</t>
  </si>
  <si>
    <t>kadri.com.br</t>
  </si>
  <si>
    <t>Central Cabos</t>
  </si>
  <si>
    <t>08.626.431/0001-70</t>
  </si>
  <si>
    <t>(11) 3334-3720</t>
  </si>
  <si>
    <t>centralcabos.com.br</t>
  </si>
  <si>
    <t>ORANIZADOR DE CABOS HORIZONTAL COM TAMPA FRONTAL REMOVÍVEL 19" X 1U -FORNECIMENTO E INSTALAÇÃO</t>
  </si>
  <si>
    <t>Fornecimento e instalação de organizador de cabos horizontal com tampa frontal removível 19" X 1U</t>
  </si>
  <si>
    <t>material cotado Plug mais conection tel 36485700</t>
  </si>
  <si>
    <t>Fornecimento e instalação de bandeja dupla fixação com comprimento de 600mm para rack 19"</t>
  </si>
  <si>
    <t>PATCH CORD, CATEGORIA 5 E, EXTENSAO DE 1,50 M - FORNECIMENTO E INSTALAÇÃO</t>
  </si>
  <si>
    <t>39604</t>
  </si>
  <si>
    <t>PATCH CORD, CATEGORIA 5 E, EXTENSAO DE 1,50 M</t>
  </si>
  <si>
    <t>PATCH CORD, CATEGORIA 5 E, EXTENSAO DE 2,50 M - FORNECIMENTO E INSTALAÇÃO</t>
  </si>
  <si>
    <t>39605</t>
  </si>
  <si>
    <t>PATCH CORD, CATEGORIA 5 E, EXTENSAO DE 2,50 M</t>
  </si>
  <si>
    <t>00039602</t>
  </si>
  <si>
    <t>CONECTOR MACHO RJ - 45, CATEGORIA 5 E</t>
  </si>
  <si>
    <t>00002638</t>
  </si>
  <si>
    <t>LUVA PARA ELETRODUTO, EM ACO GALVANIZADO ELETROLITICO, DIAMETRO DE 25 MM</t>
  </si>
  <si>
    <t>orçamento</t>
  </si>
  <si>
    <t>ELETROCALHA PERFURADA GALVANIZADA DE 100 X 50 X 3000mm</t>
  </si>
  <si>
    <t xml:space="preserve">PETEL </t>
  </si>
  <si>
    <t>22.760.075/0001-03</t>
  </si>
  <si>
    <t>(65) 3634-5253</t>
  </si>
  <si>
    <t>DIRCEU</t>
  </si>
  <si>
    <t>BRANEL</t>
  </si>
  <si>
    <t>07.624.206/0001-31</t>
  </si>
  <si>
    <t>(65) 3027-9000</t>
  </si>
  <si>
    <t>CARLOS</t>
  </si>
  <si>
    <t xml:space="preserve">LUZ E CIA </t>
  </si>
  <si>
    <t>03.806.018/0001-73</t>
  </si>
  <si>
    <t>(65) 3388-0800</t>
  </si>
  <si>
    <t>THAYS</t>
  </si>
  <si>
    <t>00002501</t>
  </si>
  <si>
    <t>ELETRODUTO FLEXIVEL, EM ACO GALVANIZADO, REVESTIDO EXTERNAMENTE COM PVC  PRETO, DIAMETRO EXTERNO DE 32 MM (1"), TIPO SEALTUBO</t>
  </si>
  <si>
    <t>INSTALAÇÃO DE PADRÃO DE ENTRADA T4 35,05KW – CONFORME EXIGÊNCIA DA CONCESSIONÁRIA DE ENERGIA C/ 03 CX DE ATERRAMENTO – FORNECIMENTO E INSTALAÇÃO</t>
  </si>
  <si>
    <t>CABO DE COBRE FLEXÍVEL ISOLADO, 16 MM², ANTI-CHAMA 0,6/1,0 KV, PARA DISTRIBUIÇÃO - FORNECIMENTO E INSTALAÇÃO. AF_12/2015</t>
  </si>
  <si>
    <t>CABO DE COBRE FLEXÍVEL ISOLADO, 10 MM², ANTI-CHAMA 0,6/1,0 KV, PARA DISTRIBUIÇÃO - FORNECIMENTO E INSTALAÇÃO. AF_12/2015</t>
  </si>
  <si>
    <t>ELETRODUTO FLEXÍVEL CORRUGADO, PEAD, DN 90 (3") - FORNECIMENTO E INST ALAÇÃO. AF_04/2016</t>
  </si>
  <si>
    <t>ELETRODUTO FLEXÍVEL CORRUGADO, PVC, DN 32 MM (1"), PARA CIRCUITOS TERMINAIS, INSTALADO EM PAREDE - FORNECIMENTO E INSTALAÇÃO. AF_12/2015</t>
  </si>
  <si>
    <t>CONDULETE DE ALUMÍNIO, TIPO E, PARA ELETRODUTO DE FERRO GALVANIZADO DN25 MM (3/4''), APARENTE - FORNECIMENTO E INSTALAÇÃO. AF_11/2016_P</t>
  </si>
  <si>
    <t>CAIXA DE PASSAGEM 20X20X10CM COM TAMPA INSTALADO EM PAREDE-FORNECIMENTO E INSTALAÇÃO</t>
  </si>
  <si>
    <t>CAIXA DE PASSAGEM 15X15X10CM COM TAMPA INSTALADO EM PAREDE-FORNECIMENTO E INSTALAÇÃO</t>
  </si>
  <si>
    <t>TOMADA MÉDIA DE EMBUTIR (1 MÓDULOS), 2P+T 10 A, INCLUINDO SUPORTE E PLACA - FORNECIMENTO E INSTALAÇÃO. AF_12/2015</t>
  </si>
  <si>
    <t xml:space="preserve"> INTERRUPTOR PARALELO (1 MÓDULO), 10A/250V, INCLUINDO SUPORTE E PLACA - FORNECIMENTO E INSTALAÇÃO. AF_12/2015</t>
  </si>
  <si>
    <t>INTERRUPTOR SIMPLES (3 MÓDULOS), 10A/250V, INCLUINDO SUPORTE E PLACA -FORNECIMENTO E INSTALAÇÃO. AF_12/2015</t>
  </si>
  <si>
    <t xml:space="preserve"> INTERRUPTOR PARALELO (3 MÓDULOS), 10A/250V, INCLUINDO SUPORTE E PLACA - FORNECIMENTO E INSTALAÇÃO. AF_12/2015</t>
  </si>
  <si>
    <t>LUMINARIA DE SOBREPOR EM CHAPA DE ACO PARA 2 LAMPADAS LED DE *18* W, PERFIL COMERCIAL (NAO INCLUI REATOR E LAMPADAS)</t>
  </si>
  <si>
    <t>POSTE DE CONCRETO PARA ILUMINAÇÃO DE PATIO - 8,00 M DOIS BRAÇOS LUMINÁRIAS LED IP 65 - 50 A 67 W – FORNECIMENTO E INSTALAÇÃO</t>
  </si>
  <si>
    <t>DISJUNTOR TRIPOLAR TIPO DIN, CORRENTE NOMINAL DE 50A - FORNECIMENTO E INSTALAÇÃO. AF_10/2020</t>
  </si>
  <si>
    <t>DISJUNTOR BIPOLAR TIPO DIN, CORRENTE NOMINAL DE 10A - FORNECIMENTO E INSTALAÇÃO. AF_10/2020</t>
  </si>
  <si>
    <t>DISJUNTOR BIPOLAR TIPO DIN, CORRENTE NOMINAL DE 32A - FORNECIMENTO E INSTALAÇÃO. AF_10/2020</t>
  </si>
  <si>
    <t>DISPOSITIVO DR, 2 POLOS, SENSIBILIDADE DE 30 MA, CORRENTE DE 40 A, TIPO AC - FORNECIMENTO E INSTALAÇÃO.</t>
  </si>
  <si>
    <t>DISPOSITIVO DR, 4 POLOS, SENSIBILIDADE DE 30 MA, CORRENTE DE 63 A, TIPO AC - FORNECIMENTO E INSTALAÇÃO.</t>
  </si>
  <si>
    <t>CAIXA SEXTAVADA 3" X 3", METÁLICA, INSTALADA EM LAJE - FORNECIMENTO E INSTALAÇÃO. AF_12/2015</t>
  </si>
  <si>
    <t>CHUVEIRO ELÉTRICO COMUM CORPO PLÁSTICO, TIPO DUCHA FORNECIMENTO E INSTALAÇÃO. AF_01/2020</t>
  </si>
  <si>
    <t>13.64</t>
  </si>
  <si>
    <t>13.65</t>
  </si>
  <si>
    <t>13.66</t>
  </si>
  <si>
    <t>13.67</t>
  </si>
  <si>
    <t>13.68</t>
  </si>
  <si>
    <t>13.69</t>
  </si>
  <si>
    <t>SUPORTE PARA ELETROCALHA LISA OU PERFURADA EM AÇO GALVANIZADO, LARGURA 200 OU 400 MM E ALTURA 50 MM, ESPAÇADO A CADA 1,5 M, EM PERFILADO DE SEÇÃO 38X76 MM, POR METRO DE ELETRECOLHA FIXADA. AF_07/2017</t>
  </si>
  <si>
    <t>RACK FECHADO 16Ux19"x450mm, PORTA EM ACRÍLICO, SEGUNDO PLANO DE RECUO - FONECIMENTO E INSTALAÇÃO</t>
  </si>
  <si>
    <t>TERMINAL A COMPRESSAO EM COBRE ESTANHADO PARA CABO 2,5 MM2, 1 FURO E 1 COMPRESSAO, PARA PARAFUSO DE FIXACAO M5 - FORNECIMENTO E INSTALAÇÃO</t>
  </si>
  <si>
    <t>TERMINAL A COMPRESSAO EM COBRE ESTANHADO PARA CABO 2,5 MM2, 1 FURO E 1 COMPRESSAO, PARA PARAFUSO DE FIXACAO M5</t>
  </si>
  <si>
    <t>00001570</t>
  </si>
  <si>
    <t>13.70</t>
  </si>
  <si>
    <t>13.71</t>
  </si>
  <si>
    <t>13.72</t>
  </si>
  <si>
    <t>13.73</t>
  </si>
  <si>
    <t>DISJUNTOR TRIPOLAR TIPO NEMA, CORRENTE NOMINAL DE 60 ATÉ 100A - FORNECIMENTO E INSTALAÇÃO. AF_10/2020</t>
  </si>
  <si>
    <t>16.1.13</t>
  </si>
  <si>
    <t>TELHAMENTO COM TELHA DE AÇO/ALUMÍNIO E = 0,5 MM, COM ATÉ 2 ÁGUAS, INCL USO IÇAMENTO. AF_07/2019</t>
  </si>
  <si>
    <t>7.7</t>
  </si>
  <si>
    <t>KIT DE PORTA DE MADEIRA PARA VERNIZ, SEMI-OCA (LEVE OU MÉDIA), PADRÃO MÉDIO, 80X210CM, ESPESSURA DE 3,5CM, ITENS INCLUSOS: DOBRADIÇAS, MONTAGEM E INSTALAÇÃO DO BATENTE, SEM FECHADURA - FORNECIMENTO E INSTALAÇÃO AF_12/2019</t>
  </si>
  <si>
    <t>8.1.4</t>
  </si>
  <si>
    <t>733,75/M²</t>
  </si>
  <si>
    <t>00039446</t>
  </si>
  <si>
    <t>DISPOSITIVO DR, 2 POLOS, SENSIBILIDADE DE 30 MA, CORRENTE DE 40 A, TIPO AC</t>
  </si>
  <si>
    <t>SINAPI  janeiro 2022</t>
  </si>
  <si>
    <t>Data:fevereiro 2022.</t>
  </si>
  <si>
    <t>Data: fevereiro 2.022</t>
  </si>
  <si>
    <t>SINAPI janeiro 2022</t>
  </si>
  <si>
    <t>REGISTRO DE GAVETA BRUTO, LATÃO, ROSCÁVEL, 1 1/2", COM ACABAMENTO E CANOPLA CROMADOS - FORNECIMENTO E INSTALAÇÃO. AF_08/20</t>
  </si>
  <si>
    <t>ADAPTADOR COM FLANGE E ANEL DE VEDAÇÃO, PVC, SOLDÁVEL, DN 25 MM X 3/4 , INSTALADO EM RESERVAÇÃO DE ÁGUA DE EDIFICAÇÃO QUE POSSUA RESERVATÓRIO DE FIBRA/FIBROCIMENTO FORNECIMENTO E INSTALAÇÃO. AF_06/2016</t>
  </si>
  <si>
    <t>JUNÇÃO SIMPLES, PVC, SERIE R, ÁGUA PLUVIAL, DN 100 X 75 MM, JUNTA ELÁST ICA, FORNECIDO E INSTALADO EM CONDUTORES VERTICAIS DE ÁGUAS PLUVIAIS.</t>
  </si>
  <si>
    <t>LUVA SIMPLES, PVC, SERIE NORMAL, ESGOTO PREDIAL, DN 50 MM, JUNTA ELÁSTICA, FORNECIDO E INSTALADO EM RAMAL DE DESCARGA OU RAMAL DE ESGOTO ASNITÁRIO. AF_12/2014</t>
  </si>
  <si>
    <t>JOELHO 90 GRAUS, PVC, SERIE NORMAL, ESGOTO PREDIAL, DN 50 MM, JUNTA ELÁSTICA, FORNECIDO E INSTALADO EM RAMAL DE DESCARGA OU RAMAL DE ESGOTO ANITÁRIO. AF_12/2014</t>
  </si>
  <si>
    <t>JOELHO 45 GRAUS, PVC, SERIE NORMAL, ESGOTO PREDIAL, DN 50 MM, JUNTA EÁSTICA, FORNECIDO E INSTALADO EM RAMAL DE DESCARGA OU RAMAL DE ESGOTO SANITÁRIO. AF_12/2014</t>
  </si>
  <si>
    <t>15.2.5</t>
  </si>
  <si>
    <t>15.2.9</t>
  </si>
  <si>
    <t>15.2.10</t>
  </si>
  <si>
    <t>15.2.11</t>
  </si>
  <si>
    <t>15.2.12</t>
  </si>
  <si>
    <t>15.2.13</t>
  </si>
  <si>
    <t>15.2.14</t>
  </si>
  <si>
    <t>15.2.15</t>
  </si>
  <si>
    <t>15.2.18</t>
  </si>
  <si>
    <t>15.2.19</t>
  </si>
  <si>
    <t>SIFÃO DO TIPO GARRAFA/COPO EM PVC 1.1/4 X 1.1/2 - FORNECIMENTO E INS TALAÇÃO. AF_01/2020</t>
  </si>
  <si>
    <t>15.2.20</t>
  </si>
  <si>
    <t>15.2.21</t>
  </si>
  <si>
    <t>VÁLVULA EM PLÁSTICO CROMADO TIPO AMERICANA 3.1/2 X 1.1/2 SEM ADAPTAOR PARA PIA - FORNECIMENTO E INSTALAÇÃO. AF_01/202</t>
  </si>
  <si>
    <t>13.74</t>
  </si>
  <si>
    <t>13.75</t>
  </si>
  <si>
    <t>13.76</t>
  </si>
  <si>
    <t>RASGO EM ALVENARIA PARA ELETRODUTOS COM DIAMETROS MENORES OU IGUAIS A 40 MM. AF_05/2015 (AR CONDICIONADO)</t>
  </si>
  <si>
    <t>13.77</t>
  </si>
  <si>
    <t>13.78</t>
  </si>
  <si>
    <t>TUBO, PVC, SOLDÁVEL, DN 25MM, INSTALADO EM PRUMADA DE ÁGUA - FORNECIMENTO E INSTALAÇÃO. AF_12/2014 (AR CONDICIONADO0</t>
  </si>
  <si>
    <t>CURVA 90 GRAUS, PVC, SOLDÁVEL, DN 25MM, INSTALADO EM PRUMADA DE ÁGUA (AR CONDICIONADO)</t>
  </si>
  <si>
    <t>CURVA 45 GRAUS, PVC, SOLDÁVEL, DN 25MM, INSTALADO EM PRUMADA DE ÁGUA FORNECIMENTO E INSTALAÇÃO. AF_12/2014 (AR CONDICIONADO)</t>
  </si>
  <si>
    <t>CONCRETO FCK = 25MPA, TRAÇO 1:2,3:2,7 (CIMENTO/ AREIA MÉDIA/ BRITA 1)PREPARO MECÂNICO COM BETONEIRA 600 L. AF_07/2016 (BASE AR CONDICIONADO)</t>
  </si>
  <si>
    <t>Importa o presente orçamento em R$ 588.612,01   (quinhentos e oitenta e oito mil, seiscentos e doze reais, um centavo)</t>
  </si>
  <si>
    <t>12.8</t>
  </si>
  <si>
    <t>17.1.7</t>
  </si>
  <si>
    <t>17.1.8</t>
  </si>
  <si>
    <t>Obra: REFORMA  DA  60ª CIRETRAN BRASNORTE</t>
  </si>
  <si>
    <t>REFORMA 60ª CIRETRAN - BRASNORTE-MT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</si>
</sst>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#,##0.00&quot; &quot;;&quot; (&quot;#,##0.00&quot;)&quot;;&quot; -&quot;#&quot; &quot;;&quot; &quot;@&quot; &quot;"/>
    <numFmt numFmtId="165" formatCode="&quot; R$ &quot;#,##0.00&quot; &quot;;&quot;-R$ &quot;#,##0.00&quot; &quot;;&quot; R$ -&quot;#&quot; &quot;;&quot; &quot;@&quot; &quot;"/>
    <numFmt numFmtId="166" formatCode="&quot;R$ &quot;#,##0.00&quot; &quot;;[Red]&quot;(R$ &quot;#,##0.00&quot;)&quot;"/>
    <numFmt numFmtId="167" formatCode="&quot; &quot;#,##0.00&quot; &quot;;&quot; (&quot;#,##0.00&quot;)&quot;;&quot; -&quot;00&quot; &quot;;&quot; &quot;@&quot; &quot;"/>
    <numFmt numFmtId="168" formatCode="&quot; &quot;#,##0.00&quot; &quot;;&quot;-&quot;#,##0.00&quot; &quot;;&quot; -&quot;00&quot; &quot;;&quot; &quot;@&quot; &quot;"/>
    <numFmt numFmtId="169" formatCode="0.0000"/>
  </numFmts>
  <fonts count="38">
    <font>
      <sz val="11"/>
      <color rgb="FF000000"/>
      <name val="Arial1"/>
    </font>
    <font>
      <b/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"/>
      <family val="2"/>
    </font>
    <font>
      <b/>
      <i/>
      <u/>
      <sz val="10"/>
      <color rgb="FF000000"/>
      <name val="Arial1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8"/>
      <color rgb="FFFF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1"/>
    </font>
    <font>
      <b/>
      <sz val="11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FF"/>
      <name val="Arial"/>
      <family val="2"/>
    </font>
    <font>
      <b/>
      <sz val="11"/>
      <color rgb="FF000000"/>
      <name val="Arial1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00B0F0"/>
      </patternFill>
    </fill>
  </fills>
  <borders count="9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5" fillId="0" borderId="0" applyNumberFormat="0" applyBorder="0" applyProtection="0"/>
    <xf numFmtId="0" fontId="6" fillId="3" borderId="0" applyNumberFormat="0" applyBorder="0" applyProtection="0"/>
    <xf numFmtId="0" fontId="6" fillId="4" borderId="0" applyNumberFormat="0" applyBorder="0" applyProtection="0"/>
    <xf numFmtId="0" fontId="5" fillId="5" borderId="0" applyNumberFormat="0" applyBorder="0" applyProtection="0"/>
    <xf numFmtId="0" fontId="7" fillId="6" borderId="0" applyNumberFormat="0" applyBorder="0" applyProtection="0"/>
    <xf numFmtId="0" fontId="8" fillId="7" borderId="0" applyNumberFormat="0" applyBorder="0" applyProtection="0"/>
    <xf numFmtId="164" fontId="4" fillId="0" borderId="0" applyFont="0" applyBorder="0" applyProtection="0"/>
    <xf numFmtId="0" fontId="9" fillId="0" borderId="0" applyNumberFormat="0" applyBorder="0" applyProtection="0"/>
    <xf numFmtId="0" fontId="10" fillId="8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165" fontId="4" fillId="0" borderId="0" applyFont="0" applyBorder="0" applyProtection="0"/>
    <xf numFmtId="0" fontId="15" fillId="9" borderId="0" applyNumberFormat="0" applyBorder="0" applyProtection="0"/>
    <xf numFmtId="0" fontId="16" fillId="9" borderId="6" applyNumberFormat="0" applyProtection="0"/>
    <xf numFmtId="9" fontId="4" fillId="0" borderId="0" applyFont="0" applyFill="0" applyBorder="0" applyAlignment="0" applyProtection="0"/>
    <xf numFmtId="9" fontId="17" fillId="0" borderId="0" applyFill="0" applyBorder="0" applyAlignment="0" applyProtection="0"/>
    <xf numFmtId="9" fontId="17" fillId="0" borderId="0" applyFill="0" applyBorder="0" applyAlignment="0" applyProtection="0"/>
    <xf numFmtId="0" fontId="18" fillId="0" borderId="0" applyNumberFormat="0" applyBorder="0" applyProtection="0"/>
    <xf numFmtId="164" fontId="4" fillId="0" borderId="0" applyFont="0" applyBorder="0" applyProtection="0"/>
    <xf numFmtId="164" fontId="17" fillId="0" borderId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168" fontId="4" fillId="0" borderId="0" applyFont="0" applyFill="0" applyBorder="0" applyAlignment="0" applyProtection="0"/>
    <xf numFmtId="167" fontId="17" fillId="0" borderId="0" applyFill="0" applyBorder="0" applyAlignment="0" applyProtection="0"/>
    <xf numFmtId="0" fontId="7" fillId="0" borderId="0" applyNumberFormat="0" applyBorder="0" applyProtection="0"/>
  </cellStyleXfs>
  <cellXfs count="681">
    <xf numFmtId="0" fontId="0" fillId="0" borderId="0" xfId="0"/>
    <xf numFmtId="0" fontId="0" fillId="0" borderId="0" xfId="0" applyAlignment="1">
      <alignment vertical="center"/>
    </xf>
    <xf numFmtId="4" fontId="19" fillId="0" borderId="0" xfId="0" applyNumberFormat="1" applyFont="1" applyAlignment="1">
      <alignment vertical="center"/>
    </xf>
    <xf numFmtId="4" fontId="19" fillId="0" borderId="0" xfId="0" applyNumberFormat="1" applyFont="1" applyAlignment="1">
      <alignment wrapText="1"/>
    </xf>
    <xf numFmtId="4" fontId="17" fillId="0" borderId="0" xfId="0" applyNumberFormat="1" applyFont="1" applyAlignment="1">
      <alignment vertical="center"/>
    </xf>
    <xf numFmtId="4" fontId="17" fillId="0" borderId="0" xfId="0" applyNumberFormat="1" applyFont="1" applyAlignment="1"/>
    <xf numFmtId="4" fontId="17" fillId="10" borderId="0" xfId="0" applyNumberFormat="1" applyFont="1" applyFill="1" applyAlignment="1"/>
    <xf numFmtId="4" fontId="17" fillId="0" borderId="0" xfId="0" applyNumberFormat="1" applyFont="1"/>
    <xf numFmtId="2" fontId="17" fillId="0" borderId="0" xfId="0" applyNumberFormat="1" applyFont="1"/>
    <xf numFmtId="4" fontId="0" fillId="0" borderId="0" xfId="0" applyNumberFormat="1"/>
    <xf numFmtId="0" fontId="19" fillId="11" borderId="7" xfId="0" applyFont="1" applyFill="1" applyBorder="1" applyAlignment="1">
      <alignment wrapText="1"/>
    </xf>
    <xf numFmtId="4" fontId="20" fillId="0" borderId="0" xfId="0" applyNumberFormat="1" applyFont="1" applyAlignment="1">
      <alignment horizontal="left"/>
    </xf>
    <xf numFmtId="4" fontId="21" fillId="0" borderId="0" xfId="0" applyNumberFormat="1" applyFont="1" applyAlignment="1">
      <alignment horizontal="center"/>
    </xf>
    <xf numFmtId="4" fontId="21" fillId="10" borderId="0" xfId="0" applyNumberFormat="1" applyFont="1" applyFill="1" applyAlignment="1">
      <alignment horizontal="center"/>
    </xf>
    <xf numFmtId="4" fontId="19" fillId="0" borderId="0" xfId="0" applyNumberFormat="1" applyFont="1" applyAlignment="1">
      <alignment horizontal="center" vertical="center"/>
    </xf>
    <xf numFmtId="4" fontId="19" fillId="0" borderId="0" xfId="0" applyNumberFormat="1" applyFont="1" applyAlignment="1">
      <alignment horizontal="center" wrapText="1"/>
    </xf>
    <xf numFmtId="4" fontId="17" fillId="0" borderId="0" xfId="0" applyNumberFormat="1" applyFont="1" applyAlignment="1">
      <alignment horizontal="center" vertical="center"/>
    </xf>
    <xf numFmtId="0" fontId="0" fillId="0" borderId="0" xfId="0" applyFill="1"/>
    <xf numFmtId="4" fontId="17" fillId="0" borderId="0" xfId="0" applyNumberFormat="1" applyFont="1" applyAlignment="1">
      <alignment horizontal="center"/>
    </xf>
    <xf numFmtId="4" fontId="17" fillId="10" borderId="0" xfId="0" applyNumberFormat="1" applyFont="1" applyFill="1" applyAlignment="1">
      <alignment horizontal="center"/>
    </xf>
    <xf numFmtId="4" fontId="21" fillId="12" borderId="8" xfId="0" applyNumberFormat="1" applyFont="1" applyFill="1" applyBorder="1" applyAlignment="1">
      <alignment vertical="center"/>
    </xf>
    <xf numFmtId="4" fontId="21" fillId="12" borderId="9" xfId="0" applyNumberFormat="1" applyFont="1" applyFill="1" applyBorder="1" applyAlignment="1">
      <alignment vertical="center"/>
    </xf>
    <xf numFmtId="4" fontId="21" fillId="12" borderId="9" xfId="0" applyNumberFormat="1" applyFont="1" applyFill="1" applyBorder="1" applyAlignment="1"/>
    <xf numFmtId="4" fontId="21" fillId="12" borderId="10" xfId="0" applyNumberFormat="1" applyFont="1" applyFill="1" applyBorder="1" applyAlignment="1">
      <alignment vertical="center"/>
    </xf>
    <xf numFmtId="4" fontId="21" fillId="0" borderId="0" xfId="0" applyNumberFormat="1" applyFont="1" applyAlignment="1"/>
    <xf numFmtId="4" fontId="21" fillId="10" borderId="7" xfId="0" applyNumberFormat="1" applyFont="1" applyFill="1" applyBorder="1" applyAlignment="1"/>
    <xf numFmtId="4" fontId="21" fillId="0" borderId="0" xfId="0" applyNumberFormat="1" applyFont="1"/>
    <xf numFmtId="0" fontId="21" fillId="0" borderId="0" xfId="0" applyFont="1"/>
    <xf numFmtId="4" fontId="21" fillId="12" borderId="11" xfId="0" applyNumberFormat="1" applyFont="1" applyFill="1" applyBorder="1" applyAlignment="1">
      <alignment horizontal="right"/>
    </xf>
    <xf numFmtId="4" fontId="21" fillId="12" borderId="12" xfId="0" applyNumberFormat="1" applyFont="1" applyFill="1" applyBorder="1" applyAlignment="1">
      <alignment vertical="center"/>
    </xf>
    <xf numFmtId="4" fontId="21" fillId="12" borderId="12" xfId="0" applyNumberFormat="1" applyFont="1" applyFill="1" applyBorder="1" applyAlignment="1"/>
    <xf numFmtId="4" fontId="21" fillId="12" borderId="13" xfId="0" applyNumberFormat="1" applyFont="1" applyFill="1" applyBorder="1" applyAlignment="1">
      <alignment vertical="center"/>
    </xf>
    <xf numFmtId="1" fontId="19" fillId="10" borderId="7" xfId="0" applyNumberFormat="1" applyFont="1" applyFill="1" applyBorder="1" applyAlignment="1">
      <alignment horizontal="right"/>
    </xf>
    <xf numFmtId="4" fontId="19" fillId="10" borderId="15" xfId="0" applyNumberFormat="1" applyFont="1" applyFill="1" applyBorder="1" applyAlignment="1">
      <alignment wrapText="1"/>
    </xf>
    <xf numFmtId="4" fontId="17" fillId="10" borderId="15" xfId="0" applyNumberFormat="1" applyFont="1" applyFill="1" applyBorder="1" applyAlignment="1">
      <alignment horizontal="right"/>
    </xf>
    <xf numFmtId="164" fontId="17" fillId="10" borderId="7" xfId="7" applyFont="1" applyFill="1" applyBorder="1" applyAlignment="1"/>
    <xf numFmtId="4" fontId="17" fillId="10" borderId="16" xfId="0" applyNumberFormat="1" applyFont="1" applyFill="1" applyBorder="1" applyAlignment="1">
      <alignment horizontal="right"/>
    </xf>
    <xf numFmtId="164" fontId="17" fillId="0" borderId="17" xfId="7" applyFont="1" applyFill="1" applyBorder="1" applyAlignment="1">
      <alignment vertical="top"/>
    </xf>
    <xf numFmtId="164" fontId="17" fillId="10" borderId="7" xfId="7" applyFont="1" applyFill="1" applyBorder="1" applyAlignment="1">
      <alignment vertical="top"/>
    </xf>
    <xf numFmtId="4" fontId="21" fillId="0" borderId="0" xfId="0" applyNumberFormat="1" applyFont="1" applyFill="1" applyAlignment="1"/>
    <xf numFmtId="4" fontId="17" fillId="0" borderId="0" xfId="0" applyNumberFormat="1" applyFont="1" applyFill="1"/>
    <xf numFmtId="2" fontId="17" fillId="0" borderId="0" xfId="0" applyNumberFormat="1" applyFont="1" applyFill="1"/>
    <xf numFmtId="4" fontId="21" fillId="0" borderId="0" xfId="0" applyNumberFormat="1" applyFont="1" applyFill="1"/>
    <xf numFmtId="0" fontId="21" fillId="0" borderId="0" xfId="0" applyFont="1" applyFill="1"/>
    <xf numFmtId="4" fontId="19" fillId="10" borderId="7" xfId="0" applyNumberFormat="1" applyFont="1" applyFill="1" applyBorder="1" applyAlignment="1">
      <alignment wrapText="1"/>
    </xf>
    <xf numFmtId="4" fontId="17" fillId="10" borderId="7" xfId="0" applyNumberFormat="1" applyFont="1" applyFill="1" applyBorder="1" applyAlignment="1">
      <alignment horizontal="right"/>
    </xf>
    <xf numFmtId="4" fontId="17" fillId="0" borderId="0" xfId="0" applyNumberFormat="1" applyFont="1" applyFill="1" applyAlignment="1"/>
    <xf numFmtId="4" fontId="17" fillId="10" borderId="7" xfId="0" applyNumberFormat="1" applyFont="1" applyFill="1" applyBorder="1" applyAlignment="1"/>
    <xf numFmtId="4" fontId="19" fillId="10" borderId="18" xfId="0" applyNumberFormat="1" applyFont="1" applyFill="1" applyBorder="1" applyAlignment="1">
      <alignment wrapText="1"/>
    </xf>
    <xf numFmtId="4" fontId="17" fillId="10" borderId="18" xfId="0" applyNumberFormat="1" applyFont="1" applyFill="1" applyBorder="1" applyAlignment="1">
      <alignment horizontal="right"/>
    </xf>
    <xf numFmtId="4" fontId="17" fillId="10" borderId="19" xfId="0" applyNumberFormat="1" applyFont="1" applyFill="1" applyBorder="1" applyAlignment="1">
      <alignment horizontal="right"/>
    </xf>
    <xf numFmtId="4" fontId="17" fillId="10" borderId="20" xfId="0" applyNumberFormat="1" applyFont="1" applyFill="1" applyBorder="1" applyAlignment="1">
      <alignment horizontal="right"/>
    </xf>
    <xf numFmtId="4" fontId="21" fillId="12" borderId="8" xfId="0" applyNumberFormat="1" applyFont="1" applyFill="1" applyBorder="1" applyAlignment="1">
      <alignment horizontal="right"/>
    </xf>
    <xf numFmtId="4" fontId="21" fillId="12" borderId="9" xfId="0" applyNumberFormat="1" applyFont="1" applyFill="1" applyBorder="1" applyAlignment="1">
      <alignment horizontal="right"/>
    </xf>
    <xf numFmtId="4" fontId="21" fillId="12" borderId="10" xfId="0" applyNumberFormat="1" applyFont="1" applyFill="1" applyBorder="1" applyAlignment="1">
      <alignment horizontal="right"/>
    </xf>
    <xf numFmtId="4" fontId="21" fillId="11" borderId="0" xfId="0" applyNumberFormat="1" applyFont="1" applyFill="1" applyAlignment="1"/>
    <xf numFmtId="4" fontId="21" fillId="0" borderId="21" xfId="0" applyNumberFormat="1" applyFont="1" applyBorder="1" applyAlignment="1">
      <alignment horizontal="right"/>
    </xf>
    <xf numFmtId="4" fontId="22" fillId="0" borderId="19" xfId="0" applyNumberFormat="1" applyFont="1" applyBorder="1" applyAlignment="1">
      <alignment vertical="center"/>
    </xf>
    <xf numFmtId="4" fontId="22" fillId="0" borderId="19" xfId="0" applyNumberFormat="1" applyFont="1" applyBorder="1" applyAlignment="1">
      <alignment wrapText="1"/>
    </xf>
    <xf numFmtId="4" fontId="21" fillId="0" borderId="19" xfId="0" applyNumberFormat="1" applyFont="1" applyBorder="1" applyAlignment="1">
      <alignment vertical="center"/>
    </xf>
    <xf numFmtId="4" fontId="17" fillId="0" borderId="19" xfId="0" applyNumberFormat="1" applyFont="1" applyFill="1" applyBorder="1" applyAlignment="1"/>
    <xf numFmtId="4" fontId="17" fillId="0" borderId="19" xfId="0" applyNumberFormat="1" applyFont="1" applyBorder="1" applyAlignment="1">
      <alignment vertical="center"/>
    </xf>
    <xf numFmtId="4" fontId="21" fillId="0" borderId="20" xfId="0" applyNumberFormat="1" applyFont="1" applyBorder="1" applyAlignment="1">
      <alignment vertical="center"/>
    </xf>
    <xf numFmtId="0" fontId="17" fillId="0" borderId="0" xfId="0" applyFont="1" applyFill="1"/>
    <xf numFmtId="0" fontId="17" fillId="10" borderId="7" xfId="0" applyFont="1" applyFill="1" applyBorder="1" applyAlignment="1">
      <alignment horizontal="right"/>
    </xf>
    <xf numFmtId="0" fontId="23" fillId="0" borderId="0" xfId="0" applyFont="1"/>
    <xf numFmtId="4" fontId="19" fillId="10" borderId="19" xfId="0" applyNumberFormat="1" applyFont="1" applyFill="1" applyBorder="1" applyAlignment="1">
      <alignment wrapText="1"/>
    </xf>
    <xf numFmtId="4" fontId="19" fillId="10" borderId="17" xfId="0" applyNumberFormat="1" applyFont="1" applyFill="1" applyBorder="1" applyAlignment="1">
      <alignment wrapText="1"/>
    </xf>
    <xf numFmtId="4" fontId="17" fillId="10" borderId="17" xfId="0" applyNumberFormat="1" applyFont="1" applyFill="1" applyBorder="1" applyAlignment="1">
      <alignment horizontal="right"/>
    </xf>
    <xf numFmtId="4" fontId="17" fillId="13" borderId="0" xfId="0" applyNumberFormat="1" applyFont="1" applyFill="1" applyAlignment="1"/>
    <xf numFmtId="4" fontId="19" fillId="10" borderId="25" xfId="0" applyNumberFormat="1" applyFont="1" applyFill="1" applyBorder="1" applyAlignment="1">
      <alignment wrapText="1"/>
    </xf>
    <xf numFmtId="0" fontId="19" fillId="10" borderId="7" xfId="0" applyFont="1" applyFill="1" applyBorder="1" applyAlignment="1">
      <alignment wrapText="1"/>
    </xf>
    <xf numFmtId="4" fontId="0" fillId="0" borderId="0" xfId="0" applyNumberFormat="1" applyFill="1"/>
    <xf numFmtId="0" fontId="19" fillId="10" borderId="18" xfId="0" applyFont="1" applyFill="1" applyBorder="1" applyAlignment="1">
      <alignment wrapText="1"/>
    </xf>
    <xf numFmtId="4" fontId="17" fillId="10" borderId="27" xfId="0" applyNumberFormat="1" applyFont="1" applyFill="1" applyBorder="1" applyAlignment="1">
      <alignment horizontal="right"/>
    </xf>
    <xf numFmtId="4" fontId="24" fillId="0" borderId="0" xfId="0" applyNumberFormat="1" applyFont="1" applyAlignment="1"/>
    <xf numFmtId="4" fontId="24" fillId="10" borderId="7" xfId="0" applyNumberFormat="1" applyFont="1" applyFill="1" applyBorder="1" applyAlignment="1"/>
    <xf numFmtId="4" fontId="25" fillId="0" borderId="0" xfId="0" applyNumberFormat="1" applyFont="1"/>
    <xf numFmtId="2" fontId="25" fillId="0" borderId="0" xfId="0" applyNumberFormat="1" applyFont="1"/>
    <xf numFmtId="4" fontId="24" fillId="0" borderId="0" xfId="0" applyNumberFormat="1" applyFont="1"/>
    <xf numFmtId="0" fontId="24" fillId="0" borderId="0" xfId="0" applyFont="1"/>
    <xf numFmtId="4" fontId="22" fillId="0" borderId="19" xfId="0" applyNumberFormat="1" applyFont="1" applyBorder="1" applyAlignment="1">
      <alignment horizontal="right"/>
    </xf>
    <xf numFmtId="4" fontId="17" fillId="0" borderId="20" xfId="0" applyNumberFormat="1" applyFont="1" applyBorder="1" applyAlignment="1">
      <alignment vertical="center"/>
    </xf>
    <xf numFmtId="0" fontId="19" fillId="10" borderId="19" xfId="0" applyFont="1" applyFill="1" applyBorder="1" applyAlignment="1">
      <alignment wrapText="1"/>
    </xf>
    <xf numFmtId="164" fontId="17" fillId="10" borderId="15" xfId="7" applyFont="1" applyFill="1" applyBorder="1" applyAlignment="1"/>
    <xf numFmtId="164" fontId="17" fillId="10" borderId="18" xfId="7" applyFont="1" applyFill="1" applyBorder="1" applyAlignment="1"/>
    <xf numFmtId="4" fontId="21" fillId="0" borderId="21" xfId="0" applyNumberFormat="1" applyFont="1" applyFill="1" applyBorder="1" applyAlignment="1">
      <alignment horizontal="right"/>
    </xf>
    <xf numFmtId="4" fontId="22" fillId="0" borderId="19" xfId="0" applyNumberFormat="1" applyFont="1" applyFill="1" applyBorder="1" applyAlignment="1">
      <alignment horizontal="right"/>
    </xf>
    <xf numFmtId="4" fontId="22" fillId="0" borderId="19" xfId="0" applyNumberFormat="1" applyFont="1" applyFill="1" applyBorder="1" applyAlignment="1">
      <alignment wrapText="1"/>
    </xf>
    <xf numFmtId="4" fontId="21" fillId="0" borderId="19" xfId="0" applyNumberFormat="1" applyFont="1" applyFill="1" applyBorder="1" applyAlignment="1">
      <alignment vertical="center"/>
    </xf>
    <xf numFmtId="4" fontId="17" fillId="0" borderId="20" xfId="0" applyNumberFormat="1" applyFont="1" applyFill="1" applyBorder="1" applyAlignment="1">
      <alignment vertical="center"/>
    </xf>
    <xf numFmtId="0" fontId="19" fillId="10" borderId="15" xfId="0" applyFont="1" applyFill="1" applyBorder="1" applyAlignment="1">
      <alignment wrapText="1"/>
    </xf>
    <xf numFmtId="4" fontId="26" fillId="10" borderId="7" xfId="0" applyNumberFormat="1" applyFont="1" applyFill="1" applyBorder="1" applyAlignment="1"/>
    <xf numFmtId="4" fontId="26" fillId="0" borderId="0" xfId="0" applyNumberFormat="1" applyFont="1" applyFill="1" applyAlignment="1"/>
    <xf numFmtId="0" fontId="19" fillId="10" borderId="7" xfId="0" applyFont="1" applyFill="1" applyBorder="1" applyAlignment="1">
      <alignment horizontal="right" wrapText="1"/>
    </xf>
    <xf numFmtId="4" fontId="17" fillId="10" borderId="0" xfId="0" applyNumberFormat="1" applyFont="1" applyFill="1"/>
    <xf numFmtId="2" fontId="17" fillId="10" borderId="0" xfId="0" applyNumberFormat="1" applyFont="1" applyFill="1"/>
    <xf numFmtId="4" fontId="21" fillId="10" borderId="0" xfId="0" applyNumberFormat="1" applyFont="1" applyFill="1"/>
    <xf numFmtId="4" fontId="0" fillId="10" borderId="0" xfId="0" applyNumberFormat="1" applyFill="1"/>
    <xf numFmtId="0" fontId="21" fillId="10" borderId="0" xfId="0" applyFont="1" applyFill="1"/>
    <xf numFmtId="4" fontId="26" fillId="14" borderId="7" xfId="0" applyNumberFormat="1" applyFont="1" applyFill="1" applyBorder="1" applyAlignment="1"/>
    <xf numFmtId="4" fontId="0" fillId="0" borderId="21" xfId="0" applyNumberFormat="1" applyFill="1" applyBorder="1" applyAlignment="1">
      <alignment horizontal="right"/>
    </xf>
    <xf numFmtId="4" fontId="19" fillId="0" borderId="19" xfId="0" applyNumberFormat="1" applyFont="1" applyFill="1" applyBorder="1" applyAlignment="1">
      <alignment horizontal="right"/>
    </xf>
    <xf numFmtId="4" fontId="19" fillId="0" borderId="19" xfId="0" applyNumberFormat="1" applyFont="1" applyFill="1" applyBorder="1" applyAlignment="1">
      <alignment wrapText="1"/>
    </xf>
    <xf numFmtId="4" fontId="17" fillId="0" borderId="19" xfId="0" applyNumberFormat="1" applyFont="1" applyFill="1" applyBorder="1" applyAlignment="1">
      <alignment vertical="center"/>
    </xf>
    <xf numFmtId="4" fontId="21" fillId="0" borderId="19" xfId="0" applyNumberFormat="1" applyFont="1" applyFill="1" applyBorder="1" applyAlignment="1"/>
    <xf numFmtId="2" fontId="19" fillId="10" borderId="7" xfId="0" applyNumberFormat="1" applyFont="1" applyFill="1" applyBorder="1" applyAlignment="1">
      <alignment horizontal="right"/>
    </xf>
    <xf numFmtId="4" fontId="26" fillId="0" borderId="0" xfId="0" applyNumberFormat="1" applyFont="1" applyFill="1"/>
    <xf numFmtId="0" fontId="19" fillId="10" borderId="17" xfId="0" applyFont="1" applyFill="1" applyBorder="1" applyAlignment="1">
      <alignment wrapText="1"/>
    </xf>
    <xf numFmtId="4" fontId="21" fillId="12" borderId="29" xfId="0" applyNumberFormat="1" applyFont="1" applyFill="1" applyBorder="1" applyAlignment="1">
      <alignment horizontal="right"/>
    </xf>
    <xf numFmtId="4" fontId="21" fillId="12" borderId="30" xfId="0" applyNumberFormat="1" applyFont="1" applyFill="1" applyBorder="1" applyAlignment="1">
      <alignment horizontal="right"/>
    </xf>
    <xf numFmtId="4" fontId="21" fillId="12" borderId="30" xfId="0" applyNumberFormat="1" applyFont="1" applyFill="1" applyBorder="1" applyAlignment="1">
      <alignment vertical="center"/>
    </xf>
    <xf numFmtId="4" fontId="21" fillId="12" borderId="30" xfId="0" applyNumberFormat="1" applyFont="1" applyFill="1" applyBorder="1" applyAlignment="1"/>
    <xf numFmtId="4" fontId="21" fillId="12" borderId="31" xfId="0" applyNumberFormat="1" applyFont="1" applyFill="1" applyBorder="1" applyAlignment="1">
      <alignment vertical="center"/>
    </xf>
    <xf numFmtId="4" fontId="21" fillId="12" borderId="9" xfId="0" applyNumberFormat="1" applyFont="1" applyFill="1" applyBorder="1" applyAlignment="1">
      <alignment horizontal="left"/>
    </xf>
    <xf numFmtId="4" fontId="17" fillId="10" borderId="33" xfId="0" applyNumberFormat="1" applyFont="1" applyFill="1" applyBorder="1" applyAlignment="1">
      <alignment horizontal="right"/>
    </xf>
    <xf numFmtId="4" fontId="26" fillId="10" borderId="18" xfId="0" applyNumberFormat="1" applyFont="1" applyFill="1" applyBorder="1" applyAlignment="1"/>
    <xf numFmtId="0" fontId="19" fillId="10" borderId="24" xfId="0" applyFont="1" applyFill="1" applyBorder="1" applyAlignment="1">
      <alignment wrapText="1"/>
    </xf>
    <xf numFmtId="4" fontId="17" fillId="10" borderId="34" xfId="0" applyNumberFormat="1" applyFont="1" applyFill="1" applyBorder="1" applyAlignment="1">
      <alignment horizontal="right"/>
    </xf>
    <xf numFmtId="4" fontId="26" fillId="10" borderId="15" xfId="0" applyNumberFormat="1" applyFont="1" applyFill="1" applyBorder="1" applyAlignment="1"/>
    <xf numFmtId="4" fontId="17" fillId="10" borderId="23" xfId="0" applyNumberFormat="1" applyFont="1" applyFill="1" applyBorder="1" applyAlignment="1">
      <alignment horizontal="right"/>
    </xf>
    <xf numFmtId="4" fontId="17" fillId="10" borderId="24" xfId="0" applyNumberFormat="1" applyFont="1" applyFill="1" applyBorder="1" applyAlignment="1">
      <alignment horizontal="right"/>
    </xf>
    <xf numFmtId="4" fontId="17" fillId="10" borderId="25" xfId="0" applyNumberFormat="1" applyFont="1" applyFill="1" applyBorder="1" applyAlignment="1">
      <alignment horizontal="right"/>
    </xf>
    <xf numFmtId="4" fontId="26" fillId="10" borderId="0" xfId="0" applyNumberFormat="1" applyFont="1" applyFill="1" applyAlignment="1"/>
    <xf numFmtId="4" fontId="0" fillId="0" borderId="11" xfId="0" applyNumberFormat="1" applyFill="1" applyBorder="1" applyAlignment="1">
      <alignment horizontal="right"/>
    </xf>
    <xf numFmtId="4" fontId="19" fillId="0" borderId="12" xfId="0" applyNumberFormat="1" applyFont="1" applyFill="1" applyBorder="1" applyAlignment="1">
      <alignment horizontal="right"/>
    </xf>
    <xf numFmtId="4" fontId="22" fillId="0" borderId="12" xfId="0" applyNumberFormat="1" applyFont="1" applyFill="1" applyBorder="1" applyAlignment="1">
      <alignment wrapText="1"/>
    </xf>
    <xf numFmtId="4" fontId="17" fillId="0" borderId="12" xfId="0" applyNumberFormat="1" applyFont="1" applyFill="1" applyBorder="1" applyAlignment="1">
      <alignment vertical="center"/>
    </xf>
    <xf numFmtId="4" fontId="21" fillId="0" borderId="12" xfId="0" applyNumberFormat="1" applyFont="1" applyFill="1" applyBorder="1" applyAlignment="1">
      <alignment vertical="center"/>
    </xf>
    <xf numFmtId="4" fontId="21" fillId="0" borderId="12" xfId="0" applyNumberFormat="1" applyFont="1" applyFill="1" applyBorder="1" applyAlignment="1"/>
    <xf numFmtId="4" fontId="17" fillId="0" borderId="12" xfId="0" applyNumberFormat="1" applyFont="1" applyBorder="1" applyAlignment="1">
      <alignment vertical="center"/>
    </xf>
    <xf numFmtId="4" fontId="17" fillId="0" borderId="13" xfId="0" applyNumberFormat="1" applyFont="1" applyFill="1" applyBorder="1" applyAlignment="1">
      <alignment vertical="center"/>
    </xf>
    <xf numFmtId="4" fontId="21" fillId="12" borderId="12" xfId="0" applyNumberFormat="1" applyFont="1" applyFill="1" applyBorder="1" applyAlignment="1">
      <alignment horizontal="right"/>
    </xf>
    <xf numFmtId="4" fontId="24" fillId="0" borderId="21" xfId="0" applyNumberFormat="1" applyFont="1" applyFill="1" applyBorder="1" applyAlignment="1">
      <alignment horizontal="right"/>
    </xf>
    <xf numFmtId="4" fontId="27" fillId="0" borderId="19" xfId="0" applyNumberFormat="1" applyFont="1" applyFill="1" applyBorder="1" applyAlignment="1">
      <alignment horizontal="right"/>
    </xf>
    <xf numFmtId="4" fontId="21" fillId="0" borderId="20" xfId="0" applyNumberFormat="1" applyFont="1" applyFill="1" applyBorder="1" applyAlignment="1">
      <alignment vertical="center"/>
    </xf>
    <xf numFmtId="164" fontId="17" fillId="10" borderId="19" xfId="7" applyFont="1" applyFill="1" applyBorder="1" applyAlignment="1"/>
    <xf numFmtId="4" fontId="19" fillId="10" borderId="23" xfId="0" applyNumberFormat="1" applyFont="1" applyFill="1" applyBorder="1" applyAlignment="1">
      <alignment wrapText="1"/>
    </xf>
    <xf numFmtId="4" fontId="17" fillId="10" borderId="26" xfId="0" applyNumberFormat="1" applyFont="1" applyFill="1" applyBorder="1" applyAlignment="1">
      <alignment horizontal="right"/>
    </xf>
    <xf numFmtId="4" fontId="17" fillId="10" borderId="32" xfId="0" applyNumberFormat="1" applyFont="1" applyFill="1" applyBorder="1" applyAlignment="1">
      <alignment horizontal="right"/>
    </xf>
    <xf numFmtId="4" fontId="21" fillId="10" borderId="17" xfId="0" applyNumberFormat="1" applyFont="1" applyFill="1" applyBorder="1" applyAlignment="1">
      <alignment vertical="center"/>
    </xf>
    <xf numFmtId="4" fontId="21" fillId="10" borderId="7" xfId="0" applyNumberFormat="1" applyFont="1" applyFill="1" applyBorder="1" applyAlignment="1">
      <alignment vertical="center"/>
    </xf>
    <xf numFmtId="4" fontId="25" fillId="0" borderId="0" xfId="0" applyNumberFormat="1" applyFont="1" applyFill="1"/>
    <xf numFmtId="2" fontId="25" fillId="0" borderId="0" xfId="0" applyNumberFormat="1" applyFont="1" applyFill="1"/>
    <xf numFmtId="4" fontId="24" fillId="0" borderId="0" xfId="0" applyNumberFormat="1" applyFont="1" applyFill="1"/>
    <xf numFmtId="0" fontId="24" fillId="0" borderId="0" xfId="0" applyFont="1" applyFill="1"/>
    <xf numFmtId="2" fontId="21" fillId="0" borderId="0" xfId="0" applyNumberFormat="1" applyFont="1"/>
    <xf numFmtId="2" fontId="21" fillId="0" borderId="0" xfId="0" applyNumberFormat="1" applyFont="1" applyFill="1"/>
    <xf numFmtId="4" fontId="21" fillId="0" borderId="19" xfId="0" applyNumberFormat="1" applyFont="1" applyFill="1" applyBorder="1" applyAlignment="1">
      <alignment horizontal="right"/>
    </xf>
    <xf numFmtId="4" fontId="17" fillId="10" borderId="17" xfId="0" applyNumberFormat="1" applyFont="1" applyFill="1" applyBorder="1" applyAlignment="1"/>
    <xf numFmtId="0" fontId="25" fillId="0" borderId="0" xfId="0" applyFont="1" applyFill="1"/>
    <xf numFmtId="4" fontId="17" fillId="0" borderId="19" xfId="0" applyNumberFormat="1" applyFont="1" applyBorder="1" applyAlignment="1">
      <alignment horizontal="right"/>
    </xf>
    <xf numFmtId="4" fontId="17" fillId="0" borderId="0" xfId="0" applyNumberFormat="1" applyFont="1" applyFill="1" applyAlignment="1" applyProtection="1">
      <alignment horizontal="right" vertical="top"/>
    </xf>
    <xf numFmtId="4" fontId="17" fillId="0" borderId="7" xfId="0" applyNumberFormat="1" applyFont="1" applyFill="1" applyBorder="1" applyAlignment="1"/>
    <xf numFmtId="4" fontId="17" fillId="10" borderId="0" xfId="0" applyNumberFormat="1" applyFont="1" applyFill="1" applyAlignment="1" applyProtection="1">
      <alignment horizontal="right" vertical="top"/>
    </xf>
    <xf numFmtId="4" fontId="17" fillId="10" borderId="25" xfId="0" applyNumberFormat="1" applyFont="1" applyFill="1" applyBorder="1" applyAlignment="1">
      <alignment horizontal="center"/>
    </xf>
    <xf numFmtId="0" fontId="19" fillId="10" borderId="0" xfId="0" applyFont="1" applyFill="1" applyAlignment="1">
      <alignment horizontal="right" wrapText="1"/>
    </xf>
    <xf numFmtId="0" fontId="19" fillId="10" borderId="0" xfId="0" applyFont="1" applyFill="1" applyAlignment="1">
      <alignment wrapText="1"/>
    </xf>
    <xf numFmtId="4" fontId="17" fillId="10" borderId="0" xfId="0" applyNumberFormat="1" applyFont="1" applyFill="1" applyAlignment="1">
      <alignment horizontal="right"/>
    </xf>
    <xf numFmtId="4" fontId="24" fillId="0" borderId="0" xfId="0" applyNumberFormat="1" applyFont="1" applyFill="1" applyAlignment="1"/>
    <xf numFmtId="4" fontId="25" fillId="0" borderId="0" xfId="0" applyNumberFormat="1" applyFont="1" applyFill="1" applyAlignment="1" applyProtection="1">
      <alignment horizontal="right" vertical="top"/>
    </xf>
    <xf numFmtId="4" fontId="19" fillId="0" borderId="19" xfId="0" applyNumberFormat="1" applyFont="1" applyFill="1" applyBorder="1"/>
    <xf numFmtId="0" fontId="0" fillId="10" borderId="0" xfId="0" applyFill="1"/>
    <xf numFmtId="4" fontId="17" fillId="10" borderId="17" xfId="0" applyNumberFormat="1" applyFont="1" applyFill="1" applyBorder="1" applyAlignment="1">
      <alignment vertical="center"/>
    </xf>
    <xf numFmtId="4" fontId="17" fillId="0" borderId="17" xfId="0" applyNumberFormat="1" applyFont="1" applyFill="1" applyBorder="1" applyAlignment="1"/>
    <xf numFmtId="4" fontId="19" fillId="0" borderId="19" xfId="0" applyNumberFormat="1" applyFont="1" applyFill="1" applyBorder="1" applyAlignment="1">
      <alignment vertical="center"/>
    </xf>
    <xf numFmtId="4" fontId="28" fillId="0" borderId="0" xfId="0" applyNumberFormat="1" applyFont="1" applyFill="1" applyAlignment="1">
      <alignment horizontal="left" wrapText="1"/>
    </xf>
    <xf numFmtId="0" fontId="0" fillId="0" borderId="0" xfId="0" applyFill="1"/>
    <xf numFmtId="10" fontId="29" fillId="0" borderId="0" xfId="0" applyNumberFormat="1" applyFont="1" applyFill="1"/>
    <xf numFmtId="4" fontId="29" fillId="0" borderId="0" xfId="0" applyNumberFormat="1" applyFont="1"/>
    <xf numFmtId="0" fontId="29" fillId="0" borderId="0" xfId="0" applyFont="1"/>
    <xf numFmtId="10" fontId="0" fillId="0" borderId="0" xfId="0" applyNumberFormat="1"/>
    <xf numFmtId="4" fontId="30" fillId="0" borderId="0" xfId="0" applyNumberFormat="1" applyFont="1" applyAlignment="1">
      <alignment horizontal="left"/>
    </xf>
    <xf numFmtId="10" fontId="30" fillId="0" borderId="0" xfId="0" applyNumberFormat="1" applyFont="1" applyFill="1" applyAlignment="1">
      <alignment horizontal="left"/>
    </xf>
    <xf numFmtId="10" fontId="17" fillId="0" borderId="0" xfId="0" applyNumberFormat="1" applyFont="1" applyFill="1"/>
    <xf numFmtId="4" fontId="17" fillId="0" borderId="0" xfId="0" applyNumberFormat="1" applyFont="1" applyFill="1" applyAlignment="1">
      <alignment horizontal="center"/>
    </xf>
    <xf numFmtId="4" fontId="28" fillId="0" borderId="0" xfId="0" applyNumberFormat="1" applyFont="1" applyAlignment="1">
      <alignment horizontal="center"/>
    </xf>
    <xf numFmtId="10" fontId="28" fillId="0" borderId="0" xfId="0" applyNumberFormat="1" applyFont="1" applyAlignment="1">
      <alignment horizontal="center"/>
    </xf>
    <xf numFmtId="4" fontId="23" fillId="0" borderId="0" xfId="0" applyNumberFormat="1" applyFont="1" applyAlignment="1"/>
    <xf numFmtId="4" fontId="23" fillId="0" borderId="0" xfId="0" applyNumberFormat="1" applyFont="1"/>
    <xf numFmtId="4" fontId="23" fillId="0" borderId="0" xfId="0" applyNumberFormat="1" applyFont="1" applyFill="1"/>
    <xf numFmtId="10" fontId="23" fillId="0" borderId="0" xfId="0" applyNumberFormat="1" applyFont="1" applyFill="1"/>
    <xf numFmtId="0" fontId="0" fillId="0" borderId="38" xfId="0" applyBorder="1"/>
    <xf numFmtId="4" fontId="23" fillId="0" borderId="39" xfId="0" applyNumberFormat="1" applyFont="1" applyBorder="1"/>
    <xf numFmtId="9" fontId="0" fillId="0" borderId="39" xfId="0" applyNumberFormat="1" applyBorder="1"/>
    <xf numFmtId="4" fontId="0" fillId="0" borderId="39" xfId="0" applyNumberFormat="1" applyBorder="1"/>
    <xf numFmtId="0" fontId="0" fillId="0" borderId="39" xfId="0" applyFill="1" applyBorder="1"/>
    <xf numFmtId="10" fontId="17" fillId="0" borderId="39" xfId="0" applyNumberFormat="1" applyFont="1" applyFill="1" applyBorder="1"/>
    <xf numFmtId="4" fontId="17" fillId="0" borderId="39" xfId="0" applyNumberFormat="1" applyFont="1" applyBorder="1"/>
    <xf numFmtId="4" fontId="0" fillId="0" borderId="40" xfId="0" applyNumberFormat="1" applyBorder="1"/>
    <xf numFmtId="0" fontId="0" fillId="0" borderId="35" xfId="0" applyBorder="1"/>
    <xf numFmtId="4" fontId="0" fillId="0" borderId="41" xfId="0" applyNumberFormat="1" applyBorder="1"/>
    <xf numFmtId="4" fontId="29" fillId="0" borderId="35" xfId="0" applyNumberFormat="1" applyFont="1" applyBorder="1"/>
    <xf numFmtId="10" fontId="31" fillId="12" borderId="42" xfId="0" applyNumberFormat="1" applyFont="1" applyFill="1" applyBorder="1"/>
    <xf numFmtId="0" fontId="31" fillId="0" borderId="0" xfId="0" applyFont="1"/>
    <xf numFmtId="10" fontId="31" fillId="0" borderId="0" xfId="0" applyNumberFormat="1" applyFont="1"/>
    <xf numFmtId="10" fontId="31" fillId="12" borderId="43" xfId="0" applyNumberFormat="1" applyFont="1" applyFill="1" applyBorder="1"/>
    <xf numFmtId="9" fontId="31" fillId="12" borderId="44" xfId="0" applyNumberFormat="1" applyFont="1" applyFill="1" applyBorder="1" applyAlignment="1">
      <alignment horizontal="center"/>
    </xf>
    <xf numFmtId="4" fontId="31" fillId="12" borderId="44" xfId="0" applyNumberFormat="1" applyFont="1" applyFill="1" applyBorder="1" applyAlignment="1">
      <alignment horizontal="center"/>
    </xf>
    <xf numFmtId="10" fontId="31" fillId="12" borderId="44" xfId="0" applyNumberFormat="1" applyFont="1" applyFill="1" applyBorder="1" applyAlignment="1">
      <alignment horizontal="center"/>
    </xf>
    <xf numFmtId="4" fontId="31" fillId="12" borderId="43" xfId="0" applyNumberFormat="1" applyFont="1" applyFill="1" applyBorder="1" applyAlignment="1">
      <alignment horizontal="center"/>
    </xf>
    <xf numFmtId="10" fontId="31" fillId="12" borderId="43" xfId="0" applyNumberFormat="1" applyFont="1" applyFill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0" xfId="0" applyFont="1" applyAlignment="1">
      <alignment horizontal="center"/>
    </xf>
    <xf numFmtId="10" fontId="32" fillId="0" borderId="0" xfId="0" applyNumberFormat="1" applyFont="1"/>
    <xf numFmtId="4" fontId="32" fillId="0" borderId="15" xfId="0" applyNumberFormat="1" applyFont="1" applyBorder="1" applyAlignment="1">
      <alignment horizontal="center"/>
    </xf>
    <xf numFmtId="9" fontId="32" fillId="0" borderId="0" xfId="0" applyNumberFormat="1" applyFont="1" applyFill="1"/>
    <xf numFmtId="4" fontId="32" fillId="0" borderId="0" xfId="0" applyNumberFormat="1" applyFont="1"/>
    <xf numFmtId="10" fontId="32" fillId="0" borderId="0" xfId="0" applyNumberFormat="1" applyFont="1" applyFill="1"/>
    <xf numFmtId="4" fontId="32" fillId="0" borderId="16" xfId="0" applyNumberFormat="1" applyFont="1" applyBorder="1"/>
    <xf numFmtId="0" fontId="32" fillId="0" borderId="0" xfId="0" applyFont="1"/>
    <xf numFmtId="0" fontId="17" fillId="0" borderId="0" xfId="0" applyFont="1"/>
    <xf numFmtId="4" fontId="32" fillId="0" borderId="14" xfId="0" applyNumberFormat="1" applyFont="1" applyBorder="1"/>
    <xf numFmtId="4" fontId="32" fillId="0" borderId="7" xfId="0" applyNumberFormat="1" applyFont="1" applyBorder="1"/>
    <xf numFmtId="10" fontId="32" fillId="0" borderId="7" xfId="0" applyNumberFormat="1" applyFont="1" applyBorder="1"/>
    <xf numFmtId="9" fontId="32" fillId="0" borderId="7" xfId="0" applyNumberFormat="1" applyFont="1" applyFill="1" applyBorder="1"/>
    <xf numFmtId="4" fontId="32" fillId="0" borderId="7" xfId="0" applyNumberFormat="1" applyFont="1" applyFill="1" applyBorder="1"/>
    <xf numFmtId="10" fontId="32" fillId="0" borderId="7" xfId="0" applyNumberFormat="1" applyFont="1" applyFill="1" applyBorder="1"/>
    <xf numFmtId="4" fontId="32" fillId="0" borderId="27" xfId="0" applyNumberFormat="1" applyFont="1" applyBorder="1"/>
    <xf numFmtId="9" fontId="32" fillId="4" borderId="7" xfId="0" applyNumberFormat="1" applyFont="1" applyFill="1" applyBorder="1"/>
    <xf numFmtId="4" fontId="32" fillId="4" borderId="7" xfId="0" applyNumberFormat="1" applyFont="1" applyFill="1" applyBorder="1"/>
    <xf numFmtId="10" fontId="32" fillId="4" borderId="7" xfId="0" applyNumberFormat="1" applyFont="1" applyFill="1" applyBorder="1"/>
    <xf numFmtId="0" fontId="32" fillId="0" borderId="14" xfId="0" applyFont="1" applyBorder="1"/>
    <xf numFmtId="4" fontId="32" fillId="10" borderId="7" xfId="0" applyNumberFormat="1" applyFont="1" applyFill="1" applyBorder="1"/>
    <xf numFmtId="9" fontId="32" fillId="10" borderId="7" xfId="0" applyNumberFormat="1" applyFont="1" applyFill="1" applyBorder="1"/>
    <xf numFmtId="10" fontId="32" fillId="10" borderId="7" xfId="0" applyNumberFormat="1" applyFont="1" applyFill="1" applyBorder="1"/>
    <xf numFmtId="4" fontId="31" fillId="4" borderId="7" xfId="0" applyNumberFormat="1" applyFont="1" applyFill="1" applyBorder="1"/>
    <xf numFmtId="9" fontId="31" fillId="4" borderId="7" xfId="0" applyNumberFormat="1" applyFont="1" applyFill="1" applyBorder="1"/>
    <xf numFmtId="0" fontId="32" fillId="0" borderId="14" xfId="0" applyFont="1" applyFill="1" applyBorder="1"/>
    <xf numFmtId="0" fontId="32" fillId="0" borderId="0" xfId="0" applyFont="1" applyFill="1"/>
    <xf numFmtId="4" fontId="32" fillId="0" borderId="7" xfId="0" applyNumberFormat="1" applyFont="1" applyBorder="1" applyAlignment="1">
      <alignment wrapText="1"/>
    </xf>
    <xf numFmtId="10" fontId="32" fillId="12" borderId="44" xfId="0" applyNumberFormat="1" applyFont="1" applyFill="1" applyBorder="1"/>
    <xf numFmtId="4" fontId="32" fillId="12" borderId="44" xfId="0" applyNumberFormat="1" applyFont="1" applyFill="1" applyBorder="1"/>
    <xf numFmtId="4" fontId="32" fillId="12" borderId="45" xfId="0" applyNumberFormat="1" applyFont="1" applyFill="1" applyBorder="1"/>
    <xf numFmtId="10" fontId="0" fillId="0" borderId="0" xfId="0" applyNumberFormat="1" applyFill="1"/>
    <xf numFmtId="9" fontId="0" fillId="0" borderId="0" xfId="0" applyNumberFormat="1" applyFill="1"/>
    <xf numFmtId="9" fontId="0" fillId="0" borderId="0" xfId="0" applyNumberFormat="1"/>
    <xf numFmtId="49" fontId="17" fillId="15" borderId="7" xfId="0" applyNumberFormat="1" applyFont="1" applyFill="1" applyBorder="1" applyAlignment="1">
      <alignment horizontal="center"/>
    </xf>
    <xf numFmtId="0" fontId="17" fillId="10" borderId="17" xfId="0" applyFont="1" applyFill="1" applyBorder="1"/>
    <xf numFmtId="0" fontId="17" fillId="10" borderId="7" xfId="0" applyFont="1" applyFill="1" applyBorder="1"/>
    <xf numFmtId="0" fontId="17" fillId="15" borderId="7" xfId="0" applyFont="1" applyFill="1" applyBorder="1"/>
    <xf numFmtId="0" fontId="17" fillId="10" borderId="0" xfId="0" applyFont="1" applyFill="1"/>
    <xf numFmtId="0" fontId="17" fillId="15" borderId="0" xfId="0" applyFont="1" applyFill="1"/>
    <xf numFmtId="49" fontId="17" fillId="15" borderId="15" xfId="0" applyNumberFormat="1" applyFont="1" applyFill="1" applyBorder="1" applyAlignment="1">
      <alignment horizontal="center"/>
    </xf>
    <xf numFmtId="0" fontId="17" fillId="10" borderId="0" xfId="0" applyFont="1" applyFill="1" applyAlignment="1">
      <alignment vertical="top"/>
    </xf>
    <xf numFmtId="0" fontId="28" fillId="10" borderId="7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left" vertical="center" wrapText="1"/>
    </xf>
    <xf numFmtId="0" fontId="28" fillId="10" borderId="7" xfId="0" applyFont="1" applyFill="1" applyBorder="1" applyAlignment="1">
      <alignment vertical="center" wrapText="1"/>
    </xf>
    <xf numFmtId="164" fontId="28" fillId="10" borderId="7" xfId="22" applyFont="1" applyFill="1" applyBorder="1" applyAlignment="1">
      <alignment horizontal="center" vertical="center" wrapText="1"/>
    </xf>
    <xf numFmtId="165" fontId="28" fillId="10" borderId="7" xfId="14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horizontal="center" vertical="center" wrapText="1"/>
    </xf>
    <xf numFmtId="0" fontId="23" fillId="10" borderId="7" xfId="0" applyFont="1" applyFill="1" applyBorder="1" applyAlignment="1">
      <alignment vertical="center" wrapText="1"/>
    </xf>
    <xf numFmtId="0" fontId="23" fillId="10" borderId="7" xfId="0" applyFont="1" applyFill="1" applyBorder="1" applyAlignment="1">
      <alignment horizontal="right" vertical="center" wrapText="1"/>
    </xf>
    <xf numFmtId="165" fontId="23" fillId="10" borderId="7" xfId="14" applyFont="1" applyFill="1" applyBorder="1" applyAlignment="1">
      <alignment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vertical="center" wrapText="1"/>
    </xf>
    <xf numFmtId="0" fontId="23" fillId="10" borderId="18" xfId="0" applyFont="1" applyFill="1" applyBorder="1" applyAlignment="1">
      <alignment horizontal="right" vertical="center" wrapText="1"/>
    </xf>
    <xf numFmtId="165" fontId="23" fillId="10" borderId="18" xfId="14" applyFont="1" applyFill="1" applyBorder="1" applyAlignment="1">
      <alignment vertical="center" wrapText="1"/>
    </xf>
    <xf numFmtId="166" fontId="20" fillId="0" borderId="18" xfId="0" applyNumberFormat="1" applyFont="1" applyFill="1" applyBorder="1" applyAlignment="1">
      <alignment horizontal="left" wrapText="1"/>
    </xf>
    <xf numFmtId="0" fontId="17" fillId="10" borderId="7" xfId="0" applyFont="1" applyFill="1" applyBorder="1" applyAlignment="1">
      <alignment horizontal="center" vertical="top"/>
    </xf>
    <xf numFmtId="164" fontId="17" fillId="10" borderId="7" xfId="21" applyFont="1" applyFill="1" applyBorder="1" applyAlignment="1">
      <alignment vertical="top"/>
    </xf>
    <xf numFmtId="49" fontId="21" fillId="15" borderId="15" xfId="0" applyNumberFormat="1" applyFont="1" applyFill="1" applyBorder="1" applyAlignment="1">
      <alignment horizontal="center" vertical="center"/>
    </xf>
    <xf numFmtId="0" fontId="21" fillId="15" borderId="15" xfId="0" applyFont="1" applyFill="1" applyBorder="1" applyAlignment="1">
      <alignment horizontal="center" vertical="center"/>
    </xf>
    <xf numFmtId="164" fontId="21" fillId="15" borderId="15" xfId="7" applyFont="1" applyFill="1" applyBorder="1" applyAlignment="1">
      <alignment horizontal="center" vertical="center"/>
    </xf>
    <xf numFmtId="49" fontId="21" fillId="10" borderId="7" xfId="0" applyNumberFormat="1" applyFont="1" applyFill="1" applyBorder="1" applyAlignment="1">
      <alignment horizontal="right"/>
    </xf>
    <xf numFmtId="0" fontId="30" fillId="10" borderId="7" xfId="0" applyFont="1" applyFill="1" applyBorder="1" applyAlignment="1">
      <alignment wrapText="1"/>
    </xf>
    <xf numFmtId="0" fontId="17" fillId="10" borderId="15" xfId="0" applyFont="1" applyFill="1" applyBorder="1" applyAlignment="1">
      <alignment horizontal="center" vertical="top"/>
    </xf>
    <xf numFmtId="2" fontId="17" fillId="10" borderId="15" xfId="21" applyNumberFormat="1" applyFont="1" applyFill="1" applyBorder="1" applyAlignment="1">
      <alignment horizontal="center" vertical="top"/>
    </xf>
    <xf numFmtId="164" fontId="17" fillId="10" borderId="15" xfId="21" applyFont="1" applyFill="1" applyBorder="1" applyAlignment="1">
      <alignment vertical="top"/>
    </xf>
    <xf numFmtId="0" fontId="21" fillId="10" borderId="15" xfId="0" applyFont="1" applyFill="1" applyBorder="1" applyAlignment="1">
      <alignment horizontal="right"/>
    </xf>
    <xf numFmtId="49" fontId="17" fillId="10" borderId="7" xfId="0" applyNumberFormat="1" applyFont="1" applyFill="1" applyBorder="1"/>
    <xf numFmtId="0" fontId="21" fillId="10" borderId="7" xfId="0" applyFont="1" applyFill="1" applyBorder="1" applyAlignment="1">
      <alignment horizontal="left" vertical="center"/>
    </xf>
    <xf numFmtId="2" fontId="17" fillId="10" borderId="7" xfId="21" applyNumberFormat="1" applyFont="1" applyFill="1" applyBorder="1" applyAlignment="1">
      <alignment horizontal="center" vertical="top"/>
    </xf>
    <xf numFmtId="0" fontId="21" fillId="10" borderId="7" xfId="0" applyFont="1" applyFill="1" applyBorder="1" applyAlignment="1">
      <alignment horizontal="right"/>
    </xf>
    <xf numFmtId="164" fontId="17" fillId="10" borderId="7" xfId="0" applyNumberFormat="1" applyFont="1" applyFill="1" applyBorder="1" applyAlignment="1">
      <alignment horizontal="right"/>
    </xf>
    <xf numFmtId="0" fontId="20" fillId="10" borderId="7" xfId="0" applyFont="1" applyFill="1" applyBorder="1" applyAlignment="1">
      <alignment wrapText="1"/>
    </xf>
    <xf numFmtId="164" fontId="21" fillId="10" borderId="7" xfId="21" applyFont="1" applyFill="1" applyBorder="1" applyAlignment="1">
      <alignment vertical="top"/>
    </xf>
    <xf numFmtId="2" fontId="17" fillId="10" borderId="7" xfId="21" applyNumberFormat="1" applyFont="1" applyFill="1" applyBorder="1" applyAlignment="1">
      <alignment horizontal="right"/>
    </xf>
    <xf numFmtId="164" fontId="17" fillId="10" borderId="7" xfId="21" applyFont="1" applyFill="1" applyBorder="1" applyAlignment="1">
      <alignment horizontal="right"/>
    </xf>
    <xf numFmtId="164" fontId="21" fillId="10" borderId="7" xfId="0" applyNumberFormat="1" applyFont="1" applyFill="1" applyBorder="1" applyAlignment="1">
      <alignment horizontal="right"/>
    </xf>
    <xf numFmtId="0" fontId="17" fillId="10" borderId="7" xfId="0" applyFont="1" applyFill="1" applyBorder="1" applyAlignment="1">
      <alignment horizontal="center"/>
    </xf>
    <xf numFmtId="164" fontId="17" fillId="10" borderId="7" xfId="7" applyFont="1" applyFill="1" applyBorder="1" applyAlignment="1">
      <alignment horizontal="center"/>
    </xf>
    <xf numFmtId="0" fontId="17" fillId="15" borderId="18" xfId="0" applyFont="1" applyFill="1" applyBorder="1"/>
    <xf numFmtId="0" fontId="30" fillId="0" borderId="7" xfId="0" applyFont="1" applyBorder="1" applyAlignment="1">
      <alignment wrapText="1"/>
    </xf>
    <xf numFmtId="0" fontId="21" fillId="0" borderId="7" xfId="0" applyFont="1" applyBorder="1"/>
    <xf numFmtId="0" fontId="0" fillId="0" borderId="7" xfId="0" applyBorder="1"/>
    <xf numFmtId="0" fontId="17" fillId="0" borderId="7" xfId="0" applyFont="1" applyBorder="1"/>
    <xf numFmtId="2" fontId="0" fillId="0" borderId="7" xfId="0" applyNumberFormat="1" applyBorder="1"/>
    <xf numFmtId="0" fontId="17" fillId="10" borderId="18" xfId="0" applyFont="1" applyFill="1" applyBorder="1"/>
    <xf numFmtId="0" fontId="0" fillId="0" borderId="18" xfId="0" applyBorder="1"/>
    <xf numFmtId="49" fontId="30" fillId="10" borderId="7" xfId="0" applyNumberFormat="1" applyFont="1" applyFill="1" applyBorder="1" applyAlignment="1">
      <alignment horizontal="center" vertical="top"/>
    </xf>
    <xf numFmtId="0" fontId="17" fillId="10" borderId="7" xfId="0" applyFont="1" applyFill="1" applyBorder="1" applyAlignment="1"/>
    <xf numFmtId="49" fontId="20" fillId="10" borderId="7" xfId="0" applyNumberFormat="1" applyFont="1" applyFill="1" applyBorder="1" applyAlignment="1">
      <alignment horizontal="center" vertical="top"/>
    </xf>
    <xf numFmtId="2" fontId="17" fillId="10" borderId="7" xfId="0" applyNumberFormat="1" applyFont="1" applyFill="1" applyBorder="1" applyAlignment="1"/>
    <xf numFmtId="4" fontId="17" fillId="10" borderId="0" xfId="0" applyNumberFormat="1" applyFont="1" applyFill="1" applyAlignment="1">
      <alignment vertical="top"/>
    </xf>
    <xf numFmtId="0" fontId="17" fillId="15" borderId="11" xfId="0" applyFont="1" applyFill="1" applyBorder="1" applyAlignment="1"/>
    <xf numFmtId="0" fontId="17" fillId="15" borderId="12" xfId="0" applyFont="1" applyFill="1" applyBorder="1" applyAlignment="1"/>
    <xf numFmtId="0" fontId="17" fillId="15" borderId="13" xfId="0" applyFont="1" applyFill="1" applyBorder="1" applyAlignment="1"/>
    <xf numFmtId="49" fontId="17" fillId="0" borderId="7" xfId="0" applyNumberFormat="1" applyFont="1" applyBorder="1"/>
    <xf numFmtId="0" fontId="21" fillId="10" borderId="7" xfId="0" applyFont="1" applyFill="1" applyBorder="1" applyAlignment="1">
      <alignment wrapText="1"/>
    </xf>
    <xf numFmtId="2" fontId="17" fillId="10" borderId="7" xfId="0" applyNumberFormat="1" applyFont="1" applyFill="1" applyBorder="1"/>
    <xf numFmtId="4" fontId="17" fillId="10" borderId="7" xfId="0" applyNumberFormat="1" applyFont="1" applyFill="1" applyBorder="1"/>
    <xf numFmtId="0" fontId="21" fillId="10" borderId="7" xfId="0" applyFont="1" applyFill="1" applyBorder="1"/>
    <xf numFmtId="4" fontId="21" fillId="10" borderId="7" xfId="0" applyNumberFormat="1" applyFont="1" applyFill="1" applyBorder="1"/>
    <xf numFmtId="0" fontId="17" fillId="0" borderId="7" xfId="0" applyFont="1" applyBorder="1" applyAlignment="1">
      <alignment horizontal="center"/>
    </xf>
    <xf numFmtId="164" fontId="17" fillId="0" borderId="7" xfId="7" applyFont="1" applyFill="1" applyBorder="1" applyAlignment="1">
      <alignment horizontal="center"/>
    </xf>
    <xf numFmtId="164" fontId="17" fillId="0" borderId="7" xfId="7" applyFont="1" applyFill="1" applyBorder="1" applyAlignment="1"/>
    <xf numFmtId="0" fontId="17" fillId="0" borderId="0" xfId="0" applyFont="1" applyAlignment="1">
      <alignment vertical="top"/>
    </xf>
    <xf numFmtId="49" fontId="30" fillId="0" borderId="7" xfId="0" applyNumberFormat="1" applyFont="1" applyBorder="1" applyAlignment="1">
      <alignment horizontal="center" vertical="top"/>
    </xf>
    <xf numFmtId="0" fontId="17" fillId="0" borderId="7" xfId="0" applyFont="1" applyFill="1" applyBorder="1" applyAlignment="1"/>
    <xf numFmtId="164" fontId="17" fillId="0" borderId="7" xfId="0" applyNumberFormat="1" applyFont="1" applyFill="1" applyBorder="1" applyAlignment="1">
      <alignment horizontal="right"/>
    </xf>
    <xf numFmtId="49" fontId="20" fillId="0" borderId="7" xfId="0" applyNumberFormat="1" applyFont="1" applyFill="1" applyBorder="1" applyAlignment="1">
      <alignment horizontal="center" vertical="top"/>
    </xf>
    <xf numFmtId="0" fontId="20" fillId="0" borderId="7" xfId="0" applyFont="1" applyBorder="1" applyAlignment="1">
      <alignment wrapText="1"/>
    </xf>
    <xf numFmtId="2" fontId="17" fillId="0" borderId="7" xfId="0" applyNumberFormat="1" applyFont="1" applyFill="1" applyBorder="1" applyAlignment="1"/>
    <xf numFmtId="164" fontId="21" fillId="0" borderId="7" xfId="0" applyNumberFormat="1" applyFont="1" applyFill="1" applyBorder="1" applyAlignment="1">
      <alignment horizontal="right"/>
    </xf>
    <xf numFmtId="49" fontId="20" fillId="0" borderId="7" xfId="0" applyNumberFormat="1" applyFont="1" applyBorder="1" applyAlignment="1">
      <alignment horizontal="center" vertical="top"/>
    </xf>
    <xf numFmtId="164" fontId="17" fillId="0" borderId="0" xfId="0" applyNumberFormat="1" applyFont="1" applyAlignment="1">
      <alignment vertical="top"/>
    </xf>
    <xf numFmtId="0" fontId="17" fillId="0" borderId="7" xfId="0" applyFont="1" applyBorder="1" applyAlignment="1">
      <alignment vertical="top"/>
    </xf>
    <xf numFmtId="49" fontId="30" fillId="15" borderId="7" xfId="0" applyNumberFormat="1" applyFont="1" applyFill="1" applyBorder="1" applyAlignment="1">
      <alignment horizontal="center" vertical="top"/>
    </xf>
    <xf numFmtId="0" fontId="30" fillId="15" borderId="7" xfId="0" applyFont="1" applyFill="1" applyBorder="1" applyAlignment="1">
      <alignment wrapText="1"/>
    </xf>
    <xf numFmtId="0" fontId="21" fillId="15" borderId="7" xfId="0" applyFont="1" applyFill="1" applyBorder="1" applyAlignment="1"/>
    <xf numFmtId="164" fontId="21" fillId="15" borderId="7" xfId="0" applyNumberFormat="1" applyFont="1" applyFill="1" applyBorder="1" applyAlignment="1">
      <alignment horizontal="right"/>
    </xf>
    <xf numFmtId="0" fontId="17" fillId="10" borderId="17" xfId="0" applyFont="1" applyFill="1" applyBorder="1" applyAlignment="1">
      <alignment vertical="top"/>
    </xf>
    <xf numFmtId="0" fontId="17" fillId="10" borderId="7" xfId="0" applyFont="1" applyFill="1" applyBorder="1" applyAlignment="1">
      <alignment vertical="top"/>
    </xf>
    <xf numFmtId="0" fontId="17" fillId="15" borderId="7" xfId="0" applyFont="1" applyFill="1" applyBorder="1" applyAlignment="1">
      <alignment vertical="top"/>
    </xf>
    <xf numFmtId="0" fontId="21" fillId="10" borderId="7" xfId="0" applyFont="1" applyFill="1" applyBorder="1" applyAlignment="1"/>
    <xf numFmtId="0" fontId="17" fillId="0" borderId="7" xfId="0" applyFont="1" applyFill="1" applyBorder="1" applyAlignment="1">
      <alignment vertical="top"/>
    </xf>
    <xf numFmtId="1" fontId="22" fillId="10" borderId="7" xfId="0" applyNumberFormat="1" applyFont="1" applyFill="1" applyBorder="1" applyAlignment="1">
      <alignment horizontal="right"/>
    </xf>
    <xf numFmtId="0" fontId="21" fillId="0" borderId="7" xfId="0" applyFont="1" applyBorder="1" applyAlignment="1">
      <alignment wrapText="1"/>
    </xf>
    <xf numFmtId="0" fontId="17" fillId="15" borderId="14" xfId="0" applyFont="1" applyFill="1" applyBorder="1"/>
    <xf numFmtId="0" fontId="17" fillId="15" borderId="27" xfId="0" applyFont="1" applyFill="1" applyBorder="1"/>
    <xf numFmtId="167" fontId="17" fillId="10" borderId="22" xfId="26" applyFont="1" applyFill="1" applyBorder="1" applyAlignment="1">
      <alignment horizontal="center"/>
    </xf>
    <xf numFmtId="0" fontId="30" fillId="10" borderId="15" xfId="0" applyFont="1" applyFill="1" applyBorder="1" applyAlignment="1">
      <alignment wrapText="1"/>
    </xf>
    <xf numFmtId="167" fontId="17" fillId="10" borderId="15" xfId="26" applyFont="1" applyFill="1" applyBorder="1" applyAlignment="1">
      <alignment horizontal="center"/>
    </xf>
    <xf numFmtId="167" fontId="17" fillId="10" borderId="16" xfId="26" applyFont="1" applyFill="1" applyBorder="1" applyAlignment="1">
      <alignment horizontal="center"/>
    </xf>
    <xf numFmtId="167" fontId="17" fillId="10" borderId="14" xfId="26" applyFont="1" applyFill="1" applyBorder="1" applyAlignment="1">
      <alignment horizontal="center"/>
    </xf>
    <xf numFmtId="167" fontId="17" fillId="10" borderId="7" xfId="26" applyFont="1" applyFill="1" applyBorder="1" applyAlignment="1">
      <alignment horizontal="center"/>
    </xf>
    <xf numFmtId="167" fontId="17" fillId="10" borderId="27" xfId="26" applyFont="1" applyFill="1" applyBorder="1" applyAlignment="1">
      <alignment horizontal="center"/>
    </xf>
    <xf numFmtId="167" fontId="17" fillId="10" borderId="7" xfId="26" applyFont="1" applyFill="1" applyBorder="1" applyAlignment="1">
      <alignment horizontal="left" wrapText="1"/>
    </xf>
    <xf numFmtId="167" fontId="17" fillId="10" borderId="27" xfId="0" applyNumberFormat="1" applyFont="1" applyFill="1" applyBorder="1" applyAlignment="1">
      <alignment horizontal="right"/>
    </xf>
    <xf numFmtId="49" fontId="17" fillId="10" borderId="14" xfId="0" applyNumberFormat="1" applyFont="1" applyFill="1" applyBorder="1" applyAlignment="1">
      <alignment horizontal="center"/>
    </xf>
    <xf numFmtId="0" fontId="30" fillId="10" borderId="7" xfId="0" applyFont="1" applyFill="1" applyBorder="1" applyAlignment="1">
      <alignment horizontal="left" wrapText="1"/>
    </xf>
    <xf numFmtId="2" fontId="17" fillId="10" borderId="7" xfId="22" applyNumberFormat="1" applyFont="1" applyFill="1" applyBorder="1" applyAlignment="1">
      <alignment horizontal="center" vertical="top"/>
    </xf>
    <xf numFmtId="164" fontId="17" fillId="10" borderId="7" xfId="22" applyFont="1" applyFill="1" applyBorder="1" applyAlignment="1">
      <alignment vertical="top"/>
    </xf>
    <xf numFmtId="167" fontId="21" fillId="10" borderId="27" xfId="0" applyNumberFormat="1" applyFont="1" applyFill="1" applyBorder="1" applyAlignment="1">
      <alignment horizontal="right"/>
    </xf>
    <xf numFmtId="167" fontId="17" fillId="10" borderId="7" xfId="26" applyFont="1" applyFill="1" applyBorder="1" applyAlignment="1">
      <alignment horizontal="left"/>
    </xf>
    <xf numFmtId="49" fontId="17" fillId="10" borderId="14" xfId="0" applyNumberFormat="1" applyFont="1" applyFill="1" applyBorder="1"/>
    <xf numFmtId="164" fontId="21" fillId="10" borderId="27" xfId="22" applyFont="1" applyFill="1" applyBorder="1" applyAlignment="1">
      <alignment vertical="top"/>
    </xf>
    <xf numFmtId="49" fontId="17" fillId="10" borderId="28" xfId="0" applyNumberFormat="1" applyFont="1" applyFill="1" applyBorder="1"/>
    <xf numFmtId="0" fontId="30" fillId="10" borderId="18" xfId="0" applyFont="1" applyFill="1" applyBorder="1" applyAlignment="1">
      <alignment horizontal="left" wrapText="1"/>
    </xf>
    <xf numFmtId="0" fontId="17" fillId="10" borderId="18" xfId="0" applyFont="1" applyFill="1" applyBorder="1" applyAlignment="1">
      <alignment horizontal="center" vertical="top"/>
    </xf>
    <xf numFmtId="2" fontId="17" fillId="10" borderId="18" xfId="22" applyNumberFormat="1" applyFont="1" applyFill="1" applyBorder="1" applyAlignment="1">
      <alignment horizontal="right"/>
    </xf>
    <xf numFmtId="164" fontId="17" fillId="10" borderId="18" xfId="22" applyFont="1" applyFill="1" applyBorder="1" applyAlignment="1">
      <alignment horizontal="right"/>
    </xf>
    <xf numFmtId="167" fontId="21" fillId="10" borderId="34" xfId="0" applyNumberFormat="1" applyFont="1" applyFill="1" applyBorder="1" applyAlignment="1">
      <alignment horizontal="right"/>
    </xf>
    <xf numFmtId="0" fontId="0" fillId="10" borderId="14" xfId="0" applyFill="1" applyBorder="1"/>
    <xf numFmtId="4" fontId="19" fillId="10" borderId="7" xfId="0" applyNumberFormat="1" applyFont="1" applyFill="1" applyBorder="1" applyAlignment="1">
      <alignment vertical="center" wrapText="1"/>
    </xf>
    <xf numFmtId="0" fontId="0" fillId="10" borderId="7" xfId="0" applyFill="1" applyBorder="1"/>
    <xf numFmtId="0" fontId="0" fillId="10" borderId="27" xfId="0" applyFill="1" applyBorder="1"/>
    <xf numFmtId="0" fontId="17" fillId="0" borderId="0" xfId="0" applyFont="1" applyFill="1" applyAlignment="1">
      <alignment vertical="top"/>
    </xf>
    <xf numFmtId="0" fontId="17" fillId="0" borderId="19" xfId="0" applyFont="1" applyFill="1" applyBorder="1" applyAlignment="1">
      <alignment vertical="top"/>
    </xf>
    <xf numFmtId="0" fontId="17" fillId="15" borderId="7" xfId="0" applyFont="1" applyFill="1" applyBorder="1" applyAlignment="1">
      <alignment horizontal="center" vertical="top"/>
    </xf>
    <xf numFmtId="2" fontId="17" fillId="15" borderId="7" xfId="7" applyNumberFormat="1" applyFont="1" applyFill="1" applyBorder="1" applyAlignment="1">
      <alignment horizontal="center" vertical="top"/>
    </xf>
    <xf numFmtId="164" fontId="17" fillId="15" borderId="7" xfId="7" applyFont="1" applyFill="1" applyBorder="1" applyAlignment="1">
      <alignment vertical="top"/>
    </xf>
    <xf numFmtId="0" fontId="21" fillId="15" borderId="7" xfId="0" applyFont="1" applyFill="1" applyBorder="1" applyAlignment="1">
      <alignment horizontal="right"/>
    </xf>
    <xf numFmtId="2" fontId="17" fillId="10" borderId="7" xfId="7" applyNumberFormat="1" applyFont="1" applyFill="1" applyBorder="1" applyAlignment="1">
      <alignment horizontal="center" vertical="top"/>
    </xf>
    <xf numFmtId="164" fontId="21" fillId="10" borderId="7" xfId="7" applyFont="1" applyFill="1" applyBorder="1" applyAlignment="1">
      <alignment vertical="top"/>
    </xf>
    <xf numFmtId="49" fontId="17" fillId="10" borderId="7" xfId="0" applyNumberFormat="1" applyFont="1" applyFill="1" applyBorder="1" applyAlignment="1">
      <alignment horizontal="center"/>
    </xf>
    <xf numFmtId="0" fontId="17" fillId="15" borderId="8" xfId="0" applyFont="1" applyFill="1" applyBorder="1" applyAlignment="1"/>
    <xf numFmtId="0" fontId="17" fillId="15" borderId="9" xfId="0" applyFont="1" applyFill="1" applyBorder="1" applyAlignment="1"/>
    <xf numFmtId="0" fontId="17" fillId="15" borderId="10" xfId="0" applyFont="1" applyFill="1" applyBorder="1" applyAlignment="1"/>
    <xf numFmtId="49" fontId="21" fillId="0" borderId="7" xfId="0" applyNumberFormat="1" applyFont="1" applyBorder="1"/>
    <xf numFmtId="0" fontId="22" fillId="10" borderId="7" xfId="0" applyFont="1" applyFill="1" applyBorder="1" applyAlignment="1">
      <alignment wrapText="1"/>
    </xf>
    <xf numFmtId="49" fontId="17" fillId="15" borderId="14" xfId="0" applyNumberFormat="1" applyFont="1" applyFill="1" applyBorder="1" applyAlignment="1">
      <alignment horizontal="center"/>
    </xf>
    <xf numFmtId="0" fontId="17" fillId="0" borderId="48" xfId="0" applyFont="1" applyBorder="1"/>
    <xf numFmtId="0" fontId="17" fillId="0" borderId="46" xfId="0" applyFont="1" applyBorder="1" applyAlignment="1">
      <alignment horizontal="left" vertical="top" wrapText="1"/>
    </xf>
    <xf numFmtId="0" fontId="17" fillId="0" borderId="46" xfId="0" applyFont="1" applyBorder="1"/>
    <xf numFmtId="0" fontId="17" fillId="0" borderId="49" xfId="0" applyFont="1" applyBorder="1"/>
    <xf numFmtId="0" fontId="17" fillId="0" borderId="14" xfId="0" applyFont="1" applyBorder="1"/>
    <xf numFmtId="0" fontId="17" fillId="0" borderId="27" xfId="0" applyFont="1" applyBorder="1"/>
    <xf numFmtId="0" fontId="17" fillId="10" borderId="14" xfId="0" applyFont="1" applyFill="1" applyBorder="1" applyAlignment="1">
      <alignment horizontal="right" vertical="top"/>
    </xf>
    <xf numFmtId="0" fontId="17" fillId="0" borderId="7" xfId="0" applyFont="1" applyBorder="1" applyAlignment="1">
      <alignment horizontal="left" vertical="top" wrapText="1"/>
    </xf>
    <xf numFmtId="0" fontId="17" fillId="10" borderId="14" xfId="0" applyFont="1" applyFill="1" applyBorder="1" applyAlignment="1">
      <alignment horizontal="right" vertical="top" wrapText="1"/>
    </xf>
    <xf numFmtId="0" fontId="17" fillId="0" borderId="7" xfId="0" applyFont="1" applyFill="1" applyBorder="1"/>
    <xf numFmtId="49" fontId="17" fillId="10" borderId="11" xfId="0" applyNumberFormat="1" applyFont="1" applyFill="1" applyBorder="1" applyAlignment="1">
      <alignment horizontal="center"/>
    </xf>
    <xf numFmtId="49" fontId="17" fillId="10" borderId="11" xfId="0" applyNumberFormat="1" applyFont="1" applyFill="1" applyBorder="1" applyAlignment="1">
      <alignment horizontal="left"/>
    </xf>
    <xf numFmtId="0" fontId="17" fillId="0" borderId="37" xfId="0" applyFont="1" applyBorder="1"/>
    <xf numFmtId="0" fontId="17" fillId="0" borderId="50" xfId="0" applyFont="1" applyBorder="1"/>
    <xf numFmtId="0" fontId="17" fillId="15" borderId="29" xfId="0" applyFont="1" applyFill="1" applyBorder="1" applyAlignment="1"/>
    <xf numFmtId="49" fontId="30" fillId="0" borderId="22" xfId="0" applyNumberFormat="1" applyFont="1" applyBorder="1" applyAlignment="1">
      <alignment horizontal="center" vertical="top"/>
    </xf>
    <xf numFmtId="0" fontId="21" fillId="10" borderId="15" xfId="0" applyFont="1" applyFill="1" applyBorder="1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51" xfId="0" applyBorder="1"/>
    <xf numFmtId="0" fontId="0" fillId="0" borderId="27" xfId="0" applyBorder="1"/>
    <xf numFmtId="0" fontId="0" fillId="0" borderId="14" xfId="0" applyBorder="1"/>
    <xf numFmtId="0" fontId="17" fillId="0" borderId="7" xfId="0" applyFont="1" applyBorder="1" applyAlignment="1">
      <alignment wrapText="1"/>
    </xf>
    <xf numFmtId="2" fontId="0" fillId="0" borderId="27" xfId="0" applyNumberFormat="1" applyBorder="1"/>
    <xf numFmtId="0" fontId="21" fillId="0" borderId="14" xfId="0" applyFont="1" applyBorder="1"/>
    <xf numFmtId="0" fontId="21" fillId="0" borderId="27" xfId="0" applyFont="1" applyBorder="1"/>
    <xf numFmtId="0" fontId="0" fillId="0" borderId="28" xfId="0" applyBorder="1"/>
    <xf numFmtId="0" fontId="21" fillId="0" borderId="18" xfId="0" applyFont="1" applyBorder="1"/>
    <xf numFmtId="0" fontId="21" fillId="0" borderId="34" xfId="0" applyFont="1" applyBorder="1"/>
    <xf numFmtId="0" fontId="21" fillId="0" borderId="18" xfId="0" applyFont="1" applyBorder="1" applyAlignment="1">
      <alignment wrapText="1"/>
    </xf>
    <xf numFmtId="2" fontId="21" fillId="10" borderId="7" xfId="0" applyNumberFormat="1" applyFont="1" applyFill="1" applyBorder="1" applyAlignment="1"/>
    <xf numFmtId="49" fontId="17" fillId="0" borderId="15" xfId="0" applyNumberFormat="1" applyFont="1" applyFill="1" applyBorder="1" applyAlignment="1">
      <alignment horizontal="center"/>
    </xf>
    <xf numFmtId="0" fontId="30" fillId="0" borderId="15" xfId="0" applyFont="1" applyFill="1" applyBorder="1" applyAlignment="1">
      <alignment wrapText="1"/>
    </xf>
    <xf numFmtId="0" fontId="17" fillId="0" borderId="15" xfId="0" applyFont="1" applyFill="1" applyBorder="1" applyAlignment="1">
      <alignment horizontal="center" vertical="top"/>
    </xf>
    <xf numFmtId="2" fontId="17" fillId="0" borderId="15" xfId="7" applyNumberFormat="1" applyFont="1" applyFill="1" applyBorder="1" applyAlignment="1">
      <alignment horizontal="center" vertical="top"/>
    </xf>
    <xf numFmtId="164" fontId="17" fillId="0" borderId="15" xfId="7" applyFont="1" applyFill="1" applyBorder="1" applyAlignment="1">
      <alignment vertical="top"/>
    </xf>
    <xf numFmtId="0" fontId="21" fillId="0" borderId="15" xfId="0" applyFont="1" applyFill="1" applyBorder="1" applyAlignment="1">
      <alignment horizontal="right"/>
    </xf>
    <xf numFmtId="49" fontId="17" fillId="0" borderId="7" xfId="0" applyNumberFormat="1" applyFont="1" applyFill="1" applyBorder="1" applyAlignment="1">
      <alignment horizontal="center"/>
    </xf>
    <xf numFmtId="0" fontId="30" fillId="0" borderId="7" xfId="0" applyFont="1" applyFill="1" applyBorder="1" applyAlignment="1">
      <alignment wrapText="1"/>
    </xf>
    <xf numFmtId="0" fontId="17" fillId="0" borderId="7" xfId="0" applyFont="1" applyFill="1" applyBorder="1" applyAlignment="1">
      <alignment horizontal="center" vertical="top"/>
    </xf>
    <xf numFmtId="2" fontId="17" fillId="0" borderId="7" xfId="7" applyNumberFormat="1" applyFont="1" applyFill="1" applyBorder="1" applyAlignment="1">
      <alignment horizontal="center" vertical="top"/>
    </xf>
    <xf numFmtId="164" fontId="17" fillId="0" borderId="7" xfId="7" applyFont="1" applyFill="1" applyBorder="1" applyAlignment="1">
      <alignment vertical="top"/>
    </xf>
    <xf numFmtId="0" fontId="21" fillId="0" borderId="7" xfId="0" applyFont="1" applyFill="1" applyBorder="1" applyAlignment="1">
      <alignment horizontal="right"/>
    </xf>
    <xf numFmtId="49" fontId="30" fillId="10" borderId="0" xfId="0" applyNumberFormat="1" applyFont="1" applyFill="1" applyAlignment="1">
      <alignment horizontal="center" vertical="top"/>
    </xf>
    <xf numFmtId="49" fontId="17" fillId="15" borderId="8" xfId="0" applyNumberFormat="1" applyFont="1" applyFill="1" applyBorder="1" applyAlignment="1">
      <alignment horizontal="center"/>
    </xf>
    <xf numFmtId="49" fontId="21" fillId="10" borderId="7" xfId="0" applyNumberFormat="1" applyFont="1" applyFill="1" applyBorder="1"/>
    <xf numFmtId="0" fontId="17" fillId="0" borderId="7" xfId="0" applyFont="1" applyFill="1" applyBorder="1" applyAlignment="1">
      <alignment wrapText="1"/>
    </xf>
    <xf numFmtId="167" fontId="21" fillId="10" borderId="7" xfId="0" applyNumberFormat="1" applyFont="1" applyFill="1" applyBorder="1" applyAlignment="1">
      <alignment horizontal="right"/>
    </xf>
    <xf numFmtId="167" fontId="17" fillId="10" borderId="7" xfId="0" applyNumberFormat="1" applyFont="1" applyFill="1" applyBorder="1" applyAlignment="1">
      <alignment horizontal="right"/>
    </xf>
    <xf numFmtId="49" fontId="19" fillId="10" borderId="15" xfId="0" applyNumberFormat="1" applyFont="1" applyFill="1" applyBorder="1" applyAlignment="1">
      <alignment horizontal="right"/>
    </xf>
    <xf numFmtId="0" fontId="20" fillId="0" borderId="7" xfId="0" applyFont="1" applyFill="1" applyBorder="1" applyAlignment="1">
      <alignment wrapText="1"/>
    </xf>
    <xf numFmtId="2" fontId="20" fillId="10" borderId="7" xfId="0" applyNumberFormat="1" applyFont="1" applyFill="1" applyBorder="1" applyAlignment="1">
      <alignment wrapText="1"/>
    </xf>
    <xf numFmtId="49" fontId="17" fillId="0" borderId="15" xfId="0" applyNumberFormat="1" applyFont="1" applyBorder="1"/>
    <xf numFmtId="0" fontId="21" fillId="10" borderId="15" xfId="0" applyFont="1" applyFill="1" applyBorder="1" applyAlignment="1"/>
    <xf numFmtId="167" fontId="21" fillId="10" borderId="15" xfId="0" applyNumberFormat="1" applyFont="1" applyFill="1" applyBorder="1" applyAlignment="1">
      <alignment horizontal="right"/>
    </xf>
    <xf numFmtId="167" fontId="17" fillId="0" borderId="7" xfId="26" applyFont="1" applyFill="1" applyBorder="1" applyAlignment="1">
      <alignment horizontal="center"/>
    </xf>
    <xf numFmtId="167" fontId="17" fillId="10" borderId="7" xfId="26" applyFont="1" applyFill="1" applyBorder="1" applyAlignment="1"/>
    <xf numFmtId="167" fontId="17" fillId="0" borderId="7" xfId="26" applyFont="1" applyFill="1" applyBorder="1" applyAlignment="1"/>
    <xf numFmtId="49" fontId="20" fillId="15" borderId="7" xfId="0" applyNumberFormat="1" applyFont="1" applyFill="1" applyBorder="1" applyAlignment="1">
      <alignment horizontal="center" vertical="top"/>
    </xf>
    <xf numFmtId="0" fontId="20" fillId="15" borderId="7" xfId="0" applyFont="1" applyFill="1" applyBorder="1" applyAlignment="1">
      <alignment horizontal="left" wrapText="1"/>
    </xf>
    <xf numFmtId="2" fontId="17" fillId="15" borderId="7" xfId="26" applyNumberFormat="1" applyFont="1" applyFill="1" applyBorder="1" applyAlignment="1">
      <alignment horizontal="center" vertical="top"/>
    </xf>
    <xf numFmtId="167" fontId="17" fillId="15" borderId="7" xfId="26" applyFont="1" applyFill="1" applyBorder="1" applyAlignment="1">
      <alignment vertical="top"/>
    </xf>
    <xf numFmtId="49" fontId="21" fillId="0" borderId="7" xfId="0" applyNumberFormat="1" applyFont="1" applyFill="1" applyBorder="1"/>
    <xf numFmtId="4" fontId="22" fillId="0" borderId="7" xfId="0" applyNumberFormat="1" applyFont="1" applyFill="1" applyBorder="1" applyAlignment="1">
      <alignment wrapText="1"/>
    </xf>
    <xf numFmtId="0" fontId="21" fillId="0" borderId="7" xfId="0" applyFont="1" applyFill="1" applyBorder="1" applyAlignment="1"/>
    <xf numFmtId="167" fontId="21" fillId="0" borderId="7" xfId="0" applyNumberFormat="1" applyFont="1" applyFill="1" applyBorder="1" applyAlignment="1">
      <alignment horizontal="right"/>
    </xf>
    <xf numFmtId="49" fontId="17" fillId="0" borderId="7" xfId="0" applyNumberFormat="1" applyFont="1" applyFill="1" applyBorder="1"/>
    <xf numFmtId="0" fontId="21" fillId="0" borderId="7" xfId="0" applyFont="1" applyFill="1" applyBorder="1" applyAlignment="1">
      <alignment horizontal="left" vertical="center"/>
    </xf>
    <xf numFmtId="167" fontId="17" fillId="0" borderId="7" xfId="0" applyNumberFormat="1" applyFont="1" applyFill="1" applyBorder="1" applyAlignment="1">
      <alignment horizontal="right"/>
    </xf>
    <xf numFmtId="4" fontId="19" fillId="0" borderId="7" xfId="0" applyNumberFormat="1" applyFont="1" applyFill="1" applyBorder="1" applyAlignment="1">
      <alignment wrapText="1"/>
    </xf>
    <xf numFmtId="2" fontId="17" fillId="10" borderId="15" xfId="22" applyNumberFormat="1" applyFont="1" applyFill="1" applyBorder="1" applyAlignment="1">
      <alignment horizontal="center" vertical="top"/>
    </xf>
    <xf numFmtId="164" fontId="17" fillId="10" borderId="15" xfId="22" applyFont="1" applyFill="1" applyBorder="1" applyAlignment="1">
      <alignment vertical="top"/>
    </xf>
    <xf numFmtId="164" fontId="21" fillId="10" borderId="7" xfId="22" applyFont="1" applyFill="1" applyBorder="1" applyAlignment="1">
      <alignment vertical="top"/>
    </xf>
    <xf numFmtId="2" fontId="17" fillId="10" borderId="7" xfId="22" applyNumberFormat="1" applyFont="1" applyFill="1" applyBorder="1" applyAlignment="1">
      <alignment horizontal="right"/>
    </xf>
    <xf numFmtId="164" fontId="17" fillId="10" borderId="7" xfId="22" applyFont="1" applyFill="1" applyBorder="1" applyAlignment="1">
      <alignment horizontal="right"/>
    </xf>
    <xf numFmtId="2" fontId="30" fillId="10" borderId="7" xfId="0" applyNumberFormat="1" applyFont="1" applyFill="1" applyBorder="1" applyAlignment="1">
      <alignment wrapText="1"/>
    </xf>
    <xf numFmtId="2" fontId="30" fillId="15" borderId="7" xfId="0" applyNumberFormat="1" applyFont="1" applyFill="1" applyBorder="1" applyAlignment="1">
      <alignment wrapText="1"/>
    </xf>
    <xf numFmtId="0" fontId="30" fillId="10" borderId="0" xfId="0" applyFont="1" applyFill="1" applyAlignment="1">
      <alignment wrapText="1"/>
    </xf>
    <xf numFmtId="2" fontId="30" fillId="10" borderId="0" xfId="0" applyNumberFormat="1" applyFont="1" applyFill="1" applyAlignment="1">
      <alignment wrapText="1"/>
    </xf>
    <xf numFmtId="2" fontId="30" fillId="10" borderId="18" xfId="0" applyNumberFormat="1" applyFont="1" applyFill="1" applyBorder="1" applyAlignment="1">
      <alignment wrapText="1"/>
    </xf>
    <xf numFmtId="14" fontId="34" fillId="0" borderId="14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4" fontId="34" fillId="0" borderId="7" xfId="0" applyNumberFormat="1" applyFont="1" applyFill="1" applyBorder="1" applyAlignment="1">
      <alignment vertical="center" wrapText="1"/>
    </xf>
    <xf numFmtId="0" fontId="34" fillId="0" borderId="7" xfId="0" applyFont="1" applyFill="1" applyBorder="1" applyAlignment="1">
      <alignment horizontal="center" vertical="center" wrapText="1"/>
    </xf>
    <xf numFmtId="10" fontId="34" fillId="10" borderId="26" xfId="19" applyNumberFormat="1" applyFont="1" applyFill="1" applyBorder="1" applyAlignment="1">
      <alignment vertical="center"/>
    </xf>
    <xf numFmtId="10" fontId="34" fillId="10" borderId="7" xfId="19" applyNumberFormat="1" applyFont="1" applyFill="1" applyBorder="1" applyAlignment="1">
      <alignment vertical="center"/>
    </xf>
    <xf numFmtId="4" fontId="34" fillId="0" borderId="16" xfId="0" applyNumberFormat="1" applyFont="1" applyFill="1" applyBorder="1" applyAlignment="1">
      <alignment vertical="center"/>
    </xf>
    <xf numFmtId="4" fontId="34" fillId="0" borderId="7" xfId="0" applyNumberFormat="1" applyFont="1" applyFill="1" applyBorder="1" applyAlignment="1">
      <alignment horizontal="center" vertical="center"/>
    </xf>
    <xf numFmtId="10" fontId="34" fillId="10" borderId="7" xfId="18" applyNumberFormat="1" applyFont="1" applyFill="1" applyBorder="1" applyAlignment="1">
      <alignment vertical="center"/>
    </xf>
    <xf numFmtId="4" fontId="34" fillId="0" borderId="27" xfId="0" applyNumberFormat="1" applyFont="1" applyFill="1" applyBorder="1" applyAlignment="1">
      <alignment vertical="center" wrapText="1"/>
    </xf>
    <xf numFmtId="2" fontId="17" fillId="10" borderId="7" xfId="25" applyNumberFormat="1" applyFont="1" applyFill="1" applyBorder="1" applyAlignment="1">
      <alignment horizontal="center" vertical="top"/>
    </xf>
    <xf numFmtId="168" fontId="17" fillId="10" borderId="7" xfId="25" applyFont="1" applyFill="1" applyBorder="1" applyAlignment="1">
      <alignment vertical="top"/>
    </xf>
    <xf numFmtId="168" fontId="21" fillId="10" borderId="7" xfId="25" applyFont="1" applyFill="1" applyBorder="1" applyAlignment="1">
      <alignment vertical="top"/>
    </xf>
    <xf numFmtId="0" fontId="36" fillId="0" borderId="0" xfId="0" applyFont="1"/>
    <xf numFmtId="4" fontId="23" fillId="0" borderId="26" xfId="0" applyNumberFormat="1" applyFont="1" applyBorder="1" applyAlignment="1">
      <alignment vertical="center"/>
    </xf>
    <xf numFmtId="4" fontId="23" fillId="10" borderId="26" xfId="0" applyNumberFormat="1" applyFont="1" applyFill="1" applyBorder="1" applyAlignment="1">
      <alignment vertical="center"/>
    </xf>
    <xf numFmtId="0" fontId="37" fillId="0" borderId="0" xfId="0" applyFont="1"/>
    <xf numFmtId="4" fontId="3" fillId="16" borderId="2" xfId="0" applyNumberFormat="1" applyFont="1" applyFill="1" applyBorder="1" applyAlignment="1">
      <alignment wrapText="1"/>
    </xf>
    <xf numFmtId="4" fontId="2" fillId="16" borderId="3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4" fontId="2" fillId="16" borderId="2" xfId="0" applyNumberFormat="1" applyFont="1" applyFill="1" applyBorder="1" applyAlignment="1">
      <alignment horizontal="center"/>
    </xf>
    <xf numFmtId="4" fontId="2" fillId="16" borderId="0" xfId="0" applyNumberFormat="1" applyFont="1" applyFill="1" applyBorder="1" applyAlignment="1"/>
    <xf numFmtId="4" fontId="3" fillId="16" borderId="4" xfId="0" applyNumberFormat="1" applyFont="1" applyFill="1" applyBorder="1" applyAlignment="1">
      <alignment wrapText="1"/>
    </xf>
    <xf numFmtId="4" fontId="2" fillId="16" borderId="4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wrapText="1"/>
    </xf>
    <xf numFmtId="4" fontId="2" fillId="16" borderId="5" xfId="0" applyNumberFormat="1" applyFont="1" applyFill="1" applyBorder="1" applyAlignment="1">
      <alignment horizontal="center"/>
    </xf>
    <xf numFmtId="4" fontId="17" fillId="10" borderId="0" xfId="0" applyNumberFormat="1" applyFont="1" applyFill="1" applyBorder="1" applyAlignment="1"/>
    <xf numFmtId="4" fontId="17" fillId="0" borderId="0" xfId="0" applyNumberFormat="1" applyFont="1" applyFill="1" applyBorder="1" applyAlignment="1"/>
    <xf numFmtId="4" fontId="25" fillId="0" borderId="2" xfId="0" applyNumberFormat="1" applyFont="1" applyFill="1" applyBorder="1" applyAlignment="1"/>
    <xf numFmtId="4" fontId="2" fillId="0" borderId="2" xfId="0" applyNumberFormat="1" applyFont="1" applyFill="1" applyBorder="1" applyAlignment="1">
      <alignment horizontal="center"/>
    </xf>
    <xf numFmtId="0" fontId="3" fillId="16" borderId="2" xfId="0" applyFont="1" applyFill="1" applyBorder="1"/>
    <xf numFmtId="0" fontId="3" fillId="0" borderId="2" xfId="0" applyFont="1" applyFill="1" applyBorder="1"/>
    <xf numFmtId="0" fontId="3" fillId="16" borderId="2" xfId="0" applyFont="1" applyFill="1" applyBorder="1" applyAlignment="1">
      <alignment wrapText="1"/>
    </xf>
    <xf numFmtId="0" fontId="3" fillId="16" borderId="2" xfId="0" applyFont="1" applyFill="1" applyBorder="1" applyAlignment="1">
      <alignment vertical="top" wrapText="1"/>
    </xf>
    <xf numFmtId="4" fontId="17" fillId="18" borderId="16" xfId="0" applyNumberFormat="1" applyFont="1" applyFill="1" applyBorder="1" applyAlignment="1">
      <alignment horizontal="right"/>
    </xf>
    <xf numFmtId="4" fontId="17" fillId="16" borderId="0" xfId="0" applyNumberFormat="1" applyFont="1" applyFill="1" applyAlignment="1"/>
    <xf numFmtId="4" fontId="17" fillId="18" borderId="7" xfId="0" applyNumberFormat="1" applyFont="1" applyFill="1" applyBorder="1" applyAlignment="1"/>
    <xf numFmtId="0" fontId="19" fillId="18" borderId="18" xfId="0" applyFont="1" applyFill="1" applyBorder="1" applyAlignment="1">
      <alignment horizontal="right" wrapText="1"/>
    </xf>
    <xf numFmtId="0" fontId="19" fillId="18" borderId="18" xfId="0" applyFont="1" applyFill="1" applyBorder="1" applyAlignment="1">
      <alignment wrapText="1"/>
    </xf>
    <xf numFmtId="4" fontId="17" fillId="18" borderId="7" xfId="0" applyNumberFormat="1" applyFont="1" applyFill="1" applyBorder="1" applyAlignment="1">
      <alignment horizontal="center"/>
    </xf>
    <xf numFmtId="4" fontId="17" fillId="18" borderId="15" xfId="0" applyNumberFormat="1" applyFont="1" applyFill="1" applyBorder="1" applyAlignment="1">
      <alignment horizontal="right"/>
    </xf>
    <xf numFmtId="4" fontId="17" fillId="18" borderId="7" xfId="0" applyNumberFormat="1" applyFont="1" applyFill="1" applyBorder="1" applyAlignment="1">
      <alignment horizontal="right"/>
    </xf>
    <xf numFmtId="0" fontId="0" fillId="16" borderId="0" xfId="0" applyFill="1"/>
    <xf numFmtId="4" fontId="17" fillId="10" borderId="2" xfId="0" applyNumberFormat="1" applyFont="1" applyFill="1" applyBorder="1" applyAlignment="1">
      <alignment horizontal="right"/>
    </xf>
    <xf numFmtId="4" fontId="19" fillId="10" borderId="2" xfId="0" applyNumberFormat="1" applyFont="1" applyFill="1" applyBorder="1" applyAlignment="1">
      <alignment wrapText="1"/>
    </xf>
    <xf numFmtId="164" fontId="17" fillId="10" borderId="2" xfId="7" applyFont="1" applyFill="1" applyBorder="1" applyAlignment="1"/>
    <xf numFmtId="4" fontId="21" fillId="17" borderId="52" xfId="0" applyNumberFormat="1" applyFont="1" applyFill="1" applyBorder="1" applyAlignment="1">
      <alignment horizontal="right"/>
    </xf>
    <xf numFmtId="4" fontId="21" fillId="17" borderId="53" xfId="0" applyNumberFormat="1" applyFont="1" applyFill="1" applyBorder="1" applyAlignment="1">
      <alignment horizontal="right"/>
    </xf>
    <xf numFmtId="4" fontId="21" fillId="17" borderId="53" xfId="0" applyNumberFormat="1" applyFont="1" applyFill="1" applyBorder="1" applyAlignment="1">
      <alignment vertical="center"/>
    </xf>
    <xf numFmtId="4" fontId="17" fillId="18" borderId="54" xfId="0" applyNumberFormat="1" applyFont="1" applyFill="1" applyBorder="1" applyAlignment="1">
      <alignment horizontal="right"/>
    </xf>
    <xf numFmtId="4" fontId="21" fillId="19" borderId="52" xfId="0" applyNumberFormat="1" applyFont="1" applyFill="1" applyBorder="1" applyAlignment="1">
      <alignment horizontal="right"/>
    </xf>
    <xf numFmtId="4" fontId="21" fillId="19" borderId="53" xfId="0" applyNumberFormat="1" applyFont="1" applyFill="1" applyBorder="1" applyAlignment="1">
      <alignment horizontal="right"/>
    </xf>
    <xf numFmtId="4" fontId="21" fillId="19" borderId="53" xfId="0" applyNumberFormat="1" applyFont="1" applyFill="1" applyBorder="1" applyAlignment="1">
      <alignment vertical="center"/>
    </xf>
    <xf numFmtId="4" fontId="17" fillId="20" borderId="54" xfId="0" applyNumberFormat="1" applyFont="1" applyFill="1" applyBorder="1" applyAlignment="1">
      <alignment horizontal="right"/>
    </xf>
    <xf numFmtId="4" fontId="19" fillId="0" borderId="57" xfId="0" applyNumberFormat="1" applyFont="1" applyFill="1" applyBorder="1" applyAlignment="1">
      <alignment wrapText="1"/>
    </xf>
    <xf numFmtId="4" fontId="2" fillId="16" borderId="56" xfId="0" applyNumberFormat="1" applyFont="1" applyFill="1" applyBorder="1" applyAlignment="1">
      <alignment horizontal="center"/>
    </xf>
    <xf numFmtId="4" fontId="17" fillId="10" borderId="58" xfId="0" applyNumberFormat="1" applyFont="1" applyFill="1" applyBorder="1" applyAlignment="1">
      <alignment horizontal="right"/>
    </xf>
    <xf numFmtId="4" fontId="17" fillId="10" borderId="60" xfId="0" applyNumberFormat="1" applyFont="1" applyFill="1" applyBorder="1" applyAlignment="1">
      <alignment horizontal="right"/>
    </xf>
    <xf numFmtId="4" fontId="3" fillId="16" borderId="62" xfId="0" applyNumberFormat="1" applyFont="1" applyFill="1" applyBorder="1" applyAlignment="1">
      <alignment wrapText="1"/>
    </xf>
    <xf numFmtId="4" fontId="2" fillId="16" borderId="62" xfId="0" applyNumberFormat="1" applyFont="1" applyFill="1" applyBorder="1" applyAlignment="1">
      <alignment horizontal="center"/>
    </xf>
    <xf numFmtId="4" fontId="21" fillId="12" borderId="52" xfId="0" applyNumberFormat="1" applyFont="1" applyFill="1" applyBorder="1" applyAlignment="1">
      <alignment horizontal="right"/>
    </xf>
    <xf numFmtId="4" fontId="21" fillId="12" borderId="53" xfId="0" applyNumberFormat="1" applyFont="1" applyFill="1" applyBorder="1" applyAlignment="1">
      <alignment horizontal="right"/>
    </xf>
    <xf numFmtId="4" fontId="21" fillId="12" borderId="53" xfId="0" applyNumberFormat="1" applyFont="1" applyFill="1" applyBorder="1" applyAlignment="1">
      <alignment vertical="center"/>
    </xf>
    <xf numFmtId="4" fontId="17" fillId="22" borderId="54" xfId="0" applyNumberFormat="1" applyFont="1" applyFill="1" applyBorder="1" applyAlignment="1">
      <alignment horizontal="right"/>
    </xf>
    <xf numFmtId="4" fontId="21" fillId="12" borderId="38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1" fillId="12" borderId="64" xfId="0" applyNumberFormat="1" applyFont="1" applyFill="1" applyBorder="1" applyAlignment="1">
      <alignment horizontal="right"/>
    </xf>
    <xf numFmtId="4" fontId="21" fillId="12" borderId="58" xfId="0" applyNumberFormat="1" applyFont="1" applyFill="1" applyBorder="1" applyAlignment="1">
      <alignment vertical="center"/>
    </xf>
    <xf numFmtId="4" fontId="21" fillId="12" borderId="58" xfId="0" applyNumberFormat="1" applyFont="1" applyFill="1" applyBorder="1" applyAlignment="1">
      <alignment horizontal="right"/>
    </xf>
    <xf numFmtId="4" fontId="17" fillId="22" borderId="65" xfId="0" applyNumberFormat="1" applyFont="1" applyFill="1" applyBorder="1" applyAlignment="1">
      <alignment horizontal="right"/>
    </xf>
    <xf numFmtId="0" fontId="19" fillId="10" borderId="2" xfId="0" applyFont="1" applyFill="1" applyBorder="1" applyAlignment="1">
      <alignment wrapText="1"/>
    </xf>
    <xf numFmtId="4" fontId="19" fillId="10" borderId="2" xfId="0" applyNumberFormat="1" applyFont="1" applyFill="1" applyBorder="1" applyAlignment="1">
      <alignment horizontal="right"/>
    </xf>
    <xf numFmtId="4" fontId="21" fillId="10" borderId="2" xfId="0" applyNumberFormat="1" applyFont="1" applyFill="1" applyBorder="1" applyAlignment="1">
      <alignment vertical="center"/>
    </xf>
    <xf numFmtId="0" fontId="19" fillId="10" borderId="2" xfId="0" applyFont="1" applyFill="1" applyBorder="1" applyAlignment="1">
      <alignment horizontal="left" vertical="center" wrapText="1"/>
    </xf>
    <xf numFmtId="0" fontId="17" fillId="10" borderId="2" xfId="0" applyFont="1" applyFill="1" applyBorder="1" applyAlignment="1">
      <alignment horizontal="right"/>
    </xf>
    <xf numFmtId="4" fontId="21" fillId="17" borderId="67" xfId="0" applyNumberFormat="1" applyFont="1" applyFill="1" applyBorder="1" applyAlignment="1">
      <alignment horizontal="right"/>
    </xf>
    <xf numFmtId="4" fontId="21" fillId="17" borderId="56" xfId="0" applyNumberFormat="1" applyFont="1" applyFill="1" applyBorder="1" applyAlignment="1">
      <alignment horizontal="right"/>
    </xf>
    <xf numFmtId="4" fontId="21" fillId="17" borderId="56" xfId="0" applyNumberFormat="1" applyFont="1" applyFill="1" applyBorder="1" applyAlignment="1">
      <alignment horizontal="left"/>
    </xf>
    <xf numFmtId="4" fontId="17" fillId="18" borderId="68" xfId="0" applyNumberFormat="1" applyFont="1" applyFill="1" applyBorder="1" applyAlignment="1">
      <alignment horizontal="right"/>
    </xf>
    <xf numFmtId="4" fontId="19" fillId="10" borderId="62" xfId="0" applyNumberFormat="1" applyFont="1" applyFill="1" applyBorder="1" applyAlignment="1">
      <alignment wrapText="1"/>
    </xf>
    <xf numFmtId="4" fontId="17" fillId="10" borderId="62" xfId="0" applyNumberFormat="1" applyFont="1" applyFill="1" applyBorder="1" applyAlignment="1">
      <alignment horizontal="right"/>
    </xf>
    <xf numFmtId="4" fontId="17" fillId="0" borderId="70" xfId="0" applyNumberFormat="1" applyFont="1" applyBorder="1" applyAlignment="1">
      <alignment vertical="center"/>
    </xf>
    <xf numFmtId="4" fontId="21" fillId="12" borderId="71" xfId="0" applyNumberFormat="1" applyFont="1" applyFill="1" applyBorder="1" applyAlignment="1">
      <alignment horizontal="right"/>
    </xf>
    <xf numFmtId="4" fontId="21" fillId="12" borderId="72" xfId="0" applyNumberFormat="1" applyFont="1" applyFill="1" applyBorder="1" applyAlignment="1">
      <alignment horizontal="right"/>
    </xf>
    <xf numFmtId="4" fontId="21" fillId="12" borderId="72" xfId="0" applyNumberFormat="1" applyFont="1" applyFill="1" applyBorder="1" applyAlignment="1">
      <alignment vertical="center"/>
    </xf>
    <xf numFmtId="4" fontId="21" fillId="12" borderId="73" xfId="0" applyNumberFormat="1" applyFont="1" applyFill="1" applyBorder="1" applyAlignment="1">
      <alignment horizontal="right"/>
    </xf>
    <xf numFmtId="4" fontId="21" fillId="12" borderId="74" xfId="0" applyNumberFormat="1" applyFont="1" applyFill="1" applyBorder="1" applyAlignment="1">
      <alignment horizontal="right"/>
    </xf>
    <xf numFmtId="4" fontId="21" fillId="12" borderId="52" xfId="0" applyNumberFormat="1" applyFont="1" applyFill="1" applyBorder="1" applyAlignment="1">
      <alignment horizontal="left"/>
    </xf>
    <xf numFmtId="4" fontId="21" fillId="12" borderId="53" xfId="0" applyNumberFormat="1" applyFont="1" applyFill="1" applyBorder="1" applyAlignment="1">
      <alignment horizontal="left"/>
    </xf>
    <xf numFmtId="0" fontId="19" fillId="10" borderId="62" xfId="0" applyFont="1" applyFill="1" applyBorder="1" applyAlignment="1">
      <alignment wrapText="1"/>
    </xf>
    <xf numFmtId="4" fontId="17" fillId="10" borderId="2" xfId="0" applyNumberFormat="1" applyFont="1" applyFill="1" applyBorder="1" applyAlignment="1"/>
    <xf numFmtId="4" fontId="19" fillId="10" borderId="4" xfId="0" applyNumberFormat="1" applyFont="1" applyFill="1" applyBorder="1" applyAlignment="1">
      <alignment wrapText="1"/>
    </xf>
    <xf numFmtId="4" fontId="21" fillId="12" borderId="75" xfId="0" applyNumberFormat="1" applyFont="1" applyFill="1" applyBorder="1" applyAlignment="1">
      <alignment vertical="center"/>
    </xf>
    <xf numFmtId="4" fontId="17" fillId="10" borderId="2" xfId="0" applyNumberFormat="1" applyFont="1" applyFill="1" applyBorder="1" applyAlignment="1">
      <alignment vertical="center"/>
    </xf>
    <xf numFmtId="4" fontId="17" fillId="0" borderId="2" xfId="0" applyNumberFormat="1" applyFont="1" applyBorder="1" applyAlignment="1"/>
    <xf numFmtId="4" fontId="17" fillId="0" borderId="76" xfId="0" applyNumberFormat="1" applyFont="1" applyFill="1" applyBorder="1" applyAlignment="1"/>
    <xf numFmtId="4" fontId="17" fillId="0" borderId="76" xfId="0" applyNumberFormat="1" applyFont="1" applyBorder="1" applyAlignment="1"/>
    <xf numFmtId="0" fontId="17" fillId="10" borderId="4" xfId="0" applyFont="1" applyFill="1" applyBorder="1" applyAlignment="1">
      <alignment horizontal="right"/>
    </xf>
    <xf numFmtId="4" fontId="21" fillId="12" borderId="74" xfId="0" applyNumberFormat="1" applyFont="1" applyFill="1" applyBorder="1" applyAlignment="1">
      <alignment vertical="center"/>
    </xf>
    <xf numFmtId="4" fontId="21" fillId="12" borderId="53" xfId="0" applyNumberFormat="1" applyFont="1" applyFill="1" applyBorder="1" applyAlignment="1"/>
    <xf numFmtId="4" fontId="21" fillId="12" borderId="54" xfId="0" applyNumberFormat="1" applyFont="1" applyFill="1" applyBorder="1" applyAlignment="1">
      <alignment vertical="center"/>
    </xf>
    <xf numFmtId="0" fontId="19" fillId="10" borderId="53" xfId="0" applyFont="1" applyFill="1" applyBorder="1" applyAlignment="1">
      <alignment wrapText="1"/>
    </xf>
    <xf numFmtId="4" fontId="17" fillId="10" borderId="53" xfId="0" applyNumberFormat="1" applyFont="1" applyFill="1" applyBorder="1" applyAlignment="1">
      <alignment horizontal="right"/>
    </xf>
    <xf numFmtId="4" fontId="0" fillId="0" borderId="52" xfId="0" applyNumberFormat="1" applyFill="1" applyBorder="1" applyAlignment="1">
      <alignment horizontal="right"/>
    </xf>
    <xf numFmtId="4" fontId="19" fillId="0" borderId="53" xfId="0" applyNumberFormat="1" applyFont="1" applyFill="1" applyBorder="1" applyAlignment="1">
      <alignment horizontal="right"/>
    </xf>
    <xf numFmtId="0" fontId="19" fillId="0" borderId="53" xfId="0" applyFont="1" applyFill="1" applyBorder="1" applyAlignment="1">
      <alignment wrapText="1"/>
    </xf>
    <xf numFmtId="4" fontId="17" fillId="0" borderId="53" xfId="0" applyNumberFormat="1" applyFont="1" applyFill="1" applyBorder="1" applyAlignment="1">
      <alignment vertical="center"/>
    </xf>
    <xf numFmtId="4" fontId="21" fillId="0" borderId="53" xfId="0" applyNumberFormat="1" applyFont="1" applyFill="1" applyBorder="1" applyAlignment="1">
      <alignment horizontal="right"/>
    </xf>
    <xf numFmtId="4" fontId="17" fillId="0" borderId="53" xfId="0" applyNumberFormat="1" applyFont="1" applyBorder="1" applyAlignment="1">
      <alignment vertical="center"/>
    </xf>
    <xf numFmtId="4" fontId="21" fillId="12" borderId="79" xfId="0" applyNumberFormat="1" applyFont="1" applyFill="1" applyBorder="1" applyAlignment="1">
      <alignment horizontal="right"/>
    </xf>
    <xf numFmtId="4" fontId="17" fillId="22" borderId="77" xfId="0" applyNumberFormat="1" applyFont="1" applyFill="1" applyBorder="1" applyAlignment="1">
      <alignment horizontal="right"/>
    </xf>
    <xf numFmtId="4" fontId="21" fillId="12" borderId="79" xfId="0" applyNumberFormat="1" applyFont="1" applyFill="1" applyBorder="1" applyAlignment="1">
      <alignment vertical="center"/>
    </xf>
    <xf numFmtId="0" fontId="19" fillId="10" borderId="3" xfId="0" applyFont="1" applyFill="1" applyBorder="1" applyAlignment="1">
      <alignment wrapText="1"/>
    </xf>
    <xf numFmtId="4" fontId="17" fillId="10" borderId="3" xfId="0" applyNumberFormat="1" applyFont="1" applyFill="1" applyBorder="1" applyAlignment="1">
      <alignment horizontal="right"/>
    </xf>
    <xf numFmtId="164" fontId="17" fillId="10" borderId="3" xfId="7" applyFont="1" applyFill="1" applyBorder="1" applyAlignment="1"/>
    <xf numFmtId="4" fontId="19" fillId="10" borderId="57" xfId="0" applyNumberFormat="1" applyFont="1" applyFill="1" applyBorder="1" applyAlignment="1">
      <alignment wrapText="1"/>
    </xf>
    <xf numFmtId="4" fontId="17" fillId="10" borderId="57" xfId="0" applyNumberFormat="1" applyFont="1" applyFill="1" applyBorder="1" applyAlignment="1">
      <alignment horizontal="right"/>
    </xf>
    <xf numFmtId="4" fontId="21" fillId="21" borderId="53" xfId="0" applyNumberFormat="1" applyFont="1" applyFill="1" applyBorder="1" applyAlignment="1">
      <alignment horizontal="right"/>
    </xf>
    <xf numFmtId="0" fontId="0" fillId="0" borderId="0" xfId="0" applyFill="1"/>
    <xf numFmtId="164" fontId="17" fillId="10" borderId="58" xfId="7" applyFont="1" applyFill="1" applyBorder="1" applyAlignment="1"/>
    <xf numFmtId="4" fontId="17" fillId="10" borderId="65" xfId="0" applyNumberFormat="1" applyFont="1" applyFill="1" applyBorder="1" applyAlignment="1">
      <alignment horizontal="right"/>
    </xf>
    <xf numFmtId="4" fontId="21" fillId="12" borderId="82" xfId="0" applyNumberFormat="1" applyFont="1" applyFill="1" applyBorder="1" applyAlignment="1">
      <alignment horizontal="right"/>
    </xf>
    <xf numFmtId="4" fontId="17" fillId="22" borderId="63" xfId="0" applyNumberFormat="1" applyFont="1" applyFill="1" applyBorder="1" applyAlignment="1">
      <alignment horizontal="right"/>
    </xf>
    <xf numFmtId="4" fontId="17" fillId="10" borderId="4" xfId="0" applyNumberFormat="1" applyFont="1" applyFill="1" applyBorder="1" applyAlignment="1">
      <alignment horizontal="right"/>
    </xf>
    <xf numFmtId="164" fontId="17" fillId="10" borderId="4" xfId="7" applyFont="1" applyFill="1" applyBorder="1" applyAlignment="1"/>
    <xf numFmtId="4" fontId="21" fillId="12" borderId="54" xfId="0" applyNumberFormat="1" applyFont="1" applyFill="1" applyBorder="1" applyAlignment="1">
      <alignment horizontal="right"/>
    </xf>
    <xf numFmtId="0" fontId="19" fillId="10" borderId="57" xfId="0" applyFont="1" applyFill="1" applyBorder="1" applyAlignment="1">
      <alignment wrapText="1"/>
    </xf>
    <xf numFmtId="4" fontId="2" fillId="17" borderId="72" xfId="0" applyNumberFormat="1" applyFont="1" applyFill="1" applyBorder="1" applyAlignment="1">
      <alignment horizontal="right"/>
    </xf>
    <xf numFmtId="4" fontId="17" fillId="10" borderId="56" xfId="0" applyNumberFormat="1" applyFont="1" applyFill="1" applyBorder="1" applyAlignment="1">
      <alignment horizontal="right"/>
    </xf>
    <xf numFmtId="164" fontId="17" fillId="10" borderId="56" xfId="7" applyFont="1" applyFill="1" applyBorder="1" applyAlignment="1"/>
    <xf numFmtId="4" fontId="17" fillId="10" borderId="68" xfId="0" applyNumberFormat="1" applyFont="1" applyFill="1" applyBorder="1" applyAlignment="1">
      <alignment horizontal="right"/>
    </xf>
    <xf numFmtId="4" fontId="17" fillId="10" borderId="84" xfId="0" applyNumberFormat="1" applyFont="1" applyFill="1" applyBorder="1" applyAlignment="1">
      <alignment horizontal="right"/>
    </xf>
    <xf numFmtId="164" fontId="17" fillId="10" borderId="62" xfId="7" applyFont="1" applyFill="1" applyBorder="1" applyAlignment="1"/>
    <xf numFmtId="4" fontId="17" fillId="10" borderId="63" xfId="0" applyNumberFormat="1" applyFont="1" applyFill="1" applyBorder="1" applyAlignment="1">
      <alignment horizontal="right"/>
    </xf>
    <xf numFmtId="4" fontId="21" fillId="12" borderId="72" xfId="0" applyNumberFormat="1" applyFont="1" applyFill="1" applyBorder="1" applyAlignment="1">
      <alignment horizontal="left"/>
    </xf>
    <xf numFmtId="4" fontId="21" fillId="12" borderId="85" xfId="0" applyNumberFormat="1" applyFont="1" applyFill="1" applyBorder="1" applyAlignment="1">
      <alignment vertical="center"/>
    </xf>
    <xf numFmtId="4" fontId="26" fillId="10" borderId="19" xfId="0" applyNumberFormat="1" applyFont="1" applyFill="1" applyBorder="1" applyAlignment="1"/>
    <xf numFmtId="169" fontId="17" fillId="10" borderId="0" xfId="17" applyNumberFormat="1" applyFont="1" applyFill="1" applyAlignment="1"/>
    <xf numFmtId="0" fontId="0" fillId="0" borderId="0" xfId="0" applyFill="1"/>
    <xf numFmtId="4" fontId="17" fillId="18" borderId="66" xfId="0" applyNumberFormat="1" applyFont="1" applyFill="1" applyBorder="1" applyAlignment="1">
      <alignment horizontal="right"/>
    </xf>
    <xf numFmtId="1" fontId="19" fillId="18" borderId="2" xfId="0" applyNumberFormat="1" applyFont="1" applyFill="1" applyBorder="1" applyAlignment="1">
      <alignment horizontal="right"/>
    </xf>
    <xf numFmtId="4" fontId="2" fillId="16" borderId="76" xfId="0" applyNumberFormat="1" applyFont="1" applyFill="1" applyBorder="1" applyAlignment="1">
      <alignment horizontal="center"/>
    </xf>
    <xf numFmtId="4" fontId="2" fillId="16" borderId="87" xfId="0" applyNumberFormat="1" applyFont="1" applyFill="1" applyBorder="1" applyAlignment="1">
      <alignment horizontal="center"/>
    </xf>
    <xf numFmtId="4" fontId="2" fillId="16" borderId="88" xfId="0" applyNumberFormat="1" applyFont="1" applyFill="1" applyBorder="1" applyAlignment="1">
      <alignment horizontal="center"/>
    </xf>
    <xf numFmtId="1" fontId="19" fillId="23" borderId="14" xfId="0" applyNumberFormat="1" applyFont="1" applyFill="1" applyBorder="1" applyAlignment="1">
      <alignment horizontal="right"/>
    </xf>
    <xf numFmtId="1" fontId="19" fillId="18" borderId="7" xfId="0" applyNumberFormat="1" applyFont="1" applyFill="1" applyBorder="1" applyAlignment="1">
      <alignment horizontal="right"/>
    </xf>
    <xf numFmtId="4" fontId="17" fillId="23" borderId="22" xfId="0" applyNumberFormat="1" applyFont="1" applyFill="1" applyBorder="1" applyAlignment="1">
      <alignment horizontal="right"/>
    </xf>
    <xf numFmtId="1" fontId="19" fillId="18" borderId="15" xfId="0" applyNumberFormat="1" applyFont="1" applyFill="1" applyBorder="1" applyAlignment="1">
      <alignment horizontal="right"/>
    </xf>
    <xf numFmtId="1" fontId="19" fillId="18" borderId="23" xfId="0" applyNumberFormat="1" applyFont="1" applyFill="1" applyBorder="1" applyAlignment="1">
      <alignment horizontal="right"/>
    </xf>
    <xf numFmtId="1" fontId="19" fillId="18" borderId="24" xfId="0" applyNumberFormat="1" applyFont="1" applyFill="1" applyBorder="1" applyAlignment="1">
      <alignment horizontal="right"/>
    </xf>
    <xf numFmtId="1" fontId="19" fillId="18" borderId="0" xfId="0" applyNumberFormat="1" applyFont="1" applyFill="1" applyAlignment="1">
      <alignment horizontal="right"/>
    </xf>
    <xf numFmtId="1" fontId="19" fillId="18" borderId="26" xfId="0" applyNumberFormat="1" applyFont="1" applyFill="1" applyBorder="1" applyAlignment="1">
      <alignment horizontal="right"/>
    </xf>
    <xf numFmtId="1" fontId="19" fillId="18" borderId="17" xfId="0" applyNumberFormat="1" applyFont="1" applyFill="1" applyBorder="1" applyAlignment="1">
      <alignment horizontal="right"/>
    </xf>
    <xf numFmtId="4" fontId="17" fillId="23" borderId="28" xfId="0" applyNumberFormat="1" applyFont="1" applyFill="1" applyBorder="1" applyAlignment="1">
      <alignment horizontal="right"/>
    </xf>
    <xf numFmtId="1" fontId="19" fillId="18" borderId="18" xfId="0" applyNumberFormat="1" applyFont="1" applyFill="1" applyBorder="1" applyAlignment="1">
      <alignment horizontal="right"/>
    </xf>
    <xf numFmtId="4" fontId="0" fillId="23" borderId="22" xfId="0" applyNumberFormat="1" applyFill="1" applyBorder="1" applyAlignment="1">
      <alignment horizontal="right"/>
    </xf>
    <xf numFmtId="0" fontId="19" fillId="18" borderId="7" xfId="0" applyFont="1" applyFill="1" applyBorder="1" applyAlignment="1">
      <alignment horizontal="right" wrapText="1"/>
    </xf>
    <xf numFmtId="4" fontId="0" fillId="23" borderId="21" xfId="0" applyNumberFormat="1" applyFill="1" applyBorder="1" applyAlignment="1">
      <alignment horizontal="right"/>
    </xf>
    <xf numFmtId="4" fontId="0" fillId="23" borderId="14" xfId="0" applyNumberFormat="1" applyFill="1" applyBorder="1" applyAlignment="1">
      <alignment horizontal="right"/>
    </xf>
    <xf numFmtId="4" fontId="0" fillId="23" borderId="28" xfId="0" applyNumberFormat="1" applyFill="1" applyBorder="1" applyAlignment="1">
      <alignment horizontal="right"/>
    </xf>
    <xf numFmtId="4" fontId="19" fillId="18" borderId="15" xfId="0" applyNumberFormat="1" applyFont="1" applyFill="1" applyBorder="1" applyAlignment="1">
      <alignment horizontal="right"/>
    </xf>
    <xf numFmtId="4" fontId="21" fillId="12" borderId="30" xfId="0" applyNumberFormat="1" applyFont="1" applyFill="1" applyBorder="1" applyAlignment="1">
      <alignment horizontal="left"/>
    </xf>
    <xf numFmtId="4" fontId="21" fillId="12" borderId="31" xfId="0" applyNumberFormat="1" applyFont="1" applyFill="1" applyBorder="1" applyAlignment="1">
      <alignment horizontal="right"/>
    </xf>
    <xf numFmtId="4" fontId="21" fillId="12" borderId="13" xfId="0" applyNumberFormat="1" applyFont="1" applyFill="1" applyBorder="1" applyAlignment="1">
      <alignment horizontal="right"/>
    </xf>
    <xf numFmtId="4" fontId="17" fillId="10" borderId="83" xfId="0" applyNumberFormat="1" applyFont="1" applyFill="1" applyBorder="1" applyAlignment="1">
      <alignment horizontal="right"/>
    </xf>
    <xf numFmtId="164" fontId="17" fillId="10" borderId="57" xfId="7" applyFont="1" applyFill="1" applyBorder="1" applyAlignment="1"/>
    <xf numFmtId="4" fontId="17" fillId="10" borderId="89" xfId="0" applyNumberFormat="1" applyFont="1" applyFill="1" applyBorder="1" applyAlignment="1">
      <alignment horizontal="right"/>
    </xf>
    <xf numFmtId="4" fontId="17" fillId="10" borderId="90" xfId="0" applyNumberFormat="1" applyFont="1" applyFill="1" applyBorder="1" applyAlignment="1">
      <alignment horizontal="right"/>
    </xf>
    <xf numFmtId="4" fontId="17" fillId="10" borderId="91" xfId="0" applyNumberFormat="1" applyFont="1" applyFill="1" applyBorder="1" applyAlignment="1">
      <alignment horizontal="right"/>
    </xf>
    <xf numFmtId="0" fontId="19" fillId="10" borderId="93" xfId="0" applyFont="1" applyFill="1" applyBorder="1" applyAlignment="1">
      <alignment wrapText="1"/>
    </xf>
    <xf numFmtId="4" fontId="17" fillId="10" borderId="93" xfId="0" applyNumberFormat="1" applyFont="1" applyFill="1" applyBorder="1" applyAlignment="1">
      <alignment horizontal="right"/>
    </xf>
    <xf numFmtId="164" fontId="17" fillId="10" borderId="93" xfId="7" applyFont="1" applyFill="1" applyBorder="1" applyAlignment="1"/>
    <xf numFmtId="4" fontId="17" fillId="10" borderId="94" xfId="0" applyNumberFormat="1" applyFont="1" applyFill="1" applyBorder="1" applyAlignment="1">
      <alignment horizontal="right"/>
    </xf>
    <xf numFmtId="1" fontId="19" fillId="18" borderId="32" xfId="0" applyNumberFormat="1" applyFont="1" applyFill="1" applyBorder="1" applyAlignment="1">
      <alignment horizontal="right"/>
    </xf>
    <xf numFmtId="4" fontId="0" fillId="23" borderId="55" xfId="0" applyNumberFormat="1" applyFill="1" applyBorder="1" applyAlignment="1">
      <alignment horizontal="right"/>
    </xf>
    <xf numFmtId="1" fontId="19" fillId="18" borderId="57" xfId="0" applyNumberFormat="1" applyFont="1" applyFill="1" applyBorder="1" applyAlignment="1">
      <alignment horizontal="right"/>
    </xf>
    <xf numFmtId="4" fontId="0" fillId="23" borderId="81" xfId="0" applyNumberFormat="1" applyFill="1" applyBorder="1" applyAlignment="1">
      <alignment horizontal="right"/>
    </xf>
    <xf numFmtId="4" fontId="0" fillId="23" borderId="92" xfId="0" applyNumberFormat="1" applyFill="1" applyBorder="1" applyAlignment="1">
      <alignment horizontal="right"/>
    </xf>
    <xf numFmtId="1" fontId="19" fillId="18" borderId="93" xfId="0" applyNumberFormat="1" applyFont="1" applyFill="1" applyBorder="1" applyAlignment="1">
      <alignment horizontal="right"/>
    </xf>
    <xf numFmtId="4" fontId="17" fillId="23" borderId="7" xfId="0" applyNumberFormat="1" applyFont="1" applyFill="1" applyBorder="1" applyAlignment="1">
      <alignment horizontal="right"/>
    </xf>
    <xf numFmtId="1" fontId="19" fillId="18" borderId="19" xfId="0" applyNumberFormat="1" applyFont="1" applyFill="1" applyBorder="1" applyAlignment="1">
      <alignment horizontal="right"/>
    </xf>
    <xf numFmtId="4" fontId="17" fillId="18" borderId="55" xfId="0" applyNumberFormat="1" applyFont="1" applyFill="1" applyBorder="1" applyAlignment="1">
      <alignment horizontal="right"/>
    </xf>
    <xf numFmtId="1" fontId="19" fillId="18" borderId="58" xfId="0" applyNumberFormat="1" applyFont="1" applyFill="1" applyBorder="1" applyAlignment="1">
      <alignment horizontal="right"/>
    </xf>
    <xf numFmtId="4" fontId="17" fillId="18" borderId="59" xfId="0" applyNumberFormat="1" applyFont="1" applyFill="1" applyBorder="1" applyAlignment="1">
      <alignment horizontal="right"/>
    </xf>
    <xf numFmtId="1" fontId="19" fillId="18" borderId="25" xfId="0" applyNumberFormat="1" applyFont="1" applyFill="1" applyBorder="1" applyAlignment="1">
      <alignment horizontal="right"/>
    </xf>
    <xf numFmtId="1" fontId="3" fillId="16" borderId="3" xfId="0" applyNumberFormat="1" applyFont="1" applyFill="1" applyBorder="1" applyAlignment="1">
      <alignment horizontal="right"/>
    </xf>
    <xf numFmtId="1" fontId="3" fillId="16" borderId="2" xfId="0" applyNumberFormat="1" applyFont="1" applyFill="1" applyBorder="1" applyAlignment="1">
      <alignment horizontal="right"/>
    </xf>
    <xf numFmtId="1" fontId="3" fillId="16" borderId="4" xfId="0" applyNumberFormat="1" applyFont="1" applyFill="1" applyBorder="1" applyAlignment="1">
      <alignment horizontal="right"/>
    </xf>
    <xf numFmtId="4" fontId="0" fillId="23" borderId="86" xfId="0" applyNumberFormat="1" applyFill="1" applyBorder="1" applyAlignment="1">
      <alignment horizontal="right"/>
    </xf>
    <xf numFmtId="1" fontId="3" fillId="16" borderId="56" xfId="0" applyNumberFormat="1" applyFont="1" applyFill="1" applyBorder="1" applyAlignment="1">
      <alignment horizontal="right"/>
    </xf>
    <xf numFmtId="4" fontId="0" fillId="23" borderId="59" xfId="0" applyNumberFormat="1" applyFill="1" applyBorder="1" applyAlignment="1">
      <alignment horizontal="right"/>
    </xf>
    <xf numFmtId="4" fontId="0" fillId="23" borderId="61" xfId="0" applyNumberFormat="1" applyFill="1" applyBorder="1" applyAlignment="1">
      <alignment horizontal="right"/>
    </xf>
    <xf numFmtId="1" fontId="3" fillId="16" borderId="62" xfId="0" applyNumberFormat="1" applyFont="1" applyFill="1" applyBorder="1" applyAlignment="1">
      <alignment horizontal="right"/>
    </xf>
    <xf numFmtId="4" fontId="21" fillId="12" borderId="61" xfId="0" applyNumberFormat="1" applyFont="1" applyFill="1" applyBorder="1" applyAlignment="1">
      <alignment horizontal="right"/>
    </xf>
    <xf numFmtId="4" fontId="21" fillId="12" borderId="82" xfId="0" applyNumberFormat="1" applyFont="1" applyFill="1" applyBorder="1" applyAlignment="1">
      <alignment vertical="center"/>
    </xf>
    <xf numFmtId="4" fontId="17" fillId="10" borderId="95" xfId="0" applyNumberFormat="1" applyFont="1" applyFill="1" applyBorder="1" applyAlignment="1">
      <alignment horizontal="right"/>
    </xf>
    <xf numFmtId="4" fontId="0" fillId="18" borderId="66" xfId="0" applyNumberFormat="1" applyFill="1" applyBorder="1" applyAlignment="1">
      <alignment horizontal="right"/>
    </xf>
    <xf numFmtId="4" fontId="22" fillId="18" borderId="2" xfId="0" applyNumberFormat="1" applyFont="1" applyFill="1" applyBorder="1" applyAlignment="1">
      <alignment horizontal="right"/>
    </xf>
    <xf numFmtId="1" fontId="19" fillId="18" borderId="4" xfId="0" applyNumberFormat="1" applyFont="1" applyFill="1" applyBorder="1" applyAlignment="1">
      <alignment horizontal="right"/>
    </xf>
    <xf numFmtId="4" fontId="17" fillId="18" borderId="67" xfId="0" applyNumberFormat="1" applyFont="1" applyFill="1" applyBorder="1" applyAlignment="1">
      <alignment horizontal="right"/>
    </xf>
    <xf numFmtId="1" fontId="19" fillId="18" borderId="83" xfId="0" applyNumberFormat="1" applyFont="1" applyFill="1" applyBorder="1" applyAlignment="1">
      <alignment horizontal="right"/>
    </xf>
    <xf numFmtId="1" fontId="19" fillId="18" borderId="3" xfId="0" applyNumberFormat="1" applyFont="1" applyFill="1" applyBorder="1" applyAlignment="1">
      <alignment horizontal="right"/>
    </xf>
    <xf numFmtId="0" fontId="19" fillId="18" borderId="2" xfId="0" applyFont="1" applyFill="1" applyBorder="1" applyAlignment="1">
      <alignment horizontal="right" wrapText="1"/>
    </xf>
    <xf numFmtId="4" fontId="19" fillId="18" borderId="62" xfId="0" applyNumberFormat="1" applyFont="1" applyFill="1" applyBorder="1" applyAlignment="1">
      <alignment wrapText="1"/>
    </xf>
    <xf numFmtId="4" fontId="17" fillId="18" borderId="69" xfId="0" applyNumberFormat="1" applyFont="1" applyFill="1" applyBorder="1" applyAlignment="1">
      <alignment horizontal="right"/>
    </xf>
    <xf numFmtId="4" fontId="17" fillId="18" borderId="80" xfId="0" applyNumberFormat="1" applyFont="1" applyFill="1" applyBorder="1" applyAlignment="1">
      <alignment horizontal="right"/>
    </xf>
    <xf numFmtId="1" fontId="19" fillId="18" borderId="62" xfId="0" applyNumberFormat="1" applyFont="1" applyFill="1" applyBorder="1" applyAlignment="1">
      <alignment horizontal="right"/>
    </xf>
    <xf numFmtId="4" fontId="0" fillId="18" borderId="52" xfId="0" applyNumberFormat="1" applyFill="1" applyBorder="1" applyAlignment="1">
      <alignment horizontal="right"/>
    </xf>
    <xf numFmtId="1" fontId="19" fillId="18" borderId="78" xfId="0" applyNumberFormat="1" applyFont="1" applyFill="1" applyBorder="1" applyAlignment="1">
      <alignment horizontal="right"/>
    </xf>
    <xf numFmtId="0" fontId="0" fillId="0" borderId="0" xfId="0" applyFill="1"/>
    <xf numFmtId="4" fontId="17" fillId="0" borderId="37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Alignment="1">
      <alignment horizontal="center" vertical="top"/>
    </xf>
    <xf numFmtId="4" fontId="21" fillId="0" borderId="0" xfId="0" applyNumberFormat="1" applyFont="1" applyFill="1" applyAlignment="1">
      <alignment horizontal="left" vertical="center"/>
    </xf>
    <xf numFmtId="4" fontId="17" fillId="0" borderId="0" xfId="0" applyNumberFormat="1" applyFont="1" applyFill="1" applyAlignment="1">
      <alignment horizontal="center" vertical="center"/>
    </xf>
    <xf numFmtId="4" fontId="31" fillId="12" borderId="10" xfId="0" applyNumberFormat="1" applyFont="1" applyFill="1" applyBorder="1" applyAlignment="1">
      <alignment horizontal="center"/>
    </xf>
    <xf numFmtId="4" fontId="32" fillId="12" borderId="47" xfId="0" applyNumberFormat="1" applyFont="1" applyFill="1" applyBorder="1" applyAlignment="1">
      <alignment horizontal="left"/>
    </xf>
    <xf numFmtId="4" fontId="33" fillId="0" borderId="0" xfId="0" applyNumberFormat="1" applyFont="1" applyFill="1" applyAlignment="1">
      <alignment horizontal="center"/>
    </xf>
    <xf numFmtId="0" fontId="31" fillId="12" borderId="8" xfId="0" applyFont="1" applyFill="1" applyBorder="1" applyAlignment="1">
      <alignment horizontal="center"/>
    </xf>
    <xf numFmtId="0" fontId="31" fillId="12" borderId="9" xfId="0" applyFont="1" applyFill="1" applyBorder="1" applyAlignment="1">
      <alignment horizontal="center"/>
    </xf>
    <xf numFmtId="4" fontId="31" fillId="12" borderId="9" xfId="0" applyNumberFormat="1" applyFont="1" applyFill="1" applyBorder="1" applyAlignment="1">
      <alignment horizontal="center" wrapText="1"/>
    </xf>
    <xf numFmtId="0" fontId="31" fillId="12" borderId="46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 vertical="center" wrapText="1"/>
    </xf>
    <xf numFmtId="49" fontId="17" fillId="15" borderId="7" xfId="0" applyNumberFormat="1" applyFont="1" applyFill="1" applyBorder="1" applyAlignment="1">
      <alignment horizontal="center"/>
    </xf>
    <xf numFmtId="49" fontId="21" fillId="15" borderId="7" xfId="0" applyNumberFormat="1" applyFont="1" applyFill="1" applyBorder="1" applyAlignment="1">
      <alignment horizontal="center" vertical="center"/>
    </xf>
    <xf numFmtId="0" fontId="21" fillId="15" borderId="7" xfId="0" applyFont="1" applyFill="1" applyBorder="1" applyAlignment="1">
      <alignment horizontal="center" vertical="center"/>
    </xf>
    <xf numFmtId="164" fontId="21" fillId="15" borderId="7" xfId="7" applyFont="1" applyFill="1" applyBorder="1" applyAlignment="1">
      <alignment horizontal="center" vertical="center"/>
    </xf>
    <xf numFmtId="49" fontId="30" fillId="10" borderId="0" xfId="0" applyNumberFormat="1" applyFont="1" applyFill="1" applyAlignment="1">
      <alignment horizontal="center" vertical="top"/>
    </xf>
    <xf numFmtId="49" fontId="30" fillId="10" borderId="36" xfId="0" applyNumberFormat="1" applyFont="1" applyFill="1" applyBorder="1" applyAlignment="1">
      <alignment horizontal="center" vertical="top"/>
    </xf>
  </cellXfs>
  <cellStyles count="28">
    <cellStyle name="Accent" xfId="1"/>
    <cellStyle name="Accent 1" xfId="2"/>
    <cellStyle name="Accent 2" xfId="3"/>
    <cellStyle name="Accent 3" xfId="4"/>
    <cellStyle name="Bad" xfId="5"/>
    <cellStyle name="Error" xfId="6"/>
    <cellStyle name="Excel_BuiltIn_Comma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Moeda 2" xfId="14"/>
    <cellStyle name="Neutral" xfId="15"/>
    <cellStyle name="Normal" xfId="0" builtinId="0" customBuiltin="1"/>
    <cellStyle name="Note" xfId="16"/>
    <cellStyle name="Porcentagem" xfId="17" builtinId="5" customBuiltin="1"/>
    <cellStyle name="Porcentagem 2 10" xfId="18"/>
    <cellStyle name="Porcentagem 2 2 2 2" xfId="19"/>
    <cellStyle name="Result (user)" xfId="20"/>
    <cellStyle name="Separador de milhares 2" xfId="21"/>
    <cellStyle name="Separador de milhares 2 2" xfId="22"/>
    <cellStyle name="Status" xfId="23"/>
    <cellStyle name="Text" xfId="24"/>
    <cellStyle name="Vírgula" xfId="25" builtinId="3" customBuiltin="1"/>
    <cellStyle name="Vírgula 2" xfId="26"/>
    <cellStyle name="Warning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1199162</xdr:colOff>
      <xdr:row>6</xdr:row>
      <xdr:rowOff>48243</xdr:rowOff>
    </xdr:from>
    <xdr:ext cx="3965396" cy="781199"/>
    <xdr:sp macro="" textlink="">
      <xdr:nvSpPr>
        <xdr:cNvPr id="2" name="Text Box 6"/>
        <xdr:cNvSpPr/>
      </xdr:nvSpPr>
      <xdr:spPr>
        <a:xfrm>
          <a:off x="2608862" y="1134093"/>
          <a:ext cx="3965396" cy="78119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7358" tIns="22677" rIns="27358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GOVERNO DO ESTADO DE MATO GROSSO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SECRETARIA DE SEGURANÇA PUBLICA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DEPARTAMENTO ESTADUAL DE TRÂNSITO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GERENCIA DE OBRAS E PATRIMONIO IMOBILIÁRIO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171001</xdr:colOff>
      <xdr:row>1</xdr:row>
      <xdr:rowOff>28803</xdr:rowOff>
    </xdr:from>
    <xdr:ext cx="4586758" cy="752761"/>
    <xdr:sp macro="" textlink="">
      <xdr:nvSpPr>
        <xdr:cNvPr id="2" name="Text Box 4"/>
        <xdr:cNvSpPr/>
      </xdr:nvSpPr>
      <xdr:spPr>
        <a:xfrm>
          <a:off x="2485576" y="209778"/>
          <a:ext cx="4586758" cy="752761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solidFill>
          <a:srgbClr val="FFFFFF"/>
        </a:solidFill>
        <a:ln cap="flat">
          <a:noFill/>
          <a:prstDash val="solid"/>
        </a:ln>
      </xdr:spPr>
      <xdr:txBody>
        <a:bodyPr vert="horz" wrap="square" lIns="27358" tIns="22677" rIns="27358" bIns="0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GOVERNO DO ESTADO DE MATO GROSSO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SECRETARIA DE ESTADO DE JUSTIÇA E SEGURANÇA PÚBLICA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DEPARTAMENTO ESTADUAL DE TRÂNSITO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0" i="0" u="none" strike="noStrike" kern="1200" cap="none" spc="0" baseline="0">
              <a:solidFill>
                <a:srgbClr val="000000"/>
              </a:solidFill>
              <a:uFillTx/>
              <a:latin typeface="Arial" pitchFamily="18"/>
              <a:ea typeface="Segoe UI" pitchFamily="2"/>
              <a:cs typeface="Arial" pitchFamily="2"/>
            </a:rPr>
            <a:t>COORDENADORIA DE ENGENHARIA</a:t>
          </a:r>
        </a:p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000" b="0" i="0" u="none" strike="noStrike" kern="1200" cap="none" spc="0" baseline="0">
            <a:solidFill>
              <a:srgbClr val="000000"/>
            </a:solidFill>
            <a:uFillTx/>
            <a:latin typeface="Arial" pitchFamily="18"/>
            <a:ea typeface="Segoe UI" pitchFamily="2"/>
            <a:cs typeface="Arial" pitchFamily="2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0</xdr:row>
          <xdr:rowOff>142875</xdr:rowOff>
        </xdr:from>
        <xdr:to>
          <xdr:col>17</xdr:col>
          <xdr:colOff>933450</xdr:colOff>
          <xdr:row>6</xdr:row>
          <xdr:rowOff>47625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png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R331"/>
  <sheetViews>
    <sheetView view="pageBreakPreview" zoomScale="60" zoomScaleNormal="100" workbookViewId="0">
      <selection activeCell="L19" sqref="L19"/>
    </sheetView>
  </sheetViews>
  <sheetFormatPr defaultColWidth="8.375" defaultRowHeight="14.25"/>
  <cols>
    <col min="1" max="1" width="6.75" style="1" customWidth="1"/>
    <col min="2" max="2" width="11.75" style="2" customWidth="1"/>
    <col min="3" max="3" width="63.625" style="3" customWidth="1"/>
    <col min="4" max="4" width="5.125" style="4" customWidth="1"/>
    <col min="5" max="5" width="9.75" style="4" customWidth="1"/>
    <col min="6" max="6" width="9.5" style="5" customWidth="1"/>
    <col min="7" max="7" width="8.875" style="4" customWidth="1"/>
    <col min="8" max="8" width="12.375" style="4" customWidth="1"/>
    <col min="9" max="9" width="11.125" style="5" customWidth="1"/>
    <col min="10" max="10" width="14.625" style="6" customWidth="1"/>
    <col min="11" max="11" width="11.625" style="5" customWidth="1"/>
    <col min="12" max="12" width="19.25" style="5" customWidth="1"/>
    <col min="13" max="13" width="13.375" style="7" customWidth="1"/>
    <col min="14" max="14" width="9.125" style="7" customWidth="1"/>
    <col min="15" max="15" width="9.5" style="7" customWidth="1"/>
    <col min="16" max="16" width="8.5" style="8" customWidth="1"/>
    <col min="17" max="17" width="8.5" style="9" customWidth="1"/>
    <col min="18" max="18" width="14.25" customWidth="1"/>
  </cols>
  <sheetData>
    <row r="10" spans="1:14">
      <c r="K10" s="10"/>
      <c r="N10" s="11"/>
    </row>
    <row r="11" spans="1:14">
      <c r="N11" s="11"/>
    </row>
    <row r="12" spans="1:14">
      <c r="N12" s="11"/>
    </row>
    <row r="13" spans="1:14" ht="15.75">
      <c r="A13" s="664" t="s">
        <v>0</v>
      </c>
      <c r="B13" s="664"/>
      <c r="C13" s="664"/>
      <c r="D13" s="664"/>
      <c r="E13" s="664"/>
      <c r="F13" s="664"/>
      <c r="G13" s="664"/>
      <c r="H13" s="664"/>
      <c r="I13" s="12"/>
      <c r="J13" s="13"/>
      <c r="K13" s="12"/>
      <c r="L13" s="12"/>
    </row>
    <row r="14" spans="1:14">
      <c r="B14" s="14"/>
      <c r="C14" s="15"/>
      <c r="D14" s="16"/>
      <c r="E14" s="662"/>
      <c r="F14" s="662"/>
      <c r="G14" s="662"/>
      <c r="H14" s="662"/>
      <c r="I14" s="18"/>
      <c r="J14" s="19"/>
      <c r="K14" s="18"/>
      <c r="L14" s="18"/>
    </row>
    <row r="15" spans="1:14">
      <c r="A15" s="665" t="s">
        <v>861</v>
      </c>
      <c r="B15" s="665"/>
      <c r="C15" s="665"/>
      <c r="E15" s="16"/>
      <c r="F15" s="18"/>
      <c r="G15" s="16"/>
      <c r="H15" s="16"/>
    </row>
    <row r="16" spans="1:14">
      <c r="A16" s="665" t="s">
        <v>1</v>
      </c>
      <c r="B16" s="665"/>
      <c r="C16" s="665"/>
      <c r="E16" s="666" t="s">
        <v>823</v>
      </c>
      <c r="F16" s="666"/>
      <c r="G16" s="666"/>
      <c r="H16" s="666"/>
    </row>
    <row r="17" spans="1:17" ht="12.75" customHeight="1">
      <c r="A17" s="665" t="s">
        <v>824</v>
      </c>
      <c r="B17" s="665"/>
      <c r="C17" s="665"/>
      <c r="E17" s="662"/>
      <c r="F17" s="662"/>
      <c r="G17" s="662"/>
      <c r="H17" s="662"/>
      <c r="J17" s="590">
        <v>1.2763</v>
      </c>
    </row>
    <row r="18" spans="1:17" ht="12.75" customHeight="1">
      <c r="B18" s="14"/>
      <c r="C18" s="15"/>
      <c r="D18" s="16"/>
      <c r="E18" s="662"/>
      <c r="F18" s="662"/>
      <c r="G18" s="662"/>
      <c r="H18" s="662"/>
      <c r="I18" s="18"/>
      <c r="J18" s="19"/>
      <c r="K18" s="18"/>
      <c r="L18" s="18"/>
    </row>
    <row r="19" spans="1:17" ht="13.5" customHeight="1" thickBot="1">
      <c r="B19" s="14"/>
      <c r="C19" s="15"/>
      <c r="D19" s="16"/>
      <c r="E19" s="663" t="s">
        <v>2</v>
      </c>
      <c r="F19" s="663"/>
      <c r="G19" s="663"/>
      <c r="H19" s="663"/>
      <c r="I19" s="18"/>
      <c r="J19" s="19"/>
      <c r="K19" s="18"/>
      <c r="L19" s="18"/>
    </row>
    <row r="20" spans="1:17" s="27" customFormat="1" ht="15.75" customHeight="1" thickBot="1">
      <c r="A20" s="20" t="s">
        <v>3</v>
      </c>
      <c r="B20" s="21" t="s">
        <v>4</v>
      </c>
      <c r="C20" s="21" t="s">
        <v>5</v>
      </c>
      <c r="D20" s="21" t="s">
        <v>6</v>
      </c>
      <c r="E20" s="21" t="s">
        <v>7</v>
      </c>
      <c r="F20" s="22" t="s">
        <v>8</v>
      </c>
      <c r="G20" s="21" t="s">
        <v>8</v>
      </c>
      <c r="H20" s="23" t="s">
        <v>9</v>
      </c>
      <c r="I20" s="24"/>
      <c r="J20" s="25"/>
      <c r="K20" s="24"/>
      <c r="L20" s="24"/>
      <c r="M20" s="7"/>
      <c r="N20" s="7"/>
      <c r="O20" s="7"/>
      <c r="P20" s="8"/>
      <c r="Q20" s="26"/>
    </row>
    <row r="21" spans="1:17" s="27" customFormat="1" ht="18" customHeight="1" thickBot="1">
      <c r="A21" s="28" t="s">
        <v>10</v>
      </c>
      <c r="B21" s="29"/>
      <c r="C21" s="29" t="s">
        <v>11</v>
      </c>
      <c r="D21" s="29"/>
      <c r="E21" s="29"/>
      <c r="F21" s="30" t="s">
        <v>12</v>
      </c>
      <c r="G21" s="29" t="s">
        <v>13</v>
      </c>
      <c r="H21" s="31"/>
      <c r="I21" s="24"/>
      <c r="J21" s="25"/>
      <c r="K21" s="24"/>
      <c r="L21" s="24"/>
      <c r="M21" s="7"/>
      <c r="N21" s="7"/>
      <c r="O21" s="7"/>
      <c r="P21" s="8"/>
      <c r="Q21" s="26"/>
    </row>
    <row r="22" spans="1:17" s="43" customFormat="1" ht="12.75">
      <c r="A22" s="597" t="s">
        <v>14</v>
      </c>
      <c r="B22" s="598">
        <v>90777</v>
      </c>
      <c r="C22" s="33" t="s">
        <v>15</v>
      </c>
      <c r="D22" s="34" t="s">
        <v>16</v>
      </c>
      <c r="E22" s="34">
        <f>TRUNC(I22,2)</f>
        <v>96</v>
      </c>
      <c r="F22" s="35">
        <f>J22</f>
        <v>81.02</v>
      </c>
      <c r="G22" s="34">
        <f>TRUNC(J22*J$17,2)</f>
        <v>103.4</v>
      </c>
      <c r="H22" s="36">
        <f>TRUNC(E22*G22,2)</f>
        <v>9926.4</v>
      </c>
      <c r="I22" s="37">
        <f>2*2*4*6</f>
        <v>96</v>
      </c>
      <c r="J22" s="38">
        <v>81.02</v>
      </c>
      <c r="K22" s="39"/>
      <c r="L22" s="39"/>
      <c r="M22" s="40"/>
      <c r="N22" s="40"/>
      <c r="O22" s="40"/>
      <c r="P22" s="41"/>
      <c r="Q22" s="42"/>
    </row>
    <row r="23" spans="1:17" s="43" customFormat="1" ht="12.75">
      <c r="A23" s="597" t="s">
        <v>17</v>
      </c>
      <c r="B23" s="598">
        <v>90776</v>
      </c>
      <c r="C23" s="44" t="s">
        <v>18</v>
      </c>
      <c r="D23" s="45" t="s">
        <v>16</v>
      </c>
      <c r="E23" s="34">
        <f>TRUNC(I23,2)</f>
        <v>660</v>
      </c>
      <c r="F23" s="35">
        <f>J23</f>
        <v>20.72</v>
      </c>
      <c r="G23" s="45">
        <f>TRUNC(J23*J$17,2)</f>
        <v>26.44</v>
      </c>
      <c r="H23" s="36">
        <f>TRUNC(E23*G23,2)</f>
        <v>17450.400000000001</v>
      </c>
      <c r="I23" s="46">
        <f>3*220</f>
        <v>660</v>
      </c>
      <c r="J23" s="38">
        <v>20.72</v>
      </c>
      <c r="K23" s="39"/>
      <c r="L23" s="39"/>
      <c r="M23" s="40"/>
      <c r="N23" s="40"/>
      <c r="O23" s="40"/>
      <c r="P23" s="41"/>
      <c r="Q23" s="42"/>
    </row>
    <row r="24" spans="1:17" s="43" customFormat="1" ht="12.75">
      <c r="A24" s="597" t="s">
        <v>19</v>
      </c>
      <c r="B24" s="598" t="s">
        <v>20</v>
      </c>
      <c r="C24" s="44" t="s">
        <v>21</v>
      </c>
      <c r="D24" s="45" t="s">
        <v>22</v>
      </c>
      <c r="E24" s="34">
        <f>TRUNC(I24,2)</f>
        <v>3.12</v>
      </c>
      <c r="F24" s="35">
        <f>J24</f>
        <v>321.61</v>
      </c>
      <c r="G24" s="45">
        <f>TRUNC(J24*J$17,2)</f>
        <v>410.47</v>
      </c>
      <c r="H24" s="36">
        <f>TRUNC(E24*G24,2)</f>
        <v>1280.6600000000001</v>
      </c>
      <c r="I24" s="46">
        <f>2.5*1.25</f>
        <v>3.125</v>
      </c>
      <c r="J24" s="47">
        <v>321.61</v>
      </c>
      <c r="K24" s="39"/>
      <c r="L24" s="39"/>
      <c r="M24" s="40"/>
      <c r="N24" s="40"/>
      <c r="O24" s="40"/>
      <c r="P24" s="41"/>
      <c r="Q24" s="42"/>
    </row>
    <row r="25" spans="1:17" s="43" customFormat="1" ht="13.5" thickBot="1">
      <c r="A25" s="597" t="s">
        <v>23</v>
      </c>
      <c r="B25" s="598" t="s">
        <v>20</v>
      </c>
      <c r="C25" s="48" t="s">
        <v>24</v>
      </c>
      <c r="D25" s="49" t="s">
        <v>25</v>
      </c>
      <c r="E25" s="50">
        <f>TRUNC(I25,2)</f>
        <v>6</v>
      </c>
      <c r="F25" s="35">
        <f>J25</f>
        <v>360</v>
      </c>
      <c r="G25" s="49">
        <f>TRUNC(J25*J$17,2)</f>
        <v>459.46</v>
      </c>
      <c r="H25" s="51">
        <f>TRUNC(E25*G25,2)</f>
        <v>2756.76</v>
      </c>
      <c r="I25" s="46">
        <v>6</v>
      </c>
      <c r="J25" s="47">
        <v>360</v>
      </c>
      <c r="K25" s="39"/>
      <c r="L25" s="39"/>
      <c r="M25" s="40"/>
      <c r="N25" s="40"/>
      <c r="O25" s="40"/>
      <c r="P25" s="41"/>
      <c r="Q25" s="42"/>
    </row>
    <row r="26" spans="1:17" s="27" customFormat="1" ht="13.5" thickBot="1">
      <c r="A26" s="52"/>
      <c r="B26" s="21"/>
      <c r="C26" s="21" t="s">
        <v>26</v>
      </c>
      <c r="D26" s="53"/>
      <c r="E26" s="53"/>
      <c r="F26" s="53"/>
      <c r="G26" s="53"/>
      <c r="H26" s="54">
        <f>SUM(H22:H25)</f>
        <v>31414.22</v>
      </c>
      <c r="I26" s="24"/>
      <c r="J26" s="25"/>
      <c r="K26" s="24"/>
      <c r="L26" s="55"/>
      <c r="M26" s="7"/>
      <c r="N26" s="7"/>
      <c r="O26" s="7"/>
      <c r="P26" s="8"/>
      <c r="Q26" s="26"/>
    </row>
    <row r="27" spans="1:17" s="27" customFormat="1" ht="5.25" customHeight="1" thickBot="1">
      <c r="A27" s="56"/>
      <c r="B27" s="57"/>
      <c r="C27" s="58"/>
      <c r="D27" s="59"/>
      <c r="E27" s="60"/>
      <c r="F27" s="60"/>
      <c r="G27" s="61"/>
      <c r="H27" s="62"/>
      <c r="I27" s="24"/>
      <c r="J27" s="25"/>
      <c r="K27" s="24"/>
      <c r="L27" s="24"/>
      <c r="M27" s="7"/>
      <c r="N27" s="7"/>
      <c r="O27" s="7"/>
      <c r="P27" s="8"/>
      <c r="Q27" s="26"/>
    </row>
    <row r="28" spans="1:17" s="27" customFormat="1" ht="13.5" thickBot="1">
      <c r="A28" s="52" t="s">
        <v>27</v>
      </c>
      <c r="B28" s="21"/>
      <c r="C28" s="21" t="s">
        <v>28</v>
      </c>
      <c r="D28" s="21"/>
      <c r="E28" s="21"/>
      <c r="F28" s="22"/>
      <c r="G28" s="21"/>
      <c r="H28" s="23"/>
      <c r="I28" s="24"/>
      <c r="J28" s="25"/>
      <c r="K28" s="24"/>
      <c r="L28" s="24"/>
      <c r="M28" s="7"/>
      <c r="N28" s="7"/>
      <c r="O28" s="7"/>
      <c r="P28" s="8"/>
      <c r="Q28" s="26"/>
    </row>
    <row r="29" spans="1:17" s="63" customFormat="1" ht="24" customHeight="1">
      <c r="A29" s="599" t="s">
        <v>29</v>
      </c>
      <c r="B29" s="600">
        <v>97647</v>
      </c>
      <c r="C29" s="33" t="s">
        <v>30</v>
      </c>
      <c r="D29" s="34" t="s">
        <v>22</v>
      </c>
      <c r="E29" s="34">
        <f>TRUNC(I29,2)</f>
        <v>242.93</v>
      </c>
      <c r="F29" s="35">
        <f t="shared" ref="F29:F41" si="0">J29</f>
        <v>2.4500000000000002</v>
      </c>
      <c r="G29" s="34">
        <f t="shared" ref="G29:G41" si="1">TRUNC(J29*J$17,2)</f>
        <v>3.12</v>
      </c>
      <c r="H29" s="36">
        <f t="shared" ref="H29:H41" si="2">TRUNC(E29*G29,2)</f>
        <v>757.94</v>
      </c>
      <c r="I29" s="46">
        <f>185.28+57.65</f>
        <v>242.93</v>
      </c>
      <c r="J29" s="47">
        <v>2.4500000000000002</v>
      </c>
      <c r="K29" s="46"/>
      <c r="L29" s="46"/>
      <c r="M29" s="40"/>
      <c r="N29" s="40"/>
      <c r="O29" s="40"/>
      <c r="P29" s="41"/>
      <c r="Q29" s="40"/>
    </row>
    <row r="30" spans="1:17" s="63" customFormat="1" ht="24" customHeight="1">
      <c r="A30" s="599" t="s">
        <v>31</v>
      </c>
      <c r="B30" s="601">
        <v>97650</v>
      </c>
      <c r="C30" s="33" t="s">
        <v>32</v>
      </c>
      <c r="D30" s="45" t="s">
        <v>22</v>
      </c>
      <c r="E30" s="34">
        <f>TRUNC(I30,2)</f>
        <v>242.93</v>
      </c>
      <c r="F30" s="35">
        <f t="shared" si="0"/>
        <v>5.27</v>
      </c>
      <c r="G30" s="45">
        <f t="shared" si="1"/>
        <v>6.72</v>
      </c>
      <c r="H30" s="36">
        <f t="shared" si="2"/>
        <v>1632.48</v>
      </c>
      <c r="I30" s="46">
        <f>I29</f>
        <v>242.93</v>
      </c>
      <c r="J30" s="47">
        <v>5.27</v>
      </c>
      <c r="K30" s="46"/>
      <c r="L30" s="46"/>
      <c r="M30" s="40"/>
      <c r="N30" s="40"/>
      <c r="O30" s="40"/>
      <c r="P30" s="41"/>
      <c r="Q30" s="40"/>
    </row>
    <row r="31" spans="1:17" s="63" customFormat="1" ht="24" customHeight="1">
      <c r="A31" s="599" t="s">
        <v>33</v>
      </c>
      <c r="B31" s="601">
        <v>97640</v>
      </c>
      <c r="C31" s="33" t="s">
        <v>34</v>
      </c>
      <c r="D31" s="45" t="s">
        <v>22</v>
      </c>
      <c r="E31" s="34">
        <f>TRUNC(I31,2)</f>
        <v>226.82</v>
      </c>
      <c r="F31" s="35">
        <f t="shared" si="0"/>
        <v>1.1100000000000001</v>
      </c>
      <c r="G31" s="45">
        <f t="shared" si="1"/>
        <v>1.41</v>
      </c>
      <c r="H31" s="36">
        <f t="shared" si="2"/>
        <v>319.81</v>
      </c>
      <c r="I31" s="46">
        <f>3.99+1.99+12.69+44.68+8.9+4.27+4.27+14.73+29.97+9.12+20.2+20.2+47.81+4</f>
        <v>226.81999999999996</v>
      </c>
      <c r="J31" s="47">
        <v>1.1100000000000001</v>
      </c>
      <c r="K31" s="46"/>
      <c r="L31" s="46">
        <f>3.78+11.97+42.38+8.9+2.72+4.26+4.26+1.68+14.5+30.17+9.56+19.98+19.98+57.65</f>
        <v>231.79</v>
      </c>
      <c r="M31" s="40"/>
      <c r="N31" s="40"/>
      <c r="O31" s="40"/>
      <c r="P31" s="41"/>
      <c r="Q31" s="40"/>
    </row>
    <row r="32" spans="1:17" s="63" customFormat="1" ht="23.25">
      <c r="A32" s="599" t="s">
        <v>35</v>
      </c>
      <c r="B32" s="601">
        <v>97633</v>
      </c>
      <c r="C32" s="33" t="s">
        <v>36</v>
      </c>
      <c r="D32" s="64" t="s">
        <v>22</v>
      </c>
      <c r="E32" s="34">
        <f>TRUNC(I32,2)</f>
        <v>91.92</v>
      </c>
      <c r="F32" s="35">
        <f t="shared" si="0"/>
        <v>15.69</v>
      </c>
      <c r="G32" s="45">
        <f t="shared" si="1"/>
        <v>20.02</v>
      </c>
      <c r="H32" s="36">
        <f t="shared" si="2"/>
        <v>1840.23</v>
      </c>
      <c r="I32" s="46">
        <f>(2.2+2.2+4.05+4.05+1.4+1.4+1.4+1.4+3.05+3.05+3.05+3.05+1.9+1.9+2.1+2.1)*2.4</f>
        <v>91.92</v>
      </c>
      <c r="J32" s="47">
        <v>15.69</v>
      </c>
      <c r="K32" s="46"/>
      <c r="L32" s="65" t="s">
        <v>37</v>
      </c>
      <c r="M32" s="40"/>
      <c r="N32" s="40"/>
      <c r="O32" s="40"/>
      <c r="P32" s="41"/>
      <c r="Q32" s="40"/>
    </row>
    <row r="33" spans="1:18" s="63" customFormat="1" ht="12.75">
      <c r="A33" s="599" t="s">
        <v>38</v>
      </c>
      <c r="B33" s="601">
        <v>97645</v>
      </c>
      <c r="C33" s="33" t="s">
        <v>39</v>
      </c>
      <c r="D33" s="64" t="s">
        <v>22</v>
      </c>
      <c r="E33" s="34">
        <f>TRUNC(K33,2)</f>
        <v>22.74</v>
      </c>
      <c r="F33" s="35">
        <f t="shared" si="0"/>
        <v>23.93</v>
      </c>
      <c r="G33" s="45">
        <f t="shared" si="1"/>
        <v>30.54</v>
      </c>
      <c r="H33" s="36">
        <f t="shared" si="2"/>
        <v>694.47</v>
      </c>
      <c r="I33" s="46">
        <f>5*2*1.2+2*1.2*0.6+1*1.3*1+4*0.6*0.6</f>
        <v>16.18</v>
      </c>
      <c r="J33" s="47">
        <v>23.93</v>
      </c>
      <c r="K33" s="46">
        <f>7*2*1+4*0.8*0.6+2*0.6*0.6+4+2.1</f>
        <v>22.740000000000002</v>
      </c>
      <c r="L33" s="46">
        <f>5*2*1.2+2*1.2*0.6+1*1.3*1+4*0.6*0.6</f>
        <v>16.18</v>
      </c>
      <c r="M33" s="40"/>
      <c r="N33" s="40"/>
      <c r="O33" s="40"/>
      <c r="P33" s="41"/>
      <c r="Q33" s="40"/>
    </row>
    <row r="34" spans="1:18" s="63" customFormat="1" ht="12.75">
      <c r="A34" s="599" t="s">
        <v>40</v>
      </c>
      <c r="B34" s="602">
        <v>97644</v>
      </c>
      <c r="C34" s="66" t="s">
        <v>41</v>
      </c>
      <c r="D34" s="45" t="s">
        <v>22</v>
      </c>
      <c r="E34" s="34">
        <f t="shared" ref="E34:E41" si="3">TRUNC(I34,2)</f>
        <v>18.48</v>
      </c>
      <c r="F34" s="35">
        <f t="shared" si="0"/>
        <v>6.39</v>
      </c>
      <c r="G34" s="45">
        <f t="shared" si="1"/>
        <v>8.15</v>
      </c>
      <c r="H34" s="36">
        <f t="shared" si="2"/>
        <v>150.61000000000001</v>
      </c>
      <c r="I34" s="46">
        <f>2*0.9*2.1+7*0.8*2.1+2*0.7*2.1</f>
        <v>18.480000000000004</v>
      </c>
      <c r="J34" s="47">
        <v>6.39</v>
      </c>
      <c r="K34" s="46">
        <f>11*0.8*2.1+1*0.9*2.1</f>
        <v>20.370000000000005</v>
      </c>
      <c r="L34" s="46"/>
      <c r="M34" s="40"/>
      <c r="N34" s="40"/>
      <c r="O34" s="40"/>
      <c r="P34" s="41"/>
      <c r="Q34" s="40"/>
    </row>
    <row r="35" spans="1:18" s="63" customFormat="1" ht="22.5">
      <c r="A35" s="599" t="s">
        <v>42</v>
      </c>
      <c r="B35" s="598">
        <v>97631</v>
      </c>
      <c r="C35" s="67" t="s">
        <v>43</v>
      </c>
      <c r="D35" s="68" t="s">
        <v>22</v>
      </c>
      <c r="E35" s="34">
        <f t="shared" si="3"/>
        <v>91.92</v>
      </c>
      <c r="F35" s="35">
        <f t="shared" si="0"/>
        <v>2.29</v>
      </c>
      <c r="G35" s="45">
        <f t="shared" si="1"/>
        <v>2.92</v>
      </c>
      <c r="H35" s="36">
        <f t="shared" si="2"/>
        <v>268.39999999999998</v>
      </c>
      <c r="I35" s="6">
        <f>I32</f>
        <v>91.92</v>
      </c>
      <c r="J35" s="47">
        <v>2.29</v>
      </c>
      <c r="K35" s="69" t="s">
        <v>44</v>
      </c>
      <c r="L35" s="46"/>
      <c r="M35" s="40"/>
      <c r="N35" s="40"/>
      <c r="O35" s="40"/>
      <c r="P35" s="41"/>
      <c r="Q35" s="40"/>
    </row>
    <row r="36" spans="1:18" s="63" customFormat="1" ht="12.75">
      <c r="A36" s="599" t="s">
        <v>45</v>
      </c>
      <c r="B36" s="600">
        <v>97666</v>
      </c>
      <c r="C36" s="70" t="s">
        <v>46</v>
      </c>
      <c r="D36" s="45" t="s">
        <v>25</v>
      </c>
      <c r="E36" s="34">
        <f t="shared" si="3"/>
        <v>8</v>
      </c>
      <c r="F36" s="35">
        <f t="shared" si="0"/>
        <v>6.2</v>
      </c>
      <c r="G36" s="45">
        <f t="shared" si="1"/>
        <v>7.91</v>
      </c>
      <c r="H36" s="36">
        <f t="shared" si="2"/>
        <v>63.28</v>
      </c>
      <c r="I36" s="46">
        <v>8</v>
      </c>
      <c r="J36" s="47">
        <v>6.2</v>
      </c>
      <c r="K36" s="46"/>
      <c r="L36" s="46"/>
      <c r="M36" s="40"/>
      <c r="N36" s="40"/>
      <c r="O36" s="40"/>
      <c r="P36" s="41"/>
      <c r="Q36" s="40"/>
    </row>
    <row r="37" spans="1:18" s="17" customFormat="1" ht="23.25" customHeight="1">
      <c r="A37" s="599" t="s">
        <v>47</v>
      </c>
      <c r="B37" s="603">
        <v>97622</v>
      </c>
      <c r="C37" s="71" t="s">
        <v>48</v>
      </c>
      <c r="D37" s="68" t="s">
        <v>49</v>
      </c>
      <c r="E37" s="34">
        <f t="shared" si="3"/>
        <v>2.4</v>
      </c>
      <c r="F37" s="35">
        <f t="shared" si="0"/>
        <v>39.479999999999997</v>
      </c>
      <c r="G37" s="45">
        <f t="shared" si="1"/>
        <v>50.38</v>
      </c>
      <c r="H37" s="36">
        <f t="shared" si="2"/>
        <v>120.91</v>
      </c>
      <c r="I37" s="46">
        <f>(2.98+7.98*1.4+0.9*2.1)*0.15</f>
        <v>2.4063000000000003</v>
      </c>
      <c r="J37" s="47">
        <v>39.479999999999997</v>
      </c>
      <c r="K37" s="46"/>
      <c r="L37" s="46"/>
      <c r="M37" s="46">
        <f>11.7/2</f>
        <v>5.85</v>
      </c>
      <c r="N37" s="40"/>
      <c r="O37" s="40"/>
      <c r="P37" s="41"/>
      <c r="Q37" s="72"/>
      <c r="R37" s="72"/>
    </row>
    <row r="38" spans="1:18" s="17" customFormat="1" ht="12.75" customHeight="1">
      <c r="A38" s="599" t="s">
        <v>50</v>
      </c>
      <c r="B38" s="604">
        <v>97663</v>
      </c>
      <c r="C38" s="73" t="s">
        <v>51</v>
      </c>
      <c r="D38" s="68" t="s">
        <v>25</v>
      </c>
      <c r="E38" s="34">
        <f t="shared" si="3"/>
        <v>1</v>
      </c>
      <c r="F38" s="35">
        <f t="shared" si="0"/>
        <v>8.5</v>
      </c>
      <c r="G38" s="45">
        <f t="shared" si="1"/>
        <v>10.84</v>
      </c>
      <c r="H38" s="36">
        <f t="shared" si="2"/>
        <v>10.84</v>
      </c>
      <c r="I38" s="46">
        <v>1</v>
      </c>
      <c r="J38" s="47">
        <v>8.5</v>
      </c>
      <c r="K38" s="46"/>
      <c r="L38" s="46"/>
      <c r="M38" s="40"/>
      <c r="N38" s="40"/>
      <c r="O38" s="40"/>
      <c r="P38" s="41"/>
      <c r="Q38" s="72"/>
      <c r="R38" s="72"/>
    </row>
    <row r="39" spans="1:18" s="17" customFormat="1" ht="12.75" customHeight="1">
      <c r="A39" s="599" t="s">
        <v>52</v>
      </c>
      <c r="B39" s="604">
        <v>97663</v>
      </c>
      <c r="C39" s="71" t="s">
        <v>53</v>
      </c>
      <c r="D39" s="68" t="s">
        <v>25</v>
      </c>
      <c r="E39" s="34">
        <f t="shared" si="3"/>
        <v>4</v>
      </c>
      <c r="F39" s="35">
        <f t="shared" si="0"/>
        <v>8.5</v>
      </c>
      <c r="G39" s="45">
        <f t="shared" si="1"/>
        <v>10.84</v>
      </c>
      <c r="H39" s="36">
        <f t="shared" si="2"/>
        <v>43.36</v>
      </c>
      <c r="I39" s="46">
        <v>4</v>
      </c>
      <c r="J39" s="47">
        <v>8.5</v>
      </c>
      <c r="K39" s="46"/>
      <c r="L39" s="46"/>
      <c r="M39" s="40"/>
      <c r="N39" s="40"/>
      <c r="O39" s="40"/>
      <c r="P39" s="41"/>
      <c r="Q39" s="72"/>
      <c r="R39" s="72"/>
    </row>
    <row r="40" spans="1:18" s="17" customFormat="1" ht="12.75" customHeight="1">
      <c r="A40" s="599" t="s">
        <v>54</v>
      </c>
      <c r="B40" s="598">
        <v>97663</v>
      </c>
      <c r="C40" s="73" t="s">
        <v>55</v>
      </c>
      <c r="D40" s="49" t="s">
        <v>25</v>
      </c>
      <c r="E40" s="50">
        <f t="shared" si="3"/>
        <v>4</v>
      </c>
      <c r="F40" s="35">
        <f t="shared" si="0"/>
        <v>8.5</v>
      </c>
      <c r="G40" s="49">
        <f t="shared" si="1"/>
        <v>10.84</v>
      </c>
      <c r="H40" s="51">
        <f t="shared" si="2"/>
        <v>43.36</v>
      </c>
      <c r="I40" s="46">
        <v>4</v>
      </c>
      <c r="J40" s="47">
        <v>8.5</v>
      </c>
      <c r="K40" s="46"/>
      <c r="L40" s="46"/>
      <c r="M40" s="40"/>
      <c r="N40" s="40"/>
      <c r="O40" s="40"/>
      <c r="P40" s="41"/>
      <c r="Q40" s="72"/>
      <c r="R40" s="72"/>
    </row>
    <row r="41" spans="1:18" s="17" customFormat="1" ht="12.75" customHeight="1" thickBot="1">
      <c r="A41" s="599" t="s">
        <v>56</v>
      </c>
      <c r="B41" s="605" t="s">
        <v>20</v>
      </c>
      <c r="C41" s="71" t="s">
        <v>57</v>
      </c>
      <c r="D41" s="45" t="s">
        <v>49</v>
      </c>
      <c r="E41" s="45">
        <f t="shared" si="3"/>
        <v>12.93</v>
      </c>
      <c r="F41" s="35">
        <f t="shared" si="0"/>
        <v>222.37</v>
      </c>
      <c r="G41" s="45">
        <f t="shared" si="1"/>
        <v>283.81</v>
      </c>
      <c r="H41" s="74">
        <f t="shared" si="2"/>
        <v>3669.66</v>
      </c>
      <c r="I41" s="46">
        <f>(25.41+6.71+226.57)*0.05</f>
        <v>12.9345</v>
      </c>
      <c r="J41" s="47">
        <v>222.37</v>
      </c>
      <c r="K41" s="46"/>
      <c r="L41" s="46" t="s">
        <v>58</v>
      </c>
      <c r="M41" s="40"/>
      <c r="N41" s="40"/>
      <c r="O41" s="40"/>
      <c r="P41" s="41"/>
      <c r="Q41" s="72"/>
      <c r="R41" s="72"/>
    </row>
    <row r="42" spans="1:18" s="80" customFormat="1" ht="13.5" thickBot="1">
      <c r="A42" s="52"/>
      <c r="B42" s="53"/>
      <c r="C42" s="21" t="s">
        <v>26</v>
      </c>
      <c r="D42" s="53"/>
      <c r="E42" s="53"/>
      <c r="F42" s="53"/>
      <c r="G42" s="53"/>
      <c r="H42" s="54">
        <f>SUM(H29:H41)</f>
        <v>9615.3499999999985</v>
      </c>
      <c r="I42" s="75"/>
      <c r="J42" s="76"/>
      <c r="K42" s="75"/>
      <c r="L42" s="75"/>
      <c r="M42" s="77"/>
      <c r="N42" s="77"/>
      <c r="O42" s="77"/>
      <c r="P42" s="78"/>
      <c r="Q42" s="79"/>
      <c r="R42" s="77"/>
    </row>
    <row r="43" spans="1:18" s="27" customFormat="1" ht="5.25" customHeight="1" thickBot="1">
      <c r="A43" s="56"/>
      <c r="B43" s="81"/>
      <c r="C43" s="58"/>
      <c r="D43" s="59"/>
      <c r="E43" s="60"/>
      <c r="F43" s="60"/>
      <c r="G43" s="61"/>
      <c r="H43" s="82"/>
      <c r="I43" s="5"/>
      <c r="J43" s="47"/>
      <c r="K43" s="5"/>
      <c r="L43" s="5"/>
      <c r="M43" s="7"/>
      <c r="N43" s="7"/>
      <c r="O43" s="7"/>
      <c r="P43" s="8"/>
      <c r="Q43" s="26"/>
      <c r="R43" s="9"/>
    </row>
    <row r="44" spans="1:18" s="27" customFormat="1" ht="15" thickBot="1">
      <c r="A44" s="52" t="s">
        <v>59</v>
      </c>
      <c r="B44" s="53"/>
      <c r="C44" s="21" t="s">
        <v>60</v>
      </c>
      <c r="D44" s="21"/>
      <c r="E44" s="21"/>
      <c r="F44" s="22"/>
      <c r="G44" s="21"/>
      <c r="H44" s="23"/>
      <c r="I44" s="5"/>
      <c r="J44" s="47"/>
      <c r="K44" s="5"/>
      <c r="L44" s="5"/>
      <c r="M44" s="7"/>
      <c r="N44" s="7"/>
      <c r="O44" s="7"/>
      <c r="P44" s="8"/>
      <c r="Q44" s="26"/>
      <c r="R44" s="9"/>
    </row>
    <row r="45" spans="1:18" s="43" customFormat="1">
      <c r="A45" s="599" t="s">
        <v>61</v>
      </c>
      <c r="B45" s="600">
        <v>93358</v>
      </c>
      <c r="C45" s="83" t="s">
        <v>62</v>
      </c>
      <c r="D45" s="34" t="s">
        <v>49</v>
      </c>
      <c r="E45" s="34">
        <f>TRUNC(I45,2)</f>
        <v>2.85</v>
      </c>
      <c r="F45" s="84">
        <f>J45</f>
        <v>59.97</v>
      </c>
      <c r="G45" s="34">
        <f>TRUNC(J45*J$17,2)</f>
        <v>76.53</v>
      </c>
      <c r="H45" s="36">
        <f>TRUNC(E45*G45,2)</f>
        <v>218.11</v>
      </c>
      <c r="I45" s="46">
        <f>4*0.6*0.6*1.1+(2.3+2.3)*0.3*0.5+2*0.6*0.6*0.8</f>
        <v>2.85</v>
      </c>
      <c r="J45" s="47">
        <v>59.97</v>
      </c>
      <c r="K45" s="46">
        <f>4*0.6*0.6*1.1+(2.3+2.3)*0.3*0.5+2*0.6*0.6*0.8</f>
        <v>2.85</v>
      </c>
      <c r="L45" s="6"/>
      <c r="M45" s="40"/>
      <c r="N45" s="40"/>
      <c r="O45" s="40"/>
      <c r="P45" s="41"/>
      <c r="Q45" s="42"/>
      <c r="R45" s="72"/>
    </row>
    <row r="46" spans="1:18" s="43" customFormat="1" ht="15" thickBot="1">
      <c r="A46" s="606" t="s">
        <v>63</v>
      </c>
      <c r="B46" s="607">
        <v>96995</v>
      </c>
      <c r="C46" s="73" t="s">
        <v>64</v>
      </c>
      <c r="D46" s="49" t="s">
        <v>49</v>
      </c>
      <c r="E46" s="50">
        <f>TRUNC(I46,2)</f>
        <v>1.23</v>
      </c>
      <c r="F46" s="85">
        <f>J46</f>
        <v>36.36</v>
      </c>
      <c r="G46" s="49">
        <f>TRUNC(J46*J$17,2)</f>
        <v>46.4</v>
      </c>
      <c r="H46" s="51">
        <f>TRUNC(E46*G46,2)</f>
        <v>57.07</v>
      </c>
      <c r="I46" s="46">
        <f>I52</f>
        <v>1.2384999999999997</v>
      </c>
      <c r="J46" s="47">
        <v>36.36</v>
      </c>
      <c r="K46" s="46"/>
      <c r="L46" s="46"/>
      <c r="M46" s="40"/>
      <c r="N46" s="40"/>
      <c r="O46" s="40"/>
      <c r="P46" s="41"/>
      <c r="Q46" s="42"/>
      <c r="R46" s="72"/>
    </row>
    <row r="47" spans="1:18" s="27" customFormat="1" ht="15" thickBot="1">
      <c r="A47" s="52"/>
      <c r="B47" s="53"/>
      <c r="C47" s="21" t="s">
        <v>26</v>
      </c>
      <c r="D47" s="53"/>
      <c r="E47" s="53"/>
      <c r="F47" s="53"/>
      <c r="G47" s="53"/>
      <c r="H47" s="54">
        <f>SUM(H45:H46)</f>
        <v>275.18</v>
      </c>
      <c r="I47" s="75"/>
      <c r="J47" s="76"/>
      <c r="K47" s="75"/>
      <c r="L47" s="75"/>
      <c r="M47" s="7"/>
      <c r="N47" s="7"/>
      <c r="O47" s="7"/>
      <c r="P47" s="8"/>
      <c r="Q47" s="26"/>
      <c r="R47" s="9"/>
    </row>
    <row r="48" spans="1:18" s="27" customFormat="1" ht="6" customHeight="1" thickBot="1">
      <c r="A48" s="86"/>
      <c r="B48" s="87"/>
      <c r="C48" s="88"/>
      <c r="D48" s="89"/>
      <c r="E48" s="60"/>
      <c r="F48" s="60"/>
      <c r="G48" s="61"/>
      <c r="H48" s="90"/>
      <c r="I48" s="5"/>
      <c r="J48" s="47"/>
      <c r="K48" s="5"/>
      <c r="L48" s="5"/>
      <c r="M48" s="7"/>
      <c r="N48" s="7"/>
      <c r="O48" s="7"/>
      <c r="P48" s="8"/>
      <c r="Q48" s="26"/>
      <c r="R48" s="9"/>
    </row>
    <row r="49" spans="1:18" s="27" customFormat="1" ht="15" thickBot="1">
      <c r="A49" s="52" t="s">
        <v>65</v>
      </c>
      <c r="B49" s="53"/>
      <c r="C49" s="21" t="s">
        <v>66</v>
      </c>
      <c r="D49" s="21"/>
      <c r="E49" s="21"/>
      <c r="F49" s="22"/>
      <c r="G49" s="21"/>
      <c r="H49" s="23"/>
      <c r="I49" s="5"/>
      <c r="J49" s="47"/>
      <c r="K49" s="5"/>
      <c r="L49" s="5"/>
      <c r="M49" s="7"/>
      <c r="N49" s="7"/>
      <c r="O49" s="7"/>
      <c r="P49" s="8"/>
      <c r="Q49" s="26"/>
      <c r="R49" s="9"/>
    </row>
    <row r="50" spans="1:18" s="43" customFormat="1" ht="26.25" customHeight="1">
      <c r="A50" s="608" t="s">
        <v>67</v>
      </c>
      <c r="B50" s="600">
        <v>94962</v>
      </c>
      <c r="C50" s="91" t="s">
        <v>68</v>
      </c>
      <c r="D50" s="34" t="s">
        <v>49</v>
      </c>
      <c r="E50" s="34">
        <f t="shared" ref="E50:E56" si="4">TRUNC(I50,2)</f>
        <v>0.16</v>
      </c>
      <c r="F50" s="84">
        <f t="shared" ref="F50:F56" si="5">J50</f>
        <v>320.37</v>
      </c>
      <c r="G50" s="34">
        <f t="shared" ref="G50:G56" si="6">TRUNC(J50*J$17,2)</f>
        <v>408.88</v>
      </c>
      <c r="H50" s="36">
        <f t="shared" ref="H50:H56" si="7">TRUNC(E50*G50,2)</f>
        <v>65.42</v>
      </c>
      <c r="I50" s="46">
        <f>4*0.6*0.6*0.05+(3.15+3.15)*0.3*0.05</f>
        <v>0.16649999999999998</v>
      </c>
      <c r="J50" s="47">
        <v>320.37</v>
      </c>
      <c r="K50" s="46"/>
      <c r="L50" s="46"/>
      <c r="M50" s="6"/>
      <c r="N50" s="40"/>
      <c r="O50" s="40"/>
      <c r="P50" s="41"/>
      <c r="Q50" s="42"/>
      <c r="R50" s="72"/>
    </row>
    <row r="51" spans="1:18" s="43" customFormat="1" ht="27" customHeight="1">
      <c r="A51" s="608" t="s">
        <v>69</v>
      </c>
      <c r="B51" s="598">
        <v>94971</v>
      </c>
      <c r="C51" s="71" t="s">
        <v>70</v>
      </c>
      <c r="D51" s="45" t="s">
        <v>49</v>
      </c>
      <c r="E51" s="34">
        <f t="shared" si="4"/>
        <v>1.07</v>
      </c>
      <c r="F51" s="35">
        <f t="shared" si="5"/>
        <v>413.25</v>
      </c>
      <c r="G51" s="45">
        <f t="shared" si="6"/>
        <v>527.42999999999995</v>
      </c>
      <c r="H51" s="36">
        <f t="shared" si="7"/>
        <v>564.35</v>
      </c>
      <c r="I51" s="46">
        <f>4*0.6*0.6*0.4+(2.3+2.3)*0.2*0.3+2*0.2*0.5*1.1</f>
        <v>1.0719999999999998</v>
      </c>
      <c r="J51" s="92">
        <v>413.25</v>
      </c>
      <c r="K51" s="46"/>
      <c r="L51" s="46"/>
      <c r="M51" s="6"/>
      <c r="N51" s="40"/>
      <c r="O51" s="40"/>
      <c r="P51" s="41"/>
      <c r="Q51" s="42"/>
      <c r="R51" s="72"/>
    </row>
    <row r="52" spans="1:18" s="43" customFormat="1">
      <c r="A52" s="608" t="s">
        <v>71</v>
      </c>
      <c r="B52" s="598">
        <v>92873</v>
      </c>
      <c r="C52" s="71" t="s">
        <v>72</v>
      </c>
      <c r="D52" s="45" t="s">
        <v>49</v>
      </c>
      <c r="E52" s="34">
        <f t="shared" si="4"/>
        <v>1.23</v>
      </c>
      <c r="F52" s="35">
        <f t="shared" si="5"/>
        <v>154.59</v>
      </c>
      <c r="G52" s="45">
        <f t="shared" si="6"/>
        <v>197.3</v>
      </c>
      <c r="H52" s="36">
        <f t="shared" si="7"/>
        <v>242.67</v>
      </c>
      <c r="I52" s="46">
        <f>I51+I50</f>
        <v>1.2384999999999997</v>
      </c>
      <c r="J52" s="92">
        <v>154.59</v>
      </c>
      <c r="K52" s="93"/>
      <c r="L52" s="93"/>
      <c r="M52" s="6"/>
      <c r="N52" s="40"/>
      <c r="O52" s="46"/>
      <c r="P52" s="41"/>
      <c r="Q52" s="42"/>
      <c r="R52" s="72"/>
    </row>
    <row r="53" spans="1:18" s="43" customFormat="1" ht="26.25" customHeight="1">
      <c r="A53" s="608" t="s">
        <v>73</v>
      </c>
      <c r="B53" s="598">
        <v>96536</v>
      </c>
      <c r="C53" s="71" t="s">
        <v>74</v>
      </c>
      <c r="D53" s="45" t="s">
        <v>22</v>
      </c>
      <c r="E53" s="34">
        <f t="shared" si="4"/>
        <v>7.08</v>
      </c>
      <c r="F53" s="35">
        <f t="shared" si="5"/>
        <v>59.76</v>
      </c>
      <c r="G53" s="45">
        <f t="shared" si="6"/>
        <v>76.27</v>
      </c>
      <c r="H53" s="36">
        <f t="shared" si="7"/>
        <v>539.99</v>
      </c>
      <c r="I53" s="46">
        <f>4*2.4*0.2+(2+2)*0.3+4*0.9*1.1</f>
        <v>7.08</v>
      </c>
      <c r="J53" s="92">
        <v>59.76</v>
      </c>
      <c r="K53" s="46"/>
      <c r="L53" s="93"/>
      <c r="M53" s="6" t="s">
        <v>75</v>
      </c>
      <c r="N53" s="40"/>
      <c r="O53" s="40"/>
      <c r="P53" s="41"/>
      <c r="Q53" s="42"/>
      <c r="R53" s="72"/>
    </row>
    <row r="54" spans="1:18" s="99" customFormat="1" ht="35.25" customHeight="1">
      <c r="A54" s="608" t="s">
        <v>76</v>
      </c>
      <c r="B54" s="609">
        <v>92919</v>
      </c>
      <c r="C54" s="71" t="s">
        <v>77</v>
      </c>
      <c r="D54" s="45" t="s">
        <v>78</v>
      </c>
      <c r="E54" s="34">
        <f t="shared" si="4"/>
        <v>60.03</v>
      </c>
      <c r="F54" s="35">
        <f t="shared" si="5"/>
        <v>15.93</v>
      </c>
      <c r="G54" s="45">
        <f t="shared" si="6"/>
        <v>20.329999999999998</v>
      </c>
      <c r="H54" s="36">
        <f t="shared" si="7"/>
        <v>1220.4000000000001</v>
      </c>
      <c r="I54" s="6">
        <f>I51*80*0.7</f>
        <v>60.031999999999989</v>
      </c>
      <c r="J54" s="47">
        <v>15.93</v>
      </c>
      <c r="K54" s="6"/>
      <c r="L54" s="6"/>
      <c r="M54" s="6"/>
      <c r="N54" s="95"/>
      <c r="O54" s="95"/>
      <c r="P54" s="96"/>
      <c r="Q54" s="97"/>
      <c r="R54" s="98"/>
    </row>
    <row r="55" spans="1:18" s="43" customFormat="1" ht="36" customHeight="1">
      <c r="A55" s="608" t="s">
        <v>79</v>
      </c>
      <c r="B55" s="490">
        <v>92916</v>
      </c>
      <c r="C55" s="71" t="s">
        <v>80</v>
      </c>
      <c r="D55" s="45" t="s">
        <v>78</v>
      </c>
      <c r="E55" s="34">
        <f t="shared" si="4"/>
        <v>25.72</v>
      </c>
      <c r="F55" s="35">
        <f t="shared" si="5"/>
        <v>18.12</v>
      </c>
      <c r="G55" s="45">
        <f t="shared" si="6"/>
        <v>23.12</v>
      </c>
      <c r="H55" s="36">
        <f t="shared" si="7"/>
        <v>594.64</v>
      </c>
      <c r="I55" s="46">
        <f>I51*80*0.3</f>
        <v>25.727999999999998</v>
      </c>
      <c r="J55" s="47">
        <v>18.12</v>
      </c>
      <c r="K55" s="46"/>
      <c r="L55" s="46"/>
      <c r="M55" s="6"/>
      <c r="N55" s="40"/>
      <c r="O55" s="40"/>
      <c r="P55" s="41"/>
      <c r="Q55" s="42"/>
      <c r="R55" s="72"/>
    </row>
    <row r="56" spans="1:18" s="43" customFormat="1" ht="27" customHeight="1" thickBot="1">
      <c r="A56" s="610" t="s">
        <v>81</v>
      </c>
      <c r="B56" s="607">
        <v>101165</v>
      </c>
      <c r="C56" s="73" t="s">
        <v>82</v>
      </c>
      <c r="D56" s="49" t="s">
        <v>49</v>
      </c>
      <c r="E56" s="50">
        <f t="shared" si="4"/>
        <v>1.49</v>
      </c>
      <c r="F56" s="85">
        <f t="shared" si="5"/>
        <v>774.2</v>
      </c>
      <c r="G56" s="49">
        <f t="shared" si="6"/>
        <v>988.11</v>
      </c>
      <c r="H56" s="51">
        <f t="shared" si="7"/>
        <v>1472.28</v>
      </c>
      <c r="I56" s="46">
        <f>(10+3+3+8.95)*0.2*0.3</f>
        <v>1.4970000000000001</v>
      </c>
      <c r="J56" s="47">
        <v>774.2</v>
      </c>
      <c r="K56" s="46"/>
      <c r="L56" s="46"/>
      <c r="M56" s="6"/>
      <c r="N56" s="40"/>
      <c r="O56" s="40"/>
      <c r="P56" s="41"/>
      <c r="Q56" s="42"/>
      <c r="R56" s="72"/>
    </row>
    <row r="57" spans="1:18" s="80" customFormat="1" ht="13.5" thickBot="1">
      <c r="A57" s="52"/>
      <c r="B57" s="53"/>
      <c r="C57" s="21" t="s">
        <v>26</v>
      </c>
      <c r="D57" s="53"/>
      <c r="E57" s="53"/>
      <c r="F57" s="53"/>
      <c r="G57" s="53"/>
      <c r="H57" s="54">
        <f>SUM(H50:H56)</f>
        <v>4699.75</v>
      </c>
      <c r="I57" s="75"/>
      <c r="J57" s="76"/>
      <c r="K57" s="75"/>
      <c r="L57" s="75"/>
      <c r="M57" s="77"/>
      <c r="N57" s="77"/>
      <c r="O57" s="77"/>
      <c r="P57" s="78"/>
      <c r="Q57" s="79"/>
      <c r="R57" s="79"/>
    </row>
    <row r="58" spans="1:18" s="27" customFormat="1" ht="5.25" customHeight="1" thickBot="1">
      <c r="A58" s="86"/>
      <c r="B58" s="87"/>
      <c r="C58" s="88"/>
      <c r="D58" s="89"/>
      <c r="E58" s="60"/>
      <c r="F58" s="60"/>
      <c r="G58" s="61"/>
      <c r="H58" s="90"/>
      <c r="I58" s="5"/>
      <c r="J58" s="47"/>
      <c r="K58" s="5"/>
      <c r="L58" s="5"/>
      <c r="M58" s="7"/>
      <c r="N58" s="7"/>
      <c r="O58" s="7"/>
      <c r="P58" s="8"/>
      <c r="Q58" s="26"/>
      <c r="R58" s="9"/>
    </row>
    <row r="59" spans="1:18" s="27" customFormat="1" ht="15" thickBot="1">
      <c r="A59" s="52" t="s">
        <v>83</v>
      </c>
      <c r="B59" s="53"/>
      <c r="C59" s="21" t="s">
        <v>84</v>
      </c>
      <c r="D59" s="21"/>
      <c r="E59" s="21"/>
      <c r="F59" s="22"/>
      <c r="G59" s="21"/>
      <c r="H59" s="23"/>
      <c r="I59" s="5"/>
      <c r="J59" s="47"/>
      <c r="K59" s="5"/>
      <c r="L59" s="5"/>
      <c r="M59" s="7"/>
      <c r="N59" s="7"/>
      <c r="O59" s="7"/>
      <c r="P59" s="8"/>
      <c r="Q59" s="26"/>
      <c r="R59" s="9"/>
    </row>
    <row r="60" spans="1:18" s="43" customFormat="1" ht="25.5" customHeight="1">
      <c r="A60" s="608" t="s">
        <v>85</v>
      </c>
      <c r="B60" s="600">
        <v>94971</v>
      </c>
      <c r="C60" s="91" t="s">
        <v>70</v>
      </c>
      <c r="D60" s="34" t="s">
        <v>49</v>
      </c>
      <c r="E60" s="34">
        <f t="shared" ref="E60:E65" si="8">TRUNC(I60,2)</f>
        <v>2.48</v>
      </c>
      <c r="F60" s="84">
        <f t="shared" ref="F60:F65" si="9">J60</f>
        <v>413.25</v>
      </c>
      <c r="G60" s="34">
        <f t="shared" ref="G60:G65" si="10">TRUNC(J60*J$17,2)</f>
        <v>527.42999999999995</v>
      </c>
      <c r="H60" s="36">
        <f t="shared" ref="H60:H65" si="11">TRUNC(E60*G60,2)</f>
        <v>1308.02</v>
      </c>
      <c r="I60" s="46">
        <f>4*0.15*0.3*3+(2.3+2.3)*0.15*0.3+4*0.2*0.8+0.15*0.5*9.85+4*0.15*0.3*2</f>
        <v>2.4857499999999999</v>
      </c>
      <c r="J60" s="92">
        <v>413.25</v>
      </c>
      <c r="K60" s="46">
        <f>4*0.15*0.3*0.8+(2.3+2.3)*0.15*0.3+2*0.8*0.15*0.3+2*0.15*0.3*3+2*0.2*0.5*5*0.2*0.5*8.8</f>
        <v>1.5730000000000002</v>
      </c>
      <c r="L60" s="93"/>
      <c r="M60" s="6"/>
      <c r="N60" s="40"/>
      <c r="O60" s="40"/>
      <c r="P60" s="41"/>
      <c r="Q60" s="42"/>
      <c r="R60" s="72"/>
    </row>
    <row r="61" spans="1:18" s="43" customFormat="1" ht="13.5" customHeight="1">
      <c r="A61" s="608" t="s">
        <v>86</v>
      </c>
      <c r="B61" s="598">
        <v>92873</v>
      </c>
      <c r="C61" s="71" t="s">
        <v>72</v>
      </c>
      <c r="D61" s="45" t="s">
        <v>49</v>
      </c>
      <c r="E61" s="34">
        <f t="shared" si="8"/>
        <v>2.48</v>
      </c>
      <c r="F61" s="35">
        <f t="shared" si="9"/>
        <v>154.59</v>
      </c>
      <c r="G61" s="45">
        <f t="shared" si="10"/>
        <v>197.3</v>
      </c>
      <c r="H61" s="36">
        <f t="shared" si="11"/>
        <v>489.3</v>
      </c>
      <c r="I61" s="46">
        <f>I60</f>
        <v>2.4857499999999999</v>
      </c>
      <c r="J61" s="100">
        <v>154.59</v>
      </c>
      <c r="K61" s="93"/>
      <c r="L61" s="93"/>
      <c r="M61" s="6"/>
      <c r="N61" s="40"/>
      <c r="O61" s="40"/>
      <c r="P61" s="41"/>
      <c r="Q61" s="42"/>
      <c r="R61" s="72"/>
    </row>
    <row r="62" spans="1:18" s="43" customFormat="1" ht="29.25" customHeight="1">
      <c r="A62" s="608" t="s">
        <v>87</v>
      </c>
      <c r="B62" s="598">
        <v>101964</v>
      </c>
      <c r="C62" s="71" t="s">
        <v>88</v>
      </c>
      <c r="D62" s="45" t="s">
        <v>22</v>
      </c>
      <c r="E62" s="34">
        <f t="shared" si="8"/>
        <v>7.09</v>
      </c>
      <c r="F62" s="35">
        <f t="shared" si="9"/>
        <v>180.16</v>
      </c>
      <c r="G62" s="45">
        <f t="shared" si="10"/>
        <v>229.93</v>
      </c>
      <c r="H62" s="36">
        <f t="shared" si="11"/>
        <v>1630.2</v>
      </c>
      <c r="I62" s="46">
        <f>4.3*1.65</f>
        <v>7.0949999999999998</v>
      </c>
      <c r="J62" s="100">
        <v>180.16</v>
      </c>
      <c r="K62" s="93"/>
      <c r="L62" s="93"/>
      <c r="M62" s="6"/>
      <c r="N62" s="40"/>
      <c r="O62" s="40"/>
      <c r="P62" s="41"/>
      <c r="Q62" s="42"/>
      <c r="R62" s="72"/>
    </row>
    <row r="63" spans="1:18" s="43" customFormat="1" ht="22.5" customHeight="1">
      <c r="A63" s="608" t="s">
        <v>89</v>
      </c>
      <c r="B63" s="598">
        <v>92411</v>
      </c>
      <c r="C63" s="71" t="s">
        <v>90</v>
      </c>
      <c r="D63" s="45" t="s">
        <v>22</v>
      </c>
      <c r="E63" s="34">
        <f t="shared" si="8"/>
        <v>5.05</v>
      </c>
      <c r="F63" s="35">
        <f t="shared" si="9"/>
        <v>150.37</v>
      </c>
      <c r="G63" s="45">
        <f t="shared" si="10"/>
        <v>191.91</v>
      </c>
      <c r="H63" s="36">
        <f t="shared" si="11"/>
        <v>969.14</v>
      </c>
      <c r="I63" s="46">
        <f>4*0.15*0.3*3+(2.3+2.3)*0.15*0.3+4*0.2*0.8+0.15*0.5*8.95+4*0.75</f>
        <v>5.0582500000000001</v>
      </c>
      <c r="J63" s="92">
        <v>150.37</v>
      </c>
      <c r="K63" s="93"/>
      <c r="L63" s="93"/>
      <c r="M63" s="6"/>
      <c r="N63" s="40"/>
      <c r="O63" s="40"/>
      <c r="P63" s="41"/>
      <c r="Q63" s="42"/>
      <c r="R63" s="72"/>
    </row>
    <row r="64" spans="1:18" s="99" customFormat="1" ht="37.5" customHeight="1">
      <c r="A64" s="608" t="s">
        <v>91</v>
      </c>
      <c r="B64" s="598">
        <v>92778</v>
      </c>
      <c r="C64" s="91" t="s">
        <v>92</v>
      </c>
      <c r="D64" s="45" t="s">
        <v>78</v>
      </c>
      <c r="E64" s="34">
        <f t="shared" si="8"/>
        <v>139.19999999999999</v>
      </c>
      <c r="F64" s="35">
        <f t="shared" si="9"/>
        <v>16.38</v>
      </c>
      <c r="G64" s="45">
        <f t="shared" si="10"/>
        <v>20.9</v>
      </c>
      <c r="H64" s="36">
        <f t="shared" si="11"/>
        <v>2909.28</v>
      </c>
      <c r="I64" s="6">
        <f>I60*80*0.7</f>
        <v>139.20199999999997</v>
      </c>
      <c r="J64" s="47">
        <v>16.38</v>
      </c>
      <c r="K64" s="6"/>
      <c r="L64" s="6"/>
      <c r="M64" s="6"/>
      <c r="N64" s="95"/>
      <c r="O64" s="95"/>
      <c r="P64" s="96"/>
      <c r="Q64" s="97"/>
      <c r="R64" s="98"/>
    </row>
    <row r="65" spans="1:18" s="43" customFormat="1" ht="36.75" customHeight="1" thickBot="1">
      <c r="A65" s="608" t="s">
        <v>93</v>
      </c>
      <c r="B65" s="607">
        <v>92775</v>
      </c>
      <c r="C65" s="83" t="s">
        <v>94</v>
      </c>
      <c r="D65" s="49" t="s">
        <v>78</v>
      </c>
      <c r="E65" s="50">
        <f t="shared" si="8"/>
        <v>59.65</v>
      </c>
      <c r="F65" s="85">
        <f t="shared" si="9"/>
        <v>19.43</v>
      </c>
      <c r="G65" s="49">
        <f t="shared" si="10"/>
        <v>24.79</v>
      </c>
      <c r="H65" s="51">
        <f t="shared" si="11"/>
        <v>1478.72</v>
      </c>
      <c r="I65" s="93">
        <f>I60*80*0.3</f>
        <v>59.657999999999994</v>
      </c>
      <c r="J65" s="47">
        <v>19.43</v>
      </c>
      <c r="K65" s="93"/>
      <c r="L65" s="93"/>
      <c r="M65" s="6"/>
      <c r="N65" s="40"/>
      <c r="O65" s="40"/>
      <c r="P65" s="41"/>
      <c r="Q65" s="42"/>
      <c r="R65" s="72"/>
    </row>
    <row r="66" spans="1:18" s="80" customFormat="1" ht="13.5" thickBot="1">
      <c r="A66" s="52"/>
      <c r="B66" s="53"/>
      <c r="C66" s="21" t="s">
        <v>26</v>
      </c>
      <c r="D66" s="53"/>
      <c r="E66" s="53"/>
      <c r="F66" s="53"/>
      <c r="G66" s="53"/>
      <c r="H66" s="54">
        <f>SUM(H60:H65)</f>
        <v>8784.66</v>
      </c>
      <c r="I66" s="75"/>
      <c r="J66" s="76"/>
      <c r="K66" s="75"/>
      <c r="L66" s="75"/>
      <c r="M66" s="77"/>
      <c r="N66" s="77"/>
      <c r="O66" s="77"/>
      <c r="P66" s="78"/>
      <c r="Q66" s="79"/>
      <c r="R66" s="79"/>
    </row>
    <row r="67" spans="1:18" s="27" customFormat="1" ht="5.25" customHeight="1" thickBot="1">
      <c r="A67" s="101"/>
      <c r="B67" s="102"/>
      <c r="C67" s="103"/>
      <c r="D67" s="104"/>
      <c r="E67" s="89"/>
      <c r="F67" s="105"/>
      <c r="G67" s="61"/>
      <c r="H67" s="90"/>
      <c r="I67" s="5"/>
      <c r="J67" s="47"/>
      <c r="K67" s="5"/>
      <c r="L67" s="5"/>
      <c r="M67" s="7"/>
      <c r="N67" s="7"/>
      <c r="O67" s="7"/>
      <c r="P67" s="8"/>
      <c r="Q67" s="26"/>
      <c r="R67" s="9"/>
    </row>
    <row r="68" spans="1:18" s="27" customFormat="1" ht="15" thickBot="1">
      <c r="A68" s="52" t="s">
        <v>95</v>
      </c>
      <c r="B68" s="53"/>
      <c r="C68" s="21" t="s">
        <v>96</v>
      </c>
      <c r="D68" s="21"/>
      <c r="E68" s="21"/>
      <c r="F68" s="22"/>
      <c r="G68" s="21"/>
      <c r="H68" s="23"/>
      <c r="I68" s="5"/>
      <c r="J68" s="47"/>
      <c r="K68" s="5"/>
      <c r="L68" s="5"/>
      <c r="M68" s="7"/>
      <c r="N68" s="7"/>
      <c r="O68" s="7"/>
      <c r="P68" s="8"/>
      <c r="Q68" s="26"/>
      <c r="R68" s="9"/>
    </row>
    <row r="69" spans="1:18" s="43" customFormat="1" ht="35.25" customHeight="1">
      <c r="A69" s="608" t="s">
        <v>97</v>
      </c>
      <c r="B69" s="598">
        <v>103328</v>
      </c>
      <c r="C69" s="91" t="s">
        <v>98</v>
      </c>
      <c r="D69" s="34" t="s">
        <v>22</v>
      </c>
      <c r="E69" s="34">
        <f>TRUNC(I69,2)</f>
        <v>168.45</v>
      </c>
      <c r="F69" s="84">
        <f>J69</f>
        <v>73.239999999999995</v>
      </c>
      <c r="G69" s="34">
        <f>TRUNC(J69*J$17,2)</f>
        <v>93.47</v>
      </c>
      <c r="H69" s="36">
        <f>TRUNC(E69*G69,2)</f>
        <v>15745.02</v>
      </c>
      <c r="I69" s="46">
        <f>(7+7+3.15+3.15+3.15+2.4+2.3+2.3)*3+8.45*2+9.1*2+2*(10.5+10.5)</f>
        <v>168.45</v>
      </c>
      <c r="J69" s="106">
        <v>73.239999999999995</v>
      </c>
      <c r="K69" s="46"/>
      <c r="L69" s="46"/>
      <c r="M69" s="69"/>
      <c r="N69" s="40"/>
      <c r="O69" s="107"/>
      <c r="P69" s="41"/>
      <c r="Q69" s="42"/>
      <c r="R69" s="72"/>
    </row>
    <row r="70" spans="1:18" s="43" customFormat="1" ht="16.5" customHeight="1">
      <c r="A70" s="611" t="s">
        <v>99</v>
      </c>
      <c r="B70" s="598">
        <v>93182</v>
      </c>
      <c r="C70" s="71" t="s">
        <v>100</v>
      </c>
      <c r="D70" s="45" t="s">
        <v>101</v>
      </c>
      <c r="E70" s="34">
        <f>TRUNC(I70,2)</f>
        <v>8.6</v>
      </c>
      <c r="F70" s="35">
        <f>J70</f>
        <v>42.15</v>
      </c>
      <c r="G70" s="45">
        <f>TRUNC(J70*J$17,2)</f>
        <v>53.79</v>
      </c>
      <c r="H70" s="36">
        <f>TRUNC(E70*G70,2)</f>
        <v>462.59</v>
      </c>
      <c r="I70" s="46">
        <f>2.4+1.2+1.2+1.3+1.3+1.2</f>
        <v>8.6</v>
      </c>
      <c r="J70" s="47">
        <v>42.15</v>
      </c>
      <c r="K70" s="46"/>
      <c r="L70" s="46"/>
      <c r="M70" s="69"/>
      <c r="N70" s="40"/>
      <c r="O70" s="107"/>
      <c r="P70" s="41"/>
      <c r="Q70" s="42"/>
      <c r="R70" s="72"/>
    </row>
    <row r="71" spans="1:18" s="43" customFormat="1" ht="15.75" customHeight="1" thickBot="1">
      <c r="A71" s="612" t="s">
        <v>102</v>
      </c>
      <c r="B71" s="607">
        <v>93182</v>
      </c>
      <c r="C71" s="73" t="s">
        <v>103</v>
      </c>
      <c r="D71" s="49" t="s">
        <v>101</v>
      </c>
      <c r="E71" s="50">
        <f>TRUNC(I71,2)</f>
        <v>4.8</v>
      </c>
      <c r="F71" s="85">
        <f>J71</f>
        <v>42.15</v>
      </c>
      <c r="G71" s="49">
        <f>TRUNC(J71*J$17,2)</f>
        <v>53.79</v>
      </c>
      <c r="H71" s="51">
        <f>TRUNC(E71*G71,2)</f>
        <v>258.19</v>
      </c>
      <c r="I71" s="46">
        <f>2.4+1.2+1.2</f>
        <v>4.8</v>
      </c>
      <c r="J71" s="47">
        <v>42.15</v>
      </c>
      <c r="K71" s="46"/>
      <c r="L71" s="46"/>
      <c r="M71" s="69"/>
      <c r="N71" s="40"/>
      <c r="O71" s="107"/>
      <c r="P71" s="41"/>
      <c r="Q71" s="42"/>
      <c r="R71" s="72"/>
    </row>
    <row r="72" spans="1:18" s="80" customFormat="1" ht="13.5" thickBot="1">
      <c r="A72" s="52"/>
      <c r="B72" s="53"/>
      <c r="C72" s="21" t="s">
        <v>26</v>
      </c>
      <c r="D72" s="53"/>
      <c r="E72" s="53"/>
      <c r="F72" s="53"/>
      <c r="G72" s="53"/>
      <c r="H72" s="54">
        <f>SUM(H69:H71)</f>
        <v>16465.8</v>
      </c>
      <c r="I72" s="75"/>
      <c r="J72" s="76"/>
      <c r="K72" s="75"/>
      <c r="L72" s="75"/>
      <c r="M72" s="77"/>
      <c r="N72" s="77"/>
      <c r="O72" s="77"/>
      <c r="P72" s="78"/>
      <c r="Q72" s="79"/>
      <c r="R72" s="79"/>
    </row>
    <row r="73" spans="1:18" s="27" customFormat="1" ht="6" customHeight="1" thickBot="1">
      <c r="A73" s="101"/>
      <c r="B73" s="102"/>
      <c r="C73" s="103"/>
      <c r="D73" s="104"/>
      <c r="E73" s="60"/>
      <c r="F73" s="60"/>
      <c r="G73" s="61"/>
      <c r="H73" s="90"/>
      <c r="I73" s="5"/>
      <c r="J73" s="47"/>
      <c r="K73" s="5"/>
      <c r="L73" s="5"/>
      <c r="M73" s="7"/>
      <c r="N73" s="7"/>
      <c r="O73" s="7"/>
      <c r="P73" s="8"/>
      <c r="Q73" s="26"/>
      <c r="R73" s="9"/>
    </row>
    <row r="74" spans="1:18" s="27" customFormat="1" ht="15" thickBot="1">
      <c r="A74" s="52" t="s">
        <v>104</v>
      </c>
      <c r="B74" s="53"/>
      <c r="C74" s="21" t="s">
        <v>105</v>
      </c>
      <c r="D74" s="21"/>
      <c r="E74" s="21"/>
      <c r="F74" s="22"/>
      <c r="G74" s="21"/>
      <c r="H74" s="23"/>
      <c r="I74" s="5"/>
      <c r="J74" s="47"/>
      <c r="K74" s="5"/>
      <c r="L74" s="5"/>
      <c r="M74" s="7"/>
      <c r="N74" s="7"/>
      <c r="O74" s="7"/>
      <c r="P74" s="8"/>
      <c r="Q74" s="26"/>
      <c r="R74" s="9"/>
    </row>
    <row r="75" spans="1:18" s="43" customFormat="1" ht="28.5" customHeight="1">
      <c r="A75" s="608" t="s">
        <v>106</v>
      </c>
      <c r="B75" s="598">
        <v>92620</v>
      </c>
      <c r="C75" s="71" t="s">
        <v>107</v>
      </c>
      <c r="D75" s="34" t="s">
        <v>25</v>
      </c>
      <c r="E75" s="34">
        <f t="shared" ref="E75:E81" si="12">TRUNC(I75,2)</f>
        <v>8</v>
      </c>
      <c r="F75" s="35">
        <f t="shared" ref="F75:F81" si="13">J75</f>
        <v>2362.21</v>
      </c>
      <c r="G75" s="34">
        <f t="shared" ref="G75:G81" si="14">TRUNC(J75*J$17,2)</f>
        <v>3014.88</v>
      </c>
      <c r="H75" s="36">
        <f t="shared" ref="H75:H81" si="15">TRUNC(E75*G75,2)</f>
        <v>24119.040000000001</v>
      </c>
      <c r="I75" s="46">
        <v>8</v>
      </c>
      <c r="J75" s="47">
        <v>2362.21</v>
      </c>
      <c r="K75" s="46"/>
      <c r="L75" s="46"/>
      <c r="M75" s="40"/>
      <c r="N75" s="40"/>
      <c r="O75" s="40"/>
      <c r="P75" s="41"/>
      <c r="Q75" s="42"/>
      <c r="R75" s="72"/>
    </row>
    <row r="76" spans="1:18" s="43" customFormat="1" ht="29.25" customHeight="1">
      <c r="A76" s="608" t="s">
        <v>108</v>
      </c>
      <c r="B76" s="598">
        <v>92618</v>
      </c>
      <c r="C76" s="108" t="s">
        <v>109</v>
      </c>
      <c r="D76" s="34" t="s">
        <v>25</v>
      </c>
      <c r="E76" s="34">
        <f t="shared" si="12"/>
        <v>4</v>
      </c>
      <c r="F76" s="35">
        <f t="shared" si="13"/>
        <v>2208.12</v>
      </c>
      <c r="G76" s="34">
        <f t="shared" si="14"/>
        <v>2818.22</v>
      </c>
      <c r="H76" s="36">
        <f t="shared" si="15"/>
        <v>11272.88</v>
      </c>
      <c r="I76" s="46">
        <v>4</v>
      </c>
      <c r="J76" s="47">
        <v>2208.12</v>
      </c>
      <c r="K76" s="46"/>
      <c r="L76" s="46"/>
      <c r="M76" s="40"/>
      <c r="N76" s="40"/>
      <c r="O76" s="40"/>
      <c r="P76" s="41"/>
      <c r="Q76" s="42"/>
      <c r="R76" s="72"/>
    </row>
    <row r="77" spans="1:18" s="43" customFormat="1" ht="23.25" customHeight="1">
      <c r="A77" s="608" t="s">
        <v>110</v>
      </c>
      <c r="B77" s="598">
        <v>94216</v>
      </c>
      <c r="C77" s="108" t="s">
        <v>111</v>
      </c>
      <c r="D77" s="45" t="s">
        <v>22</v>
      </c>
      <c r="E77" s="34">
        <f t="shared" si="12"/>
        <v>277.56</v>
      </c>
      <c r="F77" s="35">
        <f t="shared" si="13"/>
        <v>224.08</v>
      </c>
      <c r="G77" s="45">
        <f t="shared" si="14"/>
        <v>285.99</v>
      </c>
      <c r="H77" s="36">
        <f t="shared" si="15"/>
        <v>79379.38</v>
      </c>
      <c r="I77" s="46">
        <f>186.48+91.08</f>
        <v>277.56</v>
      </c>
      <c r="J77" s="47">
        <v>224.08</v>
      </c>
      <c r="K77" s="46"/>
      <c r="L77" s="46"/>
      <c r="M77" s="40"/>
      <c r="N77" s="40"/>
      <c r="O77" s="40"/>
      <c r="P77" s="41"/>
      <c r="Q77" s="42"/>
      <c r="R77" s="72"/>
    </row>
    <row r="78" spans="1:18" s="43" customFormat="1" ht="23.25" customHeight="1">
      <c r="A78" s="608" t="s">
        <v>112</v>
      </c>
      <c r="B78" s="598">
        <v>94213</v>
      </c>
      <c r="C78" s="108" t="s">
        <v>816</v>
      </c>
      <c r="D78" s="45" t="s">
        <v>22</v>
      </c>
      <c r="E78" s="34">
        <f t="shared" ref="E78" si="16">TRUNC(I78,2)</f>
        <v>29.92</v>
      </c>
      <c r="F78" s="35">
        <f t="shared" ref="F78" si="17">J78</f>
        <v>76.23</v>
      </c>
      <c r="G78" s="45">
        <f t="shared" ref="G78" si="18">TRUNC(J78*J$17,2)</f>
        <v>97.29</v>
      </c>
      <c r="H78" s="36">
        <f t="shared" ref="H78" si="19">TRUNC(E78*G78,2)</f>
        <v>2910.91</v>
      </c>
      <c r="I78" s="46">
        <f>(5.5+6.6+5.5)*1.7</f>
        <v>29.92</v>
      </c>
      <c r="J78" s="47">
        <v>76.23</v>
      </c>
      <c r="K78" s="46"/>
      <c r="L78" s="46"/>
      <c r="M78" s="40"/>
      <c r="N78" s="40"/>
      <c r="O78" s="40"/>
      <c r="P78" s="41"/>
      <c r="Q78" s="42"/>
      <c r="R78" s="72"/>
    </row>
    <row r="79" spans="1:18" s="43" customFormat="1" ht="27" customHeight="1">
      <c r="A79" s="608" t="s">
        <v>114</v>
      </c>
      <c r="B79" s="613" t="s">
        <v>20</v>
      </c>
      <c r="C79" s="71" t="s">
        <v>113</v>
      </c>
      <c r="D79" s="45" t="s">
        <v>101</v>
      </c>
      <c r="E79" s="34">
        <f t="shared" si="12"/>
        <v>284.7</v>
      </c>
      <c r="F79" s="35">
        <f t="shared" si="13"/>
        <v>75.16</v>
      </c>
      <c r="G79" s="45">
        <f t="shared" si="14"/>
        <v>95.92</v>
      </c>
      <c r="H79" s="36">
        <f t="shared" si="15"/>
        <v>27308.42</v>
      </c>
      <c r="I79" s="40">
        <f>10*17.15+9*8.8+(5.5+5.5+6)*2</f>
        <v>284.7</v>
      </c>
      <c r="J79" s="47">
        <v>75.16</v>
      </c>
      <c r="K79" s="46">
        <f>10.5/1.2</f>
        <v>8.75</v>
      </c>
      <c r="L79" s="46">
        <f>11.15/1.2</f>
        <v>9.2916666666666679</v>
      </c>
      <c r="M79" s="40"/>
      <c r="N79" s="40"/>
      <c r="O79" s="40"/>
      <c r="P79" s="41"/>
      <c r="Q79" s="42"/>
      <c r="R79" s="72"/>
    </row>
    <row r="80" spans="1:18" s="43" customFormat="1" ht="24.75" customHeight="1">
      <c r="A80" s="608" t="s">
        <v>116</v>
      </c>
      <c r="B80" s="600">
        <v>94227</v>
      </c>
      <c r="C80" s="71" t="s">
        <v>115</v>
      </c>
      <c r="D80" s="45" t="s">
        <v>101</v>
      </c>
      <c r="E80" s="34">
        <f t="shared" si="12"/>
        <v>67.22</v>
      </c>
      <c r="F80" s="35">
        <f t="shared" si="13"/>
        <v>61.28</v>
      </c>
      <c r="G80" s="45">
        <f t="shared" si="14"/>
        <v>78.209999999999994</v>
      </c>
      <c r="H80" s="36">
        <f t="shared" si="15"/>
        <v>5257.27</v>
      </c>
      <c r="I80" s="46">
        <f>8.77+9.85+9.85+17.15+10.8+10.8</f>
        <v>67.22</v>
      </c>
      <c r="J80" s="47">
        <v>61.28</v>
      </c>
      <c r="K80" s="46"/>
      <c r="L80" s="46"/>
      <c r="M80" s="40"/>
      <c r="O80" s="40"/>
      <c r="P80" s="41"/>
      <c r="Q80" s="42"/>
      <c r="R80" s="72"/>
    </row>
    <row r="81" spans="1:18" s="43" customFormat="1" ht="25.5" customHeight="1" thickBot="1">
      <c r="A81" s="608" t="s">
        <v>817</v>
      </c>
      <c r="B81" s="607">
        <v>96116</v>
      </c>
      <c r="C81" s="73" t="s">
        <v>117</v>
      </c>
      <c r="D81" s="49" t="s">
        <v>22</v>
      </c>
      <c r="E81" s="50">
        <f t="shared" si="12"/>
        <v>253.67</v>
      </c>
      <c r="F81" s="85">
        <f t="shared" si="13"/>
        <v>73.2</v>
      </c>
      <c r="G81" s="49">
        <f t="shared" si="14"/>
        <v>93.42</v>
      </c>
      <c r="H81" s="51">
        <f t="shared" si="15"/>
        <v>23697.85</v>
      </c>
      <c r="I81" s="46">
        <f>3.99+1.99+12.69+44.68+3*8.95+8.9+4.27+4.27+14.73+29.97+9.12+20.2+20.2+47.81+4</f>
        <v>253.67</v>
      </c>
      <c r="J81" s="47">
        <v>73.2</v>
      </c>
      <c r="K81" s="46"/>
      <c r="L81" s="46"/>
      <c r="M81" s="40"/>
      <c r="N81" s="40"/>
      <c r="O81" s="40"/>
      <c r="P81" s="41"/>
      <c r="Q81" s="42"/>
      <c r="R81" s="72"/>
    </row>
    <row r="82" spans="1:18" s="80" customFormat="1" ht="13.5" thickBot="1">
      <c r="A82" s="52"/>
      <c r="B82" s="53"/>
      <c r="C82" s="21" t="s">
        <v>26</v>
      </c>
      <c r="D82" s="53"/>
      <c r="E82" s="53"/>
      <c r="F82" s="53"/>
      <c r="G82" s="53"/>
      <c r="H82" s="54">
        <f>SUM(H75:H81)</f>
        <v>173945.75</v>
      </c>
      <c r="I82" s="75"/>
      <c r="J82" s="76"/>
      <c r="K82" s="75"/>
      <c r="L82" s="75"/>
      <c r="M82" s="77"/>
      <c r="N82" s="77"/>
      <c r="O82" s="77"/>
      <c r="P82" s="78"/>
      <c r="Q82" s="79"/>
      <c r="R82" s="79"/>
    </row>
    <row r="83" spans="1:18" s="27" customFormat="1" ht="6" customHeight="1" thickBot="1">
      <c r="A83" s="101"/>
      <c r="B83" s="102"/>
      <c r="C83" s="88"/>
      <c r="D83" s="104"/>
      <c r="E83" s="60"/>
      <c r="F83" s="60"/>
      <c r="G83" s="61"/>
      <c r="H83" s="90"/>
      <c r="I83" s="5"/>
      <c r="J83" s="47"/>
      <c r="K83" s="5"/>
      <c r="L83" s="5"/>
      <c r="M83" s="7"/>
      <c r="N83" s="7"/>
      <c r="O83" s="7"/>
      <c r="P83" s="8"/>
      <c r="Q83" s="26"/>
      <c r="R83" s="9"/>
    </row>
    <row r="84" spans="1:18" s="27" customFormat="1" ht="15" thickBot="1">
      <c r="A84" s="109" t="s">
        <v>118</v>
      </c>
      <c r="B84" s="110"/>
      <c r="C84" s="111" t="s">
        <v>119</v>
      </c>
      <c r="D84" s="111"/>
      <c r="E84" s="111"/>
      <c r="F84" s="112"/>
      <c r="G84" s="111"/>
      <c r="H84" s="113"/>
      <c r="I84" s="5"/>
      <c r="J84" s="47"/>
      <c r="K84" s="5"/>
      <c r="L84" s="5"/>
      <c r="M84" s="7"/>
      <c r="N84" s="7"/>
      <c r="O84" s="7"/>
      <c r="P84" s="8"/>
      <c r="Q84" s="26"/>
      <c r="R84" s="9"/>
    </row>
    <row r="85" spans="1:18" s="27" customFormat="1" ht="15" thickBot="1">
      <c r="A85" s="52" t="s">
        <v>120</v>
      </c>
      <c r="B85" s="53"/>
      <c r="C85" s="114" t="s">
        <v>121</v>
      </c>
      <c r="D85" s="53"/>
      <c r="E85" s="53"/>
      <c r="F85" s="53"/>
      <c r="G85" s="53"/>
      <c r="H85" s="54"/>
      <c r="I85" s="5"/>
      <c r="J85" s="47"/>
      <c r="K85" s="5"/>
      <c r="L85" s="5"/>
      <c r="M85" s="7"/>
      <c r="N85" s="7"/>
      <c r="O85" s="7"/>
      <c r="P85" s="8"/>
      <c r="Q85" s="26"/>
      <c r="R85" s="9"/>
    </row>
    <row r="86" spans="1:18" s="43" customFormat="1" ht="34.5" customHeight="1">
      <c r="A86" s="608" t="s">
        <v>122</v>
      </c>
      <c r="B86" s="600">
        <v>91016</v>
      </c>
      <c r="C86" s="91" t="s">
        <v>123</v>
      </c>
      <c r="D86" s="34" t="s">
        <v>25</v>
      </c>
      <c r="E86" s="34">
        <f>TRUNC(I86,2)</f>
        <v>1</v>
      </c>
      <c r="F86" s="84">
        <f>J86</f>
        <v>737.2</v>
      </c>
      <c r="G86" s="34">
        <f>TRUNC(J86*J$17,2)</f>
        <v>940.88</v>
      </c>
      <c r="H86" s="36">
        <f>TRUNC(E86*G86,2)</f>
        <v>940.88</v>
      </c>
      <c r="I86" s="93">
        <v>1</v>
      </c>
      <c r="J86" s="92">
        <v>737.2</v>
      </c>
      <c r="K86" s="93"/>
      <c r="L86" s="93"/>
      <c r="M86" s="40"/>
      <c r="N86" s="40"/>
      <c r="O86" s="40"/>
      <c r="P86" s="41"/>
      <c r="Q86" s="42"/>
      <c r="R86" s="72"/>
    </row>
    <row r="87" spans="1:18" s="43" customFormat="1" ht="24" customHeight="1">
      <c r="A87" s="608" t="s">
        <v>124</v>
      </c>
      <c r="B87" s="626">
        <v>91306</v>
      </c>
      <c r="C87" s="73" t="s">
        <v>125</v>
      </c>
      <c r="D87" s="45" t="s">
        <v>25</v>
      </c>
      <c r="E87" s="115">
        <f>TRUNC(I87,2)</f>
        <v>9</v>
      </c>
      <c r="F87" s="35">
        <f>J87</f>
        <v>128.65</v>
      </c>
      <c r="G87" s="68">
        <f>TRUNC(J87*J$17,2)</f>
        <v>164.19</v>
      </c>
      <c r="H87" s="36">
        <f>TRUNC(E87*G87,2)</f>
        <v>1477.71</v>
      </c>
      <c r="I87" s="93">
        <v>9</v>
      </c>
      <c r="J87" s="116">
        <v>128.65</v>
      </c>
      <c r="K87" s="93"/>
      <c r="L87" s="93"/>
      <c r="M87" s="40"/>
      <c r="N87" s="40"/>
      <c r="O87" s="40"/>
      <c r="P87" s="41"/>
      <c r="Q87" s="42"/>
      <c r="R87" s="72"/>
    </row>
    <row r="88" spans="1:18" s="43" customFormat="1" ht="36" customHeight="1">
      <c r="A88" s="608" t="s">
        <v>126</v>
      </c>
      <c r="B88" s="626">
        <v>91015</v>
      </c>
      <c r="C88" s="523" t="s">
        <v>818</v>
      </c>
      <c r="D88" s="68" t="s">
        <v>25</v>
      </c>
      <c r="E88" s="115">
        <f>TRUNC(I88,2)</f>
        <v>5</v>
      </c>
      <c r="F88" s="35">
        <f>J88</f>
        <v>696.45</v>
      </c>
      <c r="G88" s="68">
        <f>TRUNC(J88*J$17,2)</f>
        <v>888.87</v>
      </c>
      <c r="H88" s="36">
        <f>TRUNC(E88*G88,2)</f>
        <v>4444.3500000000004</v>
      </c>
      <c r="I88" s="93">
        <f>5</f>
        <v>5</v>
      </c>
      <c r="J88" s="589">
        <v>696.45</v>
      </c>
      <c r="K88" s="93"/>
      <c r="L88" s="93"/>
      <c r="M88" s="40"/>
      <c r="N88" s="40"/>
      <c r="O88" s="40"/>
      <c r="P88" s="41"/>
      <c r="Q88" s="42"/>
      <c r="R88" s="72"/>
    </row>
    <row r="89" spans="1:18" s="43" customFormat="1" ht="36.75" customHeight="1" thickBot="1">
      <c r="A89" s="608" t="s">
        <v>819</v>
      </c>
      <c r="B89" s="607">
        <v>91014</v>
      </c>
      <c r="C89" s="117" t="s">
        <v>127</v>
      </c>
      <c r="D89" s="49" t="s">
        <v>25</v>
      </c>
      <c r="E89" s="49">
        <f>TRUNC(I89,2)</f>
        <v>3</v>
      </c>
      <c r="F89" s="85">
        <f>J89</f>
        <v>643.55999999999995</v>
      </c>
      <c r="G89" s="49">
        <f>TRUNC(J89*J$17,2)</f>
        <v>821.37</v>
      </c>
      <c r="H89" s="118">
        <f>TRUNC(E89*G89,2)</f>
        <v>2464.11</v>
      </c>
      <c r="I89" s="93">
        <v>3</v>
      </c>
      <c r="J89" s="119">
        <v>643.55999999999995</v>
      </c>
      <c r="K89" s="93"/>
      <c r="L89" s="93"/>
      <c r="M89" s="40"/>
      <c r="N89" s="40"/>
      <c r="O89" s="40"/>
      <c r="P89" s="41"/>
      <c r="Q89" s="42"/>
      <c r="R89" s="72"/>
    </row>
    <row r="90" spans="1:18" s="43" customFormat="1" ht="15" thickBot="1">
      <c r="A90" s="109" t="s">
        <v>128</v>
      </c>
      <c r="B90" s="110"/>
      <c r="C90" s="614" t="s">
        <v>129</v>
      </c>
      <c r="D90" s="110"/>
      <c r="E90" s="110"/>
      <c r="F90" s="110"/>
      <c r="G90" s="110"/>
      <c r="H90" s="615"/>
      <c r="I90" s="93"/>
      <c r="J90" s="92"/>
      <c r="K90" s="93"/>
      <c r="L90" s="93"/>
      <c r="M90" s="40"/>
      <c r="N90" s="40"/>
      <c r="O90" s="40"/>
      <c r="P90" s="41"/>
      <c r="Q90" s="42"/>
      <c r="R90" s="72"/>
    </row>
    <row r="91" spans="1:18" s="43" customFormat="1" ht="26.25" customHeight="1">
      <c r="A91" s="627" t="s">
        <v>130</v>
      </c>
      <c r="B91" s="628">
        <v>91338</v>
      </c>
      <c r="C91" s="579" t="s">
        <v>132</v>
      </c>
      <c r="D91" s="617" t="s">
        <v>22</v>
      </c>
      <c r="E91" s="569">
        <f>TRUNC(I91,2)</f>
        <v>5.67</v>
      </c>
      <c r="F91" s="618">
        <f t="shared" ref="F91:F95" si="20">J91</f>
        <v>881.91</v>
      </c>
      <c r="G91" s="569">
        <f t="shared" ref="G91:G95" si="21">TRUNC(J91*J$17,2)</f>
        <v>1125.58</v>
      </c>
      <c r="H91" s="619">
        <f t="shared" ref="H91:H95" si="22">TRUNC(E91*G91,2)</f>
        <v>6382.03</v>
      </c>
      <c r="I91" s="93">
        <f>1*2.1+0.9*2.1+0.8*2.1</f>
        <v>5.67</v>
      </c>
      <c r="J91" s="92">
        <v>881.91</v>
      </c>
      <c r="K91"/>
      <c r="L91" s="93"/>
      <c r="M91" s="40"/>
      <c r="N91" s="40"/>
      <c r="O91" s="40"/>
      <c r="P91" s="41"/>
      <c r="Q91" s="42"/>
      <c r="R91" s="72"/>
    </row>
    <row r="92" spans="1:18" s="43" customFormat="1" ht="13.5" customHeight="1">
      <c r="A92" s="629" t="s">
        <v>131</v>
      </c>
      <c r="B92" s="598">
        <v>99861</v>
      </c>
      <c r="C92" s="71" t="s">
        <v>134</v>
      </c>
      <c r="D92" s="120" t="s">
        <v>22</v>
      </c>
      <c r="E92" s="45">
        <f>TRUNC(I92,2)</f>
        <v>21.44</v>
      </c>
      <c r="F92" s="35">
        <f t="shared" si="20"/>
        <v>547.22</v>
      </c>
      <c r="G92" s="45">
        <f t="shared" si="21"/>
        <v>698.41</v>
      </c>
      <c r="H92" s="620">
        <f t="shared" si="22"/>
        <v>14973.91</v>
      </c>
      <c r="I92" s="93">
        <f>5*2.4*1.6+1.4*1.6</f>
        <v>21.44</v>
      </c>
      <c r="J92" s="92">
        <v>547.22</v>
      </c>
      <c r="K92" t="s">
        <v>135</v>
      </c>
      <c r="L92" s="93"/>
      <c r="M92" s="40"/>
      <c r="N92" s="40"/>
      <c r="O92" s="40"/>
      <c r="P92" s="41"/>
      <c r="Q92" s="42"/>
      <c r="R92" s="72"/>
    </row>
    <row r="93" spans="1:18" s="43" customFormat="1" ht="36" customHeight="1">
      <c r="A93" s="629" t="s">
        <v>133</v>
      </c>
      <c r="B93" s="598">
        <v>94570</v>
      </c>
      <c r="C93" s="71" t="s">
        <v>137</v>
      </c>
      <c r="D93" s="121" t="s">
        <v>22</v>
      </c>
      <c r="E93" s="34">
        <f>TRUNC(I93,2)</f>
        <v>13.2</v>
      </c>
      <c r="F93" s="84">
        <f t="shared" si="20"/>
        <v>472.03</v>
      </c>
      <c r="G93" s="34">
        <f t="shared" si="21"/>
        <v>602.45000000000005</v>
      </c>
      <c r="H93" s="510">
        <f t="shared" si="22"/>
        <v>7952.34</v>
      </c>
      <c r="I93" s="93">
        <f>5*2*1.2+1*1.2</f>
        <v>13.2</v>
      </c>
      <c r="J93" s="92">
        <v>472.03</v>
      </c>
      <c r="K93"/>
      <c r="L93" s="6"/>
      <c r="M93" s="40"/>
      <c r="N93" s="40"/>
      <c r="O93" s="40"/>
      <c r="P93" s="41"/>
      <c r="Q93" s="42"/>
      <c r="R93" s="72"/>
    </row>
    <row r="94" spans="1:18" s="43" customFormat="1" ht="26.25" customHeight="1">
      <c r="A94" s="629" t="s">
        <v>136</v>
      </c>
      <c r="B94" s="607">
        <v>94569</v>
      </c>
      <c r="C94" s="73" t="s">
        <v>139</v>
      </c>
      <c r="D94" s="122" t="s">
        <v>22</v>
      </c>
      <c r="E94" s="49">
        <f>TRUNC(I94,2)</f>
        <v>0.48</v>
      </c>
      <c r="F94" s="85">
        <f t="shared" si="20"/>
        <v>892.08</v>
      </c>
      <c r="G94" s="49">
        <f t="shared" si="21"/>
        <v>1138.56</v>
      </c>
      <c r="H94" s="621">
        <f t="shared" si="22"/>
        <v>546.5</v>
      </c>
      <c r="I94" s="93">
        <f>0.8*0.6</f>
        <v>0.48</v>
      </c>
      <c r="J94" s="92">
        <v>892.08</v>
      </c>
      <c r="K94"/>
      <c r="L94" s="93"/>
      <c r="M94" s="40"/>
      <c r="N94" s="40"/>
      <c r="O94" s="40"/>
      <c r="P94" s="41"/>
      <c r="Q94" s="42"/>
      <c r="R94" s="72"/>
    </row>
    <row r="95" spans="1:18" s="99" customFormat="1" ht="23.25" customHeight="1" thickBot="1">
      <c r="A95" s="630" t="s">
        <v>138</v>
      </c>
      <c r="B95" s="631" t="s">
        <v>20</v>
      </c>
      <c r="C95" s="622" t="s">
        <v>140</v>
      </c>
      <c r="D95" s="623" t="s">
        <v>22</v>
      </c>
      <c r="E95" s="623">
        <f>TRUNC(I95,2)</f>
        <v>10.4</v>
      </c>
      <c r="F95" s="624">
        <f t="shared" si="20"/>
        <v>733.75</v>
      </c>
      <c r="G95" s="623">
        <f t="shared" si="21"/>
        <v>936.48</v>
      </c>
      <c r="H95" s="625">
        <f t="shared" si="22"/>
        <v>9739.39</v>
      </c>
      <c r="I95" s="93">
        <f>4*2.6</f>
        <v>10.4</v>
      </c>
      <c r="J95" s="92">
        <v>733.75</v>
      </c>
      <c r="K95" s="123"/>
      <c r="L95" s="123"/>
      <c r="M95" s="95"/>
      <c r="N95" s="95"/>
      <c r="O95" s="95"/>
      <c r="P95" s="96"/>
      <c r="Q95" s="97"/>
      <c r="R95" s="98"/>
    </row>
    <row r="96" spans="1:18" s="80" customFormat="1" ht="13.5" thickBot="1">
      <c r="A96" s="28"/>
      <c r="B96" s="132"/>
      <c r="C96" s="29" t="s">
        <v>26</v>
      </c>
      <c r="D96" s="132"/>
      <c r="E96" s="132"/>
      <c r="F96" s="132"/>
      <c r="G96" s="132"/>
      <c r="H96" s="616">
        <f>SUM(H86:H95)</f>
        <v>48921.22</v>
      </c>
      <c r="I96" s="75"/>
      <c r="J96" s="76"/>
      <c r="K96" s="75"/>
      <c r="L96" s="75"/>
      <c r="M96" s="77"/>
      <c r="N96" s="77"/>
      <c r="O96" s="77"/>
      <c r="P96" s="78"/>
      <c r="Q96" s="79"/>
      <c r="R96" s="79"/>
    </row>
    <row r="97" spans="1:18" s="27" customFormat="1" ht="5.25" customHeight="1" thickBot="1">
      <c r="A97" s="124"/>
      <c r="B97" s="125"/>
      <c r="C97" s="126"/>
      <c r="D97" s="127"/>
      <c r="E97" s="128"/>
      <c r="F97" s="129"/>
      <c r="G97" s="130"/>
      <c r="H97" s="131"/>
      <c r="I97" s="5"/>
      <c r="J97" s="47"/>
      <c r="K97" s="5"/>
      <c r="L97" s="5"/>
      <c r="M97" s="7"/>
      <c r="N97" s="7"/>
      <c r="O97" s="7"/>
      <c r="P97" s="8"/>
      <c r="Q97" s="26"/>
      <c r="R97" s="9"/>
    </row>
    <row r="98" spans="1:18" s="27" customFormat="1" ht="15" thickBot="1">
      <c r="A98" s="28" t="s">
        <v>141</v>
      </c>
      <c r="B98" s="132"/>
      <c r="C98" s="29" t="s">
        <v>142</v>
      </c>
      <c r="D98" s="29"/>
      <c r="E98" s="29"/>
      <c r="F98" s="30"/>
      <c r="G98" s="29"/>
      <c r="H98" s="31"/>
      <c r="I98" s="5"/>
      <c r="J98" s="47"/>
      <c r="K98" s="5"/>
      <c r="L98" s="5"/>
      <c r="M98" s="7"/>
      <c r="N98" s="7"/>
      <c r="O98" s="7"/>
      <c r="P98" s="8"/>
      <c r="Q98" s="26"/>
      <c r="R98" s="9"/>
    </row>
    <row r="99" spans="1:18" s="43" customFormat="1" ht="34.5" customHeight="1">
      <c r="A99" s="608" t="s">
        <v>143</v>
      </c>
      <c r="B99" s="600">
        <v>87879</v>
      </c>
      <c r="C99" s="91" t="s">
        <v>144</v>
      </c>
      <c r="D99" s="34" t="s">
        <v>22</v>
      </c>
      <c r="E99" s="34">
        <f>TRUNC(I99,2)</f>
        <v>336.9</v>
      </c>
      <c r="F99" s="84">
        <f>J99</f>
        <v>3.24</v>
      </c>
      <c r="G99" s="34">
        <f>TRUNC(J99*J$17,2)</f>
        <v>4.13</v>
      </c>
      <c r="H99" s="36">
        <f>TRUNC(E99*G99,2)</f>
        <v>1391.39</v>
      </c>
      <c r="I99" s="46">
        <f>I69*2</f>
        <v>336.9</v>
      </c>
      <c r="J99" s="47">
        <v>3.24</v>
      </c>
      <c r="K99" s="6" t="s">
        <v>145</v>
      </c>
      <c r="L99" s="6"/>
      <c r="N99" s="40"/>
      <c r="O99" s="40"/>
      <c r="P99" s="41"/>
      <c r="Q99" s="42"/>
      <c r="R99" s="72"/>
    </row>
    <row r="100" spans="1:18" s="43" customFormat="1" ht="48" customHeight="1">
      <c r="A100" s="611" t="s">
        <v>146</v>
      </c>
      <c r="B100" s="598" t="s">
        <v>147</v>
      </c>
      <c r="C100" s="71" t="s">
        <v>148</v>
      </c>
      <c r="D100" s="45" t="s">
        <v>22</v>
      </c>
      <c r="E100" s="34">
        <f>TRUNC(I100,2)</f>
        <v>336.9</v>
      </c>
      <c r="F100" s="35">
        <f>J100</f>
        <v>27.45</v>
      </c>
      <c r="G100" s="45">
        <f>TRUNC(J100*J$17,2)</f>
        <v>35.03</v>
      </c>
      <c r="H100" s="36">
        <f>TRUNC(E100*G100,2)</f>
        <v>11801.6</v>
      </c>
      <c r="I100" s="46">
        <f>I99</f>
        <v>336.9</v>
      </c>
      <c r="J100" s="47">
        <v>27.45</v>
      </c>
      <c r="K100" s="6"/>
      <c r="L100" s="6"/>
      <c r="N100" s="40"/>
      <c r="O100" s="40"/>
      <c r="P100" s="41"/>
      <c r="Q100" s="42"/>
      <c r="R100" s="72"/>
    </row>
    <row r="101" spans="1:18" s="43" customFormat="1" ht="37.5" customHeight="1">
      <c r="A101" s="611" t="s">
        <v>149</v>
      </c>
      <c r="B101" s="598">
        <v>87274</v>
      </c>
      <c r="C101" s="71" t="s">
        <v>150</v>
      </c>
      <c r="D101" s="45" t="s">
        <v>22</v>
      </c>
      <c r="E101" s="34">
        <f>TRUNC(I101,2)</f>
        <v>122.92</v>
      </c>
      <c r="F101" s="35">
        <f>J101</f>
        <v>65.5</v>
      </c>
      <c r="G101" s="45">
        <f>TRUNC(J101*J$17,2)</f>
        <v>83.59</v>
      </c>
      <c r="H101" s="36">
        <f>TRUNC(E101*G101,2)</f>
        <v>10274.879999999999</v>
      </c>
      <c r="I101" s="46">
        <f>(1.9+1.9+2.1+2.1+2.2+2.2+4.05+4.05+1.45+1.45+3.05+3.05+1.5+1.5+3.05+3.05+1.05+1.05+1.6+1.6)*2.8</f>
        <v>122.91999999999997</v>
      </c>
      <c r="J101" s="47">
        <v>65.5</v>
      </c>
      <c r="K101" s="46">
        <f>I32+(1.9+1.9+2+2)*2</f>
        <v>107.52</v>
      </c>
      <c r="L101" s="46"/>
      <c r="M101" s="40"/>
      <c r="N101" s="40"/>
      <c r="O101" s="40"/>
      <c r="P101" s="41"/>
      <c r="Q101" s="42"/>
      <c r="R101" s="72"/>
    </row>
    <row r="102" spans="1:18" s="43" customFormat="1" ht="28.5" customHeight="1">
      <c r="A102" s="611" t="s">
        <v>151</v>
      </c>
      <c r="B102" s="598">
        <v>102253</v>
      </c>
      <c r="C102" s="71" t="s">
        <v>152</v>
      </c>
      <c r="D102" s="49" t="s">
        <v>22</v>
      </c>
      <c r="E102" s="34">
        <f>TRUNC(I102,2)</f>
        <v>1.2</v>
      </c>
      <c r="F102" s="35">
        <f>J102</f>
        <v>754.93</v>
      </c>
      <c r="G102" s="45">
        <f>TRUNC(J102*J$17,2)</f>
        <v>963.51</v>
      </c>
      <c r="H102" s="36">
        <f>TRUNC(E102*G102,2)</f>
        <v>1156.21</v>
      </c>
      <c r="I102" s="46">
        <f>3*0.8*0.5</f>
        <v>1.2000000000000002</v>
      </c>
      <c r="J102" s="47">
        <v>754.93</v>
      </c>
      <c r="K102" s="46"/>
      <c r="L102" s="46"/>
      <c r="M102" s="40"/>
      <c r="N102" s="40"/>
      <c r="O102" s="40"/>
      <c r="P102" s="41"/>
      <c r="Q102" s="42"/>
      <c r="R102" s="72"/>
    </row>
    <row r="103" spans="1:18" s="43" customFormat="1" ht="19.5" customHeight="1" thickBot="1">
      <c r="A103" s="612" t="s">
        <v>153</v>
      </c>
      <c r="B103" s="598">
        <v>102253</v>
      </c>
      <c r="C103" s="48" t="s">
        <v>154</v>
      </c>
      <c r="D103" s="49" t="s">
        <v>22</v>
      </c>
      <c r="E103" s="50">
        <f>TRUNC(I103,2)</f>
        <v>4.88</v>
      </c>
      <c r="F103" s="85">
        <f>J103</f>
        <v>754.93</v>
      </c>
      <c r="G103" s="49">
        <f>TRUNC(J103*J$17,2)</f>
        <v>963.51</v>
      </c>
      <c r="H103" s="51">
        <f>TRUNC(E103*G103,2)</f>
        <v>4701.92</v>
      </c>
      <c r="I103" s="46">
        <v>4.88</v>
      </c>
      <c r="J103" s="47">
        <v>754.93</v>
      </c>
      <c r="K103" s="69"/>
      <c r="L103" s="46"/>
      <c r="M103" s="40"/>
      <c r="N103" s="40"/>
      <c r="O103" s="40"/>
      <c r="P103" s="41"/>
      <c r="Q103" s="42"/>
      <c r="R103" s="72"/>
    </row>
    <row r="104" spans="1:18" s="80" customFormat="1" ht="13.5" thickBot="1">
      <c r="A104" s="52"/>
      <c r="B104" s="53"/>
      <c r="C104" s="21" t="s">
        <v>26</v>
      </c>
      <c r="D104" s="53"/>
      <c r="E104" s="53"/>
      <c r="F104" s="53"/>
      <c r="G104" s="53"/>
      <c r="H104" s="54">
        <f>SUM(H99:H103)</f>
        <v>29326</v>
      </c>
      <c r="I104" s="75"/>
      <c r="J104" s="76"/>
      <c r="K104" s="75"/>
      <c r="L104" s="75"/>
      <c r="M104" s="77"/>
      <c r="N104" s="77"/>
      <c r="O104" s="77"/>
      <c r="P104" s="78"/>
      <c r="Q104" s="79"/>
      <c r="R104" s="79"/>
    </row>
    <row r="105" spans="1:18" s="27" customFormat="1" ht="6" customHeight="1" thickBot="1">
      <c r="A105" s="101"/>
      <c r="B105" s="102"/>
      <c r="C105" s="103"/>
      <c r="D105" s="104"/>
      <c r="E105" s="60"/>
      <c r="F105" s="60"/>
      <c r="G105" s="61"/>
      <c r="H105" s="90"/>
      <c r="I105" s="5"/>
      <c r="J105" s="47"/>
      <c r="K105" s="5"/>
      <c r="L105" s="5"/>
      <c r="M105" s="7"/>
      <c r="N105" s="7"/>
      <c r="O105" s="7"/>
      <c r="P105" s="8"/>
      <c r="Q105" s="26"/>
      <c r="R105" s="9"/>
    </row>
    <row r="106" spans="1:18" s="27" customFormat="1" ht="15" thickBot="1">
      <c r="A106" s="52" t="s">
        <v>155</v>
      </c>
      <c r="B106" s="53"/>
      <c r="C106" s="21" t="s">
        <v>156</v>
      </c>
      <c r="D106" s="21"/>
      <c r="E106" s="21"/>
      <c r="F106" s="22"/>
      <c r="G106" s="21"/>
      <c r="H106" s="23"/>
      <c r="I106" s="5"/>
      <c r="J106" s="47"/>
      <c r="K106" s="5"/>
      <c r="L106" s="5"/>
      <c r="M106" s="7"/>
      <c r="N106" s="7"/>
      <c r="O106" s="7"/>
      <c r="P106" s="8"/>
      <c r="Q106" s="26"/>
      <c r="R106" s="9"/>
    </row>
    <row r="107" spans="1:18" s="99" customFormat="1" ht="24.75" customHeight="1">
      <c r="A107" s="599" t="s">
        <v>157</v>
      </c>
      <c r="B107" s="598">
        <v>87250</v>
      </c>
      <c r="C107" s="44" t="s">
        <v>158</v>
      </c>
      <c r="D107" s="34" t="s">
        <v>22</v>
      </c>
      <c r="E107" s="34">
        <f t="shared" ref="E107:E111" si="23">TRUNC(I107,2)</f>
        <v>300.81</v>
      </c>
      <c r="F107" s="84">
        <f t="shared" ref="F107:F111" si="24">J107</f>
        <v>50.84</v>
      </c>
      <c r="G107" s="34">
        <f t="shared" ref="G107:G111" si="25">TRUNC(J107*J$17,2)</f>
        <v>64.88</v>
      </c>
      <c r="H107" s="36">
        <f t="shared" ref="H107:H111" si="26">TRUNC(E107*G107,2)</f>
        <v>19516.55</v>
      </c>
      <c r="I107" s="46">
        <f>3.78+11.97+42.38+8.9+2.72+4.26+4.26+1.68+14.5+30.17+9.56+19.98+19.98+3.99+120.69+1.99</f>
        <v>300.81</v>
      </c>
      <c r="J107" s="92">
        <v>50.84</v>
      </c>
      <c r="K107" s="6"/>
      <c r="L107" s="46">
        <f>11.97+3.78+7.2+12.18+5*4.7+4*4+65.75+33+14.53+1.67+4.26+4.27+2.95+8.9</f>
        <v>209.95999999999998</v>
      </c>
      <c r="M107" s="95"/>
      <c r="N107" s="95"/>
      <c r="O107" s="95"/>
      <c r="P107" s="96"/>
      <c r="Q107" s="97"/>
      <c r="R107" s="98"/>
    </row>
    <row r="108" spans="1:18" s="99" customFormat="1" ht="26.25" customHeight="1">
      <c r="A108" s="599" t="s">
        <v>159</v>
      </c>
      <c r="B108" s="598" t="s">
        <v>160</v>
      </c>
      <c r="C108" s="44" t="s">
        <v>161</v>
      </c>
      <c r="D108" s="45" t="s">
        <v>101</v>
      </c>
      <c r="E108" s="34">
        <f t="shared" si="23"/>
        <v>149.19999999999999</v>
      </c>
      <c r="F108" s="35">
        <f t="shared" si="24"/>
        <v>7.3</v>
      </c>
      <c r="G108" s="45">
        <f t="shared" si="25"/>
        <v>9.31</v>
      </c>
      <c r="H108" s="74">
        <f t="shared" si="26"/>
        <v>1389.05</v>
      </c>
      <c r="I108" s="99">
        <f>16.26+22.9+30.29+18.1+18.1+18.8+14.6+8+2.15</f>
        <v>149.19999999999999</v>
      </c>
      <c r="J108" s="92">
        <v>7.3</v>
      </c>
      <c r="K108" s="6"/>
      <c r="L108" s="6"/>
      <c r="M108" s="95"/>
      <c r="N108" s="95"/>
      <c r="O108" s="95"/>
      <c r="P108" s="96"/>
      <c r="Q108" s="97"/>
      <c r="R108" s="98"/>
    </row>
    <row r="109" spans="1:18" s="43" customFormat="1" ht="15.75" customHeight="1">
      <c r="A109" s="599" t="s">
        <v>162</v>
      </c>
      <c r="B109" s="600">
        <v>98689</v>
      </c>
      <c r="C109" s="33" t="s">
        <v>164</v>
      </c>
      <c r="D109" s="45" t="s">
        <v>101</v>
      </c>
      <c r="E109" s="34">
        <f t="shared" si="23"/>
        <v>8.9</v>
      </c>
      <c r="F109" s="35">
        <f t="shared" si="24"/>
        <v>98.76</v>
      </c>
      <c r="G109" s="45">
        <f t="shared" si="25"/>
        <v>126.04</v>
      </c>
      <c r="H109" s="74">
        <f t="shared" si="26"/>
        <v>1121.75</v>
      </c>
      <c r="I109" s="93">
        <f>4+1.1+0.8+2.1+0.9</f>
        <v>8.9</v>
      </c>
      <c r="J109" s="92">
        <v>98.76</v>
      </c>
      <c r="K109" s="93"/>
      <c r="L109" s="93"/>
      <c r="M109" s="40"/>
      <c r="N109" s="40"/>
      <c r="O109" s="40"/>
      <c r="P109" s="41"/>
      <c r="Q109" s="42"/>
      <c r="R109" s="72"/>
    </row>
    <row r="110" spans="1:18" s="43" customFormat="1" ht="33.75" customHeight="1">
      <c r="A110" s="599" t="s">
        <v>163</v>
      </c>
      <c r="B110" s="598">
        <v>94990</v>
      </c>
      <c r="C110" s="44" t="s">
        <v>166</v>
      </c>
      <c r="D110" s="45" t="s">
        <v>49</v>
      </c>
      <c r="E110" s="34">
        <f t="shared" si="23"/>
        <v>50</v>
      </c>
      <c r="F110" s="35">
        <f t="shared" si="24"/>
        <v>649.36</v>
      </c>
      <c r="G110" s="45">
        <f t="shared" si="25"/>
        <v>828.77</v>
      </c>
      <c r="H110" s="74">
        <f t="shared" si="26"/>
        <v>41438.5</v>
      </c>
      <c r="I110" s="93">
        <v>50</v>
      </c>
      <c r="J110" s="92">
        <v>649.36</v>
      </c>
      <c r="K110" s="93"/>
      <c r="L110" s="93">
        <f>5+16.2+10.95+3.6+16.2+21.75+3.42+16.4+27.51+16.4+4*4</f>
        <v>153.43</v>
      </c>
      <c r="M110" s="40" t="s">
        <v>167</v>
      </c>
      <c r="N110" s="40"/>
      <c r="O110" s="40"/>
      <c r="P110" s="41"/>
      <c r="Q110" s="42"/>
      <c r="R110" s="72"/>
    </row>
    <row r="111" spans="1:18" s="43" customFormat="1" ht="15.75" customHeight="1" thickBot="1">
      <c r="A111" s="599" t="s">
        <v>165</v>
      </c>
      <c r="B111" s="598">
        <v>101094</v>
      </c>
      <c r="C111" s="44" t="s">
        <v>168</v>
      </c>
      <c r="D111" s="49" t="s">
        <v>101</v>
      </c>
      <c r="E111" s="50">
        <f t="shared" si="23"/>
        <v>41.25</v>
      </c>
      <c r="F111" s="85">
        <f t="shared" si="24"/>
        <v>136.28</v>
      </c>
      <c r="G111" s="49">
        <f t="shared" si="25"/>
        <v>173.93</v>
      </c>
      <c r="H111" s="118">
        <f t="shared" si="26"/>
        <v>7174.61</v>
      </c>
      <c r="I111" s="123">
        <f>4+30+0.75*7+2</f>
        <v>41.25</v>
      </c>
      <c r="J111" s="92">
        <v>136.28</v>
      </c>
      <c r="K111" s="93"/>
      <c r="L111" s="93"/>
      <c r="M111" s="40"/>
      <c r="N111" s="40"/>
      <c r="O111" s="40"/>
      <c r="P111" s="41"/>
      <c r="Q111" s="42"/>
      <c r="R111" s="72"/>
    </row>
    <row r="112" spans="1:18" s="80" customFormat="1" ht="13.5" thickBot="1">
      <c r="A112" s="52"/>
      <c r="B112" s="53"/>
      <c r="C112" s="21" t="s">
        <v>26</v>
      </c>
      <c r="D112" s="53"/>
      <c r="E112" s="53"/>
      <c r="F112" s="53"/>
      <c r="G112" s="53"/>
      <c r="H112" s="54">
        <f>SUM(H107:H111)</f>
        <v>70640.459999999992</v>
      </c>
      <c r="I112" s="75"/>
      <c r="J112" s="76"/>
      <c r="K112" s="75"/>
      <c r="L112" s="75"/>
      <c r="M112" s="77"/>
      <c r="N112" s="77"/>
      <c r="O112" s="77"/>
      <c r="P112" s="78"/>
      <c r="Q112" s="79"/>
      <c r="R112" s="79"/>
    </row>
    <row r="113" spans="1:18" s="80" customFormat="1" ht="5.25" customHeight="1" thickBot="1">
      <c r="A113" s="133"/>
      <c r="B113" s="134"/>
      <c r="C113" s="88"/>
      <c r="D113" s="89"/>
      <c r="E113" s="89"/>
      <c r="F113" s="105"/>
      <c r="G113" s="61"/>
      <c r="H113" s="135"/>
      <c r="I113" s="75"/>
      <c r="J113" s="76"/>
      <c r="K113" s="75"/>
      <c r="L113" s="75"/>
      <c r="M113" s="77"/>
      <c r="N113" s="77"/>
      <c r="O113" s="77"/>
      <c r="P113" s="78"/>
      <c r="Q113" s="79"/>
      <c r="R113" s="79"/>
    </row>
    <row r="114" spans="1:18" s="27" customFormat="1" ht="15" thickBot="1">
      <c r="A114" s="52" t="s">
        <v>169</v>
      </c>
      <c r="B114" s="53"/>
      <c r="C114" s="21" t="s">
        <v>170</v>
      </c>
      <c r="D114" s="21"/>
      <c r="E114" s="21"/>
      <c r="F114" s="22"/>
      <c r="G114" s="21"/>
      <c r="H114" s="23"/>
      <c r="I114" s="5"/>
      <c r="J114" s="47"/>
      <c r="K114" s="5"/>
      <c r="L114" s="5"/>
      <c r="M114" s="7"/>
      <c r="N114" s="7"/>
      <c r="O114" s="7"/>
      <c r="P114" s="8"/>
      <c r="Q114" s="26"/>
      <c r="R114" s="9"/>
    </row>
    <row r="115" spans="1:18" s="43" customFormat="1" ht="28.5" customHeight="1">
      <c r="A115" s="632" t="s">
        <v>171</v>
      </c>
      <c r="B115" s="598">
        <v>102185</v>
      </c>
      <c r="C115" s="71" t="s">
        <v>172</v>
      </c>
      <c r="D115" s="45" t="s">
        <v>25</v>
      </c>
      <c r="E115" s="45">
        <f>TRUNC(I115,2)</f>
        <v>1</v>
      </c>
      <c r="F115" s="35">
        <f>J115</f>
        <v>3813.69</v>
      </c>
      <c r="G115" s="45">
        <f>TRUNC(J115*J$17,2)</f>
        <v>4867.41</v>
      </c>
      <c r="H115" s="45">
        <f>TRUNC(E115*G115,2)</f>
        <v>4867.41</v>
      </c>
      <c r="I115" s="93">
        <v>1</v>
      </c>
      <c r="J115" s="92">
        <v>3813.69</v>
      </c>
      <c r="K115" s="46"/>
      <c r="L115" s="46"/>
      <c r="M115" s="40"/>
      <c r="N115" s="40"/>
      <c r="O115" s="40"/>
      <c r="P115" s="41"/>
      <c r="Q115" s="42"/>
      <c r="R115" s="72"/>
    </row>
    <row r="116" spans="1:18" s="43" customFormat="1" ht="15.75" customHeight="1" thickBot="1">
      <c r="A116" s="632" t="s">
        <v>173</v>
      </c>
      <c r="B116" s="633">
        <v>102181</v>
      </c>
      <c r="C116" s="83" t="s">
        <v>174</v>
      </c>
      <c r="D116" s="50" t="s">
        <v>22</v>
      </c>
      <c r="E116" s="50">
        <f>TRUNC(I116,2)</f>
        <v>5.76</v>
      </c>
      <c r="F116" s="136">
        <f>J116</f>
        <v>538.34</v>
      </c>
      <c r="G116" s="50">
        <f>TRUNC(J116*J$17,2)</f>
        <v>687.08</v>
      </c>
      <c r="H116" s="51">
        <f>TRUNC(E116*G116,2)</f>
        <v>3957.58</v>
      </c>
      <c r="I116" s="123">
        <f>1.3*1.2+2*1*2.1</f>
        <v>5.76</v>
      </c>
      <c r="J116" s="47">
        <v>538.34</v>
      </c>
      <c r="K116" s="46" t="s">
        <v>175</v>
      </c>
      <c r="L116" s="46"/>
      <c r="M116" s="40"/>
      <c r="N116" s="40"/>
      <c r="O116" s="40"/>
      <c r="P116" s="41"/>
      <c r="Q116" s="42"/>
      <c r="R116" s="72"/>
    </row>
    <row r="117" spans="1:18" s="80" customFormat="1" ht="13.5" thickBot="1">
      <c r="A117" s="52"/>
      <c r="B117" s="53"/>
      <c r="C117" s="21" t="s">
        <v>26</v>
      </c>
      <c r="D117" s="53"/>
      <c r="E117" s="53"/>
      <c r="F117" s="53"/>
      <c r="G117" s="53"/>
      <c r="H117" s="54">
        <f>SUM(H115:H116)</f>
        <v>8824.99</v>
      </c>
      <c r="I117" s="75"/>
      <c r="J117" s="76"/>
      <c r="K117" s="75"/>
      <c r="L117" s="75"/>
      <c r="M117" s="77"/>
      <c r="N117" s="77"/>
      <c r="O117" s="77"/>
      <c r="P117" s="78"/>
      <c r="Q117" s="79"/>
      <c r="R117" s="79"/>
    </row>
    <row r="118" spans="1:18" s="27" customFormat="1" ht="5.25" customHeight="1" thickBot="1">
      <c r="A118" s="101"/>
      <c r="B118" s="102"/>
      <c r="C118" s="88"/>
      <c r="D118" s="104"/>
      <c r="E118" s="89"/>
      <c r="F118" s="105"/>
      <c r="G118" s="61"/>
      <c r="H118" s="90"/>
      <c r="I118" s="5"/>
      <c r="J118" s="47"/>
      <c r="K118" s="5"/>
      <c r="L118" s="5"/>
      <c r="M118" s="7"/>
      <c r="N118" s="7"/>
      <c r="O118" s="7"/>
      <c r="P118" s="8"/>
      <c r="Q118" s="26"/>
      <c r="R118" s="9"/>
    </row>
    <row r="119" spans="1:18" s="27" customFormat="1" ht="15" thickBot="1">
      <c r="A119" s="109" t="s">
        <v>176</v>
      </c>
      <c r="B119" s="110"/>
      <c r="C119" s="111" t="s">
        <v>177</v>
      </c>
      <c r="D119" s="111"/>
      <c r="E119" s="111"/>
      <c r="F119" s="112"/>
      <c r="G119" s="111"/>
      <c r="H119" s="113"/>
      <c r="I119" s="5"/>
      <c r="J119" s="47"/>
      <c r="K119" s="5"/>
      <c r="L119" s="5"/>
      <c r="M119" s="7"/>
      <c r="N119" s="7"/>
      <c r="O119" s="7"/>
      <c r="P119" s="8"/>
      <c r="Q119" s="26"/>
      <c r="R119" s="9"/>
    </row>
    <row r="120" spans="1:18" s="27" customFormat="1">
      <c r="A120" s="634" t="s">
        <v>178</v>
      </c>
      <c r="B120" s="635" t="s">
        <v>179</v>
      </c>
      <c r="C120" s="568" t="s">
        <v>180</v>
      </c>
      <c r="D120" s="569" t="s">
        <v>22</v>
      </c>
      <c r="E120" s="509">
        <f t="shared" ref="E120" si="27">TRUNC(I120,2)</f>
        <v>284</v>
      </c>
      <c r="F120" s="572">
        <f t="shared" ref="F120" si="28">J120</f>
        <v>2.8</v>
      </c>
      <c r="G120" s="509">
        <f t="shared" ref="G120" si="29">TRUNC(J120*J$17,2)</f>
        <v>3.57</v>
      </c>
      <c r="H120" s="573">
        <f t="shared" ref="H120" si="30">TRUNC(E120*G120,2)</f>
        <v>1013.88</v>
      </c>
      <c r="I120" s="5">
        <f>(10.8+10.8+17.45+17.45+7+7)*4+(1+1)*1</f>
        <v>284</v>
      </c>
      <c r="J120" s="47">
        <v>2.8</v>
      </c>
      <c r="K120" s="5"/>
      <c r="L120" s="5"/>
      <c r="M120" s="7"/>
      <c r="N120" s="7"/>
      <c r="O120" s="7"/>
      <c r="P120" s="8"/>
      <c r="Q120" s="26"/>
      <c r="R120" s="9"/>
    </row>
    <row r="121" spans="1:18" s="63" customFormat="1" ht="25.5" customHeight="1">
      <c r="A121" s="636" t="s">
        <v>181</v>
      </c>
      <c r="B121" s="598" t="s">
        <v>182</v>
      </c>
      <c r="C121" s="137" t="s">
        <v>183</v>
      </c>
      <c r="D121" s="115" t="s">
        <v>22</v>
      </c>
      <c r="E121" s="496">
        <f t="shared" ref="E121:E129" si="31">TRUNC(I121,2)</f>
        <v>284</v>
      </c>
      <c r="F121" s="498">
        <f t="shared" ref="F121:F129" si="32">J121</f>
        <v>17.34</v>
      </c>
      <c r="G121" s="496">
        <f t="shared" ref="G121:G129" si="33">TRUNC(J121*J$17,2)</f>
        <v>22.13</v>
      </c>
      <c r="H121" s="496">
        <f t="shared" ref="H121:H129" si="34">TRUNC(E121*G121,2)</f>
        <v>6284.92</v>
      </c>
      <c r="I121" s="5">
        <f>(10.8+10.8+17.45+17.45+7+7)*4+(1+1)*1</f>
        <v>284</v>
      </c>
      <c r="J121" s="47">
        <v>17.34</v>
      </c>
      <c r="K121" s="46"/>
      <c r="L121" s="46"/>
      <c r="M121" s="40"/>
      <c r="N121" s="40"/>
      <c r="O121" s="40"/>
      <c r="P121" s="41"/>
      <c r="Q121" s="40"/>
      <c r="R121" s="40"/>
    </row>
    <row r="122" spans="1:18" s="63" customFormat="1" ht="23.25" customHeight="1">
      <c r="A122" s="636" t="s">
        <v>184</v>
      </c>
      <c r="B122" s="600" t="s">
        <v>182</v>
      </c>
      <c r="C122" s="44" t="s">
        <v>185</v>
      </c>
      <c r="D122" s="138" t="s">
        <v>22</v>
      </c>
      <c r="E122" s="496">
        <f t="shared" si="31"/>
        <v>14.55</v>
      </c>
      <c r="F122" s="498">
        <f t="shared" si="32"/>
        <v>17.34</v>
      </c>
      <c r="G122" s="496">
        <f t="shared" si="33"/>
        <v>22.13</v>
      </c>
      <c r="H122" s="496">
        <f t="shared" si="34"/>
        <v>321.99</v>
      </c>
      <c r="I122" s="63">
        <f>10.65+(3.95+3.95+5.8+5.8)*0.2</f>
        <v>14.55</v>
      </c>
      <c r="J122" s="47">
        <v>17.34</v>
      </c>
      <c r="K122" s="46"/>
      <c r="L122" s="46"/>
      <c r="M122" s="40"/>
      <c r="N122" s="40"/>
      <c r="O122" s="40"/>
      <c r="P122" s="41"/>
      <c r="Q122" s="40"/>
      <c r="R122" s="40"/>
    </row>
    <row r="123" spans="1:18" s="43" customFormat="1" ht="24.75" customHeight="1">
      <c r="A123" s="636" t="s">
        <v>186</v>
      </c>
      <c r="B123" s="598" t="s">
        <v>187</v>
      </c>
      <c r="C123" s="44" t="s">
        <v>188</v>
      </c>
      <c r="D123" s="138" t="s">
        <v>22</v>
      </c>
      <c r="E123" s="496">
        <f t="shared" si="31"/>
        <v>145.15</v>
      </c>
      <c r="F123" s="498">
        <f t="shared" si="32"/>
        <v>12</v>
      </c>
      <c r="G123" s="496">
        <f t="shared" si="33"/>
        <v>15.31</v>
      </c>
      <c r="H123" s="496">
        <f t="shared" si="34"/>
        <v>2222.2399999999998</v>
      </c>
      <c r="I123" s="46">
        <f>14.6+6.1+16.26+22.9+18.8+18.1+18.1+30.29</f>
        <v>145.14999999999998</v>
      </c>
      <c r="J123" s="47">
        <v>12</v>
      </c>
      <c r="K123" s="46"/>
      <c r="L123" s="69" t="s">
        <v>189</v>
      </c>
      <c r="M123" s="40"/>
      <c r="N123" s="40"/>
      <c r="O123" s="40"/>
      <c r="P123" s="41"/>
      <c r="Q123" s="42"/>
      <c r="R123" s="72"/>
    </row>
    <row r="124" spans="1:18" s="43" customFormat="1" ht="15" customHeight="1">
      <c r="A124" s="636" t="s">
        <v>190</v>
      </c>
      <c r="B124" s="598" t="s">
        <v>191</v>
      </c>
      <c r="C124" s="44" t="s">
        <v>192</v>
      </c>
      <c r="D124" s="138" t="s">
        <v>22</v>
      </c>
      <c r="E124" s="496">
        <f t="shared" si="31"/>
        <v>145.15</v>
      </c>
      <c r="F124" s="498">
        <f t="shared" si="32"/>
        <v>13.22</v>
      </c>
      <c r="G124" s="496">
        <f t="shared" si="33"/>
        <v>16.87</v>
      </c>
      <c r="H124" s="496">
        <f t="shared" si="34"/>
        <v>2448.6799999999998</v>
      </c>
      <c r="I124" s="46">
        <f>I123</f>
        <v>145.14999999999998</v>
      </c>
      <c r="J124" s="47">
        <v>13.22</v>
      </c>
      <c r="K124" s="46"/>
      <c r="L124" s="69" t="s">
        <v>189</v>
      </c>
      <c r="M124" s="40"/>
      <c r="N124" s="40"/>
      <c r="O124" s="40"/>
      <c r="P124" s="41"/>
      <c r="Q124" s="42"/>
      <c r="R124" s="72"/>
    </row>
    <row r="125" spans="1:18" s="43" customFormat="1" ht="25.5" customHeight="1">
      <c r="A125" s="636" t="s">
        <v>193</v>
      </c>
      <c r="B125" s="598">
        <v>102200</v>
      </c>
      <c r="C125" s="44" t="s">
        <v>194</v>
      </c>
      <c r="D125" s="138" t="s">
        <v>22</v>
      </c>
      <c r="E125" s="496">
        <f t="shared" si="31"/>
        <v>14</v>
      </c>
      <c r="F125" s="498">
        <f t="shared" si="32"/>
        <v>16.79</v>
      </c>
      <c r="G125" s="496">
        <f t="shared" si="33"/>
        <v>21.42</v>
      </c>
      <c r="H125" s="496">
        <f t="shared" si="34"/>
        <v>299.88</v>
      </c>
      <c r="I125" s="46">
        <f>(1*0.9+5*0.8+3*0.7)*2</f>
        <v>14</v>
      </c>
      <c r="J125" s="47">
        <v>16.79</v>
      </c>
      <c r="K125" s="46"/>
      <c r="L125" s="46"/>
      <c r="M125" s="40"/>
      <c r="N125" s="40"/>
      <c r="O125" s="40"/>
      <c r="P125" s="41"/>
      <c r="Q125" s="42"/>
      <c r="R125" s="72"/>
    </row>
    <row r="126" spans="1:18" s="43" customFormat="1" ht="24" customHeight="1">
      <c r="A126" s="636" t="s">
        <v>195</v>
      </c>
      <c r="B126" s="598">
        <v>102219</v>
      </c>
      <c r="C126" s="44" t="s">
        <v>196</v>
      </c>
      <c r="D126" s="138" t="s">
        <v>22</v>
      </c>
      <c r="E126" s="496">
        <f t="shared" si="31"/>
        <v>14</v>
      </c>
      <c r="F126" s="498">
        <f t="shared" si="32"/>
        <v>11.75</v>
      </c>
      <c r="G126" s="496">
        <f t="shared" si="33"/>
        <v>14.99</v>
      </c>
      <c r="H126" s="496">
        <f t="shared" si="34"/>
        <v>209.86</v>
      </c>
      <c r="I126" s="46">
        <f>I125</f>
        <v>14</v>
      </c>
      <c r="J126" s="47">
        <v>11.75</v>
      </c>
      <c r="K126" s="46"/>
      <c r="L126" s="46"/>
      <c r="M126" s="40"/>
      <c r="N126" s="40"/>
      <c r="O126" s="40"/>
      <c r="P126" s="41"/>
      <c r="Q126" s="42"/>
      <c r="R126" s="72"/>
    </row>
    <row r="127" spans="1:18" s="43" customFormat="1" ht="26.25" customHeight="1">
      <c r="A127" s="636" t="s">
        <v>858</v>
      </c>
      <c r="B127" s="598">
        <v>102491</v>
      </c>
      <c r="C127" s="44" t="s">
        <v>198</v>
      </c>
      <c r="D127" s="139" t="s">
        <v>22</v>
      </c>
      <c r="E127" s="496">
        <f t="shared" ref="E127:E128" si="35">TRUNC(I127,2)</f>
        <v>2.9</v>
      </c>
      <c r="F127" s="498">
        <f t="shared" ref="F127:F128" si="36">J127</f>
        <v>14.27</v>
      </c>
      <c r="G127" s="496">
        <f t="shared" ref="G127:G128" si="37">TRUNC(J127*J$17,2)</f>
        <v>18.21</v>
      </c>
      <c r="H127" s="496">
        <f t="shared" ref="H127:H128" si="38">TRUNC(E127*G127,2)</f>
        <v>52.8</v>
      </c>
      <c r="I127" s="43">
        <f>1.45*2</f>
        <v>2.9</v>
      </c>
      <c r="J127" s="47">
        <v>14.27</v>
      </c>
      <c r="K127" s="46"/>
      <c r="M127" s="40"/>
      <c r="N127" s="40"/>
      <c r="O127" s="40"/>
      <c r="P127" s="41"/>
      <c r="Q127" s="42"/>
      <c r="R127" s="72"/>
    </row>
    <row r="128" spans="1:18" s="43" customFormat="1" ht="27.75" customHeight="1">
      <c r="A128" s="636" t="s">
        <v>197</v>
      </c>
      <c r="B128" s="637">
        <v>102500</v>
      </c>
      <c r="C128" s="48" t="s">
        <v>200</v>
      </c>
      <c r="D128" s="139" t="s">
        <v>101</v>
      </c>
      <c r="E128" s="496">
        <f t="shared" si="35"/>
        <v>43.7</v>
      </c>
      <c r="F128" s="498">
        <f t="shared" si="36"/>
        <v>3.17</v>
      </c>
      <c r="G128" s="496">
        <f t="shared" si="37"/>
        <v>4.04</v>
      </c>
      <c r="H128" s="496">
        <f t="shared" si="38"/>
        <v>176.54</v>
      </c>
      <c r="I128" s="46">
        <f>5.1+5.1+5.1+5.1+6.6+1.2+1.55*10</f>
        <v>43.7</v>
      </c>
      <c r="J128" s="47">
        <v>3.17</v>
      </c>
      <c r="K128" s="46"/>
      <c r="M128" s="40"/>
      <c r="N128" s="40"/>
      <c r="O128" s="40"/>
      <c r="P128" s="41"/>
      <c r="Q128" s="42"/>
      <c r="R128" s="72"/>
    </row>
    <row r="129" spans="1:18" s="43" customFormat="1" ht="39" customHeight="1" thickBot="1">
      <c r="A129" s="636" t="s">
        <v>199</v>
      </c>
      <c r="B129" s="607">
        <v>100754</v>
      </c>
      <c r="C129" s="48" t="s">
        <v>201</v>
      </c>
      <c r="D129" s="139" t="s">
        <v>22</v>
      </c>
      <c r="E129" s="576">
        <f t="shared" si="31"/>
        <v>20.8</v>
      </c>
      <c r="F129" s="577">
        <f t="shared" si="32"/>
        <v>20.45</v>
      </c>
      <c r="G129" s="576">
        <f t="shared" si="33"/>
        <v>26.1</v>
      </c>
      <c r="H129" s="576">
        <f t="shared" si="34"/>
        <v>542.88</v>
      </c>
      <c r="I129" s="46">
        <f>I95*2</f>
        <v>20.8</v>
      </c>
      <c r="J129" s="47">
        <v>20.45</v>
      </c>
      <c r="K129" s="46"/>
      <c r="M129" s="40"/>
      <c r="N129" s="40"/>
      <c r="O129" s="40"/>
      <c r="P129" s="41"/>
      <c r="Q129" s="42"/>
      <c r="R129" s="72"/>
    </row>
    <row r="130" spans="1:18" s="27" customFormat="1" ht="15" thickBot="1">
      <c r="A130" s="513"/>
      <c r="B130" s="514"/>
      <c r="C130" s="515" t="s">
        <v>26</v>
      </c>
      <c r="D130" s="514"/>
      <c r="E130" s="514"/>
      <c r="F130" s="514"/>
      <c r="G130" s="514"/>
      <c r="H130" s="578">
        <f>SUM(H120:H129)</f>
        <v>13573.669999999998</v>
      </c>
      <c r="I130" s="140"/>
      <c r="J130" s="141"/>
      <c r="K130" s="75"/>
      <c r="L130" s="75"/>
      <c r="M130" s="7"/>
      <c r="N130" s="7"/>
      <c r="O130" s="7"/>
      <c r="P130" s="8"/>
      <c r="Q130" s="26"/>
      <c r="R130" s="9"/>
    </row>
    <row r="131" spans="1:18" s="43" customFormat="1" ht="6.75" customHeight="1" thickBot="1">
      <c r="A131" s="86"/>
      <c r="B131" s="87"/>
      <c r="C131" s="88"/>
      <c r="D131" s="89"/>
      <c r="E131" s="60"/>
      <c r="F131" s="60"/>
      <c r="G131" s="61"/>
      <c r="H131" s="90"/>
      <c r="I131" s="46"/>
      <c r="J131" s="47"/>
      <c r="K131" s="46"/>
      <c r="L131" s="46"/>
      <c r="M131" s="40"/>
      <c r="N131" s="40"/>
      <c r="O131" s="40"/>
      <c r="P131" s="41"/>
      <c r="Q131" s="42"/>
      <c r="R131" s="72"/>
    </row>
    <row r="132" spans="1:18" s="27" customFormat="1" ht="15" thickBot="1">
      <c r="A132" s="52" t="s">
        <v>202</v>
      </c>
      <c r="B132" s="53"/>
      <c r="C132" s="21" t="s">
        <v>203</v>
      </c>
      <c r="D132" s="21"/>
      <c r="E132" s="21"/>
      <c r="F132" s="22"/>
      <c r="G132" s="21"/>
      <c r="H132" s="23"/>
      <c r="I132" s="5"/>
      <c r="J132" s="47"/>
      <c r="K132" s="5"/>
      <c r="L132" s="5"/>
      <c r="M132" s="7"/>
      <c r="N132" s="7"/>
      <c r="O132" s="7"/>
      <c r="P132" s="8"/>
      <c r="Q132" s="26"/>
      <c r="R132" s="9"/>
    </row>
    <row r="133" spans="1:18" s="43" customFormat="1" ht="27" customHeight="1">
      <c r="A133" s="608" t="s">
        <v>204</v>
      </c>
      <c r="B133" s="638" t="s">
        <v>205</v>
      </c>
      <c r="C133" s="470" t="s">
        <v>778</v>
      </c>
      <c r="D133" s="471" t="s">
        <v>207</v>
      </c>
      <c r="E133" s="35">
        <f t="shared" ref="E133:E200" si="39">TRUNC(I133,2)</f>
        <v>1</v>
      </c>
      <c r="F133" s="35">
        <f t="shared" ref="F133:F200" si="40">J133</f>
        <v>3708.68</v>
      </c>
      <c r="G133" s="49">
        <f t="shared" ref="G133:G200" si="41">TRUNC(J133*J$17,2)</f>
        <v>4733.38</v>
      </c>
      <c r="H133" s="36">
        <f t="shared" ref="H133:H200" si="42">TRUNC(E133*G133,2)</f>
        <v>4733.38</v>
      </c>
      <c r="I133" s="472">
        <v>1</v>
      </c>
      <c r="J133" s="481">
        <v>3708.68</v>
      </c>
      <c r="K133" s="46"/>
      <c r="L133" s="46"/>
      <c r="M133" s="40"/>
      <c r="N133" s="40"/>
      <c r="O133" s="40"/>
      <c r="P133" s="41"/>
      <c r="Q133" s="42"/>
      <c r="R133" s="72"/>
    </row>
    <row r="134" spans="1:18" s="43" customFormat="1" ht="25.5" customHeight="1">
      <c r="A134" s="608" t="s">
        <v>208</v>
      </c>
      <c r="B134" s="639">
        <v>92986</v>
      </c>
      <c r="C134" s="470" t="s">
        <v>209</v>
      </c>
      <c r="D134" s="473" t="s">
        <v>101</v>
      </c>
      <c r="E134" s="35">
        <f t="shared" si="39"/>
        <v>48.3</v>
      </c>
      <c r="F134" s="35">
        <f t="shared" si="40"/>
        <v>39.909999999999997</v>
      </c>
      <c r="G134" s="49">
        <f t="shared" si="41"/>
        <v>50.93</v>
      </c>
      <c r="H134" s="36">
        <f t="shared" si="42"/>
        <v>2459.91</v>
      </c>
      <c r="I134" s="474">
        <f>(14*3)*1.15</f>
        <v>48.3</v>
      </c>
      <c r="J134" s="481">
        <v>39.909999999999997</v>
      </c>
      <c r="K134" s="46"/>
      <c r="L134" s="46"/>
      <c r="M134" s="40"/>
      <c r="N134" s="40"/>
      <c r="O134" s="40"/>
      <c r="P134" s="41"/>
      <c r="Q134" s="42"/>
      <c r="R134" s="72"/>
    </row>
    <row r="135" spans="1:18" s="43" customFormat="1" ht="27" customHeight="1">
      <c r="A135" s="608" t="s">
        <v>210</v>
      </c>
      <c r="B135" s="639">
        <v>92984</v>
      </c>
      <c r="C135" s="470" t="s">
        <v>211</v>
      </c>
      <c r="D135" s="473" t="s">
        <v>101</v>
      </c>
      <c r="E135" s="35">
        <f t="shared" si="39"/>
        <v>15.4</v>
      </c>
      <c r="F135" s="35">
        <f t="shared" si="40"/>
        <v>29.31</v>
      </c>
      <c r="G135" s="49">
        <f t="shared" si="41"/>
        <v>37.4</v>
      </c>
      <c r="H135" s="36">
        <f t="shared" si="42"/>
        <v>575.96</v>
      </c>
      <c r="I135" s="474">
        <f>(14)*1.1</f>
        <v>15.400000000000002</v>
      </c>
      <c r="J135" s="481">
        <v>29.31</v>
      </c>
      <c r="K135" s="46"/>
      <c r="L135" s="46"/>
      <c r="M135" s="40"/>
      <c r="N135" s="40"/>
      <c r="O135" s="40"/>
      <c r="P135" s="41"/>
      <c r="Q135" s="42"/>
      <c r="R135" s="72"/>
    </row>
    <row r="136" spans="1:18" s="43" customFormat="1" ht="27" customHeight="1">
      <c r="A136" s="608" t="s">
        <v>212</v>
      </c>
      <c r="B136" s="639">
        <v>92982</v>
      </c>
      <c r="C136" s="470" t="s">
        <v>779</v>
      </c>
      <c r="D136" s="473" t="s">
        <v>101</v>
      </c>
      <c r="E136" s="35">
        <f t="shared" si="39"/>
        <v>106.92</v>
      </c>
      <c r="F136" s="35">
        <f t="shared" si="40"/>
        <v>18.53</v>
      </c>
      <c r="G136" s="49">
        <f t="shared" si="41"/>
        <v>23.64</v>
      </c>
      <c r="H136" s="36">
        <f t="shared" si="42"/>
        <v>2527.58</v>
      </c>
      <c r="I136" s="474">
        <f>((10.7+2.5+1.5+15)*3)*1.2</f>
        <v>106.91999999999999</v>
      </c>
      <c r="J136" s="481">
        <v>18.53</v>
      </c>
      <c r="K136" s="46"/>
      <c r="L136" s="46"/>
      <c r="M136" s="40"/>
      <c r="N136" s="40"/>
      <c r="O136" s="40"/>
      <c r="P136" s="41"/>
      <c r="Q136" s="42"/>
      <c r="R136" s="72"/>
    </row>
    <row r="137" spans="1:18" s="80" customFormat="1" ht="22.5">
      <c r="A137" s="608" t="s">
        <v>213</v>
      </c>
      <c r="B137" s="639">
        <v>92980</v>
      </c>
      <c r="C137" s="470" t="s">
        <v>780</v>
      </c>
      <c r="D137" s="473" t="s">
        <v>101</v>
      </c>
      <c r="E137" s="35">
        <f t="shared" si="39"/>
        <v>69.02</v>
      </c>
      <c r="F137" s="35">
        <f t="shared" si="40"/>
        <v>12.1</v>
      </c>
      <c r="G137" s="49">
        <f t="shared" si="41"/>
        <v>15.44</v>
      </c>
      <c r="H137" s="36">
        <f t="shared" si="42"/>
        <v>1065.6600000000001</v>
      </c>
      <c r="I137" s="474">
        <f>((10.7)*3*1.2)+30.5</f>
        <v>69.019999999999982</v>
      </c>
      <c r="J137" s="481">
        <v>12.1</v>
      </c>
      <c r="K137" s="75"/>
      <c r="L137" s="75"/>
      <c r="M137" s="77"/>
      <c r="N137" s="77"/>
      <c r="O137" s="77"/>
      <c r="P137" s="78"/>
      <c r="Q137" s="79"/>
      <c r="R137" s="79"/>
    </row>
    <row r="138" spans="1:18" s="80" customFormat="1" ht="31.5" customHeight="1">
      <c r="A138" s="608" t="s">
        <v>214</v>
      </c>
      <c r="B138" s="639">
        <v>91930</v>
      </c>
      <c r="C138" s="470" t="s">
        <v>215</v>
      </c>
      <c r="D138" s="473" t="s">
        <v>101</v>
      </c>
      <c r="E138" s="35">
        <f t="shared" si="39"/>
        <v>67.209999999999994</v>
      </c>
      <c r="F138" s="35">
        <f t="shared" si="40"/>
        <v>9.1300000000000008</v>
      </c>
      <c r="G138" s="49">
        <f t="shared" si="41"/>
        <v>11.65</v>
      </c>
      <c r="H138" s="36">
        <f t="shared" si="42"/>
        <v>782.99</v>
      </c>
      <c r="I138" s="474">
        <f>(12.93+1.5+11.02+1.5+1.8+1.8)*2*1.1</f>
        <v>67.210000000000008</v>
      </c>
      <c r="J138" s="481">
        <v>9.1300000000000008</v>
      </c>
      <c r="K138" s="75"/>
      <c r="L138" s="75"/>
      <c r="M138" s="77"/>
      <c r="N138" s="77"/>
      <c r="O138" s="77"/>
      <c r="P138" s="78"/>
      <c r="Q138" s="79"/>
      <c r="R138" s="79"/>
    </row>
    <row r="139" spans="1:18" s="27" customFormat="1" ht="28.5" customHeight="1">
      <c r="A139" s="608" t="s">
        <v>216</v>
      </c>
      <c r="B139" s="639">
        <v>91928</v>
      </c>
      <c r="C139" s="470" t="s">
        <v>217</v>
      </c>
      <c r="D139" s="473" t="s">
        <v>101</v>
      </c>
      <c r="E139" s="35">
        <f t="shared" si="39"/>
        <v>358.39</v>
      </c>
      <c r="F139" s="35">
        <f t="shared" si="40"/>
        <v>6.64</v>
      </c>
      <c r="G139" s="49">
        <f t="shared" si="41"/>
        <v>8.4700000000000006</v>
      </c>
      <c r="H139" s="36">
        <f t="shared" si="42"/>
        <v>3035.56</v>
      </c>
      <c r="I139" s="474">
        <f>(135+(27)*2+50.3+15+83.09+1.5+1.5+1.5+7.5+9)</f>
        <v>358.39</v>
      </c>
      <c r="J139" s="481">
        <v>6.64</v>
      </c>
      <c r="K139" s="24"/>
      <c r="L139" s="24"/>
      <c r="M139" s="26"/>
      <c r="N139" s="26"/>
      <c r="O139" s="26"/>
      <c r="P139" s="146"/>
      <c r="Q139" s="26"/>
      <c r="R139" s="26"/>
    </row>
    <row r="140" spans="1:18" s="63" customFormat="1" ht="21.75" customHeight="1">
      <c r="A140" s="608" t="s">
        <v>218</v>
      </c>
      <c r="B140" s="639">
        <v>91926</v>
      </c>
      <c r="C140" s="470" t="s">
        <v>219</v>
      </c>
      <c r="D140" s="473" t="s">
        <v>101</v>
      </c>
      <c r="E140" s="35">
        <f t="shared" si="39"/>
        <v>1121.3</v>
      </c>
      <c r="F140" s="35">
        <f t="shared" si="40"/>
        <v>3.98</v>
      </c>
      <c r="G140" s="49">
        <f t="shared" si="41"/>
        <v>5.07</v>
      </c>
      <c r="H140" s="36">
        <f t="shared" si="42"/>
        <v>5684.99</v>
      </c>
      <c r="I140" s="474">
        <f>(601.8+40.9+478.6)</f>
        <v>1121.3</v>
      </c>
      <c r="J140" s="481">
        <v>3.98</v>
      </c>
      <c r="K140" s="46"/>
      <c r="L140" s="46"/>
      <c r="M140" s="40"/>
      <c r="N140" s="40"/>
      <c r="O140" s="40"/>
      <c r="P140" s="41"/>
      <c r="Q140" s="40"/>
      <c r="R140" s="40"/>
    </row>
    <row r="141" spans="1:18" s="43" customFormat="1" ht="21" customHeight="1">
      <c r="A141" s="608" t="s">
        <v>220</v>
      </c>
      <c r="B141" s="639">
        <v>91924</v>
      </c>
      <c r="C141" s="470" t="s">
        <v>221</v>
      </c>
      <c r="D141" s="473" t="s">
        <v>101</v>
      </c>
      <c r="E141" s="35">
        <f t="shared" si="39"/>
        <v>315.8</v>
      </c>
      <c r="F141" s="35">
        <f t="shared" si="40"/>
        <v>2.68</v>
      </c>
      <c r="G141" s="49">
        <f t="shared" si="41"/>
        <v>3.42</v>
      </c>
      <c r="H141" s="36">
        <f t="shared" si="42"/>
        <v>1080.03</v>
      </c>
      <c r="I141" s="474">
        <f>((2.5*10)+153+137.8)</f>
        <v>315.8</v>
      </c>
      <c r="J141" s="481">
        <v>2.68</v>
      </c>
      <c r="K141" s="46"/>
      <c r="L141" s="46"/>
      <c r="M141" s="42"/>
      <c r="N141" s="42"/>
      <c r="O141" s="42"/>
      <c r="P141" s="147"/>
      <c r="Q141" s="42"/>
      <c r="R141" s="42"/>
    </row>
    <row r="142" spans="1:18" s="63" customFormat="1" ht="25.5" customHeight="1">
      <c r="A142" s="608" t="s">
        <v>222</v>
      </c>
      <c r="B142" s="639">
        <v>96977</v>
      </c>
      <c r="C142" s="470" t="s">
        <v>223</v>
      </c>
      <c r="D142" s="473" t="s">
        <v>101</v>
      </c>
      <c r="E142" s="35">
        <f t="shared" si="39"/>
        <v>22.3</v>
      </c>
      <c r="F142" s="35">
        <f t="shared" si="40"/>
        <v>46.92</v>
      </c>
      <c r="G142" s="49">
        <f t="shared" si="41"/>
        <v>59.88</v>
      </c>
      <c r="H142" s="36">
        <f t="shared" si="42"/>
        <v>1335.32</v>
      </c>
      <c r="I142" s="474">
        <f>(13.5+1.5+2.5+4.8)</f>
        <v>22.3</v>
      </c>
      <c r="J142" s="481">
        <v>46.92</v>
      </c>
      <c r="K142" s="46"/>
      <c r="L142" s="46"/>
      <c r="M142" s="40"/>
      <c r="N142" s="40"/>
      <c r="O142" s="40"/>
      <c r="P142" s="41"/>
      <c r="Q142" s="40"/>
      <c r="R142" s="40"/>
    </row>
    <row r="143" spans="1:18" s="63" customFormat="1" ht="24.75" customHeight="1">
      <c r="A143" s="608" t="s">
        <v>224</v>
      </c>
      <c r="B143" s="639">
        <v>90444</v>
      </c>
      <c r="C143" s="470" t="s">
        <v>225</v>
      </c>
      <c r="D143" s="473" t="s">
        <v>101</v>
      </c>
      <c r="E143" s="35">
        <f t="shared" si="39"/>
        <v>34.520000000000003</v>
      </c>
      <c r="F143" s="35">
        <f t="shared" si="40"/>
        <v>17.89</v>
      </c>
      <c r="G143" s="49">
        <f t="shared" si="41"/>
        <v>22.83</v>
      </c>
      <c r="H143" s="36">
        <f t="shared" si="42"/>
        <v>788.09</v>
      </c>
      <c r="I143" s="474">
        <f>(3.2*3+9.8+1.6+2.15+7.07+0.8+3.5)</f>
        <v>34.520000000000003</v>
      </c>
      <c r="J143" s="481">
        <v>17.89</v>
      </c>
      <c r="K143" s="46"/>
      <c r="L143" s="46"/>
      <c r="M143" s="40"/>
      <c r="N143" s="40"/>
      <c r="O143" s="40"/>
      <c r="P143" s="41"/>
      <c r="Q143" s="40"/>
      <c r="R143" s="40"/>
    </row>
    <row r="144" spans="1:18" s="43" customFormat="1" ht="24.75" customHeight="1">
      <c r="A144" s="608" t="s">
        <v>226</v>
      </c>
      <c r="B144" s="639">
        <v>90447</v>
      </c>
      <c r="C144" s="470" t="s">
        <v>227</v>
      </c>
      <c r="D144" s="473" t="s">
        <v>101</v>
      </c>
      <c r="E144" s="35">
        <f t="shared" si="39"/>
        <v>65.3</v>
      </c>
      <c r="F144" s="35">
        <f t="shared" si="40"/>
        <v>4.72</v>
      </c>
      <c r="G144" s="49">
        <f t="shared" si="41"/>
        <v>6.02</v>
      </c>
      <c r="H144" s="36">
        <f t="shared" si="42"/>
        <v>393.1</v>
      </c>
      <c r="I144" s="474">
        <f>((11*3.2)+(2.4*7)+3.5+9.8)</f>
        <v>65.3</v>
      </c>
      <c r="J144" s="481">
        <v>4.72</v>
      </c>
      <c r="K144" s="46"/>
      <c r="L144" s="46"/>
      <c r="M144" s="42"/>
      <c r="N144" s="42"/>
      <c r="O144" s="42"/>
      <c r="P144" s="147"/>
      <c r="Q144" s="42"/>
      <c r="R144" s="42"/>
    </row>
    <row r="145" spans="1:18" s="43" customFormat="1" ht="24" customHeight="1">
      <c r="A145" s="608" t="s">
        <v>228</v>
      </c>
      <c r="B145" s="639">
        <v>95749</v>
      </c>
      <c r="C145" s="470" t="s">
        <v>229</v>
      </c>
      <c r="D145" s="473" t="s">
        <v>101</v>
      </c>
      <c r="E145" s="35">
        <f t="shared" si="39"/>
        <v>15.1</v>
      </c>
      <c r="F145" s="35">
        <f t="shared" si="40"/>
        <v>23.85</v>
      </c>
      <c r="G145" s="49">
        <f t="shared" si="41"/>
        <v>30.43</v>
      </c>
      <c r="H145" s="36">
        <f t="shared" si="42"/>
        <v>459.49</v>
      </c>
      <c r="I145" s="474">
        <f>(4.2+4.2+3.5+3.2)</f>
        <v>15.100000000000001</v>
      </c>
      <c r="J145" s="481">
        <v>23.85</v>
      </c>
      <c r="K145" s="46"/>
      <c r="L145" s="46"/>
      <c r="M145" s="42"/>
      <c r="N145" s="42"/>
      <c r="O145" s="42"/>
      <c r="P145" s="147"/>
      <c r="Q145" s="42"/>
      <c r="R145" s="42"/>
    </row>
    <row r="146" spans="1:18" s="43" customFormat="1" ht="24" customHeight="1">
      <c r="A146" s="608" t="s">
        <v>230</v>
      </c>
      <c r="B146" s="639">
        <v>95750</v>
      </c>
      <c r="C146" s="470" t="s">
        <v>231</v>
      </c>
      <c r="D146" s="473" t="s">
        <v>101</v>
      </c>
      <c r="E146" s="35">
        <f t="shared" si="39"/>
        <v>12</v>
      </c>
      <c r="F146" s="35">
        <f t="shared" si="40"/>
        <v>28.35</v>
      </c>
      <c r="G146" s="49">
        <f t="shared" si="41"/>
        <v>36.18</v>
      </c>
      <c r="H146" s="36">
        <f t="shared" si="42"/>
        <v>434.16</v>
      </c>
      <c r="I146" s="474">
        <f>(2.5+2.5+6.5+0.5)</f>
        <v>12</v>
      </c>
      <c r="J146" s="481">
        <v>28.35</v>
      </c>
      <c r="K146" s="46"/>
      <c r="L146" s="46"/>
      <c r="M146" s="42"/>
      <c r="N146" s="42"/>
      <c r="O146" s="42"/>
      <c r="P146" s="147"/>
      <c r="Q146" s="42"/>
      <c r="R146" s="42"/>
    </row>
    <row r="147" spans="1:18" s="43" customFormat="1" ht="25.5" customHeight="1">
      <c r="A147" s="608" t="s">
        <v>232</v>
      </c>
      <c r="B147" s="639">
        <v>97668</v>
      </c>
      <c r="C147" s="470" t="s">
        <v>233</v>
      </c>
      <c r="D147" s="473" t="s">
        <v>101</v>
      </c>
      <c r="E147" s="35">
        <f t="shared" si="39"/>
        <v>32.799999999999997</v>
      </c>
      <c r="F147" s="35">
        <f t="shared" si="40"/>
        <v>8.7799999999999994</v>
      </c>
      <c r="G147" s="49">
        <f t="shared" si="41"/>
        <v>11.2</v>
      </c>
      <c r="H147" s="36">
        <f t="shared" si="42"/>
        <v>367.36</v>
      </c>
      <c r="I147" s="474">
        <f>(6+6.5+17+1.8+1.5)</f>
        <v>32.799999999999997</v>
      </c>
      <c r="J147" s="481">
        <v>8.7799999999999994</v>
      </c>
      <c r="K147" s="46"/>
      <c r="L147" s="46"/>
      <c r="M147" s="42"/>
      <c r="N147" s="42"/>
      <c r="O147" s="42"/>
      <c r="P147" s="147"/>
      <c r="Q147" s="42"/>
      <c r="R147" s="42"/>
    </row>
    <row r="148" spans="1:18" s="43" customFormat="1" ht="27.75" customHeight="1">
      <c r="A148" s="608" t="s">
        <v>234</v>
      </c>
      <c r="B148" s="639">
        <v>97669</v>
      </c>
      <c r="C148" s="470" t="s">
        <v>781</v>
      </c>
      <c r="D148" s="473" t="s">
        <v>101</v>
      </c>
      <c r="E148" s="35">
        <f t="shared" si="39"/>
        <v>12</v>
      </c>
      <c r="F148" s="35">
        <f t="shared" si="40"/>
        <v>12.96</v>
      </c>
      <c r="G148" s="49">
        <f t="shared" si="41"/>
        <v>16.54</v>
      </c>
      <c r="H148" s="36">
        <f t="shared" si="42"/>
        <v>198.48</v>
      </c>
      <c r="I148" s="474">
        <v>12</v>
      </c>
      <c r="J148" s="481">
        <v>12.96</v>
      </c>
      <c r="K148" s="46"/>
      <c r="L148" s="46"/>
      <c r="M148" s="42"/>
      <c r="N148" s="42"/>
      <c r="O148" s="42"/>
      <c r="P148" s="147"/>
      <c r="Q148" s="42"/>
      <c r="R148" s="42"/>
    </row>
    <row r="149" spans="1:18" s="43" customFormat="1" ht="29.25" customHeight="1">
      <c r="A149" s="608" t="s">
        <v>236</v>
      </c>
      <c r="B149" s="639">
        <v>91854</v>
      </c>
      <c r="C149" s="470" t="s">
        <v>235</v>
      </c>
      <c r="D149" s="473" t="s">
        <v>101</v>
      </c>
      <c r="E149" s="35">
        <f t="shared" si="39"/>
        <v>451.2</v>
      </c>
      <c r="F149" s="35">
        <f t="shared" si="40"/>
        <v>7.18</v>
      </c>
      <c r="G149" s="49">
        <f t="shared" si="41"/>
        <v>9.16</v>
      </c>
      <c r="H149" s="36">
        <f t="shared" si="42"/>
        <v>4132.99</v>
      </c>
      <c r="I149" s="474">
        <v>451.2</v>
      </c>
      <c r="J149" s="481">
        <v>7.18</v>
      </c>
      <c r="K149" s="46"/>
      <c r="L149" s="46"/>
      <c r="M149" s="42"/>
      <c r="N149" s="42"/>
      <c r="O149" s="42"/>
      <c r="P149" s="147"/>
      <c r="Q149" s="42"/>
      <c r="R149" s="42"/>
    </row>
    <row r="150" spans="1:18" s="43" customFormat="1" ht="24.75" customHeight="1">
      <c r="A150" s="608" t="s">
        <v>238</v>
      </c>
      <c r="B150" s="639">
        <v>91856</v>
      </c>
      <c r="C150" s="470" t="s">
        <v>782</v>
      </c>
      <c r="D150" s="473" t="s">
        <v>101</v>
      </c>
      <c r="E150" s="35">
        <f t="shared" si="39"/>
        <v>69.2</v>
      </c>
      <c r="F150" s="35">
        <f t="shared" si="40"/>
        <v>9.44</v>
      </c>
      <c r="G150" s="49">
        <f t="shared" si="41"/>
        <v>12.04</v>
      </c>
      <c r="H150" s="36">
        <f t="shared" si="42"/>
        <v>833.16</v>
      </c>
      <c r="I150" s="474">
        <v>69.2</v>
      </c>
      <c r="J150" s="481">
        <v>9.44</v>
      </c>
      <c r="K150" s="46"/>
      <c r="L150" s="46"/>
      <c r="M150" s="42"/>
      <c r="N150" s="42"/>
      <c r="O150" s="42"/>
      <c r="P150" s="147"/>
      <c r="Q150" s="42"/>
      <c r="R150" s="42"/>
    </row>
    <row r="151" spans="1:18" s="43" customFormat="1" ht="24" customHeight="1">
      <c r="A151" s="608" t="s">
        <v>240</v>
      </c>
      <c r="B151" s="640">
        <v>91835</v>
      </c>
      <c r="C151" s="475" t="s">
        <v>320</v>
      </c>
      <c r="D151" s="476" t="s">
        <v>101</v>
      </c>
      <c r="E151" s="35">
        <f t="shared" si="39"/>
        <v>32.5</v>
      </c>
      <c r="F151" s="35">
        <f t="shared" si="40"/>
        <v>8.7100000000000009</v>
      </c>
      <c r="G151" s="49">
        <f t="shared" si="41"/>
        <v>11.11</v>
      </c>
      <c r="H151" s="36">
        <f t="shared" si="42"/>
        <v>361.07</v>
      </c>
      <c r="I151" s="474">
        <f>(17+3.5+12)</f>
        <v>32.5</v>
      </c>
      <c r="J151" s="481">
        <v>8.7100000000000009</v>
      </c>
      <c r="K151" s="46"/>
      <c r="L151" s="46"/>
      <c r="M151" s="42"/>
      <c r="N151" s="42"/>
      <c r="O151" s="42"/>
      <c r="P151" s="147"/>
      <c r="Q151" s="42"/>
      <c r="R151" s="42"/>
    </row>
    <row r="152" spans="1:18" s="43" customFormat="1" ht="24.75" customHeight="1">
      <c r="A152" s="608" t="s">
        <v>242</v>
      </c>
      <c r="B152" s="639">
        <v>95778</v>
      </c>
      <c r="C152" s="470" t="s">
        <v>237</v>
      </c>
      <c r="D152" s="473" t="s">
        <v>25</v>
      </c>
      <c r="E152" s="35">
        <f t="shared" si="39"/>
        <v>8</v>
      </c>
      <c r="F152" s="35">
        <f t="shared" si="40"/>
        <v>23.15</v>
      </c>
      <c r="G152" s="49">
        <f t="shared" si="41"/>
        <v>29.54</v>
      </c>
      <c r="H152" s="36">
        <f t="shared" si="42"/>
        <v>236.32</v>
      </c>
      <c r="I152" s="474">
        <v>8</v>
      </c>
      <c r="J152" s="481">
        <v>23.15</v>
      </c>
      <c r="K152" s="46"/>
      <c r="L152" s="46"/>
      <c r="M152" s="42"/>
      <c r="N152" s="42"/>
      <c r="O152" s="42"/>
      <c r="P152" s="147"/>
      <c r="Q152" s="42"/>
      <c r="R152" s="42"/>
    </row>
    <row r="153" spans="1:18" s="43" customFormat="1" ht="28.5" customHeight="1">
      <c r="A153" s="608" t="s">
        <v>244</v>
      </c>
      <c r="B153" s="639">
        <v>95779</v>
      </c>
      <c r="C153" s="470" t="s">
        <v>783</v>
      </c>
      <c r="D153" s="473" t="s">
        <v>25</v>
      </c>
      <c r="E153" s="35">
        <f t="shared" si="39"/>
        <v>6</v>
      </c>
      <c r="F153" s="35">
        <f t="shared" si="40"/>
        <v>21.09</v>
      </c>
      <c r="G153" s="49">
        <f t="shared" si="41"/>
        <v>26.91</v>
      </c>
      <c r="H153" s="36">
        <f t="shared" si="42"/>
        <v>161.46</v>
      </c>
      <c r="I153" s="474">
        <f>(1+5)</f>
        <v>6</v>
      </c>
      <c r="J153" s="481">
        <v>21.09</v>
      </c>
      <c r="K153" s="46"/>
      <c r="L153" s="46"/>
      <c r="M153" s="42"/>
      <c r="N153" s="42"/>
      <c r="O153" s="42"/>
      <c r="P153" s="147"/>
      <c r="Q153" s="42"/>
      <c r="R153" s="42"/>
    </row>
    <row r="154" spans="1:18" s="43" customFormat="1" ht="25.5" customHeight="1">
      <c r="A154" s="608" t="s">
        <v>246</v>
      </c>
      <c r="B154" s="639" t="s">
        <v>205</v>
      </c>
      <c r="C154" s="442" t="s">
        <v>784</v>
      </c>
      <c r="D154" s="473" t="s">
        <v>25</v>
      </c>
      <c r="E154" s="35">
        <f t="shared" si="39"/>
        <v>2</v>
      </c>
      <c r="F154" s="35">
        <f t="shared" si="40"/>
        <v>68.12</v>
      </c>
      <c r="G154" s="49">
        <f t="shared" si="41"/>
        <v>86.94</v>
      </c>
      <c r="H154" s="36">
        <f t="shared" si="42"/>
        <v>173.88</v>
      </c>
      <c r="I154" s="474">
        <v>2</v>
      </c>
      <c r="J154" s="481">
        <v>68.12</v>
      </c>
      <c r="K154" s="46"/>
      <c r="L154" s="46"/>
      <c r="M154" s="42"/>
      <c r="N154" s="42"/>
      <c r="O154" s="42"/>
      <c r="P154" s="147"/>
      <c r="Q154" s="42"/>
      <c r="R154" s="42"/>
    </row>
    <row r="155" spans="1:18" s="43" customFormat="1" ht="25.5" customHeight="1">
      <c r="A155" s="608" t="s">
        <v>248</v>
      </c>
      <c r="B155" s="639" t="s">
        <v>205</v>
      </c>
      <c r="C155" s="442" t="s">
        <v>785</v>
      </c>
      <c r="D155" s="473" t="s">
        <v>25</v>
      </c>
      <c r="E155" s="35">
        <f t="shared" si="39"/>
        <v>2</v>
      </c>
      <c r="F155" s="35">
        <f t="shared" si="40"/>
        <v>49.37</v>
      </c>
      <c r="G155" s="49">
        <f t="shared" si="41"/>
        <v>63.01</v>
      </c>
      <c r="H155" s="36">
        <f t="shared" si="42"/>
        <v>126.02</v>
      </c>
      <c r="I155" s="474">
        <v>2</v>
      </c>
      <c r="J155" s="481">
        <v>49.37</v>
      </c>
      <c r="K155" s="46"/>
      <c r="L155" s="46"/>
      <c r="M155" s="42"/>
      <c r="N155" s="42"/>
      <c r="O155" s="42"/>
      <c r="P155" s="147"/>
      <c r="Q155" s="42"/>
      <c r="R155" s="42"/>
    </row>
    <row r="156" spans="1:18" s="43" customFormat="1" ht="28.5" customHeight="1">
      <c r="A156" s="608" t="s">
        <v>250</v>
      </c>
      <c r="B156" s="639">
        <v>97883</v>
      </c>
      <c r="C156" s="470" t="s">
        <v>296</v>
      </c>
      <c r="D156" s="473" t="s">
        <v>25</v>
      </c>
      <c r="E156" s="35">
        <f t="shared" si="39"/>
        <v>5</v>
      </c>
      <c r="F156" s="35">
        <f t="shared" si="40"/>
        <v>371.08</v>
      </c>
      <c r="G156" s="49">
        <f t="shared" si="41"/>
        <v>473.6</v>
      </c>
      <c r="H156" s="36">
        <f t="shared" si="42"/>
        <v>2368</v>
      </c>
      <c r="I156" s="474">
        <v>5</v>
      </c>
      <c r="J156" s="481">
        <v>371.08</v>
      </c>
      <c r="K156" s="46"/>
      <c r="L156" s="46"/>
      <c r="M156" s="42"/>
      <c r="N156" s="42"/>
      <c r="O156" s="42"/>
      <c r="P156" s="147"/>
      <c r="Q156" s="42"/>
      <c r="R156" s="42"/>
    </row>
    <row r="157" spans="1:18" s="43" customFormat="1" ht="32.25" customHeight="1">
      <c r="A157" s="608" t="s">
        <v>251</v>
      </c>
      <c r="B157" s="639">
        <v>92008</v>
      </c>
      <c r="C157" s="470" t="s">
        <v>241</v>
      </c>
      <c r="D157" s="473" t="s">
        <v>25</v>
      </c>
      <c r="E157" s="35">
        <f t="shared" si="39"/>
        <v>39</v>
      </c>
      <c r="F157" s="35">
        <f t="shared" si="40"/>
        <v>34.049999999999997</v>
      </c>
      <c r="G157" s="49">
        <f t="shared" si="41"/>
        <v>43.45</v>
      </c>
      <c r="H157" s="36">
        <f t="shared" si="42"/>
        <v>1694.55</v>
      </c>
      <c r="I157" s="474">
        <v>39</v>
      </c>
      <c r="J157" s="481">
        <v>34.049999999999997</v>
      </c>
      <c r="K157" s="46"/>
      <c r="L157" s="46"/>
      <c r="M157" s="42"/>
      <c r="N157" s="42"/>
      <c r="O157" s="42"/>
      <c r="P157" s="147"/>
      <c r="Q157" s="42"/>
      <c r="R157" s="42"/>
    </row>
    <row r="158" spans="1:18" s="43" customFormat="1" ht="22.5">
      <c r="A158" s="608" t="s">
        <v>253</v>
      </c>
      <c r="B158" s="639">
        <v>92004</v>
      </c>
      <c r="C158" s="470" t="s">
        <v>243</v>
      </c>
      <c r="D158" s="473" t="s">
        <v>25</v>
      </c>
      <c r="E158" s="35">
        <f t="shared" si="39"/>
        <v>3</v>
      </c>
      <c r="F158" s="35">
        <f t="shared" si="40"/>
        <v>39.119999999999997</v>
      </c>
      <c r="G158" s="49">
        <f t="shared" si="41"/>
        <v>49.92</v>
      </c>
      <c r="H158" s="36">
        <f t="shared" si="42"/>
        <v>149.76</v>
      </c>
      <c r="I158" s="474">
        <v>3</v>
      </c>
      <c r="J158" s="481">
        <v>39.119999999999997</v>
      </c>
      <c r="K158" s="46"/>
      <c r="L158" s="46"/>
      <c r="M158" s="42"/>
      <c r="N158" s="42"/>
      <c r="O158" s="42"/>
      <c r="P158" s="147"/>
      <c r="Q158" s="42"/>
      <c r="R158" s="42"/>
    </row>
    <row r="159" spans="1:18" s="43" customFormat="1" ht="26.25" customHeight="1">
      <c r="A159" s="608" t="s">
        <v>256</v>
      </c>
      <c r="B159" s="639">
        <v>92005</v>
      </c>
      <c r="C159" s="470" t="s">
        <v>245</v>
      </c>
      <c r="D159" s="473" t="s">
        <v>25</v>
      </c>
      <c r="E159" s="35">
        <f t="shared" si="39"/>
        <v>3</v>
      </c>
      <c r="F159" s="35">
        <f t="shared" si="40"/>
        <v>42.92</v>
      </c>
      <c r="G159" s="49">
        <f t="shared" si="41"/>
        <v>54.77</v>
      </c>
      <c r="H159" s="36">
        <f t="shared" si="42"/>
        <v>164.31</v>
      </c>
      <c r="I159" s="474">
        <v>3</v>
      </c>
      <c r="J159" s="481">
        <v>42.92</v>
      </c>
      <c r="K159" s="46"/>
      <c r="L159" s="46"/>
      <c r="M159" s="42"/>
      <c r="N159" s="42"/>
      <c r="O159" s="40"/>
      <c r="P159" s="41"/>
      <c r="Q159" s="42"/>
      <c r="R159" s="72"/>
    </row>
    <row r="160" spans="1:18" s="43" customFormat="1" ht="27.75" customHeight="1">
      <c r="A160" s="608" t="s">
        <v>258</v>
      </c>
      <c r="B160" s="639">
        <v>91996</v>
      </c>
      <c r="C160" s="470" t="s">
        <v>786</v>
      </c>
      <c r="D160" s="473" t="s">
        <v>25</v>
      </c>
      <c r="E160" s="35">
        <f t="shared" si="39"/>
        <v>3</v>
      </c>
      <c r="F160" s="35">
        <f t="shared" si="40"/>
        <v>23.74</v>
      </c>
      <c r="G160" s="49">
        <f t="shared" si="41"/>
        <v>30.29</v>
      </c>
      <c r="H160" s="36">
        <f t="shared" si="42"/>
        <v>90.87</v>
      </c>
      <c r="I160" s="474">
        <v>3</v>
      </c>
      <c r="J160" s="481">
        <v>23.74</v>
      </c>
      <c r="K160" s="46"/>
      <c r="L160" s="46"/>
      <c r="M160" s="40"/>
      <c r="N160" s="40"/>
      <c r="O160" s="40"/>
      <c r="P160" s="41"/>
      <c r="Q160" s="42"/>
      <c r="R160" s="72"/>
    </row>
    <row r="161" spans="1:18" s="43" customFormat="1" ht="25.5" customHeight="1">
      <c r="A161" s="608" t="s">
        <v>260</v>
      </c>
      <c r="B161" s="639">
        <v>91992</v>
      </c>
      <c r="C161" s="470" t="s">
        <v>247</v>
      </c>
      <c r="D161" s="473" t="s">
        <v>25</v>
      </c>
      <c r="E161" s="35">
        <f t="shared" si="39"/>
        <v>5</v>
      </c>
      <c r="F161" s="35">
        <f t="shared" si="40"/>
        <v>30.27</v>
      </c>
      <c r="G161" s="49">
        <f t="shared" si="41"/>
        <v>38.630000000000003</v>
      </c>
      <c r="H161" s="36">
        <f t="shared" si="42"/>
        <v>193.15</v>
      </c>
      <c r="I161" s="474">
        <v>5</v>
      </c>
      <c r="J161" s="481">
        <v>30.27</v>
      </c>
      <c r="K161" s="46"/>
      <c r="L161" s="46"/>
      <c r="M161" s="40"/>
      <c r="N161" s="40"/>
      <c r="O161" s="40"/>
      <c r="P161" s="41"/>
      <c r="Q161" s="42"/>
      <c r="R161" s="72"/>
    </row>
    <row r="162" spans="1:18" s="43" customFormat="1" ht="25.5" customHeight="1">
      <c r="A162" s="608" t="s">
        <v>262</v>
      </c>
      <c r="B162" s="639">
        <v>91953</v>
      </c>
      <c r="C162" s="470" t="s">
        <v>249</v>
      </c>
      <c r="D162" s="473" t="s">
        <v>25</v>
      </c>
      <c r="E162" s="35">
        <f t="shared" si="39"/>
        <v>5</v>
      </c>
      <c r="F162" s="35">
        <f t="shared" si="40"/>
        <v>20.03</v>
      </c>
      <c r="G162" s="49">
        <f t="shared" si="41"/>
        <v>25.56</v>
      </c>
      <c r="H162" s="36">
        <f t="shared" si="42"/>
        <v>127.8</v>
      </c>
      <c r="I162" s="474">
        <v>5</v>
      </c>
      <c r="J162" s="481">
        <v>20.03</v>
      </c>
      <c r="K162" s="46"/>
      <c r="L162" s="46"/>
      <c r="M162" s="40"/>
      <c r="N162" s="40"/>
      <c r="O162" s="40"/>
      <c r="P162" s="41"/>
      <c r="Q162" s="42"/>
      <c r="R162" s="72"/>
    </row>
    <row r="163" spans="1:18" s="43" customFormat="1" ht="25.5" customHeight="1">
      <c r="A163" s="608" t="s">
        <v>264</v>
      </c>
      <c r="B163" s="639">
        <v>91955</v>
      </c>
      <c r="C163" s="470" t="s">
        <v>787</v>
      </c>
      <c r="D163" s="473" t="s">
        <v>25</v>
      </c>
      <c r="E163" s="35">
        <f t="shared" si="39"/>
        <v>4</v>
      </c>
      <c r="F163" s="35">
        <f t="shared" si="40"/>
        <v>24.72</v>
      </c>
      <c r="G163" s="49">
        <f t="shared" si="41"/>
        <v>31.55</v>
      </c>
      <c r="H163" s="36">
        <f t="shared" si="42"/>
        <v>126.2</v>
      </c>
      <c r="I163" s="474">
        <v>4</v>
      </c>
      <c r="J163" s="481">
        <v>24.72</v>
      </c>
      <c r="K163" s="46"/>
      <c r="L163" s="46"/>
      <c r="M163" s="40"/>
      <c r="N163" s="40"/>
      <c r="O163" s="40"/>
      <c r="P163" s="41"/>
      <c r="Q163" s="42"/>
      <c r="R163" s="72"/>
    </row>
    <row r="164" spans="1:18" s="43" customFormat="1" ht="25.5" customHeight="1">
      <c r="A164" s="608" t="s">
        <v>265</v>
      </c>
      <c r="B164" s="639">
        <v>91965</v>
      </c>
      <c r="C164" s="470" t="s">
        <v>252</v>
      </c>
      <c r="D164" s="473" t="s">
        <v>25</v>
      </c>
      <c r="E164" s="35">
        <f t="shared" si="39"/>
        <v>4</v>
      </c>
      <c r="F164" s="35">
        <f t="shared" si="40"/>
        <v>48.09</v>
      </c>
      <c r="G164" s="49">
        <f t="shared" si="41"/>
        <v>61.37</v>
      </c>
      <c r="H164" s="36">
        <f t="shared" si="42"/>
        <v>245.48</v>
      </c>
      <c r="I164" s="474">
        <v>4</v>
      </c>
      <c r="J164" s="481">
        <v>48.09</v>
      </c>
      <c r="K164" s="46"/>
      <c r="L164" s="46"/>
      <c r="M164" s="40"/>
      <c r="N164" s="40"/>
      <c r="O164" s="40"/>
      <c r="P164" s="41"/>
      <c r="Q164" s="42"/>
      <c r="R164" s="72"/>
    </row>
    <row r="165" spans="1:18" s="43" customFormat="1" ht="21.75" customHeight="1">
      <c r="A165" s="608" t="s">
        <v>267</v>
      </c>
      <c r="B165" s="639">
        <v>91967</v>
      </c>
      <c r="C165" s="470" t="s">
        <v>788</v>
      </c>
      <c r="D165" s="473" t="s">
        <v>25</v>
      </c>
      <c r="E165" s="35">
        <f t="shared" si="39"/>
        <v>2</v>
      </c>
      <c r="F165" s="35">
        <f t="shared" si="40"/>
        <v>43.43</v>
      </c>
      <c r="G165" s="49">
        <f t="shared" si="41"/>
        <v>55.42</v>
      </c>
      <c r="H165" s="36">
        <f t="shared" si="42"/>
        <v>110.84</v>
      </c>
      <c r="I165" s="474">
        <v>2</v>
      </c>
      <c r="J165" s="481">
        <v>43.43</v>
      </c>
      <c r="K165" s="46"/>
      <c r="L165" s="46"/>
      <c r="M165" s="40"/>
      <c r="N165" s="40"/>
      <c r="O165" s="40"/>
      <c r="P165" s="41"/>
      <c r="Q165" s="42"/>
      <c r="R165" s="72"/>
    </row>
    <row r="166" spans="1:18" s="43" customFormat="1" ht="24" customHeight="1">
      <c r="A166" s="608" t="s">
        <v>268</v>
      </c>
      <c r="B166" s="639">
        <v>91969</v>
      </c>
      <c r="C166" s="470" t="s">
        <v>789</v>
      </c>
      <c r="D166" s="473" t="s">
        <v>25</v>
      </c>
      <c r="E166" s="35">
        <f t="shared" si="39"/>
        <v>2</v>
      </c>
      <c r="F166" s="35">
        <f t="shared" si="40"/>
        <v>57.44</v>
      </c>
      <c r="G166" s="49">
        <f t="shared" si="41"/>
        <v>73.31</v>
      </c>
      <c r="H166" s="36">
        <f t="shared" si="42"/>
        <v>146.62</v>
      </c>
      <c r="I166" s="474">
        <v>2</v>
      </c>
      <c r="J166" s="481">
        <v>57.44</v>
      </c>
      <c r="K166" s="46"/>
      <c r="L166" s="46"/>
      <c r="M166" s="40"/>
      <c r="N166" s="40"/>
      <c r="O166" s="40"/>
      <c r="P166" s="41"/>
      <c r="Q166" s="42"/>
      <c r="R166" s="72"/>
    </row>
    <row r="167" spans="1:18" s="80" customFormat="1" ht="22.5">
      <c r="A167" s="608" t="s">
        <v>270</v>
      </c>
      <c r="B167" s="639" t="s">
        <v>205</v>
      </c>
      <c r="C167" s="470" t="s">
        <v>790</v>
      </c>
      <c r="D167" s="473" t="s">
        <v>255</v>
      </c>
      <c r="E167" s="35">
        <f t="shared" si="39"/>
        <v>40</v>
      </c>
      <c r="F167" s="35">
        <f t="shared" si="40"/>
        <v>100.14</v>
      </c>
      <c r="G167" s="49">
        <f t="shared" si="41"/>
        <v>127.8</v>
      </c>
      <c r="H167" s="36">
        <f t="shared" si="42"/>
        <v>5112</v>
      </c>
      <c r="I167" s="474">
        <v>40</v>
      </c>
      <c r="J167" s="481">
        <v>100.14</v>
      </c>
      <c r="K167" s="75"/>
      <c r="L167" s="75"/>
      <c r="M167" s="77"/>
      <c r="N167" s="77"/>
      <c r="O167" s="77"/>
      <c r="P167" s="78"/>
      <c r="Q167" s="79"/>
      <c r="R167" s="79"/>
    </row>
    <row r="168" spans="1:18" s="80" customFormat="1" ht="24" customHeight="1">
      <c r="A168" s="608" t="s">
        <v>272</v>
      </c>
      <c r="B168" s="639">
        <v>97599</v>
      </c>
      <c r="C168" s="470" t="s">
        <v>257</v>
      </c>
      <c r="D168" s="473" t="s">
        <v>25</v>
      </c>
      <c r="E168" s="35">
        <f t="shared" si="39"/>
        <v>4</v>
      </c>
      <c r="F168" s="35">
        <f t="shared" si="40"/>
        <v>23.97</v>
      </c>
      <c r="G168" s="49">
        <f t="shared" si="41"/>
        <v>30.59</v>
      </c>
      <c r="H168" s="36">
        <f t="shared" si="42"/>
        <v>122.36</v>
      </c>
      <c r="I168" s="474">
        <v>4</v>
      </c>
      <c r="J168" s="481">
        <v>23.97</v>
      </c>
      <c r="K168" s="75"/>
      <c r="L168" s="75"/>
      <c r="M168" s="77"/>
      <c r="N168" s="77"/>
      <c r="O168" s="77"/>
      <c r="P168" s="78"/>
      <c r="Q168" s="79"/>
      <c r="R168" s="79"/>
    </row>
    <row r="169" spans="1:18" s="27" customFormat="1" ht="22.5">
      <c r="A169" s="608" t="s">
        <v>274</v>
      </c>
      <c r="B169" s="639">
        <v>97592</v>
      </c>
      <c r="C169" s="470" t="s">
        <v>259</v>
      </c>
      <c r="D169" s="473" t="s">
        <v>25</v>
      </c>
      <c r="E169" s="35">
        <f t="shared" si="39"/>
        <v>4</v>
      </c>
      <c r="F169" s="35">
        <f t="shared" si="40"/>
        <v>31.52</v>
      </c>
      <c r="G169" s="49">
        <f t="shared" si="41"/>
        <v>40.22</v>
      </c>
      <c r="H169" s="36">
        <f t="shared" si="42"/>
        <v>160.88</v>
      </c>
      <c r="I169" s="474">
        <v>4</v>
      </c>
      <c r="J169" s="481">
        <v>31.52</v>
      </c>
      <c r="K169" s="5"/>
      <c r="L169" s="5"/>
      <c r="M169" s="7"/>
      <c r="N169" s="7"/>
      <c r="O169" s="7"/>
      <c r="P169" s="8"/>
      <c r="Q169" s="26"/>
      <c r="R169" s="9"/>
    </row>
    <row r="170" spans="1:18" s="27" customFormat="1" ht="22.5">
      <c r="A170" s="608" t="s">
        <v>275</v>
      </c>
      <c r="B170" s="639" t="s">
        <v>205</v>
      </c>
      <c r="C170" s="470" t="s">
        <v>261</v>
      </c>
      <c r="D170" s="473" t="s">
        <v>25</v>
      </c>
      <c r="E170" s="35">
        <f t="shared" si="39"/>
        <v>8</v>
      </c>
      <c r="F170" s="35">
        <f t="shared" si="40"/>
        <v>108.69</v>
      </c>
      <c r="G170" s="49">
        <f t="shared" si="41"/>
        <v>138.72</v>
      </c>
      <c r="H170" s="36">
        <f t="shared" si="42"/>
        <v>1109.76</v>
      </c>
      <c r="I170" s="474">
        <v>8</v>
      </c>
      <c r="J170" s="481">
        <v>108.69</v>
      </c>
      <c r="K170" s="5"/>
      <c r="L170" s="5"/>
      <c r="M170" s="7"/>
      <c r="N170" s="7"/>
      <c r="O170" s="7"/>
      <c r="P170" s="8"/>
      <c r="Q170" s="26"/>
      <c r="R170" s="9"/>
    </row>
    <row r="171" spans="1:18" s="43" customFormat="1" ht="25.5" customHeight="1">
      <c r="A171" s="608" t="s">
        <v>277</v>
      </c>
      <c r="B171" s="639" t="s">
        <v>205</v>
      </c>
      <c r="C171" s="470" t="s">
        <v>263</v>
      </c>
      <c r="D171" s="473" t="s">
        <v>25</v>
      </c>
      <c r="E171" s="35">
        <f t="shared" si="39"/>
        <v>6</v>
      </c>
      <c r="F171" s="35">
        <f t="shared" si="40"/>
        <v>63.52</v>
      </c>
      <c r="G171" s="49">
        <f t="shared" si="41"/>
        <v>81.069999999999993</v>
      </c>
      <c r="H171" s="36">
        <f t="shared" si="42"/>
        <v>486.42</v>
      </c>
      <c r="I171" s="474">
        <v>6</v>
      </c>
      <c r="J171" s="481">
        <v>63.52</v>
      </c>
      <c r="K171" s="93"/>
      <c r="L171" s="93"/>
      <c r="M171" s="40"/>
      <c r="N171" s="40"/>
      <c r="O171" s="40"/>
      <c r="P171" s="41"/>
      <c r="Q171" s="42"/>
      <c r="R171" s="72"/>
    </row>
    <row r="172" spans="1:18" s="43" customFormat="1" ht="25.5" customHeight="1">
      <c r="A172" s="608" t="s">
        <v>279</v>
      </c>
      <c r="B172" s="639" t="s">
        <v>205</v>
      </c>
      <c r="C172" s="48" t="s">
        <v>791</v>
      </c>
      <c r="D172" s="473" t="s">
        <v>25</v>
      </c>
      <c r="E172" s="35">
        <f t="shared" si="39"/>
        <v>1</v>
      </c>
      <c r="F172" s="35">
        <f t="shared" si="40"/>
        <v>1219.73</v>
      </c>
      <c r="G172" s="49">
        <f t="shared" si="41"/>
        <v>1556.74</v>
      </c>
      <c r="H172" s="36">
        <f t="shared" si="42"/>
        <v>1556.74</v>
      </c>
      <c r="I172" s="474">
        <v>1</v>
      </c>
      <c r="J172" s="481">
        <v>1219.73</v>
      </c>
      <c r="K172" s="93"/>
      <c r="L172" s="93"/>
      <c r="M172" s="40"/>
      <c r="N172" s="40"/>
      <c r="O172" s="40"/>
      <c r="P172" s="41"/>
      <c r="Q172" s="42"/>
      <c r="R172" s="72"/>
    </row>
    <row r="173" spans="1:18" s="43" customFormat="1" ht="25.5" customHeight="1">
      <c r="A173" s="608" t="s">
        <v>281</v>
      </c>
      <c r="B173" s="639">
        <v>101894</v>
      </c>
      <c r="C173" s="470" t="s">
        <v>814</v>
      </c>
      <c r="D173" s="473" t="s">
        <v>25</v>
      </c>
      <c r="E173" s="35">
        <f t="shared" si="39"/>
        <v>1</v>
      </c>
      <c r="F173" s="35">
        <f t="shared" si="40"/>
        <v>147.36000000000001</v>
      </c>
      <c r="G173" s="49">
        <f t="shared" si="41"/>
        <v>188.07</v>
      </c>
      <c r="H173" s="36">
        <f t="shared" si="42"/>
        <v>188.07</v>
      </c>
      <c r="I173" s="474">
        <v>1</v>
      </c>
      <c r="J173" s="481">
        <v>147.36000000000001</v>
      </c>
      <c r="K173" s="93"/>
      <c r="L173" s="93"/>
      <c r="M173" s="40"/>
      <c r="N173" s="40"/>
      <c r="O173" s="40"/>
      <c r="P173" s="41"/>
      <c r="Q173" s="42"/>
      <c r="R173" s="72"/>
    </row>
    <row r="174" spans="1:18" s="43" customFormat="1" ht="25.5" customHeight="1">
      <c r="A174" s="608" t="s">
        <v>282</v>
      </c>
      <c r="B174" s="639" t="s">
        <v>205</v>
      </c>
      <c r="C174" s="470" t="s">
        <v>266</v>
      </c>
      <c r="D174" s="473" t="s">
        <v>25</v>
      </c>
      <c r="E174" s="35">
        <f t="shared" si="39"/>
        <v>4</v>
      </c>
      <c r="F174" s="35">
        <f t="shared" si="40"/>
        <v>94.85</v>
      </c>
      <c r="G174" s="49">
        <f t="shared" si="41"/>
        <v>121.05</v>
      </c>
      <c r="H174" s="36">
        <f t="shared" si="42"/>
        <v>484.2</v>
      </c>
      <c r="I174" s="474">
        <v>4</v>
      </c>
      <c r="J174" s="481">
        <v>94.85</v>
      </c>
      <c r="K174" s="93"/>
      <c r="L174" s="93"/>
      <c r="M174" s="40"/>
      <c r="N174" s="40"/>
      <c r="O174" s="40"/>
      <c r="P174" s="41"/>
      <c r="Q174" s="42"/>
      <c r="R174" s="72"/>
    </row>
    <row r="175" spans="1:18" s="145" customFormat="1" ht="25.5" customHeight="1">
      <c r="A175" s="608" t="s">
        <v>283</v>
      </c>
      <c r="B175" s="639">
        <v>93673</v>
      </c>
      <c r="C175" s="470" t="s">
        <v>792</v>
      </c>
      <c r="D175" s="473" t="s">
        <v>25</v>
      </c>
      <c r="E175" s="35">
        <f t="shared" si="39"/>
        <v>2</v>
      </c>
      <c r="F175" s="35">
        <f t="shared" si="40"/>
        <v>89.6</v>
      </c>
      <c r="G175" s="49">
        <f t="shared" si="41"/>
        <v>114.35</v>
      </c>
      <c r="H175" s="36">
        <f t="shared" si="42"/>
        <v>228.7</v>
      </c>
      <c r="I175" s="474">
        <v>2</v>
      </c>
      <c r="J175" s="481">
        <v>89.6</v>
      </c>
      <c r="K175" s="93"/>
      <c r="L175" s="93"/>
      <c r="M175" s="142"/>
      <c r="N175" s="142"/>
      <c r="O175" s="142"/>
      <c r="P175" s="143"/>
      <c r="Q175" s="144"/>
      <c r="R175" s="142"/>
    </row>
    <row r="176" spans="1:18" s="145" customFormat="1" ht="24.75" customHeight="1">
      <c r="A176" s="608" t="s">
        <v>285</v>
      </c>
      <c r="B176" s="639">
        <v>93653</v>
      </c>
      <c r="C176" s="470" t="s">
        <v>269</v>
      </c>
      <c r="D176" s="473" t="s">
        <v>25</v>
      </c>
      <c r="E176" s="35">
        <f t="shared" si="39"/>
        <v>5</v>
      </c>
      <c r="F176" s="35">
        <f t="shared" si="40"/>
        <v>11.28</v>
      </c>
      <c r="G176" s="49">
        <f t="shared" si="41"/>
        <v>14.39</v>
      </c>
      <c r="H176" s="36">
        <f t="shared" si="42"/>
        <v>71.95</v>
      </c>
      <c r="I176" s="474">
        <v>5</v>
      </c>
      <c r="J176" s="481">
        <v>11.28</v>
      </c>
      <c r="K176" s="93"/>
      <c r="L176" s="93"/>
      <c r="M176" s="142"/>
      <c r="N176" s="142"/>
      <c r="O176" s="142"/>
      <c r="P176" s="143"/>
      <c r="Q176" s="144"/>
      <c r="R176" s="142"/>
    </row>
    <row r="177" spans="1:18" s="145" customFormat="1" ht="26.25" customHeight="1">
      <c r="A177" s="608" t="s">
        <v>287</v>
      </c>
      <c r="B177" s="639">
        <v>93654</v>
      </c>
      <c r="C177" s="470" t="s">
        <v>271</v>
      </c>
      <c r="D177" s="473" t="s">
        <v>25</v>
      </c>
      <c r="E177" s="35">
        <f t="shared" si="39"/>
        <v>9</v>
      </c>
      <c r="F177" s="35">
        <f t="shared" si="40"/>
        <v>11.71</v>
      </c>
      <c r="G177" s="49">
        <f t="shared" si="41"/>
        <v>14.94</v>
      </c>
      <c r="H177" s="36">
        <f t="shared" si="42"/>
        <v>134.46</v>
      </c>
      <c r="I177" s="474">
        <v>9</v>
      </c>
      <c r="J177" s="481">
        <v>11.71</v>
      </c>
      <c r="K177" s="93"/>
      <c r="L177" s="93"/>
      <c r="M177" s="142"/>
      <c r="N177" s="142"/>
      <c r="O177" s="142"/>
      <c r="P177" s="143"/>
      <c r="Q177" s="144"/>
      <c r="R177" s="142"/>
    </row>
    <row r="178" spans="1:18" s="145" customFormat="1" ht="26.25" customHeight="1">
      <c r="A178" s="608" t="s">
        <v>289</v>
      </c>
      <c r="B178" s="639">
        <v>93655</v>
      </c>
      <c r="C178" s="470" t="s">
        <v>273</v>
      </c>
      <c r="D178" s="473" t="s">
        <v>25</v>
      </c>
      <c r="E178" s="35">
        <f t="shared" si="39"/>
        <v>3</v>
      </c>
      <c r="F178" s="35">
        <f t="shared" si="40"/>
        <v>12.6</v>
      </c>
      <c r="G178" s="49">
        <f t="shared" si="41"/>
        <v>16.079999999999998</v>
      </c>
      <c r="H178" s="36">
        <f t="shared" si="42"/>
        <v>48.24</v>
      </c>
      <c r="I178" s="474">
        <v>3</v>
      </c>
      <c r="J178" s="481">
        <v>12.6</v>
      </c>
      <c r="K178" s="93"/>
      <c r="L178" s="93"/>
      <c r="M178" s="142"/>
      <c r="N178" s="142"/>
      <c r="O178" s="142"/>
      <c r="P178" s="143"/>
      <c r="Q178" s="144"/>
      <c r="R178" s="142"/>
    </row>
    <row r="179" spans="1:18" s="145" customFormat="1" ht="30" customHeight="1">
      <c r="A179" s="608" t="s">
        <v>291</v>
      </c>
      <c r="B179" s="639">
        <v>93660</v>
      </c>
      <c r="C179" s="470" t="s">
        <v>793</v>
      </c>
      <c r="D179" s="473" t="s">
        <v>25</v>
      </c>
      <c r="E179" s="35">
        <f t="shared" si="39"/>
        <v>2</v>
      </c>
      <c r="F179" s="35">
        <f t="shared" si="40"/>
        <v>57.13</v>
      </c>
      <c r="G179" s="49">
        <f t="shared" si="41"/>
        <v>72.91</v>
      </c>
      <c r="H179" s="36">
        <f t="shared" si="42"/>
        <v>145.82</v>
      </c>
      <c r="I179" s="474">
        <v>2</v>
      </c>
      <c r="J179" s="481">
        <v>57.13</v>
      </c>
      <c r="K179" s="93"/>
      <c r="L179" s="93"/>
      <c r="M179" s="142"/>
      <c r="N179" s="142"/>
      <c r="O179" s="142"/>
      <c r="P179" s="143"/>
      <c r="Q179" s="144"/>
      <c r="R179" s="142"/>
    </row>
    <row r="180" spans="1:18" s="145" customFormat="1" ht="27" customHeight="1">
      <c r="A180" s="608" t="s">
        <v>293</v>
      </c>
      <c r="B180" s="639">
        <v>93661</v>
      </c>
      <c r="C180" s="470" t="s">
        <v>276</v>
      </c>
      <c r="D180" s="473" t="s">
        <v>25</v>
      </c>
      <c r="E180" s="35">
        <f t="shared" si="39"/>
        <v>6</v>
      </c>
      <c r="F180" s="35">
        <f t="shared" si="40"/>
        <v>57.99</v>
      </c>
      <c r="G180" s="49">
        <f t="shared" si="41"/>
        <v>74.010000000000005</v>
      </c>
      <c r="H180" s="36">
        <f t="shared" si="42"/>
        <v>444.06</v>
      </c>
      <c r="I180" s="474">
        <v>6</v>
      </c>
      <c r="J180" s="481">
        <v>57.99</v>
      </c>
      <c r="K180" s="93"/>
      <c r="L180" s="93"/>
      <c r="M180" s="142"/>
      <c r="N180" s="142"/>
      <c r="O180" s="142"/>
      <c r="P180" s="143"/>
      <c r="Q180" s="144"/>
      <c r="R180" s="142"/>
    </row>
    <row r="181" spans="1:18" s="145" customFormat="1" ht="24.75" customHeight="1">
      <c r="A181" s="608" t="s">
        <v>295</v>
      </c>
      <c r="B181" s="639">
        <v>93662</v>
      </c>
      <c r="C181" s="470" t="s">
        <v>278</v>
      </c>
      <c r="D181" s="473" t="s">
        <v>25</v>
      </c>
      <c r="E181" s="35">
        <f t="shared" si="39"/>
        <v>4</v>
      </c>
      <c r="F181" s="35">
        <f t="shared" si="40"/>
        <v>59.77</v>
      </c>
      <c r="G181" s="49">
        <f t="shared" si="41"/>
        <v>76.28</v>
      </c>
      <c r="H181" s="36">
        <f t="shared" si="42"/>
        <v>305.12</v>
      </c>
      <c r="I181" s="474">
        <v>4</v>
      </c>
      <c r="J181" s="481">
        <v>59.77</v>
      </c>
      <c r="K181" s="93"/>
      <c r="L181" s="93"/>
      <c r="M181" s="142"/>
      <c r="N181" s="142"/>
      <c r="O181" s="142"/>
      <c r="P181" s="143"/>
      <c r="Q181" s="144"/>
      <c r="R181" s="142"/>
    </row>
    <row r="182" spans="1:18" s="17" customFormat="1" ht="23.25" customHeight="1">
      <c r="A182" s="608" t="s">
        <v>297</v>
      </c>
      <c r="B182" s="639">
        <v>93663</v>
      </c>
      <c r="C182" s="470" t="s">
        <v>280</v>
      </c>
      <c r="D182" s="473" t="s">
        <v>25</v>
      </c>
      <c r="E182" s="35">
        <f t="shared" si="39"/>
        <v>1</v>
      </c>
      <c r="F182" s="35">
        <f t="shared" si="40"/>
        <v>59.77</v>
      </c>
      <c r="G182" s="49">
        <f t="shared" si="41"/>
        <v>76.28</v>
      </c>
      <c r="H182" s="36">
        <f t="shared" si="42"/>
        <v>76.28</v>
      </c>
      <c r="I182" s="474">
        <v>1</v>
      </c>
      <c r="J182" s="481">
        <v>59.77</v>
      </c>
      <c r="K182" s="46"/>
      <c r="L182" s="46"/>
      <c r="M182" s="40"/>
      <c r="N182" s="40"/>
      <c r="O182" s="40"/>
      <c r="P182" s="41"/>
      <c r="Q182" s="72"/>
      <c r="R182" s="72"/>
    </row>
    <row r="183" spans="1:18" s="17" customFormat="1" ht="27" customHeight="1">
      <c r="A183" s="608" t="s">
        <v>299</v>
      </c>
      <c r="B183" s="639">
        <v>93664</v>
      </c>
      <c r="C183" s="470" t="s">
        <v>794</v>
      </c>
      <c r="D183" s="473" t="s">
        <v>25</v>
      </c>
      <c r="E183" s="35">
        <f t="shared" si="39"/>
        <v>4</v>
      </c>
      <c r="F183" s="35">
        <f t="shared" si="40"/>
        <v>61.92</v>
      </c>
      <c r="G183" s="49">
        <f t="shared" si="41"/>
        <v>79.02</v>
      </c>
      <c r="H183" s="36">
        <f t="shared" si="42"/>
        <v>316.08</v>
      </c>
      <c r="I183" s="474">
        <v>4</v>
      </c>
      <c r="J183" s="481">
        <v>61.92</v>
      </c>
      <c r="K183" s="46"/>
      <c r="L183" s="46"/>
      <c r="M183" s="40"/>
      <c r="N183" s="40"/>
      <c r="O183" s="40"/>
      <c r="P183" s="41"/>
      <c r="Q183" s="72"/>
      <c r="R183" s="72"/>
    </row>
    <row r="184" spans="1:18" s="17" customFormat="1" ht="25.5" customHeight="1">
      <c r="A184" s="608" t="s">
        <v>300</v>
      </c>
      <c r="B184" s="639" t="s">
        <v>205</v>
      </c>
      <c r="C184" s="470" t="s">
        <v>795</v>
      </c>
      <c r="D184" s="473" t="s">
        <v>25</v>
      </c>
      <c r="E184" s="35">
        <f t="shared" si="39"/>
        <v>2</v>
      </c>
      <c r="F184" s="35">
        <f t="shared" si="40"/>
        <v>148.55000000000001</v>
      </c>
      <c r="G184" s="49">
        <f t="shared" si="41"/>
        <v>189.59</v>
      </c>
      <c r="H184" s="36">
        <f t="shared" si="42"/>
        <v>379.18</v>
      </c>
      <c r="I184" s="474">
        <v>2</v>
      </c>
      <c r="J184" s="481">
        <v>148.55000000000001</v>
      </c>
      <c r="K184" s="46"/>
      <c r="L184" s="46"/>
      <c r="M184" s="40"/>
      <c r="N184" s="40"/>
      <c r="O184" s="40"/>
      <c r="P184" s="41"/>
      <c r="Q184" s="72"/>
      <c r="R184" s="72"/>
    </row>
    <row r="185" spans="1:18" s="17" customFormat="1" ht="22.5" customHeight="1">
      <c r="A185" s="608" t="s">
        <v>302</v>
      </c>
      <c r="B185" s="639" t="s">
        <v>205</v>
      </c>
      <c r="C185" s="442" t="s">
        <v>796</v>
      </c>
      <c r="D185" s="473" t="s">
        <v>25</v>
      </c>
      <c r="E185" s="35">
        <f t="shared" si="39"/>
        <v>1</v>
      </c>
      <c r="F185" s="35">
        <f t="shared" si="40"/>
        <v>351.43</v>
      </c>
      <c r="G185" s="49">
        <f t="shared" si="41"/>
        <v>448.53</v>
      </c>
      <c r="H185" s="36">
        <f t="shared" si="42"/>
        <v>448.53</v>
      </c>
      <c r="I185" s="474">
        <v>1</v>
      </c>
      <c r="J185" s="481">
        <v>351.43</v>
      </c>
      <c r="K185" s="46"/>
      <c r="L185" s="46"/>
      <c r="M185" s="40"/>
      <c r="N185" s="40"/>
      <c r="O185" s="40"/>
      <c r="P185" s="41"/>
      <c r="Q185" s="72"/>
      <c r="R185" s="72"/>
    </row>
    <row r="186" spans="1:18" s="17" customFormat="1" ht="27" customHeight="1">
      <c r="A186" s="608" t="s">
        <v>304</v>
      </c>
      <c r="B186" s="639" t="s">
        <v>205</v>
      </c>
      <c r="C186" s="477" t="s">
        <v>284</v>
      </c>
      <c r="D186" s="473" t="s">
        <v>25</v>
      </c>
      <c r="E186" s="35">
        <f t="shared" si="39"/>
        <v>7</v>
      </c>
      <c r="F186" s="35">
        <f t="shared" si="40"/>
        <v>107.83</v>
      </c>
      <c r="G186" s="49">
        <f t="shared" si="41"/>
        <v>137.62</v>
      </c>
      <c r="H186" s="36">
        <f t="shared" si="42"/>
        <v>963.34</v>
      </c>
      <c r="I186" s="474">
        <v>7</v>
      </c>
      <c r="J186" s="481">
        <v>107.83</v>
      </c>
      <c r="K186" s="46"/>
      <c r="L186" s="46"/>
      <c r="M186" s="40"/>
      <c r="N186" s="40"/>
      <c r="O186" s="40"/>
      <c r="P186" s="41"/>
      <c r="Q186" s="72"/>
      <c r="R186" s="72"/>
    </row>
    <row r="187" spans="1:18" s="17" customFormat="1" ht="17.25" customHeight="1">
      <c r="A187" s="608" t="s">
        <v>306</v>
      </c>
      <c r="B187" s="639">
        <v>96985</v>
      </c>
      <c r="C187" s="470" t="s">
        <v>286</v>
      </c>
      <c r="D187" s="473" t="s">
        <v>25</v>
      </c>
      <c r="E187" s="35">
        <f t="shared" si="39"/>
        <v>5</v>
      </c>
      <c r="F187" s="35">
        <f t="shared" si="40"/>
        <v>56.31</v>
      </c>
      <c r="G187" s="49">
        <f t="shared" si="41"/>
        <v>71.86</v>
      </c>
      <c r="H187" s="36">
        <f t="shared" si="42"/>
        <v>359.3</v>
      </c>
      <c r="I187" s="474">
        <v>5</v>
      </c>
      <c r="J187" s="481">
        <v>56.31</v>
      </c>
      <c r="K187" s="46"/>
      <c r="L187" s="46"/>
      <c r="M187" s="40"/>
      <c r="N187" s="40"/>
      <c r="O187" s="40"/>
      <c r="P187" s="41"/>
      <c r="Q187" s="72"/>
      <c r="R187" s="72"/>
    </row>
    <row r="188" spans="1:18" s="17" customFormat="1" ht="21.75" customHeight="1">
      <c r="A188" s="608" t="s">
        <v>308</v>
      </c>
      <c r="B188" s="639" t="s">
        <v>205</v>
      </c>
      <c r="C188" s="470" t="s">
        <v>288</v>
      </c>
      <c r="D188" s="473" t="s">
        <v>25</v>
      </c>
      <c r="E188" s="35">
        <f t="shared" si="39"/>
        <v>5</v>
      </c>
      <c r="F188" s="35">
        <f t="shared" si="40"/>
        <v>15.18</v>
      </c>
      <c r="G188" s="49">
        <f t="shared" si="41"/>
        <v>19.37</v>
      </c>
      <c r="H188" s="36">
        <f t="shared" si="42"/>
        <v>96.85</v>
      </c>
      <c r="I188" s="474">
        <v>5</v>
      </c>
      <c r="J188" s="481">
        <v>15.18</v>
      </c>
      <c r="K188" s="46"/>
      <c r="L188" s="46"/>
      <c r="M188" s="40"/>
      <c r="N188" s="40"/>
      <c r="O188" s="40"/>
      <c r="P188" s="41"/>
      <c r="Q188" s="72"/>
      <c r="R188" s="72"/>
    </row>
    <row r="189" spans="1:18" s="571" customFormat="1" ht="21.75" customHeight="1">
      <c r="A189" s="608" t="s">
        <v>310</v>
      </c>
      <c r="B189" s="639" t="s">
        <v>205</v>
      </c>
      <c r="C189" s="470" t="s">
        <v>290</v>
      </c>
      <c r="D189" s="473"/>
      <c r="E189" s="35">
        <f t="shared" ref="E189:E190" si="43">TRUNC(I189,2)</f>
        <v>4</v>
      </c>
      <c r="F189" s="35">
        <f t="shared" ref="F189:F190" si="44">J189</f>
        <v>3.53</v>
      </c>
      <c r="G189" s="49">
        <f t="shared" ref="G189:G190" si="45">TRUNC(J189*J$17,2)</f>
        <v>4.5</v>
      </c>
      <c r="H189" s="36">
        <f t="shared" ref="H189:H190" si="46">TRUNC(E189*G189,2)</f>
        <v>18</v>
      </c>
      <c r="I189" s="474">
        <v>4</v>
      </c>
      <c r="J189" s="481">
        <v>3.53</v>
      </c>
      <c r="K189" s="46"/>
      <c r="L189" s="46"/>
      <c r="M189" s="40"/>
      <c r="N189" s="40"/>
      <c r="O189" s="40"/>
      <c r="P189" s="41"/>
      <c r="Q189" s="72"/>
      <c r="R189" s="72"/>
    </row>
    <row r="190" spans="1:18" s="571" customFormat="1" ht="21.75" customHeight="1">
      <c r="A190" s="608" t="s">
        <v>311</v>
      </c>
      <c r="B190" s="639" t="s">
        <v>205</v>
      </c>
      <c r="C190" s="470" t="s">
        <v>292</v>
      </c>
      <c r="D190" s="473"/>
      <c r="E190" s="35">
        <f t="shared" si="43"/>
        <v>18</v>
      </c>
      <c r="F190" s="35">
        <f t="shared" si="44"/>
        <v>2.61</v>
      </c>
      <c r="G190" s="49">
        <f t="shared" si="45"/>
        <v>3.33</v>
      </c>
      <c r="H190" s="36">
        <f t="shared" si="46"/>
        <v>59.94</v>
      </c>
      <c r="I190" s="474">
        <v>18</v>
      </c>
      <c r="J190" s="481">
        <v>2.61</v>
      </c>
      <c r="K190" s="46"/>
      <c r="L190" s="46"/>
      <c r="M190" s="40"/>
      <c r="N190" s="40"/>
      <c r="O190" s="40"/>
      <c r="P190" s="41"/>
      <c r="Q190" s="72"/>
      <c r="R190" s="72"/>
    </row>
    <row r="191" spans="1:18" s="571" customFormat="1" ht="21.75" customHeight="1">
      <c r="A191" s="608" t="s">
        <v>313</v>
      </c>
      <c r="B191" s="639" t="s">
        <v>205</v>
      </c>
      <c r="C191" s="470" t="s">
        <v>294</v>
      </c>
      <c r="D191" s="473" t="s">
        <v>25</v>
      </c>
      <c r="E191" s="35">
        <f t="shared" ref="E191:E192" si="47">TRUNC(I191,2)</f>
        <v>20</v>
      </c>
      <c r="F191" s="35">
        <f t="shared" ref="F191:F192" si="48">J191</f>
        <v>1.24</v>
      </c>
      <c r="G191" s="49">
        <f t="shared" ref="G191:G192" si="49">TRUNC(J191*J$17,2)</f>
        <v>1.58</v>
      </c>
      <c r="H191" s="36">
        <f t="shared" ref="H191:H192" si="50">TRUNC(E191*G191,2)</f>
        <v>31.6</v>
      </c>
      <c r="I191" s="474">
        <v>20</v>
      </c>
      <c r="J191" s="481">
        <v>1.24</v>
      </c>
      <c r="K191" s="46"/>
      <c r="L191" s="46"/>
      <c r="M191" s="40"/>
      <c r="N191" s="40"/>
      <c r="O191" s="40"/>
      <c r="P191" s="41"/>
      <c r="Q191" s="72"/>
      <c r="R191" s="72"/>
    </row>
    <row r="192" spans="1:18" s="571" customFormat="1" ht="21.75" customHeight="1">
      <c r="A192" s="608" t="s">
        <v>315</v>
      </c>
      <c r="B192" s="639" t="s">
        <v>205</v>
      </c>
      <c r="C192" s="470" t="s">
        <v>807</v>
      </c>
      <c r="D192" s="473" t="s">
        <v>25</v>
      </c>
      <c r="E192" s="35">
        <f t="shared" si="47"/>
        <v>28</v>
      </c>
      <c r="F192" s="35">
        <f t="shared" si="48"/>
        <v>1</v>
      </c>
      <c r="G192" s="49">
        <f t="shared" si="49"/>
        <v>1.27</v>
      </c>
      <c r="H192" s="36">
        <f t="shared" si="50"/>
        <v>35.56</v>
      </c>
      <c r="I192" s="474">
        <v>28</v>
      </c>
      <c r="J192" s="481">
        <v>1</v>
      </c>
      <c r="K192" s="46"/>
      <c r="L192" s="46"/>
      <c r="M192" s="40"/>
      <c r="N192" s="40"/>
      <c r="O192" s="40"/>
      <c r="P192" s="41"/>
      <c r="Q192" s="72"/>
      <c r="R192" s="72"/>
    </row>
    <row r="193" spans="1:18" s="17" customFormat="1" ht="21.75" customHeight="1">
      <c r="A193" s="608" t="s">
        <v>317</v>
      </c>
      <c r="B193" s="639">
        <v>101881</v>
      </c>
      <c r="C193" s="470" t="s">
        <v>298</v>
      </c>
      <c r="D193" s="473" t="s">
        <v>25</v>
      </c>
      <c r="E193" s="35">
        <f t="shared" si="39"/>
        <v>2</v>
      </c>
      <c r="F193" s="35">
        <f t="shared" si="40"/>
        <v>1017.18</v>
      </c>
      <c r="G193" s="49">
        <f t="shared" si="41"/>
        <v>1298.22</v>
      </c>
      <c r="H193" s="36">
        <f t="shared" si="42"/>
        <v>2596.44</v>
      </c>
      <c r="I193" s="474">
        <v>2</v>
      </c>
      <c r="J193" s="481">
        <v>1017.18</v>
      </c>
      <c r="K193" s="46"/>
      <c r="L193" s="46"/>
      <c r="M193" s="40"/>
      <c r="N193" s="40"/>
      <c r="O193" s="40"/>
      <c r="P193" s="41"/>
      <c r="Q193" s="72"/>
      <c r="R193" s="72"/>
    </row>
    <row r="194" spans="1:18" s="17" customFormat="1" ht="34.5" customHeight="1">
      <c r="A194" s="608" t="s">
        <v>319</v>
      </c>
      <c r="B194" s="640">
        <v>101879</v>
      </c>
      <c r="C194" s="470" t="s">
        <v>301</v>
      </c>
      <c r="D194" s="473" t="s">
        <v>25</v>
      </c>
      <c r="E194" s="35">
        <f t="shared" si="39"/>
        <v>2</v>
      </c>
      <c r="F194" s="35">
        <f t="shared" si="40"/>
        <v>611.54999999999995</v>
      </c>
      <c r="G194" s="49">
        <f t="shared" si="41"/>
        <v>780.52</v>
      </c>
      <c r="H194" s="36">
        <f t="shared" si="42"/>
        <v>1561.04</v>
      </c>
      <c r="I194" s="474">
        <v>2</v>
      </c>
      <c r="J194" s="481">
        <v>611.54999999999995</v>
      </c>
      <c r="K194" s="46"/>
      <c r="L194" s="46"/>
      <c r="M194" s="40"/>
      <c r="N194" s="40"/>
      <c r="O194" s="40"/>
      <c r="P194" s="41"/>
      <c r="Q194" s="72"/>
      <c r="R194" s="72"/>
    </row>
    <row r="195" spans="1:18" s="17" customFormat="1" ht="27.75" customHeight="1">
      <c r="A195" s="608" t="s">
        <v>321</v>
      </c>
      <c r="B195" s="640">
        <v>91941</v>
      </c>
      <c r="C195" s="475" t="s">
        <v>303</v>
      </c>
      <c r="D195" s="473" t="s">
        <v>25</v>
      </c>
      <c r="E195" s="35">
        <f t="shared" si="39"/>
        <v>39</v>
      </c>
      <c r="F195" s="35">
        <f t="shared" si="40"/>
        <v>7.75</v>
      </c>
      <c r="G195" s="49">
        <f t="shared" si="41"/>
        <v>9.89</v>
      </c>
      <c r="H195" s="36">
        <f t="shared" si="42"/>
        <v>385.71</v>
      </c>
      <c r="I195" s="474">
        <v>39</v>
      </c>
      <c r="J195" s="481">
        <v>7.75</v>
      </c>
      <c r="K195" s="46"/>
      <c r="L195" s="46"/>
      <c r="M195" s="40"/>
      <c r="N195" s="40"/>
      <c r="O195" s="40"/>
      <c r="P195" s="41"/>
      <c r="Q195" s="72"/>
      <c r="R195" s="72"/>
    </row>
    <row r="196" spans="1:18" s="17" customFormat="1" ht="27.75" customHeight="1">
      <c r="A196" s="608" t="s">
        <v>799</v>
      </c>
      <c r="B196" s="640">
        <v>91940</v>
      </c>
      <c r="C196" s="475" t="s">
        <v>305</v>
      </c>
      <c r="D196" s="473" t="s">
        <v>25</v>
      </c>
      <c r="E196" s="35">
        <f t="shared" si="39"/>
        <v>6</v>
      </c>
      <c r="F196" s="35">
        <f t="shared" si="40"/>
        <v>11.29</v>
      </c>
      <c r="G196" s="49">
        <f t="shared" si="41"/>
        <v>14.4</v>
      </c>
      <c r="H196" s="36">
        <f t="shared" si="42"/>
        <v>86.4</v>
      </c>
      <c r="I196" s="474">
        <v>6</v>
      </c>
      <c r="J196" s="481">
        <v>11.29</v>
      </c>
      <c r="K196" s="46"/>
      <c r="L196" s="46"/>
      <c r="M196" s="40"/>
      <c r="N196" s="40"/>
      <c r="O196" s="40"/>
      <c r="P196" s="41"/>
      <c r="Q196" s="72"/>
      <c r="R196" s="72"/>
    </row>
    <row r="197" spans="1:18" s="17" customFormat="1" ht="27.75" customHeight="1">
      <c r="A197" s="608" t="s">
        <v>800</v>
      </c>
      <c r="B197" s="640">
        <v>91939</v>
      </c>
      <c r="C197" s="475" t="s">
        <v>307</v>
      </c>
      <c r="D197" s="473" t="s">
        <v>25</v>
      </c>
      <c r="E197" s="35">
        <f t="shared" si="39"/>
        <v>10</v>
      </c>
      <c r="F197" s="35">
        <f t="shared" si="40"/>
        <v>20.73</v>
      </c>
      <c r="G197" s="49">
        <f t="shared" si="41"/>
        <v>26.45</v>
      </c>
      <c r="H197" s="36">
        <f t="shared" si="42"/>
        <v>264.5</v>
      </c>
      <c r="I197" s="474">
        <v>10</v>
      </c>
      <c r="J197" s="481">
        <v>20.73</v>
      </c>
      <c r="K197" s="46"/>
      <c r="L197" s="46"/>
      <c r="M197" s="40"/>
      <c r="N197" s="40"/>
      <c r="O197" s="40"/>
      <c r="P197" s="41"/>
      <c r="Q197" s="72"/>
      <c r="R197" s="72"/>
    </row>
    <row r="198" spans="1:18" s="17" customFormat="1" ht="29.25" customHeight="1">
      <c r="A198" s="608" t="s">
        <v>801</v>
      </c>
      <c r="B198" s="640">
        <v>91944</v>
      </c>
      <c r="C198" s="475" t="s">
        <v>309</v>
      </c>
      <c r="D198" s="473" t="s">
        <v>25</v>
      </c>
      <c r="E198" s="35">
        <f t="shared" si="39"/>
        <v>2</v>
      </c>
      <c r="F198" s="35">
        <f t="shared" si="40"/>
        <v>10.85</v>
      </c>
      <c r="G198" s="49">
        <f t="shared" si="41"/>
        <v>13.84</v>
      </c>
      <c r="H198" s="36">
        <f t="shared" si="42"/>
        <v>27.68</v>
      </c>
      <c r="I198" s="474">
        <v>2</v>
      </c>
      <c r="J198" s="481">
        <v>10.85</v>
      </c>
      <c r="K198" s="46"/>
      <c r="L198" s="46"/>
      <c r="M198" s="40"/>
      <c r="N198" s="40"/>
      <c r="O198" s="40"/>
      <c r="P198" s="41"/>
      <c r="Q198" s="72"/>
      <c r="R198" s="72"/>
    </row>
    <row r="199" spans="1:18" s="17" customFormat="1" ht="34.5" customHeight="1">
      <c r="A199" s="608" t="s">
        <v>802</v>
      </c>
      <c r="B199" s="640">
        <v>92866</v>
      </c>
      <c r="C199" s="475" t="s">
        <v>797</v>
      </c>
      <c r="D199" s="476" t="s">
        <v>25</v>
      </c>
      <c r="E199" s="35">
        <f t="shared" si="39"/>
        <v>48</v>
      </c>
      <c r="F199" s="35">
        <f t="shared" si="40"/>
        <v>6.66</v>
      </c>
      <c r="G199" s="49">
        <f t="shared" si="41"/>
        <v>8.5</v>
      </c>
      <c r="H199" s="36">
        <f t="shared" si="42"/>
        <v>408</v>
      </c>
      <c r="I199" s="474">
        <v>48</v>
      </c>
      <c r="J199" s="481">
        <v>6.66</v>
      </c>
      <c r="K199" s="46"/>
      <c r="L199" s="46"/>
      <c r="M199" s="40"/>
      <c r="N199" s="40"/>
      <c r="O199" s="40"/>
      <c r="P199" s="41"/>
      <c r="Q199" s="72"/>
      <c r="R199" s="72"/>
    </row>
    <row r="200" spans="1:18" s="17" customFormat="1" ht="24.75" customHeight="1">
      <c r="A200" s="608" t="s">
        <v>803</v>
      </c>
      <c r="B200" s="640">
        <v>101632</v>
      </c>
      <c r="C200" s="475" t="s">
        <v>312</v>
      </c>
      <c r="D200" s="476" t="s">
        <v>25</v>
      </c>
      <c r="E200" s="35">
        <f t="shared" si="39"/>
        <v>3</v>
      </c>
      <c r="F200" s="35">
        <f t="shared" si="40"/>
        <v>49.29</v>
      </c>
      <c r="G200" s="49">
        <f t="shared" si="41"/>
        <v>62.9</v>
      </c>
      <c r="H200" s="36">
        <f t="shared" si="42"/>
        <v>188.7</v>
      </c>
      <c r="I200" s="474">
        <v>3</v>
      </c>
      <c r="J200" s="481">
        <v>49.29</v>
      </c>
      <c r="K200" s="46"/>
      <c r="L200" s="46"/>
      <c r="M200" s="40"/>
      <c r="N200" s="40"/>
      <c r="O200" s="40"/>
      <c r="P200" s="41"/>
      <c r="Q200" s="72"/>
      <c r="R200" s="72"/>
    </row>
    <row r="201" spans="1:18" s="17" customFormat="1" ht="28.5" customHeight="1">
      <c r="A201" s="608" t="s">
        <v>804</v>
      </c>
      <c r="B201" s="640">
        <v>97660</v>
      </c>
      <c r="C201" s="475" t="s">
        <v>314</v>
      </c>
      <c r="D201" s="476" t="s">
        <v>25</v>
      </c>
      <c r="E201" s="35">
        <f t="shared" ref="E201:E210" si="51">TRUNC(I201,2)</f>
        <v>45</v>
      </c>
      <c r="F201" s="35">
        <f t="shared" ref="F201:F210" si="52">J201</f>
        <v>0.46</v>
      </c>
      <c r="G201" s="49">
        <f t="shared" ref="G201:G210" si="53">TRUNC(J201*J$17,2)</f>
        <v>0.57999999999999996</v>
      </c>
      <c r="H201" s="36">
        <f t="shared" ref="H201:H210" si="54">TRUNC(E201*G201,2)</f>
        <v>26.1</v>
      </c>
      <c r="I201" s="474">
        <v>45</v>
      </c>
      <c r="J201" s="481">
        <v>0.46</v>
      </c>
      <c r="K201" s="46"/>
      <c r="L201" s="46"/>
      <c r="M201" s="40"/>
      <c r="N201" s="40"/>
      <c r="O201" s="40"/>
      <c r="P201" s="41"/>
      <c r="Q201" s="72"/>
      <c r="R201" s="72"/>
    </row>
    <row r="202" spans="1:18" s="17" customFormat="1" ht="15" customHeight="1">
      <c r="A202" s="608" t="s">
        <v>810</v>
      </c>
      <c r="B202" s="640">
        <v>97661</v>
      </c>
      <c r="C202" s="475" t="s">
        <v>316</v>
      </c>
      <c r="D202" s="476" t="s">
        <v>101</v>
      </c>
      <c r="E202" s="35">
        <f t="shared" si="51"/>
        <v>700</v>
      </c>
      <c r="F202" s="35">
        <f t="shared" si="52"/>
        <v>0.46</v>
      </c>
      <c r="G202" s="49">
        <f t="shared" si="53"/>
        <v>0.57999999999999996</v>
      </c>
      <c r="H202" s="36">
        <f t="shared" si="54"/>
        <v>406</v>
      </c>
      <c r="I202" s="474">
        <v>700</v>
      </c>
      <c r="J202" s="481">
        <v>0.46</v>
      </c>
      <c r="K202" s="46"/>
      <c r="L202" s="46"/>
      <c r="M202" s="40"/>
      <c r="N202" s="40"/>
      <c r="O202" s="40"/>
      <c r="P202" s="41"/>
      <c r="Q202" s="72"/>
      <c r="R202" s="72"/>
    </row>
    <row r="203" spans="1:18" s="17" customFormat="1" ht="22.5" customHeight="1">
      <c r="A203" s="608" t="s">
        <v>811</v>
      </c>
      <c r="B203" s="640">
        <v>97665</v>
      </c>
      <c r="C203" s="475" t="s">
        <v>318</v>
      </c>
      <c r="D203" s="476" t="s">
        <v>25</v>
      </c>
      <c r="E203" s="35">
        <f t="shared" si="51"/>
        <v>50</v>
      </c>
      <c r="F203" s="35">
        <f t="shared" si="52"/>
        <v>0.89</v>
      </c>
      <c r="G203" s="49">
        <f t="shared" si="53"/>
        <v>1.1299999999999999</v>
      </c>
      <c r="H203" s="36">
        <f t="shared" si="54"/>
        <v>56.5</v>
      </c>
      <c r="I203" s="474">
        <v>50</v>
      </c>
      <c r="J203" s="481">
        <v>0.89</v>
      </c>
      <c r="K203" s="46"/>
      <c r="L203" s="46"/>
      <c r="M203" s="40"/>
      <c r="N203" s="40"/>
      <c r="O203" s="40"/>
      <c r="P203" s="41"/>
      <c r="Q203" s="72"/>
      <c r="R203" s="72"/>
    </row>
    <row r="204" spans="1:18" s="17" customFormat="1" ht="22.5" customHeight="1">
      <c r="A204" s="641" t="s">
        <v>812</v>
      </c>
      <c r="B204" s="639">
        <v>100860</v>
      </c>
      <c r="C204" s="470" t="s">
        <v>798</v>
      </c>
      <c r="D204" s="594" t="s">
        <v>25</v>
      </c>
      <c r="E204" s="35">
        <f t="shared" si="51"/>
        <v>2</v>
      </c>
      <c r="F204" s="35">
        <f t="shared" si="52"/>
        <v>83.04</v>
      </c>
      <c r="G204" s="49">
        <f t="shared" si="53"/>
        <v>105.98</v>
      </c>
      <c r="H204" s="36">
        <f t="shared" si="54"/>
        <v>211.96</v>
      </c>
      <c r="I204" s="474">
        <v>2</v>
      </c>
      <c r="J204" s="481">
        <v>83.04</v>
      </c>
      <c r="K204" s="46"/>
      <c r="L204" s="46"/>
      <c r="M204" s="40"/>
      <c r="N204" s="40"/>
      <c r="O204" s="40"/>
      <c r="P204" s="41"/>
      <c r="Q204" s="72"/>
      <c r="R204" s="72"/>
    </row>
    <row r="205" spans="1:18" s="591" customFormat="1" ht="22.5" customHeight="1">
      <c r="A205" s="641" t="s">
        <v>813</v>
      </c>
      <c r="B205" s="639">
        <v>90447</v>
      </c>
      <c r="C205" s="470" t="s">
        <v>850</v>
      </c>
      <c r="D205" s="596" t="s">
        <v>101</v>
      </c>
      <c r="E205" s="35">
        <f t="shared" si="51"/>
        <v>20</v>
      </c>
      <c r="F205" s="35">
        <f t="shared" si="52"/>
        <v>17.89</v>
      </c>
      <c r="G205" s="49">
        <f t="shared" si="53"/>
        <v>22.83</v>
      </c>
      <c r="H205" s="36">
        <f t="shared" si="54"/>
        <v>456.6</v>
      </c>
      <c r="I205" s="474">
        <f>5*4</f>
        <v>20</v>
      </c>
      <c r="J205" s="481">
        <v>17.89</v>
      </c>
      <c r="K205" s="46"/>
      <c r="L205" s="46"/>
      <c r="M205" s="40"/>
      <c r="N205" s="40"/>
      <c r="O205" s="40"/>
      <c r="P205" s="41"/>
      <c r="Q205" s="72"/>
      <c r="R205" s="72"/>
    </row>
    <row r="206" spans="1:18" s="591" customFormat="1" ht="22.5" customHeight="1">
      <c r="A206" s="641" t="s">
        <v>847</v>
      </c>
      <c r="B206" s="593">
        <v>89446</v>
      </c>
      <c r="C206" s="497" t="s">
        <v>853</v>
      </c>
      <c r="D206" s="596" t="s">
        <v>101</v>
      </c>
      <c r="E206" s="35">
        <f t="shared" si="51"/>
        <v>20</v>
      </c>
      <c r="F206" s="35">
        <f t="shared" si="52"/>
        <v>4.76</v>
      </c>
      <c r="G206" s="49">
        <f t="shared" si="53"/>
        <v>6.07</v>
      </c>
      <c r="H206" s="36">
        <f t="shared" si="54"/>
        <v>121.4</v>
      </c>
      <c r="I206" s="474">
        <f>I205</f>
        <v>20</v>
      </c>
      <c r="J206" s="481">
        <v>4.76</v>
      </c>
      <c r="K206" s="46"/>
      <c r="L206" s="46"/>
      <c r="M206" s="40"/>
      <c r="N206" s="40"/>
      <c r="O206" s="40"/>
      <c r="P206" s="41"/>
      <c r="Q206" s="72"/>
      <c r="R206" s="72"/>
    </row>
    <row r="207" spans="1:18" s="591" customFormat="1" ht="22.5" customHeight="1">
      <c r="A207" s="641" t="s">
        <v>848</v>
      </c>
      <c r="B207" s="593">
        <v>89489</v>
      </c>
      <c r="C207" s="497" t="s">
        <v>854</v>
      </c>
      <c r="D207" s="596" t="s">
        <v>25</v>
      </c>
      <c r="E207" s="35">
        <f t="shared" si="51"/>
        <v>5</v>
      </c>
      <c r="F207" s="35">
        <f t="shared" si="52"/>
        <v>5</v>
      </c>
      <c r="G207" s="49">
        <f t="shared" si="53"/>
        <v>6.38</v>
      </c>
      <c r="H207" s="36">
        <f t="shared" si="54"/>
        <v>31.9</v>
      </c>
      <c r="I207" s="474">
        <v>5</v>
      </c>
      <c r="J207" s="481">
        <v>5</v>
      </c>
      <c r="K207" s="46"/>
      <c r="L207" s="46"/>
      <c r="M207" s="40"/>
      <c r="N207" s="40"/>
      <c r="O207" s="40"/>
      <c r="P207" s="41"/>
      <c r="Q207" s="72"/>
      <c r="R207" s="72"/>
    </row>
    <row r="208" spans="1:18" s="591" customFormat="1" ht="22.5" customHeight="1">
      <c r="A208" s="641" t="s">
        <v>849</v>
      </c>
      <c r="B208" s="593">
        <v>89490</v>
      </c>
      <c r="C208" s="497" t="s">
        <v>855</v>
      </c>
      <c r="D208" s="596" t="s">
        <v>25</v>
      </c>
      <c r="E208" s="35">
        <f t="shared" si="51"/>
        <v>5</v>
      </c>
      <c r="F208" s="35">
        <f t="shared" si="52"/>
        <v>5.66</v>
      </c>
      <c r="G208" s="49">
        <f t="shared" si="53"/>
        <v>7.22</v>
      </c>
      <c r="H208" s="36">
        <f t="shared" si="54"/>
        <v>36.1</v>
      </c>
      <c r="I208" s="474">
        <v>5</v>
      </c>
      <c r="J208" s="481">
        <v>5.66</v>
      </c>
      <c r="K208" s="46"/>
      <c r="L208" s="46"/>
      <c r="M208" s="40"/>
      <c r="N208" s="40"/>
      <c r="O208" s="40"/>
      <c r="P208" s="41"/>
      <c r="Q208" s="72"/>
      <c r="R208" s="72"/>
    </row>
    <row r="209" spans="1:18" s="591" customFormat="1" ht="22.5" customHeight="1">
      <c r="A209" s="641" t="s">
        <v>851</v>
      </c>
      <c r="B209" s="593">
        <v>94971</v>
      </c>
      <c r="C209" s="523" t="s">
        <v>856</v>
      </c>
      <c r="D209" s="595" t="s">
        <v>49</v>
      </c>
      <c r="E209" s="35">
        <f t="shared" si="51"/>
        <v>0.81</v>
      </c>
      <c r="F209" s="35">
        <f t="shared" si="52"/>
        <v>413.25</v>
      </c>
      <c r="G209" s="49">
        <f t="shared" si="53"/>
        <v>527.42999999999995</v>
      </c>
      <c r="H209" s="36">
        <f t="shared" si="54"/>
        <v>427.21</v>
      </c>
      <c r="I209" s="474">
        <f>5*0.6*0.9*0.3</f>
        <v>0.81</v>
      </c>
      <c r="J209" s="481">
        <v>413.25</v>
      </c>
      <c r="K209" s="46"/>
      <c r="L209" s="46"/>
      <c r="M209" s="40"/>
      <c r="N209" s="40"/>
      <c r="O209" s="40"/>
      <c r="P209" s="41"/>
      <c r="Q209" s="72"/>
      <c r="R209" s="72"/>
    </row>
    <row r="210" spans="1:18" s="17" customFormat="1" ht="26.25" customHeight="1" thickBot="1">
      <c r="A210" s="641" t="s">
        <v>852</v>
      </c>
      <c r="B210" s="640">
        <v>93141</v>
      </c>
      <c r="C210" s="475" t="s">
        <v>322</v>
      </c>
      <c r="D210" s="478" t="s">
        <v>25</v>
      </c>
      <c r="E210" s="85">
        <f t="shared" si="51"/>
        <v>2</v>
      </c>
      <c r="F210" s="85">
        <f t="shared" si="52"/>
        <v>147.02000000000001</v>
      </c>
      <c r="G210" s="49">
        <f t="shared" si="53"/>
        <v>187.64</v>
      </c>
      <c r="H210" s="51">
        <f t="shared" si="54"/>
        <v>375.28</v>
      </c>
      <c r="I210" s="474">
        <v>2</v>
      </c>
      <c r="J210" s="481">
        <v>147.02000000000001</v>
      </c>
      <c r="K210" s="46"/>
      <c r="L210" s="46"/>
      <c r="M210" s="40"/>
      <c r="N210" s="40"/>
      <c r="O210" s="40"/>
      <c r="P210" s="41"/>
      <c r="Q210" s="72"/>
      <c r="R210" s="72"/>
    </row>
    <row r="211" spans="1:18" s="17" customFormat="1" ht="15" thickBot="1">
      <c r="A211" s="513"/>
      <c r="B211" s="514"/>
      <c r="C211" s="515" t="s">
        <v>26</v>
      </c>
      <c r="D211" s="514"/>
      <c r="E211" s="514"/>
      <c r="F211" s="514"/>
      <c r="G211" s="570"/>
      <c r="H211" s="516">
        <f>SUM(H133:H210)</f>
        <v>58415.499999999978</v>
      </c>
      <c r="I211" s="46"/>
      <c r="J211" s="479"/>
      <c r="K211" s="480"/>
      <c r="L211" s="46"/>
      <c r="M211" s="40"/>
      <c r="N211" s="40"/>
      <c r="O211" s="40"/>
      <c r="P211" s="41"/>
      <c r="Q211" s="72"/>
    </row>
    <row r="212" spans="1:18" s="167" customFormat="1" ht="5.25" customHeight="1" thickBot="1">
      <c r="A212" s="499"/>
      <c r="B212" s="500"/>
      <c r="C212" s="501"/>
      <c r="D212" s="500"/>
      <c r="E212" s="500"/>
      <c r="F212" s="500"/>
      <c r="G212" s="500"/>
      <c r="H212" s="502"/>
      <c r="I212" s="46"/>
      <c r="J212" s="479"/>
      <c r="K212" s="480"/>
      <c r="L212" s="46"/>
      <c r="M212" s="40"/>
      <c r="N212" s="40"/>
      <c r="O212" s="40"/>
      <c r="P212" s="41"/>
      <c r="Q212" s="72"/>
    </row>
    <row r="213" spans="1:18" s="63" customFormat="1" ht="15" customHeight="1" thickBot="1">
      <c r="A213" s="503" t="s">
        <v>323</v>
      </c>
      <c r="B213" s="504"/>
      <c r="C213" s="505" t="s">
        <v>324</v>
      </c>
      <c r="D213" s="505"/>
      <c r="E213" s="505"/>
      <c r="F213" s="505"/>
      <c r="G213" s="505"/>
      <c r="H213" s="506"/>
      <c r="I213" s="46"/>
      <c r="J213" s="479"/>
      <c r="K213" s="480"/>
      <c r="L213" s="46"/>
      <c r="M213" s="40"/>
      <c r="N213" s="40"/>
      <c r="O213" s="40"/>
      <c r="P213" s="41"/>
      <c r="Q213" s="40"/>
    </row>
    <row r="214" spans="1:18" s="17" customFormat="1" ht="21.75" customHeight="1">
      <c r="A214" s="627" t="s">
        <v>325</v>
      </c>
      <c r="B214" s="642" t="s">
        <v>20</v>
      </c>
      <c r="C214" s="507" t="s">
        <v>784</v>
      </c>
      <c r="D214" s="508" t="s">
        <v>25</v>
      </c>
      <c r="E214" s="572">
        <f>TRUNC(I214,2)</f>
        <v>2</v>
      </c>
      <c r="F214" s="572">
        <f>J214</f>
        <v>68.12</v>
      </c>
      <c r="G214" s="509">
        <f>TRUNC(J214*J$17,2)</f>
        <v>86.94</v>
      </c>
      <c r="H214" s="573">
        <f>TRUNC(E214*G214,2)</f>
        <v>173.88</v>
      </c>
      <c r="I214" s="472">
        <v>2</v>
      </c>
      <c r="J214" s="481">
        <v>68.12</v>
      </c>
      <c r="K214" s="46"/>
      <c r="L214" s="46"/>
      <c r="M214" s="40"/>
      <c r="N214" s="40"/>
      <c r="O214" s="40"/>
      <c r="P214" s="41"/>
      <c r="Q214" s="72"/>
      <c r="R214" s="72"/>
    </row>
    <row r="215" spans="1:18" s="17" customFormat="1" ht="21.75" customHeight="1">
      <c r="A215" s="643" t="s">
        <v>326</v>
      </c>
      <c r="B215" s="640">
        <v>91944</v>
      </c>
      <c r="C215" s="475" t="s">
        <v>309</v>
      </c>
      <c r="D215" s="471" t="s">
        <v>25</v>
      </c>
      <c r="E215" s="498">
        <f t="shared" ref="E215:E239" si="55">TRUNC(I215,2)</f>
        <v>2</v>
      </c>
      <c r="F215" s="498">
        <f t="shared" ref="F215:F239" si="56">J215</f>
        <v>10.85</v>
      </c>
      <c r="G215" s="496">
        <f t="shared" ref="G215:G239" si="57">TRUNC(J215*J$17,2)</f>
        <v>13.84</v>
      </c>
      <c r="H215" s="584">
        <f t="shared" ref="H215:H239" si="58">TRUNC(E215*G215,2)</f>
        <v>27.68</v>
      </c>
      <c r="I215" s="472">
        <v>2</v>
      </c>
      <c r="J215" s="481">
        <v>10.85</v>
      </c>
      <c r="K215" s="46"/>
      <c r="L215" s="46"/>
      <c r="M215" s="40"/>
      <c r="N215" s="40"/>
      <c r="O215" s="40"/>
      <c r="P215" s="41"/>
      <c r="Q215" s="72"/>
      <c r="R215" s="72"/>
    </row>
    <row r="216" spans="1:18" s="17" customFormat="1" ht="22.5" customHeight="1">
      <c r="A216" s="643" t="s">
        <v>328</v>
      </c>
      <c r="B216" s="640">
        <v>91941</v>
      </c>
      <c r="C216" s="475" t="s">
        <v>303</v>
      </c>
      <c r="D216" s="471" t="s">
        <v>25</v>
      </c>
      <c r="E216" s="498">
        <f t="shared" si="55"/>
        <v>28</v>
      </c>
      <c r="F216" s="498">
        <f t="shared" si="56"/>
        <v>7.75</v>
      </c>
      <c r="G216" s="496">
        <f t="shared" si="57"/>
        <v>9.89</v>
      </c>
      <c r="H216" s="584">
        <f t="shared" si="58"/>
        <v>276.92</v>
      </c>
      <c r="I216" s="472">
        <v>28</v>
      </c>
      <c r="J216" s="481">
        <v>7.75</v>
      </c>
      <c r="K216" s="46"/>
      <c r="L216" s="46"/>
      <c r="M216" s="40"/>
      <c r="N216" s="40"/>
      <c r="O216" s="40"/>
      <c r="P216" s="41"/>
      <c r="Q216" s="72"/>
      <c r="R216" s="72"/>
    </row>
    <row r="217" spans="1:18" s="17" customFormat="1" ht="24" customHeight="1">
      <c r="A217" s="643" t="s">
        <v>329</v>
      </c>
      <c r="B217" s="640">
        <v>91940</v>
      </c>
      <c r="C217" s="475" t="s">
        <v>305</v>
      </c>
      <c r="D217" s="471" t="s">
        <v>25</v>
      </c>
      <c r="E217" s="498">
        <f t="shared" si="55"/>
        <v>2</v>
      </c>
      <c r="F217" s="498">
        <f t="shared" si="56"/>
        <v>11.29</v>
      </c>
      <c r="G217" s="496">
        <f t="shared" si="57"/>
        <v>14.4</v>
      </c>
      <c r="H217" s="584">
        <f t="shared" si="58"/>
        <v>28.8</v>
      </c>
      <c r="I217" s="472">
        <v>2</v>
      </c>
      <c r="J217" s="481">
        <v>11.29</v>
      </c>
      <c r="K217" s="46"/>
      <c r="L217" s="46"/>
      <c r="M217" s="40"/>
      <c r="N217" s="40"/>
      <c r="O217" s="40"/>
      <c r="P217" s="41"/>
      <c r="Q217" s="72"/>
      <c r="R217" s="72"/>
    </row>
    <row r="218" spans="1:18" s="17" customFormat="1" ht="24.75" customHeight="1">
      <c r="A218" s="643" t="s">
        <v>330</v>
      </c>
      <c r="B218" s="640">
        <v>91939</v>
      </c>
      <c r="C218" s="475" t="s">
        <v>307</v>
      </c>
      <c r="D218" s="471" t="s">
        <v>25</v>
      </c>
      <c r="E218" s="498">
        <f t="shared" si="55"/>
        <v>2</v>
      </c>
      <c r="F218" s="498">
        <f t="shared" si="56"/>
        <v>20.73</v>
      </c>
      <c r="G218" s="496">
        <f t="shared" si="57"/>
        <v>26.45</v>
      </c>
      <c r="H218" s="584">
        <f t="shared" si="58"/>
        <v>52.9</v>
      </c>
      <c r="I218" s="472">
        <v>2</v>
      </c>
      <c r="J218" s="481">
        <v>20.73</v>
      </c>
      <c r="K218" s="46"/>
      <c r="L218" s="46"/>
      <c r="M218" s="40"/>
      <c r="N218" s="40"/>
      <c r="O218" s="40"/>
      <c r="P218" s="41"/>
      <c r="Q218" s="72"/>
      <c r="R218" s="72"/>
    </row>
    <row r="219" spans="1:18" s="63" customFormat="1" ht="22.5" customHeight="1">
      <c r="A219" s="643" t="s">
        <v>331</v>
      </c>
      <c r="B219" s="639">
        <v>95778</v>
      </c>
      <c r="C219" s="470" t="s">
        <v>237</v>
      </c>
      <c r="D219" s="471" t="s">
        <v>25</v>
      </c>
      <c r="E219" s="498">
        <f t="shared" si="55"/>
        <v>3</v>
      </c>
      <c r="F219" s="498">
        <f t="shared" si="56"/>
        <v>23.15</v>
      </c>
      <c r="G219" s="496">
        <f t="shared" si="57"/>
        <v>29.54</v>
      </c>
      <c r="H219" s="584">
        <f t="shared" si="58"/>
        <v>88.62</v>
      </c>
      <c r="I219" s="472">
        <v>3</v>
      </c>
      <c r="J219" s="481">
        <v>23.15</v>
      </c>
      <c r="K219" s="46"/>
      <c r="L219" s="46"/>
      <c r="M219" s="40"/>
      <c r="N219" s="40"/>
      <c r="O219" s="40"/>
      <c r="P219" s="41"/>
      <c r="Q219" s="40"/>
      <c r="R219" s="40"/>
    </row>
    <row r="220" spans="1:18" s="63" customFormat="1" ht="22.5" customHeight="1">
      <c r="A220" s="643" t="s">
        <v>332</v>
      </c>
      <c r="B220" s="639">
        <v>95779</v>
      </c>
      <c r="C220" s="470" t="s">
        <v>783</v>
      </c>
      <c r="D220" s="471" t="s">
        <v>25</v>
      </c>
      <c r="E220" s="498">
        <f t="shared" si="55"/>
        <v>1</v>
      </c>
      <c r="F220" s="498">
        <f t="shared" si="56"/>
        <v>21.09</v>
      </c>
      <c r="G220" s="496">
        <f t="shared" si="57"/>
        <v>26.91</v>
      </c>
      <c r="H220" s="584">
        <f t="shared" si="58"/>
        <v>26.91</v>
      </c>
      <c r="I220" s="472">
        <v>1</v>
      </c>
      <c r="J220" s="481">
        <v>21.09</v>
      </c>
      <c r="K220" s="46"/>
      <c r="L220" s="46"/>
      <c r="M220" s="40"/>
      <c r="N220" s="40"/>
      <c r="O220" s="40"/>
      <c r="P220" s="41"/>
      <c r="Q220" s="40"/>
      <c r="R220" s="40"/>
    </row>
    <row r="221" spans="1:18" s="63" customFormat="1" ht="27" customHeight="1">
      <c r="A221" s="643" t="s">
        <v>333</v>
      </c>
      <c r="B221" s="639">
        <v>90444</v>
      </c>
      <c r="C221" s="470" t="s">
        <v>225</v>
      </c>
      <c r="D221" s="473" t="s">
        <v>101</v>
      </c>
      <c r="E221" s="498">
        <f t="shared" si="55"/>
        <v>9.5</v>
      </c>
      <c r="F221" s="498">
        <f t="shared" si="56"/>
        <v>17.89</v>
      </c>
      <c r="G221" s="496">
        <f t="shared" si="57"/>
        <v>22.83</v>
      </c>
      <c r="H221" s="584">
        <f t="shared" si="58"/>
        <v>216.88</v>
      </c>
      <c r="I221" s="472">
        <v>9.5</v>
      </c>
      <c r="J221" s="481">
        <v>17.89</v>
      </c>
      <c r="K221" s="46"/>
      <c r="L221" s="46"/>
      <c r="M221" s="40"/>
      <c r="N221" s="40"/>
      <c r="O221" s="40"/>
      <c r="P221" s="41"/>
      <c r="Q221" s="40"/>
      <c r="R221" s="40"/>
    </row>
    <row r="222" spans="1:18" s="63" customFormat="1" ht="24.75" customHeight="1">
      <c r="A222" s="643" t="s">
        <v>334</v>
      </c>
      <c r="B222" s="639">
        <v>90447</v>
      </c>
      <c r="C222" s="470" t="s">
        <v>227</v>
      </c>
      <c r="D222" s="473" t="s">
        <v>101</v>
      </c>
      <c r="E222" s="498">
        <f t="shared" si="55"/>
        <v>53</v>
      </c>
      <c r="F222" s="498">
        <f t="shared" si="56"/>
        <v>4.72</v>
      </c>
      <c r="G222" s="496">
        <f t="shared" si="57"/>
        <v>6.02</v>
      </c>
      <c r="H222" s="584">
        <f t="shared" si="58"/>
        <v>319.06</v>
      </c>
      <c r="I222" s="472">
        <v>53</v>
      </c>
      <c r="J222" s="481">
        <v>4.72</v>
      </c>
      <c r="K222" s="46"/>
      <c r="L222" s="46"/>
      <c r="M222" s="40"/>
      <c r="N222" s="40"/>
      <c r="O222" s="40"/>
      <c r="P222" s="41"/>
      <c r="Q222" s="40"/>
      <c r="R222" s="40"/>
    </row>
    <row r="223" spans="1:18" s="63" customFormat="1" ht="30.75" customHeight="1">
      <c r="A223" s="643" t="s">
        <v>335</v>
      </c>
      <c r="B223" s="639">
        <v>91854</v>
      </c>
      <c r="C223" s="470" t="s">
        <v>235</v>
      </c>
      <c r="D223" s="473" t="s">
        <v>101</v>
      </c>
      <c r="E223" s="498">
        <f t="shared" si="55"/>
        <v>225</v>
      </c>
      <c r="F223" s="498">
        <f t="shared" si="56"/>
        <v>7.18</v>
      </c>
      <c r="G223" s="496">
        <f t="shared" si="57"/>
        <v>9.16</v>
      </c>
      <c r="H223" s="584">
        <f t="shared" si="58"/>
        <v>2061</v>
      </c>
      <c r="I223" s="472">
        <v>225</v>
      </c>
      <c r="J223" s="481">
        <v>7.18</v>
      </c>
      <c r="K223" s="46"/>
      <c r="L223" s="46"/>
      <c r="M223" s="40"/>
      <c r="N223" s="40"/>
      <c r="O223" s="40"/>
      <c r="P223" s="41"/>
      <c r="Q223" s="40"/>
      <c r="R223" s="40"/>
    </row>
    <row r="224" spans="1:18" s="63" customFormat="1" ht="23.25" customHeight="1">
      <c r="A224" s="643" t="s">
        <v>336</v>
      </c>
      <c r="B224" s="639">
        <v>91835</v>
      </c>
      <c r="C224" s="475" t="s">
        <v>320</v>
      </c>
      <c r="D224" s="473" t="s">
        <v>101</v>
      </c>
      <c r="E224" s="498">
        <f t="shared" si="55"/>
        <v>40</v>
      </c>
      <c r="F224" s="498">
        <f t="shared" si="56"/>
        <v>8.7100000000000009</v>
      </c>
      <c r="G224" s="496">
        <f t="shared" si="57"/>
        <v>11.11</v>
      </c>
      <c r="H224" s="584">
        <f t="shared" si="58"/>
        <v>444.4</v>
      </c>
      <c r="I224" s="472">
        <v>40</v>
      </c>
      <c r="J224" s="481">
        <v>8.7100000000000009</v>
      </c>
      <c r="K224" s="46"/>
      <c r="L224" s="46"/>
      <c r="M224" s="40"/>
      <c r="N224" s="40"/>
      <c r="O224" s="40"/>
      <c r="P224" s="41"/>
      <c r="Q224" s="40"/>
      <c r="R224" s="40"/>
    </row>
    <row r="225" spans="1:18" s="17" customFormat="1" ht="25.5" customHeight="1">
      <c r="A225" s="643" t="s">
        <v>337</v>
      </c>
      <c r="B225" s="639">
        <v>95750</v>
      </c>
      <c r="C225" s="470" t="s">
        <v>231</v>
      </c>
      <c r="D225" s="473" t="s">
        <v>101</v>
      </c>
      <c r="E225" s="498">
        <f t="shared" si="55"/>
        <v>4.5</v>
      </c>
      <c r="F225" s="498">
        <f t="shared" si="56"/>
        <v>28.35</v>
      </c>
      <c r="G225" s="496">
        <f t="shared" si="57"/>
        <v>36.18</v>
      </c>
      <c r="H225" s="584">
        <f t="shared" si="58"/>
        <v>162.81</v>
      </c>
      <c r="I225" s="472">
        <v>4.5</v>
      </c>
      <c r="J225" s="481">
        <v>28.35</v>
      </c>
      <c r="K225" s="46"/>
      <c r="L225" s="46"/>
      <c r="M225" s="40"/>
      <c r="N225" s="40"/>
      <c r="O225" s="40"/>
      <c r="P225" s="41"/>
      <c r="Q225" s="72"/>
      <c r="R225" s="72"/>
    </row>
    <row r="226" spans="1:18" s="17" customFormat="1" ht="18.75" customHeight="1">
      <c r="A226" s="643" t="s">
        <v>339</v>
      </c>
      <c r="B226" s="639" t="s">
        <v>205</v>
      </c>
      <c r="C226" s="442" t="s">
        <v>363</v>
      </c>
      <c r="D226" s="482" t="s">
        <v>101</v>
      </c>
      <c r="E226" s="498">
        <f t="shared" si="55"/>
        <v>17</v>
      </c>
      <c r="F226" s="498">
        <f t="shared" si="56"/>
        <v>50.64</v>
      </c>
      <c r="G226" s="496">
        <f t="shared" si="57"/>
        <v>64.63</v>
      </c>
      <c r="H226" s="584">
        <f t="shared" si="58"/>
        <v>1098.71</v>
      </c>
      <c r="I226" s="472">
        <f>(8.5+1.5+7)</f>
        <v>17</v>
      </c>
      <c r="J226" s="481">
        <v>50.64</v>
      </c>
      <c r="K226" s="46"/>
      <c r="L226" s="46"/>
      <c r="M226" s="40"/>
      <c r="N226" s="40"/>
      <c r="O226" s="40"/>
      <c r="P226" s="41"/>
      <c r="Q226" s="72"/>
      <c r="R226" s="72"/>
    </row>
    <row r="227" spans="1:18" s="150" customFormat="1" ht="40.5" customHeight="1">
      <c r="A227" s="643" t="s">
        <v>340</v>
      </c>
      <c r="B227" s="639">
        <v>96562</v>
      </c>
      <c r="C227" s="470" t="s">
        <v>805</v>
      </c>
      <c r="D227" s="482" t="s">
        <v>25</v>
      </c>
      <c r="E227" s="498">
        <f t="shared" si="55"/>
        <v>11</v>
      </c>
      <c r="F227" s="498">
        <f t="shared" si="56"/>
        <v>17.48</v>
      </c>
      <c r="G227" s="496">
        <f t="shared" si="57"/>
        <v>22.3</v>
      </c>
      <c r="H227" s="584">
        <f t="shared" si="58"/>
        <v>245.3</v>
      </c>
      <c r="I227" s="472">
        <v>11</v>
      </c>
      <c r="J227" s="481">
        <v>17.48</v>
      </c>
      <c r="K227" s="46"/>
      <c r="L227" s="46"/>
      <c r="M227" s="142"/>
      <c r="N227" s="142"/>
      <c r="O227" s="142"/>
      <c r="P227" s="143"/>
      <c r="Q227" s="142"/>
      <c r="R227" s="142"/>
    </row>
    <row r="228" spans="1:18" s="150" customFormat="1" ht="25.5" customHeight="1">
      <c r="A228" s="643" t="s">
        <v>342</v>
      </c>
      <c r="B228" s="639">
        <v>98307</v>
      </c>
      <c r="C228" s="470" t="s">
        <v>341</v>
      </c>
      <c r="D228" s="473" t="s">
        <v>25</v>
      </c>
      <c r="E228" s="498">
        <f t="shared" si="55"/>
        <v>32</v>
      </c>
      <c r="F228" s="498">
        <f t="shared" si="56"/>
        <v>38.229999999999997</v>
      </c>
      <c r="G228" s="496">
        <f t="shared" si="57"/>
        <v>48.79</v>
      </c>
      <c r="H228" s="584">
        <f t="shared" si="58"/>
        <v>1561.28</v>
      </c>
      <c r="I228" s="472">
        <v>32</v>
      </c>
      <c r="J228" s="481">
        <v>38.229999999999997</v>
      </c>
      <c r="K228" s="46"/>
      <c r="L228" s="46"/>
      <c r="M228" s="142"/>
      <c r="N228" s="142"/>
      <c r="O228" s="142"/>
      <c r="P228" s="143"/>
      <c r="Q228" s="142"/>
      <c r="R228" s="142"/>
    </row>
    <row r="229" spans="1:18" s="150" customFormat="1" ht="21" customHeight="1">
      <c r="A229" s="643" t="s">
        <v>343</v>
      </c>
      <c r="B229" s="639">
        <v>98297</v>
      </c>
      <c r="C229" s="470" t="s">
        <v>345</v>
      </c>
      <c r="D229" s="473" t="s">
        <v>101</v>
      </c>
      <c r="E229" s="498">
        <f t="shared" si="55"/>
        <v>703.78</v>
      </c>
      <c r="F229" s="498">
        <f t="shared" si="56"/>
        <v>2.82</v>
      </c>
      <c r="G229" s="496">
        <f t="shared" si="57"/>
        <v>3.59</v>
      </c>
      <c r="H229" s="584">
        <f t="shared" si="58"/>
        <v>2526.5700000000002</v>
      </c>
      <c r="I229" s="472">
        <f>(639.8*1.1)</f>
        <v>703.78</v>
      </c>
      <c r="J229" s="481">
        <v>2.82</v>
      </c>
      <c r="K229" s="46"/>
      <c r="L229" s="46"/>
      <c r="M229" s="142"/>
      <c r="N229" s="142"/>
      <c r="O229" s="142"/>
      <c r="P229" s="143"/>
      <c r="Q229" s="142"/>
      <c r="R229" s="142"/>
    </row>
    <row r="230" spans="1:18" s="150" customFormat="1" ht="18" customHeight="1">
      <c r="A230" s="643" t="s">
        <v>344</v>
      </c>
      <c r="B230" s="639">
        <v>98301</v>
      </c>
      <c r="C230" s="483" t="s">
        <v>347</v>
      </c>
      <c r="D230" s="473" t="s">
        <v>25</v>
      </c>
      <c r="E230" s="498">
        <f t="shared" si="55"/>
        <v>1</v>
      </c>
      <c r="F230" s="498">
        <f t="shared" si="56"/>
        <v>489.63</v>
      </c>
      <c r="G230" s="496">
        <f t="shared" si="57"/>
        <v>624.91</v>
      </c>
      <c r="H230" s="584">
        <f t="shared" si="58"/>
        <v>624.91</v>
      </c>
      <c r="I230" s="472">
        <v>1</v>
      </c>
      <c r="J230" s="481">
        <v>489.63</v>
      </c>
      <c r="K230" s="46"/>
      <c r="L230" s="46"/>
      <c r="M230" s="142"/>
      <c r="N230" s="142"/>
      <c r="O230" s="142"/>
      <c r="P230" s="143"/>
      <c r="Q230" s="142"/>
      <c r="R230" s="142"/>
    </row>
    <row r="231" spans="1:18" s="63" customFormat="1" ht="17.25" customHeight="1">
      <c r="A231" s="643" t="s">
        <v>346</v>
      </c>
      <c r="B231" s="639" t="s">
        <v>205</v>
      </c>
      <c r="C231" s="484" t="s">
        <v>806</v>
      </c>
      <c r="D231" s="473" t="s">
        <v>25</v>
      </c>
      <c r="E231" s="498">
        <f t="shared" si="55"/>
        <v>1</v>
      </c>
      <c r="F231" s="498">
        <f t="shared" si="56"/>
        <v>725.24</v>
      </c>
      <c r="G231" s="496">
        <f t="shared" si="57"/>
        <v>925.62</v>
      </c>
      <c r="H231" s="584">
        <f t="shared" si="58"/>
        <v>925.62</v>
      </c>
      <c r="I231" s="472">
        <v>1</v>
      </c>
      <c r="J231" s="481">
        <v>725.24</v>
      </c>
      <c r="K231" s="46"/>
      <c r="L231" s="46"/>
      <c r="M231" s="40"/>
      <c r="N231" s="40"/>
      <c r="O231" s="40"/>
      <c r="P231" s="41"/>
      <c r="Q231" s="40"/>
      <c r="R231" s="40"/>
    </row>
    <row r="232" spans="1:18" s="63" customFormat="1" ht="27" customHeight="1">
      <c r="A232" s="643" t="s">
        <v>348</v>
      </c>
      <c r="B232" s="639" t="s">
        <v>205</v>
      </c>
      <c r="C232" s="485" t="s">
        <v>350</v>
      </c>
      <c r="D232" s="473" t="s">
        <v>25</v>
      </c>
      <c r="E232" s="498">
        <f t="shared" si="55"/>
        <v>1</v>
      </c>
      <c r="F232" s="498">
        <f t="shared" si="56"/>
        <v>74.77</v>
      </c>
      <c r="G232" s="496">
        <f t="shared" si="57"/>
        <v>95.42</v>
      </c>
      <c r="H232" s="584">
        <f t="shared" si="58"/>
        <v>95.42</v>
      </c>
      <c r="I232" s="472">
        <v>1</v>
      </c>
      <c r="J232" s="481">
        <v>74.77</v>
      </c>
      <c r="K232" s="46"/>
      <c r="L232" s="46"/>
      <c r="M232" s="40"/>
      <c r="N232" s="40"/>
      <c r="O232" s="40"/>
      <c r="P232" s="41"/>
      <c r="Q232" s="40"/>
      <c r="R232" s="40"/>
    </row>
    <row r="233" spans="1:18" s="63" customFormat="1" ht="26.25" customHeight="1">
      <c r="A233" s="643" t="s">
        <v>349</v>
      </c>
      <c r="B233" s="639" t="s">
        <v>205</v>
      </c>
      <c r="C233" s="486" t="s">
        <v>352</v>
      </c>
      <c r="D233" s="473" t="s">
        <v>25</v>
      </c>
      <c r="E233" s="498">
        <f t="shared" si="55"/>
        <v>1</v>
      </c>
      <c r="F233" s="498">
        <f t="shared" si="56"/>
        <v>192.05</v>
      </c>
      <c r="G233" s="496">
        <f t="shared" si="57"/>
        <v>245.11</v>
      </c>
      <c r="H233" s="584">
        <f t="shared" si="58"/>
        <v>245.11</v>
      </c>
      <c r="I233" s="472">
        <v>1</v>
      </c>
      <c r="J233" s="481">
        <v>192.05</v>
      </c>
      <c r="K233" s="46"/>
      <c r="L233" s="46"/>
      <c r="M233" s="40"/>
      <c r="N233" s="40"/>
      <c r="O233" s="40"/>
      <c r="P233" s="41"/>
      <c r="Q233" s="40"/>
      <c r="R233" s="40"/>
    </row>
    <row r="234" spans="1:18" s="63" customFormat="1" ht="13.5" customHeight="1">
      <c r="A234" s="643" t="s">
        <v>351</v>
      </c>
      <c r="B234" s="639" t="s">
        <v>205</v>
      </c>
      <c r="C234" s="486" t="s">
        <v>354</v>
      </c>
      <c r="D234" s="473" t="s">
        <v>25</v>
      </c>
      <c r="E234" s="498">
        <f t="shared" si="55"/>
        <v>16</v>
      </c>
      <c r="F234" s="498">
        <f t="shared" si="56"/>
        <v>15.99</v>
      </c>
      <c r="G234" s="496">
        <f t="shared" si="57"/>
        <v>20.399999999999999</v>
      </c>
      <c r="H234" s="584">
        <f t="shared" si="58"/>
        <v>326.39999999999998</v>
      </c>
      <c r="I234" s="472">
        <v>16</v>
      </c>
      <c r="J234" s="481">
        <v>15.99</v>
      </c>
      <c r="K234" s="46"/>
      <c r="L234" s="46"/>
      <c r="M234" s="40"/>
      <c r="N234" s="40"/>
      <c r="O234" s="40"/>
      <c r="P234" s="41"/>
      <c r="Q234" s="40"/>
      <c r="R234" s="40"/>
    </row>
    <row r="235" spans="1:18" s="63" customFormat="1" ht="11.25" customHeight="1">
      <c r="A235" s="643" t="s">
        <v>353</v>
      </c>
      <c r="B235" s="639" t="s">
        <v>205</v>
      </c>
      <c r="C235" s="486" t="s">
        <v>356</v>
      </c>
      <c r="D235" s="473" t="s">
        <v>25</v>
      </c>
      <c r="E235" s="498">
        <f t="shared" si="55"/>
        <v>8</v>
      </c>
      <c r="F235" s="498">
        <f t="shared" si="56"/>
        <v>21.45</v>
      </c>
      <c r="G235" s="496">
        <f t="shared" si="57"/>
        <v>27.37</v>
      </c>
      <c r="H235" s="584">
        <f t="shared" si="58"/>
        <v>218.96</v>
      </c>
      <c r="I235" s="472">
        <v>8</v>
      </c>
      <c r="J235" s="481">
        <v>21.45</v>
      </c>
      <c r="K235" s="46"/>
      <c r="L235" s="46"/>
      <c r="M235" s="40"/>
      <c r="N235" s="40"/>
      <c r="O235" s="40"/>
      <c r="P235" s="41"/>
      <c r="Q235" s="40"/>
      <c r="R235" s="40"/>
    </row>
    <row r="236" spans="1:18" s="145" customFormat="1">
      <c r="A236" s="643" t="s">
        <v>355</v>
      </c>
      <c r="B236" s="639" t="s">
        <v>205</v>
      </c>
      <c r="C236" s="485" t="s">
        <v>358</v>
      </c>
      <c r="D236" s="473" t="s">
        <v>25</v>
      </c>
      <c r="E236" s="498">
        <f t="shared" si="55"/>
        <v>32</v>
      </c>
      <c r="F236" s="498">
        <f t="shared" si="56"/>
        <v>4.41</v>
      </c>
      <c r="G236" s="496">
        <f t="shared" si="57"/>
        <v>5.62</v>
      </c>
      <c r="H236" s="584">
        <f t="shared" si="58"/>
        <v>179.84</v>
      </c>
      <c r="I236" s="472">
        <v>32</v>
      </c>
      <c r="J236" s="481">
        <v>4.41</v>
      </c>
      <c r="K236" s="75"/>
      <c r="L236" s="75"/>
      <c r="M236" s="142"/>
      <c r="N236" s="142"/>
      <c r="O236" s="142"/>
      <c r="P236" s="143"/>
      <c r="Q236" s="144"/>
      <c r="R236" s="79"/>
    </row>
    <row r="237" spans="1:18" s="145" customFormat="1" ht="27" customHeight="1">
      <c r="A237" s="643" t="s">
        <v>357</v>
      </c>
      <c r="B237" s="639">
        <v>97883</v>
      </c>
      <c r="C237" s="470" t="s">
        <v>296</v>
      </c>
      <c r="D237" s="473" t="s">
        <v>25</v>
      </c>
      <c r="E237" s="498">
        <f t="shared" si="55"/>
        <v>2</v>
      </c>
      <c r="F237" s="498">
        <f t="shared" si="56"/>
        <v>371.08</v>
      </c>
      <c r="G237" s="496">
        <f t="shared" si="57"/>
        <v>473.6</v>
      </c>
      <c r="H237" s="584">
        <f t="shared" si="58"/>
        <v>947.2</v>
      </c>
      <c r="I237" s="472">
        <v>2</v>
      </c>
      <c r="J237" s="481">
        <v>371.08</v>
      </c>
      <c r="K237" s="75"/>
      <c r="L237" s="75"/>
      <c r="M237" s="142"/>
      <c r="N237" s="142"/>
      <c r="O237" s="142"/>
      <c r="P237" s="143"/>
      <c r="Q237" s="144"/>
      <c r="R237" s="79"/>
    </row>
    <row r="238" spans="1:18" s="17" customFormat="1" ht="22.5">
      <c r="A238" s="643" t="s">
        <v>359</v>
      </c>
      <c r="B238" s="639">
        <v>91857</v>
      </c>
      <c r="C238" s="470" t="s">
        <v>338</v>
      </c>
      <c r="D238" s="473" t="s">
        <v>25</v>
      </c>
      <c r="E238" s="498">
        <f t="shared" si="55"/>
        <v>10.5</v>
      </c>
      <c r="F238" s="498">
        <f t="shared" si="56"/>
        <v>12.12</v>
      </c>
      <c r="G238" s="496">
        <f t="shared" si="57"/>
        <v>15.46</v>
      </c>
      <c r="H238" s="584">
        <f t="shared" si="58"/>
        <v>162.33000000000001</v>
      </c>
      <c r="I238" s="472">
        <v>10.5</v>
      </c>
      <c r="J238" s="481">
        <v>12.12</v>
      </c>
      <c r="K238" s="5"/>
      <c r="L238" s="5"/>
      <c r="M238" s="40"/>
      <c r="N238" s="152"/>
      <c r="O238" s="40"/>
      <c r="P238" s="41"/>
      <c r="Q238" s="72"/>
      <c r="R238" s="9"/>
    </row>
    <row r="239" spans="1:18" s="17" customFormat="1" ht="23.25" thickBot="1">
      <c r="A239" s="644" t="s">
        <v>360</v>
      </c>
      <c r="B239" s="645" t="s">
        <v>205</v>
      </c>
      <c r="C239" s="511" t="s">
        <v>364</v>
      </c>
      <c r="D239" s="512" t="s">
        <v>25</v>
      </c>
      <c r="E239" s="585">
        <f t="shared" si="55"/>
        <v>4.5</v>
      </c>
      <c r="F239" s="585">
        <f t="shared" si="56"/>
        <v>20.260000000000002</v>
      </c>
      <c r="G239" s="533">
        <f t="shared" si="57"/>
        <v>25.85</v>
      </c>
      <c r="H239" s="648">
        <f t="shared" si="58"/>
        <v>116.32</v>
      </c>
      <c r="I239" s="472">
        <v>4.5</v>
      </c>
      <c r="J239" s="481">
        <v>20.260000000000002</v>
      </c>
      <c r="K239" s="5"/>
      <c r="L239" s="5"/>
      <c r="M239" s="40"/>
      <c r="N239" s="152"/>
      <c r="O239" s="40"/>
      <c r="P239" s="41"/>
      <c r="Q239" s="72"/>
      <c r="R239" s="9"/>
    </row>
    <row r="240" spans="1:18" s="17" customFormat="1" ht="14.25" customHeight="1" thickBot="1">
      <c r="A240" s="646"/>
      <c r="B240" s="574"/>
      <c r="C240" s="647" t="s">
        <v>26</v>
      </c>
      <c r="D240" s="574"/>
      <c r="E240" s="574"/>
      <c r="F240" s="574"/>
      <c r="G240" s="574"/>
      <c r="H240" s="575">
        <f>SUM(H214:H239)</f>
        <v>13153.83</v>
      </c>
      <c r="I240" s="46"/>
      <c r="J240" s="153">
        <v>154.47</v>
      </c>
      <c r="K240" s="46"/>
      <c r="L240" s="46"/>
      <c r="M240" s="40"/>
      <c r="N240" s="152"/>
      <c r="O240" s="40"/>
      <c r="P240" s="41"/>
      <c r="Q240" s="72"/>
      <c r="R240" s="72"/>
    </row>
    <row r="241" spans="1:18" s="17" customFormat="1" ht="6" customHeight="1" thickBot="1">
      <c r="A241" s="133"/>
      <c r="B241" s="134"/>
      <c r="C241" s="88"/>
      <c r="D241" s="89"/>
      <c r="E241" s="148"/>
      <c r="F241" s="148"/>
      <c r="G241" s="61"/>
      <c r="H241" s="518"/>
      <c r="I241" s="6"/>
      <c r="J241" s="47">
        <v>16.95</v>
      </c>
      <c r="K241" s="46"/>
      <c r="L241" s="46"/>
      <c r="M241" s="40"/>
      <c r="N241" s="152"/>
      <c r="O241" s="40"/>
      <c r="P241" s="41"/>
      <c r="Q241" s="72"/>
      <c r="R241" s="72"/>
    </row>
    <row r="242" spans="1:18" s="17" customFormat="1" ht="18" customHeight="1" thickBot="1">
      <c r="A242" s="517" t="s">
        <v>365</v>
      </c>
      <c r="B242" s="519"/>
      <c r="C242" s="520" t="s">
        <v>366</v>
      </c>
      <c r="D242" s="520"/>
      <c r="E242" s="521"/>
      <c r="F242" s="521"/>
      <c r="G242" s="520"/>
      <c r="H242" s="522"/>
      <c r="I242" s="93"/>
      <c r="J242" s="153">
        <v>19.489999999999998</v>
      </c>
      <c r="K242" s="46"/>
      <c r="L242" s="6"/>
      <c r="M242" s="95"/>
      <c r="N242" s="154"/>
      <c r="O242" s="95"/>
      <c r="P242" s="96"/>
      <c r="Q242" s="98"/>
      <c r="R242" s="98"/>
    </row>
    <row r="243" spans="1:18" s="495" customFormat="1" ht="16.5" customHeight="1">
      <c r="A243" s="528" t="s">
        <v>367</v>
      </c>
      <c r="B243" s="529"/>
      <c r="C243" s="530" t="s">
        <v>368</v>
      </c>
      <c r="D243" s="529"/>
      <c r="E243" s="529"/>
      <c r="F243" s="529"/>
      <c r="G243" s="529"/>
      <c r="H243" s="531"/>
      <c r="I243" s="488"/>
      <c r="J243" s="489">
        <v>3.22</v>
      </c>
      <c r="K243" s="488"/>
      <c r="L243" s="490"/>
      <c r="M243" s="491"/>
      <c r="N243" s="492"/>
      <c r="O243" s="493"/>
      <c r="P243" s="489"/>
      <c r="Q243" s="494"/>
      <c r="R243" s="487"/>
    </row>
    <row r="244" spans="1:18" s="17" customFormat="1" ht="27" customHeight="1">
      <c r="A244" s="592" t="s">
        <v>369</v>
      </c>
      <c r="B244" s="593">
        <v>90447</v>
      </c>
      <c r="C244" s="497" t="s">
        <v>227</v>
      </c>
      <c r="D244" s="496" t="s">
        <v>101</v>
      </c>
      <c r="E244" s="496">
        <f t="shared" ref="E244" si="59">TRUNC(I244,2)</f>
        <v>22.5</v>
      </c>
      <c r="F244" s="498">
        <f t="shared" ref="F244" si="60">J244</f>
        <v>4.72</v>
      </c>
      <c r="G244" s="496">
        <f t="shared" ref="G244" si="61">TRUNC(J244*J$17,2)</f>
        <v>6.02</v>
      </c>
      <c r="H244" s="510">
        <f t="shared" ref="H244" si="62">TRUNC(E244*G244,2)</f>
        <v>135.44999999999999</v>
      </c>
      <c r="I244" s="46">
        <v>22.5</v>
      </c>
      <c r="J244" s="47">
        <v>4.72</v>
      </c>
      <c r="K244" s="46"/>
      <c r="L244" s="94"/>
      <c r="M244" s="71"/>
      <c r="N244" s="155"/>
      <c r="O244" s="45"/>
      <c r="P244" s="47"/>
      <c r="Q244" s="45"/>
      <c r="R244" s="45"/>
    </row>
    <row r="245" spans="1:18" s="17" customFormat="1" ht="26.25" customHeight="1">
      <c r="A245" s="592" t="s">
        <v>370</v>
      </c>
      <c r="B245" s="593">
        <v>86878</v>
      </c>
      <c r="C245" s="497" t="s">
        <v>371</v>
      </c>
      <c r="D245" s="496" t="s">
        <v>25</v>
      </c>
      <c r="E245" s="496">
        <f t="shared" ref="E245:E287" si="63">TRUNC(I245,2)</f>
        <v>1</v>
      </c>
      <c r="F245" s="498">
        <f t="shared" ref="F245:F287" si="64">J245</f>
        <v>55.11</v>
      </c>
      <c r="G245" s="496">
        <f t="shared" ref="G245:G287" si="65">TRUNC(J245*J$17,2)</f>
        <v>70.33</v>
      </c>
      <c r="H245" s="510">
        <f t="shared" ref="H245:H287" si="66">TRUNC(E245*G245,2)</f>
        <v>70.33</v>
      </c>
      <c r="I245" s="46">
        <v>1</v>
      </c>
      <c r="J245" s="47">
        <v>55.11</v>
      </c>
      <c r="K245" s="46"/>
      <c r="L245" s="156"/>
      <c r="M245" s="157"/>
      <c r="N245" s="19"/>
      <c r="O245" s="158"/>
      <c r="P245" s="6"/>
      <c r="Q245" s="158"/>
      <c r="R245" s="158"/>
    </row>
    <row r="246" spans="1:18" s="17" customFormat="1" ht="26.25" customHeight="1">
      <c r="A246" s="592" t="s">
        <v>372</v>
      </c>
      <c r="B246" s="593">
        <v>86889</v>
      </c>
      <c r="C246" s="497" t="s">
        <v>373</v>
      </c>
      <c r="D246" s="496" t="s">
        <v>25</v>
      </c>
      <c r="E246" s="496">
        <f t="shared" si="63"/>
        <v>1</v>
      </c>
      <c r="F246" s="498">
        <f t="shared" si="64"/>
        <v>706.6</v>
      </c>
      <c r="G246" s="496">
        <f t="shared" si="65"/>
        <v>901.83</v>
      </c>
      <c r="H246" s="510">
        <f t="shared" si="66"/>
        <v>901.83</v>
      </c>
      <c r="I246" s="93">
        <v>1</v>
      </c>
      <c r="J246" s="92">
        <v>706.6</v>
      </c>
      <c r="K246" s="46"/>
      <c r="L246" s="156"/>
      <c r="M246" s="157"/>
      <c r="N246" s="19"/>
      <c r="O246" s="158"/>
      <c r="P246" s="6"/>
      <c r="Q246" s="158"/>
      <c r="R246" s="158"/>
    </row>
    <row r="247" spans="1:18" s="17" customFormat="1" ht="26.25" customHeight="1">
      <c r="A247" s="592" t="s">
        <v>374</v>
      </c>
      <c r="B247" s="593">
        <v>86909</v>
      </c>
      <c r="C247" s="497" t="s">
        <v>375</v>
      </c>
      <c r="D247" s="496" t="s">
        <v>25</v>
      </c>
      <c r="E247" s="496">
        <f t="shared" si="63"/>
        <v>1</v>
      </c>
      <c r="F247" s="498">
        <f t="shared" si="64"/>
        <v>106.49</v>
      </c>
      <c r="G247" s="496">
        <f t="shared" si="65"/>
        <v>135.91</v>
      </c>
      <c r="H247" s="510">
        <f t="shared" si="66"/>
        <v>135.91</v>
      </c>
      <c r="I247" s="93">
        <v>1</v>
      </c>
      <c r="J247" s="92">
        <v>106.49</v>
      </c>
      <c r="K247" s="46"/>
      <c r="L247" s="156"/>
      <c r="M247" s="157"/>
      <c r="N247" s="19"/>
      <c r="O247" s="158"/>
      <c r="P247" s="6"/>
      <c r="Q247" s="158"/>
      <c r="R247" s="158"/>
    </row>
    <row r="248" spans="1:18" s="43" customFormat="1" ht="30" customHeight="1">
      <c r="A248" s="592" t="s">
        <v>376</v>
      </c>
      <c r="B248" s="593" t="s">
        <v>377</v>
      </c>
      <c r="C248" s="497" t="s">
        <v>378</v>
      </c>
      <c r="D248" s="496" t="s">
        <v>25</v>
      </c>
      <c r="E248" s="496">
        <f t="shared" si="63"/>
        <v>3</v>
      </c>
      <c r="F248" s="498">
        <f t="shared" si="64"/>
        <v>308.44</v>
      </c>
      <c r="G248" s="496">
        <f t="shared" si="65"/>
        <v>393.66</v>
      </c>
      <c r="H248" s="510">
        <f t="shared" si="66"/>
        <v>1180.98</v>
      </c>
      <c r="I248" s="46">
        <v>3</v>
      </c>
      <c r="J248" s="47">
        <v>308.44</v>
      </c>
      <c r="K248" s="46"/>
      <c r="L248" s="46"/>
      <c r="M248" s="40"/>
      <c r="N248" s="40"/>
      <c r="O248" s="40"/>
      <c r="P248" s="41"/>
      <c r="Q248" s="42"/>
      <c r="R248" s="72"/>
    </row>
    <row r="249" spans="1:18" s="145" customFormat="1" ht="12.75">
      <c r="A249" s="592" t="s">
        <v>379</v>
      </c>
      <c r="B249" s="593" t="s">
        <v>20</v>
      </c>
      <c r="C249" s="523" t="s">
        <v>380</v>
      </c>
      <c r="D249" s="524" t="s">
        <v>25</v>
      </c>
      <c r="E249" s="496">
        <f t="shared" si="63"/>
        <v>2</v>
      </c>
      <c r="F249" s="498">
        <f t="shared" si="64"/>
        <v>937.48</v>
      </c>
      <c r="G249" s="496">
        <f t="shared" si="65"/>
        <v>1196.5</v>
      </c>
      <c r="H249" s="510">
        <f t="shared" si="66"/>
        <v>2393</v>
      </c>
      <c r="I249" s="75">
        <v>2</v>
      </c>
      <c r="J249" s="76">
        <v>937.48</v>
      </c>
      <c r="K249" s="75"/>
      <c r="L249" s="159"/>
      <c r="M249" s="142"/>
      <c r="N249" s="160"/>
      <c r="O249" s="142"/>
      <c r="P249" s="143"/>
      <c r="Q249" s="144"/>
      <c r="R249" s="79"/>
    </row>
    <row r="250" spans="1:18" s="17" customFormat="1" ht="22.5">
      <c r="A250" s="592" t="s">
        <v>381</v>
      </c>
      <c r="B250" s="593">
        <v>86915</v>
      </c>
      <c r="C250" s="497" t="s">
        <v>383</v>
      </c>
      <c r="D250" s="496" t="s">
        <v>25</v>
      </c>
      <c r="E250" s="496">
        <f t="shared" si="63"/>
        <v>5</v>
      </c>
      <c r="F250" s="498">
        <f t="shared" si="64"/>
        <v>117.65</v>
      </c>
      <c r="G250" s="496">
        <f t="shared" si="65"/>
        <v>150.15</v>
      </c>
      <c r="H250" s="510">
        <f t="shared" si="66"/>
        <v>750.75</v>
      </c>
      <c r="I250" s="5">
        <v>5</v>
      </c>
      <c r="J250" s="47">
        <v>117.65</v>
      </c>
      <c r="K250" s="5"/>
      <c r="L250" s="5"/>
      <c r="M250" s="40"/>
      <c r="N250" s="152"/>
      <c r="O250" s="40"/>
      <c r="P250" s="41"/>
      <c r="Q250" s="72"/>
      <c r="R250" s="9"/>
    </row>
    <row r="251" spans="1:18" s="162" customFormat="1" ht="22.5">
      <c r="A251" s="592" t="s">
        <v>382</v>
      </c>
      <c r="B251" s="593">
        <v>86900</v>
      </c>
      <c r="C251" s="497" t="s">
        <v>385</v>
      </c>
      <c r="D251" s="496" t="s">
        <v>25</v>
      </c>
      <c r="E251" s="496">
        <f t="shared" si="63"/>
        <v>1</v>
      </c>
      <c r="F251" s="498">
        <f t="shared" si="64"/>
        <v>213.07</v>
      </c>
      <c r="G251" s="496">
        <f t="shared" si="65"/>
        <v>271.94</v>
      </c>
      <c r="H251" s="510">
        <f t="shared" si="66"/>
        <v>271.94</v>
      </c>
      <c r="I251" s="6">
        <v>1</v>
      </c>
      <c r="J251" s="6">
        <v>213.07</v>
      </c>
      <c r="K251" s="6"/>
      <c r="L251" s="6"/>
      <c r="M251" s="95"/>
      <c r="N251" s="154"/>
      <c r="O251" s="95"/>
      <c r="P251" s="96"/>
      <c r="Q251" s="98"/>
      <c r="R251" s="98"/>
    </row>
    <row r="252" spans="1:18" s="162" customFormat="1" ht="22.5">
      <c r="A252" s="592" t="s">
        <v>384</v>
      </c>
      <c r="B252" s="593">
        <v>86914</v>
      </c>
      <c r="C252" s="497" t="s">
        <v>387</v>
      </c>
      <c r="D252" s="496" t="s">
        <v>25</v>
      </c>
      <c r="E252" s="496">
        <f t="shared" si="63"/>
        <v>1</v>
      </c>
      <c r="F252" s="498">
        <f t="shared" si="64"/>
        <v>80.5</v>
      </c>
      <c r="G252" s="496">
        <f t="shared" si="65"/>
        <v>102.74</v>
      </c>
      <c r="H252" s="510">
        <f t="shared" si="66"/>
        <v>102.74</v>
      </c>
      <c r="I252" s="46">
        <v>1</v>
      </c>
      <c r="J252" s="163">
        <v>80.5</v>
      </c>
      <c r="K252" s="6"/>
      <c r="L252" s="6"/>
      <c r="M252" s="95"/>
      <c r="N252" s="154"/>
      <c r="O252" s="95"/>
      <c r="P252" s="96"/>
      <c r="Q252" s="98"/>
      <c r="R252" s="98"/>
    </row>
    <row r="253" spans="1:18" s="162" customFormat="1" ht="24.75" customHeight="1">
      <c r="A253" s="592" t="s">
        <v>386</v>
      </c>
      <c r="B253" s="593">
        <v>99635</v>
      </c>
      <c r="C253" s="497" t="s">
        <v>389</v>
      </c>
      <c r="D253" s="496" t="s">
        <v>25</v>
      </c>
      <c r="E253" s="496">
        <f t="shared" si="63"/>
        <v>5</v>
      </c>
      <c r="F253" s="498">
        <f t="shared" si="64"/>
        <v>189.07</v>
      </c>
      <c r="G253" s="496">
        <f t="shared" si="65"/>
        <v>241.31</v>
      </c>
      <c r="H253" s="510">
        <f t="shared" si="66"/>
        <v>1206.55</v>
      </c>
      <c r="I253" s="46">
        <v>5</v>
      </c>
      <c r="J253" s="149">
        <v>189.07</v>
      </c>
      <c r="K253" s="6"/>
      <c r="L253" s="6"/>
      <c r="M253" s="95"/>
      <c r="N253" s="154"/>
      <c r="O253" s="95"/>
      <c r="P253" s="96"/>
      <c r="Q253" s="98"/>
      <c r="R253" s="98"/>
    </row>
    <row r="254" spans="1:18" s="162" customFormat="1" ht="39" customHeight="1">
      <c r="A254" s="592" t="s">
        <v>388</v>
      </c>
      <c r="B254" s="593">
        <v>94706</v>
      </c>
      <c r="C254" s="497" t="s">
        <v>391</v>
      </c>
      <c r="D254" s="496" t="s">
        <v>25</v>
      </c>
      <c r="E254" s="496">
        <f t="shared" si="63"/>
        <v>5</v>
      </c>
      <c r="F254" s="498">
        <f t="shared" si="64"/>
        <v>39.96</v>
      </c>
      <c r="G254" s="496">
        <f t="shared" si="65"/>
        <v>51</v>
      </c>
      <c r="H254" s="510">
        <f t="shared" si="66"/>
        <v>255</v>
      </c>
      <c r="I254" s="46">
        <v>5</v>
      </c>
      <c r="J254" s="149">
        <v>39.96</v>
      </c>
      <c r="K254" s="6"/>
      <c r="L254" s="6"/>
      <c r="M254" s="95"/>
      <c r="N254" s="154"/>
      <c r="O254" s="95"/>
      <c r="P254" s="96"/>
      <c r="Q254" s="98"/>
      <c r="R254" s="98"/>
    </row>
    <row r="255" spans="1:18" s="162" customFormat="1" ht="40.5" customHeight="1">
      <c r="A255" s="592" t="s">
        <v>390</v>
      </c>
      <c r="B255" s="593">
        <v>94703</v>
      </c>
      <c r="C255" s="497" t="s">
        <v>828</v>
      </c>
      <c r="D255" s="496" t="s">
        <v>25</v>
      </c>
      <c r="E255" s="496">
        <f t="shared" si="63"/>
        <v>5</v>
      </c>
      <c r="F255" s="498">
        <f t="shared" si="64"/>
        <v>18.440000000000001</v>
      </c>
      <c r="G255" s="496">
        <f t="shared" si="65"/>
        <v>23.53</v>
      </c>
      <c r="H255" s="510">
        <f t="shared" si="66"/>
        <v>117.65</v>
      </c>
      <c r="I255" s="46">
        <v>5</v>
      </c>
      <c r="J255" s="149">
        <v>18.440000000000001</v>
      </c>
      <c r="K255" s="6"/>
      <c r="L255" s="6"/>
      <c r="M255" s="95"/>
      <c r="N255" s="154"/>
      <c r="O255" s="95"/>
      <c r="P255" s="96"/>
      <c r="Q255" s="98"/>
      <c r="R255" s="98"/>
    </row>
    <row r="256" spans="1:18" s="162" customFormat="1" ht="27" customHeight="1">
      <c r="A256" s="592" t="s">
        <v>392</v>
      </c>
      <c r="B256" s="593">
        <v>94794</v>
      </c>
      <c r="C256" s="497" t="s">
        <v>827</v>
      </c>
      <c r="D256" s="496" t="s">
        <v>25</v>
      </c>
      <c r="E256" s="496">
        <f t="shared" si="63"/>
        <v>5</v>
      </c>
      <c r="F256" s="498">
        <f t="shared" si="64"/>
        <v>107.93</v>
      </c>
      <c r="G256" s="496">
        <f t="shared" si="65"/>
        <v>137.75</v>
      </c>
      <c r="H256" s="510">
        <f t="shared" si="66"/>
        <v>688.75</v>
      </c>
      <c r="I256" s="164">
        <v>5</v>
      </c>
      <c r="J256" s="149">
        <v>107.93</v>
      </c>
      <c r="K256" s="6"/>
      <c r="L256" s="6"/>
      <c r="M256" s="95"/>
      <c r="N256" s="154"/>
      <c r="O256" s="95"/>
      <c r="P256" s="96"/>
      <c r="Q256" s="98"/>
      <c r="R256" s="98"/>
    </row>
    <row r="257" spans="1:18" s="162" customFormat="1" ht="33" customHeight="1">
      <c r="A257" s="592" t="s">
        <v>393</v>
      </c>
      <c r="B257" s="593">
        <v>89987</v>
      </c>
      <c r="C257" s="497" t="s">
        <v>395</v>
      </c>
      <c r="D257" s="496" t="s">
        <v>25</v>
      </c>
      <c r="E257" s="496">
        <f t="shared" si="63"/>
        <v>1</v>
      </c>
      <c r="F257" s="498">
        <f t="shared" si="64"/>
        <v>60.99</v>
      </c>
      <c r="G257" s="496">
        <f t="shared" si="65"/>
        <v>77.84</v>
      </c>
      <c r="H257" s="510">
        <f t="shared" si="66"/>
        <v>77.84</v>
      </c>
      <c r="I257" s="164">
        <v>1</v>
      </c>
      <c r="J257" s="149">
        <v>60.99</v>
      </c>
      <c r="K257" s="6"/>
      <c r="L257" s="6"/>
      <c r="M257" s="95"/>
      <c r="N257" s="154"/>
      <c r="O257" s="95"/>
      <c r="P257" s="96"/>
      <c r="Q257" s="98"/>
      <c r="R257" s="98"/>
    </row>
    <row r="258" spans="1:18" s="162" customFormat="1" ht="34.5" customHeight="1">
      <c r="A258" s="592" t="s">
        <v>394</v>
      </c>
      <c r="B258" s="593">
        <v>89446</v>
      </c>
      <c r="C258" s="497" t="s">
        <v>397</v>
      </c>
      <c r="D258" s="496" t="s">
        <v>101</v>
      </c>
      <c r="E258" s="496">
        <f t="shared" si="63"/>
        <v>26.2</v>
      </c>
      <c r="F258" s="498">
        <f t="shared" si="64"/>
        <v>4.76</v>
      </c>
      <c r="G258" s="496">
        <f t="shared" si="65"/>
        <v>6.07</v>
      </c>
      <c r="H258" s="510">
        <f t="shared" si="66"/>
        <v>159.03</v>
      </c>
      <c r="I258" s="164">
        <f>2.5+1+2.9+6+2.2+2.5+2.5+0.6+6</f>
        <v>26.200000000000003</v>
      </c>
      <c r="J258" s="149">
        <v>4.76</v>
      </c>
      <c r="K258" s="6"/>
      <c r="L258" s="6"/>
      <c r="M258" s="95"/>
      <c r="N258" s="154"/>
      <c r="O258" s="95"/>
      <c r="P258" s="96"/>
      <c r="Q258" s="98"/>
      <c r="R258" s="98"/>
    </row>
    <row r="259" spans="1:18" s="162" customFormat="1" ht="22.5" customHeight="1">
      <c r="A259" s="592" t="s">
        <v>396</v>
      </c>
      <c r="B259" s="593">
        <v>89449</v>
      </c>
      <c r="C259" s="497" t="s">
        <v>400</v>
      </c>
      <c r="D259" s="496" t="s">
        <v>101</v>
      </c>
      <c r="E259" s="496">
        <f t="shared" si="63"/>
        <v>38.020000000000003</v>
      </c>
      <c r="F259" s="498">
        <f t="shared" si="64"/>
        <v>16.87</v>
      </c>
      <c r="G259" s="496">
        <f t="shared" si="65"/>
        <v>21.53</v>
      </c>
      <c r="H259" s="510">
        <f t="shared" si="66"/>
        <v>818.57</v>
      </c>
      <c r="I259" s="46">
        <f>1.6+2.5+11.93+4.82+3.85+2.6+0.6+1.62+2.5+2.5+3.5</f>
        <v>38.02000000000001</v>
      </c>
      <c r="J259" s="149">
        <v>16.87</v>
      </c>
      <c r="K259" s="6"/>
      <c r="L259" s="6"/>
      <c r="M259" s="95"/>
      <c r="N259" s="154"/>
      <c r="O259" s="95"/>
      <c r="P259" s="96"/>
      <c r="Q259" s="98"/>
      <c r="R259" s="98"/>
    </row>
    <row r="260" spans="1:18" s="162" customFormat="1" ht="26.25" customHeight="1">
      <c r="A260" s="592" t="s">
        <v>398</v>
      </c>
      <c r="B260" s="593">
        <v>89501</v>
      </c>
      <c r="C260" s="497" t="s">
        <v>405</v>
      </c>
      <c r="D260" s="496" t="s">
        <v>406</v>
      </c>
      <c r="E260" s="496">
        <f t="shared" si="63"/>
        <v>4</v>
      </c>
      <c r="F260" s="498">
        <f t="shared" si="64"/>
        <v>12.63</v>
      </c>
      <c r="G260" s="496">
        <f t="shared" si="65"/>
        <v>16.11</v>
      </c>
      <c r="H260" s="510">
        <f t="shared" si="66"/>
        <v>64.44</v>
      </c>
      <c r="I260" s="548">
        <v>4</v>
      </c>
      <c r="J260" s="546">
        <v>12.63</v>
      </c>
      <c r="K260" s="6"/>
      <c r="L260" s="6"/>
      <c r="M260" s="95"/>
      <c r="N260" s="154"/>
      <c r="O260" s="95"/>
      <c r="P260" s="96"/>
      <c r="Q260" s="98"/>
      <c r="R260" s="98"/>
    </row>
    <row r="261" spans="1:18" s="17" customFormat="1" ht="33.75" customHeight="1">
      <c r="A261" s="592" t="s">
        <v>399</v>
      </c>
      <c r="B261" s="593">
        <v>94672</v>
      </c>
      <c r="C261" s="497" t="s">
        <v>407</v>
      </c>
      <c r="D261" s="496" t="s">
        <v>25</v>
      </c>
      <c r="E261" s="496">
        <f t="shared" si="63"/>
        <v>6</v>
      </c>
      <c r="F261" s="498">
        <f t="shared" si="64"/>
        <v>9.27</v>
      </c>
      <c r="G261" s="496">
        <f t="shared" si="65"/>
        <v>11.83</v>
      </c>
      <c r="H261" s="510">
        <f t="shared" si="66"/>
        <v>70.98</v>
      </c>
      <c r="I261" s="549">
        <v>6</v>
      </c>
      <c r="J261" s="543">
        <v>9.27</v>
      </c>
      <c r="K261" s="5"/>
      <c r="L261" s="5"/>
      <c r="M261" s="40"/>
      <c r="N261" s="152"/>
      <c r="O261" s="40"/>
      <c r="P261" s="41"/>
      <c r="Q261" s="72"/>
      <c r="R261" s="9"/>
    </row>
    <row r="262" spans="1:18" s="150" customFormat="1" ht="22.5">
      <c r="A262" s="592" t="s">
        <v>401</v>
      </c>
      <c r="B262" s="593">
        <v>89627</v>
      </c>
      <c r="C262" s="497" t="s">
        <v>408</v>
      </c>
      <c r="D262" s="496" t="s">
        <v>25</v>
      </c>
      <c r="E262" s="496">
        <f t="shared" si="63"/>
        <v>3</v>
      </c>
      <c r="F262" s="498">
        <f t="shared" si="64"/>
        <v>18.850000000000001</v>
      </c>
      <c r="G262" s="496">
        <f t="shared" si="65"/>
        <v>24.05</v>
      </c>
      <c r="H262" s="510">
        <f t="shared" si="66"/>
        <v>72.150000000000006</v>
      </c>
      <c r="I262" s="548">
        <v>3</v>
      </c>
      <c r="J262" s="543">
        <v>18.850000000000001</v>
      </c>
      <c r="K262" s="46"/>
      <c r="L262" s="46"/>
      <c r="M262" s="142"/>
      <c r="N262" s="142"/>
      <c r="O262" s="142"/>
      <c r="P262" s="143"/>
      <c r="Q262" s="142"/>
      <c r="R262" s="142"/>
    </row>
    <row r="263" spans="1:18" s="17" customFormat="1" ht="25.5" customHeight="1">
      <c r="A263" s="592" t="s">
        <v>402</v>
      </c>
      <c r="B263" s="593">
        <v>94694</v>
      </c>
      <c r="C263" s="497" t="s">
        <v>409</v>
      </c>
      <c r="D263" s="496" t="s">
        <v>25</v>
      </c>
      <c r="E263" s="496">
        <f t="shared" si="63"/>
        <v>5</v>
      </c>
      <c r="F263" s="498">
        <f t="shared" si="64"/>
        <v>23</v>
      </c>
      <c r="G263" s="496">
        <f t="shared" si="65"/>
        <v>29.35</v>
      </c>
      <c r="H263" s="510">
        <f t="shared" si="66"/>
        <v>146.75</v>
      </c>
      <c r="I263" s="549">
        <v>5</v>
      </c>
      <c r="J263" s="543">
        <v>23</v>
      </c>
      <c r="K263" s="5"/>
      <c r="L263" s="5"/>
      <c r="M263" s="40"/>
      <c r="N263" s="152"/>
      <c r="O263" s="40"/>
      <c r="P263" s="41"/>
      <c r="Q263" s="72"/>
      <c r="R263" s="9"/>
    </row>
    <row r="264" spans="1:18" ht="22.5">
      <c r="A264" s="592" t="s">
        <v>403</v>
      </c>
      <c r="B264" s="593">
        <v>94795</v>
      </c>
      <c r="C264" s="497" t="s">
        <v>410</v>
      </c>
      <c r="D264" s="496" t="s">
        <v>25</v>
      </c>
      <c r="E264" s="496">
        <f t="shared" si="63"/>
        <v>3</v>
      </c>
      <c r="F264" s="498">
        <f t="shared" si="64"/>
        <v>36.770000000000003</v>
      </c>
      <c r="G264" s="496">
        <f t="shared" si="65"/>
        <v>46.92</v>
      </c>
      <c r="H264" s="510">
        <f t="shared" si="66"/>
        <v>140.76</v>
      </c>
      <c r="I264" s="549">
        <v>3</v>
      </c>
      <c r="J264" s="543">
        <v>36.770000000000003</v>
      </c>
    </row>
    <row r="265" spans="1:18">
      <c r="A265" s="592" t="s">
        <v>404</v>
      </c>
      <c r="B265" s="593">
        <v>102607</v>
      </c>
      <c r="C265" s="497" t="s">
        <v>411</v>
      </c>
      <c r="D265" s="496" t="s">
        <v>25</v>
      </c>
      <c r="E265" s="496">
        <f t="shared" si="63"/>
        <v>3</v>
      </c>
      <c r="F265" s="498">
        <f t="shared" si="64"/>
        <v>437.01</v>
      </c>
      <c r="G265" s="496">
        <f t="shared" si="65"/>
        <v>557.75</v>
      </c>
      <c r="H265" s="510">
        <f t="shared" si="66"/>
        <v>1673.25</v>
      </c>
      <c r="I265" s="549">
        <v>3</v>
      </c>
      <c r="J265" s="543">
        <v>437.01</v>
      </c>
    </row>
    <row r="266" spans="1:18">
      <c r="A266" s="649"/>
      <c r="B266" s="650"/>
      <c r="C266" s="525" t="s">
        <v>412</v>
      </c>
      <c r="D266" s="496"/>
      <c r="E266" s="496">
        <f t="shared" si="63"/>
        <v>0</v>
      </c>
      <c r="F266" s="498">
        <f t="shared" si="64"/>
        <v>0</v>
      </c>
      <c r="G266" s="496">
        <f t="shared" si="65"/>
        <v>0</v>
      </c>
      <c r="H266" s="510">
        <f t="shared" si="66"/>
        <v>0</v>
      </c>
      <c r="I266" s="549"/>
      <c r="J266" s="543"/>
    </row>
    <row r="267" spans="1:18">
      <c r="A267" s="592" t="s">
        <v>413</v>
      </c>
      <c r="B267" s="593">
        <v>95544</v>
      </c>
      <c r="C267" s="497" t="s">
        <v>414</v>
      </c>
      <c r="D267" s="496" t="s">
        <v>25</v>
      </c>
      <c r="E267" s="496">
        <f t="shared" si="63"/>
        <v>5</v>
      </c>
      <c r="F267" s="498">
        <f t="shared" si="64"/>
        <v>38.270000000000003</v>
      </c>
      <c r="G267" s="496">
        <f t="shared" si="65"/>
        <v>48.84</v>
      </c>
      <c r="H267" s="510">
        <f t="shared" si="66"/>
        <v>244.2</v>
      </c>
      <c r="I267" s="549">
        <v>5</v>
      </c>
      <c r="J267" s="543">
        <v>38.270000000000003</v>
      </c>
    </row>
    <row r="268" spans="1:18">
      <c r="A268" s="592" t="s">
        <v>415</v>
      </c>
      <c r="B268" s="593">
        <v>95545</v>
      </c>
      <c r="C268" s="497" t="s">
        <v>416</v>
      </c>
      <c r="D268" s="496" t="s">
        <v>25</v>
      </c>
      <c r="E268" s="496">
        <f t="shared" si="63"/>
        <v>5</v>
      </c>
      <c r="F268" s="498">
        <f t="shared" si="64"/>
        <v>37.5</v>
      </c>
      <c r="G268" s="496">
        <f t="shared" si="65"/>
        <v>47.86</v>
      </c>
      <c r="H268" s="510">
        <f t="shared" si="66"/>
        <v>239.3</v>
      </c>
      <c r="I268" s="549">
        <v>5</v>
      </c>
      <c r="J268" s="543">
        <v>37.5</v>
      </c>
    </row>
    <row r="269" spans="1:18" ht="22.5">
      <c r="A269" s="592" t="s">
        <v>417</v>
      </c>
      <c r="B269" s="593">
        <v>99253</v>
      </c>
      <c r="C269" s="497" t="s">
        <v>418</v>
      </c>
      <c r="D269" s="496" t="s">
        <v>25</v>
      </c>
      <c r="E269" s="496">
        <f t="shared" si="63"/>
        <v>6</v>
      </c>
      <c r="F269" s="498">
        <f t="shared" si="64"/>
        <v>515.22</v>
      </c>
      <c r="G269" s="496">
        <f t="shared" si="65"/>
        <v>657.57</v>
      </c>
      <c r="H269" s="510">
        <f t="shared" si="66"/>
        <v>3945.42</v>
      </c>
      <c r="I269" s="549">
        <v>6</v>
      </c>
      <c r="J269" s="543">
        <v>515.22</v>
      </c>
    </row>
    <row r="270" spans="1:18" ht="22.5">
      <c r="A270" s="592" t="s">
        <v>419</v>
      </c>
      <c r="B270" s="593">
        <v>95469</v>
      </c>
      <c r="C270" s="497" t="s">
        <v>420</v>
      </c>
      <c r="D270" s="496" t="s">
        <v>25</v>
      </c>
      <c r="E270" s="496">
        <f t="shared" si="63"/>
        <v>3</v>
      </c>
      <c r="F270" s="498">
        <f t="shared" si="64"/>
        <v>257.48</v>
      </c>
      <c r="G270" s="496">
        <f t="shared" si="65"/>
        <v>328.62</v>
      </c>
      <c r="H270" s="510">
        <f t="shared" si="66"/>
        <v>985.86</v>
      </c>
      <c r="I270" s="549">
        <v>3</v>
      </c>
      <c r="J270" s="543">
        <v>257.48</v>
      </c>
    </row>
    <row r="271" spans="1:18" ht="33.75">
      <c r="A271" s="592" t="s">
        <v>833</v>
      </c>
      <c r="B271" s="593">
        <v>95472</v>
      </c>
      <c r="C271" s="497" t="s">
        <v>422</v>
      </c>
      <c r="D271" s="496" t="s">
        <v>25</v>
      </c>
      <c r="E271" s="496">
        <f t="shared" si="63"/>
        <v>2</v>
      </c>
      <c r="F271" s="498">
        <f t="shared" si="64"/>
        <v>661.29</v>
      </c>
      <c r="G271" s="496">
        <f t="shared" si="65"/>
        <v>844</v>
      </c>
      <c r="H271" s="510">
        <f t="shared" si="66"/>
        <v>1688</v>
      </c>
      <c r="I271" s="549">
        <v>2</v>
      </c>
      <c r="J271" s="543">
        <v>661.29</v>
      </c>
    </row>
    <row r="272" spans="1:18" ht="22.5">
      <c r="A272" s="592" t="s">
        <v>421</v>
      </c>
      <c r="B272" s="593" t="s">
        <v>424</v>
      </c>
      <c r="C272" s="497" t="s">
        <v>425</v>
      </c>
      <c r="D272" s="496" t="s">
        <v>25</v>
      </c>
      <c r="E272" s="496">
        <f t="shared" si="63"/>
        <v>5</v>
      </c>
      <c r="F272" s="498">
        <f t="shared" si="64"/>
        <v>35.130000000000003</v>
      </c>
      <c r="G272" s="496">
        <f t="shared" si="65"/>
        <v>44.83</v>
      </c>
      <c r="H272" s="510">
        <f t="shared" si="66"/>
        <v>224.15</v>
      </c>
      <c r="I272" s="549">
        <v>5</v>
      </c>
      <c r="J272" s="543">
        <v>35.130000000000003</v>
      </c>
    </row>
    <row r="273" spans="1:12">
      <c r="A273" s="592" t="s">
        <v>423</v>
      </c>
      <c r="B273" s="593">
        <v>100849</v>
      </c>
      <c r="C273" s="497" t="s">
        <v>427</v>
      </c>
      <c r="D273" s="496" t="s">
        <v>25</v>
      </c>
      <c r="E273" s="496">
        <f t="shared" si="63"/>
        <v>5</v>
      </c>
      <c r="F273" s="498">
        <f t="shared" si="64"/>
        <v>45.5</v>
      </c>
      <c r="G273" s="496">
        <f t="shared" si="65"/>
        <v>58.07</v>
      </c>
      <c r="H273" s="510">
        <f t="shared" si="66"/>
        <v>290.35000000000002</v>
      </c>
      <c r="I273" s="549">
        <v>5</v>
      </c>
      <c r="J273" s="543">
        <v>45.5</v>
      </c>
    </row>
    <row r="274" spans="1:12" ht="22.5">
      <c r="A274" s="592" t="s">
        <v>426</v>
      </c>
      <c r="B274" s="593" t="s">
        <v>428</v>
      </c>
      <c r="C274" s="526" t="s">
        <v>429</v>
      </c>
      <c r="D274" s="496" t="s">
        <v>101</v>
      </c>
      <c r="E274" s="496">
        <f t="shared" si="63"/>
        <v>66.56</v>
      </c>
      <c r="F274" s="498">
        <f t="shared" si="64"/>
        <v>51.35</v>
      </c>
      <c r="G274" s="496">
        <f t="shared" si="65"/>
        <v>65.53</v>
      </c>
      <c r="H274" s="510">
        <f t="shared" si="66"/>
        <v>4361.67</v>
      </c>
      <c r="I274" s="549">
        <f>2.5+7+4.75+12+21.79+10.46+4.03+4.03</f>
        <v>66.56</v>
      </c>
      <c r="J274" s="543">
        <v>51.35</v>
      </c>
    </row>
    <row r="275" spans="1:12" ht="22.5">
      <c r="A275" s="592" t="s">
        <v>834</v>
      </c>
      <c r="B275" s="593">
        <v>89712</v>
      </c>
      <c r="C275" s="526" t="s">
        <v>430</v>
      </c>
      <c r="D275" s="496" t="s">
        <v>101</v>
      </c>
      <c r="E275" s="496">
        <f t="shared" si="63"/>
        <v>24.18</v>
      </c>
      <c r="F275" s="498">
        <f t="shared" si="64"/>
        <v>26.6</v>
      </c>
      <c r="G275" s="496">
        <f t="shared" si="65"/>
        <v>33.94</v>
      </c>
      <c r="H275" s="510">
        <f t="shared" si="66"/>
        <v>820.66</v>
      </c>
      <c r="I275" s="549">
        <f>3+1.3+1.5+1.8+3.2+1.5+2.5+2.5+1.5+1.3+1.4+1.18+1.5</f>
        <v>24.18</v>
      </c>
      <c r="J275" s="543">
        <v>26.6</v>
      </c>
    </row>
    <row r="276" spans="1:12" ht="22.5">
      <c r="A276" s="592" t="s">
        <v>835</v>
      </c>
      <c r="B276" s="593">
        <v>89753</v>
      </c>
      <c r="C276" s="526" t="s">
        <v>830</v>
      </c>
      <c r="D276" s="496" t="s">
        <v>25</v>
      </c>
      <c r="E276" s="496">
        <f t="shared" si="63"/>
        <v>5</v>
      </c>
      <c r="F276" s="498">
        <f t="shared" si="64"/>
        <v>9.89</v>
      </c>
      <c r="G276" s="496">
        <f t="shared" si="65"/>
        <v>12.62</v>
      </c>
      <c r="H276" s="510">
        <f t="shared" si="66"/>
        <v>63.1</v>
      </c>
      <c r="I276" s="549">
        <v>5</v>
      </c>
      <c r="J276" s="543">
        <v>9.89</v>
      </c>
    </row>
    <row r="277" spans="1:12" ht="22.5">
      <c r="A277" s="592" t="s">
        <v>836</v>
      </c>
      <c r="B277" s="593" t="s">
        <v>431</v>
      </c>
      <c r="C277" s="497" t="s">
        <v>432</v>
      </c>
      <c r="D277" s="496" t="s">
        <v>25</v>
      </c>
      <c r="E277" s="496">
        <f t="shared" si="63"/>
        <v>5</v>
      </c>
      <c r="F277" s="498">
        <f t="shared" si="64"/>
        <v>21.07</v>
      </c>
      <c r="G277" s="496">
        <f t="shared" si="65"/>
        <v>26.89</v>
      </c>
      <c r="H277" s="510">
        <f t="shared" si="66"/>
        <v>134.44999999999999</v>
      </c>
      <c r="I277" s="549">
        <v>5</v>
      </c>
      <c r="J277" s="543">
        <v>21.07</v>
      </c>
    </row>
    <row r="278" spans="1:12" ht="22.5">
      <c r="A278" s="592" t="s">
        <v>837</v>
      </c>
      <c r="B278" s="593">
        <v>89569</v>
      </c>
      <c r="C278" s="497" t="s">
        <v>829</v>
      </c>
      <c r="D278" s="496" t="s">
        <v>25</v>
      </c>
      <c r="E278" s="496">
        <f t="shared" si="63"/>
        <v>5</v>
      </c>
      <c r="F278" s="498">
        <f t="shared" si="64"/>
        <v>87.18</v>
      </c>
      <c r="G278" s="496">
        <f t="shared" si="65"/>
        <v>111.26</v>
      </c>
      <c r="H278" s="510">
        <f t="shared" si="66"/>
        <v>556.29999999999995</v>
      </c>
      <c r="I278" s="549">
        <v>5</v>
      </c>
      <c r="J278" s="543">
        <v>87.18</v>
      </c>
    </row>
    <row r="279" spans="1:12" ht="33.75">
      <c r="A279" s="592" t="s">
        <v>838</v>
      </c>
      <c r="B279" s="593">
        <v>89731</v>
      </c>
      <c r="C279" s="497" t="s">
        <v>831</v>
      </c>
      <c r="D279" s="496" t="s">
        <v>25</v>
      </c>
      <c r="E279" s="496">
        <f t="shared" si="63"/>
        <v>15</v>
      </c>
      <c r="F279" s="498">
        <f t="shared" si="64"/>
        <v>11.08</v>
      </c>
      <c r="G279" s="496">
        <f t="shared" si="65"/>
        <v>14.14</v>
      </c>
      <c r="H279" s="510">
        <f t="shared" si="66"/>
        <v>212.1</v>
      </c>
      <c r="I279" s="549">
        <v>15</v>
      </c>
      <c r="J279" s="543">
        <v>11.08</v>
      </c>
      <c r="L279" s="593">
        <v>94678</v>
      </c>
    </row>
    <row r="280" spans="1:12" ht="33.75">
      <c r="A280" s="592" t="s">
        <v>839</v>
      </c>
      <c r="B280" s="593">
        <v>89732</v>
      </c>
      <c r="C280" s="497" t="s">
        <v>832</v>
      </c>
      <c r="D280" s="496" t="s">
        <v>25</v>
      </c>
      <c r="E280" s="496">
        <f t="shared" si="63"/>
        <v>6</v>
      </c>
      <c r="F280" s="498">
        <f t="shared" si="64"/>
        <v>11.85</v>
      </c>
      <c r="G280" s="496">
        <f t="shared" si="65"/>
        <v>15.12</v>
      </c>
      <c r="H280" s="510">
        <f t="shared" si="66"/>
        <v>90.72</v>
      </c>
      <c r="I280" s="549">
        <v>6</v>
      </c>
      <c r="J280" s="543">
        <v>11.85</v>
      </c>
    </row>
    <row r="281" spans="1:12">
      <c r="A281" s="592" t="s">
        <v>840</v>
      </c>
      <c r="B281" s="593">
        <v>36204</v>
      </c>
      <c r="C281" s="497" t="s">
        <v>433</v>
      </c>
      <c r="D281" s="527" t="s">
        <v>25</v>
      </c>
      <c r="E281" s="496">
        <f t="shared" si="63"/>
        <v>6</v>
      </c>
      <c r="F281" s="498">
        <f t="shared" si="64"/>
        <v>202.67</v>
      </c>
      <c r="G281" s="496">
        <f t="shared" si="65"/>
        <v>258.66000000000003</v>
      </c>
      <c r="H281" s="510">
        <f t="shared" si="66"/>
        <v>1551.96</v>
      </c>
      <c r="I281" s="549">
        <v>6</v>
      </c>
      <c r="J281" s="543">
        <v>202.67</v>
      </c>
    </row>
    <row r="282" spans="1:12" ht="22.5">
      <c r="A282" s="592" t="s">
        <v>595</v>
      </c>
      <c r="B282" s="593">
        <v>98052</v>
      </c>
      <c r="C282" s="497" t="s">
        <v>434</v>
      </c>
      <c r="D282" s="527" t="s">
        <v>25</v>
      </c>
      <c r="E282" s="496">
        <f t="shared" si="63"/>
        <v>1</v>
      </c>
      <c r="F282" s="498">
        <f t="shared" si="64"/>
        <v>1991.68</v>
      </c>
      <c r="G282" s="496">
        <f t="shared" si="65"/>
        <v>2541.98</v>
      </c>
      <c r="H282" s="510">
        <f t="shared" si="66"/>
        <v>2541.98</v>
      </c>
      <c r="I282" s="549">
        <v>1</v>
      </c>
      <c r="J282" s="543">
        <v>1991.68</v>
      </c>
    </row>
    <row r="283" spans="1:12" ht="22.5">
      <c r="A283" s="592" t="s">
        <v>600</v>
      </c>
      <c r="B283" s="593">
        <v>98062</v>
      </c>
      <c r="C283" s="497" t="s">
        <v>435</v>
      </c>
      <c r="D283" s="527" t="s">
        <v>25</v>
      </c>
      <c r="E283" s="496">
        <f t="shared" si="63"/>
        <v>1</v>
      </c>
      <c r="F283" s="498">
        <f t="shared" si="64"/>
        <v>2831.01</v>
      </c>
      <c r="G283" s="496">
        <f t="shared" si="65"/>
        <v>3613.21</v>
      </c>
      <c r="H283" s="510">
        <f t="shared" si="66"/>
        <v>3613.21</v>
      </c>
      <c r="I283" s="549">
        <v>1</v>
      </c>
      <c r="J283" s="543">
        <v>2831.01</v>
      </c>
    </row>
    <row r="284" spans="1:12">
      <c r="A284" s="592" t="s">
        <v>841</v>
      </c>
      <c r="B284" s="593">
        <v>93358</v>
      </c>
      <c r="C284" s="523" t="s">
        <v>436</v>
      </c>
      <c r="D284" s="527" t="s">
        <v>49</v>
      </c>
      <c r="E284" s="496">
        <f t="shared" si="63"/>
        <v>7.26</v>
      </c>
      <c r="F284" s="498">
        <f t="shared" si="64"/>
        <v>59.97</v>
      </c>
      <c r="G284" s="496">
        <f t="shared" si="65"/>
        <v>76.53</v>
      </c>
      <c r="H284" s="510">
        <f t="shared" si="66"/>
        <v>555.6</v>
      </c>
      <c r="I284" s="549">
        <f>(60.56+20.18)*0.3*0.3</f>
        <v>7.2666000000000004</v>
      </c>
      <c r="J284" s="543">
        <v>59.97</v>
      </c>
    </row>
    <row r="285" spans="1:12" ht="22.5">
      <c r="A285" s="592" t="s">
        <v>842</v>
      </c>
      <c r="B285" s="593">
        <v>86882</v>
      </c>
      <c r="C285" s="497" t="s">
        <v>843</v>
      </c>
      <c r="D285" s="550" t="s">
        <v>25</v>
      </c>
      <c r="E285" s="496">
        <f t="shared" ref="E285:E286" si="67">TRUNC(I285,2)</f>
        <v>7</v>
      </c>
      <c r="F285" s="498">
        <f t="shared" ref="F285" si="68">J285</f>
        <v>27.59</v>
      </c>
      <c r="G285" s="496">
        <f t="shared" ref="G285" si="69">TRUNC(J285*J$17,2)</f>
        <v>35.21</v>
      </c>
      <c r="H285" s="510">
        <f t="shared" ref="H285" si="70">TRUNC(E285*G285,2)</f>
        <v>246.47</v>
      </c>
      <c r="I285" s="549">
        <v>7</v>
      </c>
      <c r="J285" s="543">
        <v>27.59</v>
      </c>
    </row>
    <row r="286" spans="1:12" ht="22.5">
      <c r="A286" s="592" t="s">
        <v>844</v>
      </c>
      <c r="B286" s="593">
        <v>86880</v>
      </c>
      <c r="C286" s="497" t="s">
        <v>846</v>
      </c>
      <c r="D286" s="550" t="s">
        <v>25</v>
      </c>
      <c r="E286" s="496">
        <f t="shared" si="67"/>
        <v>7</v>
      </c>
      <c r="F286" s="498">
        <f t="shared" ref="F286" si="71">J286</f>
        <v>27.09</v>
      </c>
      <c r="G286" s="496">
        <f t="shared" ref="G286" si="72">TRUNC(J286*J$17,2)</f>
        <v>34.57</v>
      </c>
      <c r="H286" s="510">
        <f t="shared" ref="H286" si="73">TRUNC(E286*G286,2)</f>
        <v>241.99</v>
      </c>
      <c r="I286" s="549">
        <v>7</v>
      </c>
      <c r="J286" s="543">
        <v>27.09</v>
      </c>
    </row>
    <row r="287" spans="1:12" ht="34.5" thickBot="1">
      <c r="A287" s="592" t="s">
        <v>845</v>
      </c>
      <c r="B287" s="651">
        <v>86919</v>
      </c>
      <c r="C287" s="544" t="s">
        <v>437</v>
      </c>
      <c r="D287" s="550" t="s">
        <v>25</v>
      </c>
      <c r="E287" s="496">
        <f t="shared" si="63"/>
        <v>1</v>
      </c>
      <c r="F287" s="498">
        <f t="shared" si="64"/>
        <v>765.12</v>
      </c>
      <c r="G287" s="496">
        <f t="shared" si="65"/>
        <v>976.52</v>
      </c>
      <c r="H287" s="510">
        <f t="shared" si="66"/>
        <v>976.52</v>
      </c>
      <c r="I287" s="549">
        <v>1</v>
      </c>
      <c r="J287" s="543">
        <v>765.12</v>
      </c>
    </row>
    <row r="288" spans="1:12" ht="15" thickBot="1">
      <c r="A288" s="538"/>
      <c r="B288" s="539"/>
      <c r="C288" s="551" t="s">
        <v>26</v>
      </c>
      <c r="D288" s="539"/>
      <c r="E288" s="539"/>
      <c r="F288" s="539"/>
      <c r="G288" s="539"/>
      <c r="H288" s="516">
        <f>SUM(H244:H287)</f>
        <v>35018.659999999989</v>
      </c>
      <c r="I288" s="549"/>
      <c r="J288" s="543"/>
    </row>
    <row r="289" spans="1:12" ht="15" thickBot="1">
      <c r="A289" s="133"/>
      <c r="B289" s="134"/>
      <c r="C289" s="88"/>
      <c r="D289" s="148"/>
      <c r="E289" s="148"/>
      <c r="F289" s="148"/>
      <c r="G289" s="151"/>
      <c r="I289" s="547"/>
      <c r="J289" s="543"/>
    </row>
    <row r="290" spans="1:12" ht="15" thickBot="1">
      <c r="A290" s="535" t="s">
        <v>438</v>
      </c>
      <c r="B290" s="536"/>
      <c r="C290" s="537" t="s">
        <v>439</v>
      </c>
      <c r="D290" s="537"/>
      <c r="E290" s="536"/>
      <c r="F290" s="536"/>
      <c r="G290" s="537"/>
      <c r="H290" s="545"/>
      <c r="I290" s="547"/>
      <c r="J290" s="543"/>
    </row>
    <row r="291" spans="1:12" ht="15" thickBot="1">
      <c r="A291" s="535" t="s">
        <v>440</v>
      </c>
      <c r="B291" s="536"/>
      <c r="C291" s="587" t="s">
        <v>441</v>
      </c>
      <c r="D291" s="536"/>
      <c r="E291" s="536"/>
      <c r="F291" s="536"/>
      <c r="G291" s="536"/>
      <c r="H291" s="588"/>
      <c r="I291" s="549"/>
      <c r="J291" s="543"/>
    </row>
    <row r="292" spans="1:12">
      <c r="A292" s="652" t="s">
        <v>442</v>
      </c>
      <c r="B292" s="653" t="s">
        <v>20</v>
      </c>
      <c r="C292" s="579" t="s">
        <v>57</v>
      </c>
      <c r="D292" s="580" t="s">
        <v>49</v>
      </c>
      <c r="E292" s="581">
        <f t="shared" ref="E292" si="74">TRUNC(I292,2)</f>
        <v>3.2</v>
      </c>
      <c r="F292" s="582">
        <f t="shared" ref="F292" si="75">J292</f>
        <v>222.37</v>
      </c>
      <c r="G292" s="581">
        <f t="shared" ref="G292" si="76">TRUNC(J292*J$17,2)</f>
        <v>283.81</v>
      </c>
      <c r="H292" s="583">
        <f t="shared" ref="H292" si="77">TRUNC(E292*G292,2)</f>
        <v>908.19</v>
      </c>
      <c r="I292" s="549">
        <f>89*0.15*0.3*0.8</f>
        <v>3.2040000000000002</v>
      </c>
      <c r="J292" s="47">
        <v>222.37</v>
      </c>
    </row>
    <row r="293" spans="1:12" ht="33.75">
      <c r="A293" s="592" t="s">
        <v>443</v>
      </c>
      <c r="B293" s="593">
        <v>103328</v>
      </c>
      <c r="C293" s="523" t="s">
        <v>98</v>
      </c>
      <c r="D293" s="496" t="s">
        <v>22</v>
      </c>
      <c r="E293" s="496">
        <f t="shared" ref="E293:E304" si="78">TRUNC(I293,2)</f>
        <v>79.47</v>
      </c>
      <c r="F293" s="498">
        <f t="shared" ref="F293:F304" si="79">J293</f>
        <v>73.239999999999995</v>
      </c>
      <c r="G293" s="496">
        <f t="shared" ref="G293:G304" si="80">TRUNC(J293*J$17,2)</f>
        <v>93.47</v>
      </c>
      <c r="H293" s="584">
        <f t="shared" ref="H293:H304" si="81">TRUNC(E293*G293,2)</f>
        <v>7428.06</v>
      </c>
      <c r="I293" s="549">
        <f>(45.1+30+40.85+12.4+4.1)*0.6</f>
        <v>79.469999999999985</v>
      </c>
      <c r="J293" s="543">
        <v>73.239999999999995</v>
      </c>
    </row>
    <row r="294" spans="1:12" ht="22.5">
      <c r="A294" s="592" t="s">
        <v>444</v>
      </c>
      <c r="B294" s="654">
        <v>92411</v>
      </c>
      <c r="C294" s="565" t="s">
        <v>90</v>
      </c>
      <c r="D294" s="566" t="s">
        <v>22</v>
      </c>
      <c r="E294" s="566">
        <f t="shared" si="78"/>
        <v>51.93</v>
      </c>
      <c r="F294" s="567">
        <f t="shared" si="79"/>
        <v>150.37</v>
      </c>
      <c r="G294" s="566">
        <f t="shared" si="80"/>
        <v>191.91</v>
      </c>
      <c r="H294" s="510">
        <f t="shared" si="81"/>
        <v>9965.8799999999992</v>
      </c>
      <c r="I294" s="549">
        <f>53*0.8*0.6+132.45*0.2</f>
        <v>51.93</v>
      </c>
      <c r="J294" s="543">
        <v>150.37</v>
      </c>
      <c r="K294" s="549">
        <f>(45.1+30+40.85+12.4+4.1)/2.5</f>
        <v>52.98</v>
      </c>
      <c r="L294" s="549">
        <f>(45.1+30+40.85+12.4+4.1)</f>
        <v>132.44999999999999</v>
      </c>
    </row>
    <row r="295" spans="1:12" ht="22.5">
      <c r="A295" s="592" t="s">
        <v>445</v>
      </c>
      <c r="B295" s="593">
        <v>94971</v>
      </c>
      <c r="C295" s="523" t="s">
        <v>70</v>
      </c>
      <c r="D295" s="496" t="s">
        <v>49</v>
      </c>
      <c r="E295" s="496">
        <f t="shared" si="78"/>
        <v>3.23</v>
      </c>
      <c r="F295" s="498">
        <f t="shared" si="79"/>
        <v>413.25</v>
      </c>
      <c r="G295" s="496">
        <f t="shared" si="80"/>
        <v>527.42999999999995</v>
      </c>
      <c r="H295" s="510">
        <f t="shared" si="81"/>
        <v>1703.59</v>
      </c>
      <c r="I295" s="549">
        <f>53*0.15*0.3*0.8+132.45*0.1*0.1</f>
        <v>3.2324999999999999</v>
      </c>
      <c r="J295" s="543">
        <v>413.25</v>
      </c>
    </row>
    <row r="296" spans="1:12" ht="22.5">
      <c r="A296" s="592" t="s">
        <v>447</v>
      </c>
      <c r="B296" s="593">
        <v>92873</v>
      </c>
      <c r="C296" s="523" t="s">
        <v>446</v>
      </c>
      <c r="D296" s="496" t="s">
        <v>49</v>
      </c>
      <c r="E296" s="496">
        <f t="shared" si="78"/>
        <v>3.23</v>
      </c>
      <c r="F296" s="498">
        <f t="shared" si="79"/>
        <v>154.59</v>
      </c>
      <c r="G296" s="496">
        <f t="shared" si="80"/>
        <v>197.3</v>
      </c>
      <c r="H296" s="510">
        <f t="shared" si="81"/>
        <v>637.27</v>
      </c>
      <c r="I296" s="549">
        <f>I295</f>
        <v>3.2324999999999999</v>
      </c>
      <c r="J296" s="543">
        <v>154.59</v>
      </c>
    </row>
    <row r="297" spans="1:12" ht="33.75">
      <c r="A297" s="592" t="s">
        <v>448</v>
      </c>
      <c r="B297" s="655">
        <v>92778</v>
      </c>
      <c r="C297" s="523" t="s">
        <v>92</v>
      </c>
      <c r="D297" s="496" t="s">
        <v>78</v>
      </c>
      <c r="E297" s="496">
        <f t="shared" si="78"/>
        <v>181.02</v>
      </c>
      <c r="F297" s="498">
        <f t="shared" si="79"/>
        <v>16.38</v>
      </c>
      <c r="G297" s="496">
        <f t="shared" si="80"/>
        <v>20.9</v>
      </c>
      <c r="H297" s="510">
        <f t="shared" si="81"/>
        <v>3783.31</v>
      </c>
      <c r="I297" s="549">
        <f>I295*80*0.7</f>
        <v>181.02</v>
      </c>
      <c r="J297" s="543">
        <v>16.38</v>
      </c>
    </row>
    <row r="298" spans="1:12" ht="33.75">
      <c r="A298" s="592" t="s">
        <v>450</v>
      </c>
      <c r="B298" s="655">
        <v>92776</v>
      </c>
      <c r="C298" s="523" t="s">
        <v>449</v>
      </c>
      <c r="D298" s="496" t="s">
        <v>78</v>
      </c>
      <c r="E298" s="496">
        <f t="shared" si="78"/>
        <v>0.77</v>
      </c>
      <c r="F298" s="498">
        <f t="shared" si="79"/>
        <v>18.93</v>
      </c>
      <c r="G298" s="496">
        <f t="shared" si="80"/>
        <v>24.16</v>
      </c>
      <c r="H298" s="510">
        <f t="shared" si="81"/>
        <v>18.600000000000001</v>
      </c>
      <c r="I298" s="549">
        <f>I295*0.8*0.3</f>
        <v>0.77580000000000005</v>
      </c>
      <c r="J298" s="543">
        <v>18.93</v>
      </c>
    </row>
    <row r="299" spans="1:12" ht="33.75">
      <c r="A299" s="592" t="s">
        <v>451</v>
      </c>
      <c r="B299" s="593">
        <v>87879</v>
      </c>
      <c r="C299" s="523" t="s">
        <v>144</v>
      </c>
      <c r="D299" s="496" t="s">
        <v>22</v>
      </c>
      <c r="E299" s="496">
        <f t="shared" si="78"/>
        <v>158.94</v>
      </c>
      <c r="F299" s="498">
        <f t="shared" si="79"/>
        <v>3.24</v>
      </c>
      <c r="G299" s="496">
        <f t="shared" si="80"/>
        <v>4.13</v>
      </c>
      <c r="H299" s="510">
        <f t="shared" si="81"/>
        <v>656.42</v>
      </c>
      <c r="I299" s="549">
        <f>I293*2</f>
        <v>158.93999999999997</v>
      </c>
      <c r="J299" s="543">
        <v>3.24</v>
      </c>
    </row>
    <row r="300" spans="1:12" ht="45">
      <c r="A300" s="592" t="s">
        <v>452</v>
      </c>
      <c r="B300" s="593" t="s">
        <v>147</v>
      </c>
      <c r="C300" s="523" t="s">
        <v>148</v>
      </c>
      <c r="D300" s="496" t="s">
        <v>22</v>
      </c>
      <c r="E300" s="496">
        <f t="shared" si="78"/>
        <v>158.94</v>
      </c>
      <c r="F300" s="498">
        <f t="shared" si="79"/>
        <v>27.45</v>
      </c>
      <c r="G300" s="496">
        <f t="shared" si="80"/>
        <v>35.03</v>
      </c>
      <c r="H300" s="510">
        <f t="shared" si="81"/>
        <v>5567.66</v>
      </c>
      <c r="I300" s="549">
        <f>I299</f>
        <v>158.93999999999997</v>
      </c>
      <c r="J300" s="543">
        <v>27.45</v>
      </c>
    </row>
    <row r="301" spans="1:12">
      <c r="A301" s="592" t="s">
        <v>454</v>
      </c>
      <c r="B301" s="593" t="s">
        <v>20</v>
      </c>
      <c r="C301" s="523" t="s">
        <v>453</v>
      </c>
      <c r="D301" s="496" t="s">
        <v>25</v>
      </c>
      <c r="E301" s="496">
        <f t="shared" si="78"/>
        <v>2</v>
      </c>
      <c r="F301" s="498">
        <f t="shared" si="79"/>
        <v>307.31</v>
      </c>
      <c r="G301" s="496">
        <f t="shared" si="80"/>
        <v>392.21</v>
      </c>
      <c r="H301" s="510">
        <f t="shared" si="81"/>
        <v>784.42</v>
      </c>
      <c r="I301" s="549">
        <v>2</v>
      </c>
      <c r="J301" s="543">
        <v>307.31</v>
      </c>
    </row>
    <row r="302" spans="1:12">
      <c r="A302" s="592" t="s">
        <v>456</v>
      </c>
      <c r="B302" s="593">
        <v>98504</v>
      </c>
      <c r="C302" s="523" t="s">
        <v>455</v>
      </c>
      <c r="D302" s="496" t="s">
        <v>22</v>
      </c>
      <c r="E302" s="496">
        <f t="shared" si="78"/>
        <v>24.73</v>
      </c>
      <c r="F302" s="498">
        <f t="shared" si="79"/>
        <v>12.29</v>
      </c>
      <c r="G302" s="496">
        <f t="shared" si="80"/>
        <v>15.68</v>
      </c>
      <c r="H302" s="510">
        <f t="shared" si="81"/>
        <v>387.76</v>
      </c>
      <c r="I302" s="549">
        <f>5.09+1.7+2.38+4.02+11.54</f>
        <v>24.729999999999997</v>
      </c>
      <c r="J302" s="543">
        <v>12.29</v>
      </c>
    </row>
    <row r="303" spans="1:12" ht="33.75">
      <c r="A303" s="592" t="s">
        <v>458</v>
      </c>
      <c r="B303" s="593">
        <v>94273</v>
      </c>
      <c r="C303" s="523" t="s">
        <v>457</v>
      </c>
      <c r="D303" s="496" t="s">
        <v>101</v>
      </c>
      <c r="E303" s="496">
        <f t="shared" si="78"/>
        <v>30</v>
      </c>
      <c r="F303" s="498">
        <f t="shared" si="79"/>
        <v>45.87</v>
      </c>
      <c r="G303" s="496">
        <f t="shared" si="80"/>
        <v>58.54</v>
      </c>
      <c r="H303" s="510">
        <f t="shared" si="81"/>
        <v>1756.2</v>
      </c>
      <c r="I303" s="549">
        <v>30</v>
      </c>
      <c r="J303" s="543">
        <v>45.87</v>
      </c>
    </row>
    <row r="304" spans="1:12" ht="34.5" thickBot="1">
      <c r="A304" s="657" t="s">
        <v>815</v>
      </c>
      <c r="B304" s="656" t="s">
        <v>20</v>
      </c>
      <c r="C304" s="532" t="s">
        <v>459</v>
      </c>
      <c r="D304" s="533" t="s">
        <v>101</v>
      </c>
      <c r="E304" s="533">
        <f t="shared" si="78"/>
        <v>132.44999999999999</v>
      </c>
      <c r="F304" s="585">
        <f t="shared" si="79"/>
        <v>104.01</v>
      </c>
      <c r="G304" s="533">
        <f t="shared" si="80"/>
        <v>132.74</v>
      </c>
      <c r="H304" s="586">
        <f t="shared" si="81"/>
        <v>17581.41</v>
      </c>
      <c r="I304" s="549">
        <f>45.1+30+40.85+12.4+4.1</f>
        <v>132.44999999999999</v>
      </c>
      <c r="J304" s="543">
        <v>104.01</v>
      </c>
    </row>
    <row r="305" spans="1:10" ht="15" thickBot="1">
      <c r="A305" s="513"/>
      <c r="B305" s="514"/>
      <c r="C305" s="515" t="s">
        <v>26</v>
      </c>
      <c r="D305" s="514"/>
      <c r="E305" s="514"/>
      <c r="F305" s="514"/>
      <c r="G305" s="514"/>
      <c r="H305" s="516">
        <f>SUM(H292:H304)</f>
        <v>51178.76999999999</v>
      </c>
      <c r="I305" s="547"/>
      <c r="J305" s="543"/>
    </row>
    <row r="306" spans="1:10" ht="9" customHeight="1" thickBot="1">
      <c r="A306" s="101"/>
      <c r="B306" s="102"/>
      <c r="C306" s="161"/>
      <c r="D306" s="104"/>
      <c r="E306" s="60"/>
      <c r="F306" s="60"/>
      <c r="G306" s="61"/>
      <c r="I306" s="547"/>
      <c r="J306" s="543"/>
    </row>
    <row r="307" spans="1:10" ht="15" thickBot="1">
      <c r="A307" s="519" t="s">
        <v>460</v>
      </c>
      <c r="B307" s="521"/>
      <c r="C307" s="520" t="s">
        <v>461</v>
      </c>
      <c r="D307" s="520"/>
      <c r="E307" s="521"/>
      <c r="F307" s="521"/>
      <c r="G307" s="520"/>
      <c r="H307" s="520"/>
      <c r="I307" s="547"/>
      <c r="J307" s="543"/>
    </row>
    <row r="308" spans="1:10" ht="15" thickBot="1">
      <c r="A308" s="540" t="s">
        <v>462</v>
      </c>
      <c r="B308" s="541"/>
      <c r="C308" s="541" t="s">
        <v>463</v>
      </c>
      <c r="D308" s="541"/>
      <c r="E308" s="541"/>
      <c r="F308" s="541"/>
      <c r="G308" s="541"/>
      <c r="H308" s="553"/>
      <c r="I308" s="549"/>
      <c r="J308" s="543"/>
    </row>
    <row r="309" spans="1:10">
      <c r="A309" s="658" t="s">
        <v>464</v>
      </c>
      <c r="B309" s="654">
        <v>93358</v>
      </c>
      <c r="C309" s="565" t="s">
        <v>436</v>
      </c>
      <c r="D309" s="566" t="s">
        <v>49</v>
      </c>
      <c r="E309" s="566">
        <f t="shared" ref="E309" si="82">TRUNC(I309,2)</f>
        <v>0</v>
      </c>
      <c r="F309" s="567">
        <f t="shared" ref="F309" si="83">J309</f>
        <v>59.97</v>
      </c>
      <c r="G309" s="566">
        <f t="shared" ref="G309" si="84">TRUNC(J309*J$17,2)</f>
        <v>76.53</v>
      </c>
      <c r="H309" s="510">
        <f t="shared" ref="H309" si="85">TRUNC(E309*G309,2)</f>
        <v>0</v>
      </c>
      <c r="I309" s="549"/>
      <c r="J309" s="543">
        <v>59.97</v>
      </c>
    </row>
    <row r="310" spans="1:10" ht="33.75">
      <c r="A310" s="592" t="s">
        <v>465</v>
      </c>
      <c r="B310" s="593">
        <v>103328</v>
      </c>
      <c r="C310" s="523" t="s">
        <v>98</v>
      </c>
      <c r="D310" s="496" t="s">
        <v>22</v>
      </c>
      <c r="E310" s="566">
        <f t="shared" ref="E310:E322" si="86">TRUNC(I310,2)</f>
        <v>18.36</v>
      </c>
      <c r="F310" s="567">
        <f t="shared" ref="F310:F322" si="87">J310</f>
        <v>73.239999999999995</v>
      </c>
      <c r="G310" s="566">
        <f t="shared" ref="G310:G322" si="88">TRUNC(J310*J$17,2)</f>
        <v>93.47</v>
      </c>
      <c r="H310" s="510">
        <f t="shared" ref="H310:H322" si="89">TRUNC(E310*G310,2)</f>
        <v>1716.1</v>
      </c>
      <c r="I310" s="46">
        <f>3.1*1.7*2+3.1*1.7*2/2+1*1.7+1*1.7/2</f>
        <v>18.36</v>
      </c>
      <c r="J310" s="543">
        <v>73.239999999999995</v>
      </c>
    </row>
    <row r="311" spans="1:10" ht="22.5">
      <c r="A311" s="592" t="s">
        <v>466</v>
      </c>
      <c r="B311" s="593">
        <v>92411</v>
      </c>
      <c r="C311" s="523" t="s">
        <v>90</v>
      </c>
      <c r="D311" s="496" t="s">
        <v>22</v>
      </c>
      <c r="E311" s="566">
        <f t="shared" si="86"/>
        <v>17.82</v>
      </c>
      <c r="F311" s="567">
        <f t="shared" si="87"/>
        <v>150.37</v>
      </c>
      <c r="G311" s="566">
        <f t="shared" si="88"/>
        <v>191.91</v>
      </c>
      <c r="H311" s="510">
        <f t="shared" si="89"/>
        <v>3419.83</v>
      </c>
      <c r="I311" s="46">
        <f>(6.2*2*0.3+1*2*0.3)*2+1.7*0.9*6</f>
        <v>17.82</v>
      </c>
      <c r="J311" s="543">
        <v>150.37</v>
      </c>
    </row>
    <row r="312" spans="1:10" ht="22.5">
      <c r="A312" s="592" t="s">
        <v>467</v>
      </c>
      <c r="B312" s="593">
        <v>94971</v>
      </c>
      <c r="C312" s="523" t="s">
        <v>70</v>
      </c>
      <c r="D312" s="496" t="s">
        <v>49</v>
      </c>
      <c r="E312" s="566">
        <f t="shared" si="86"/>
        <v>1.08</v>
      </c>
      <c r="F312" s="567">
        <f t="shared" si="87"/>
        <v>413.25</v>
      </c>
      <c r="G312" s="566">
        <f t="shared" si="88"/>
        <v>527.42999999999995</v>
      </c>
      <c r="H312" s="510">
        <f t="shared" si="89"/>
        <v>569.62</v>
      </c>
      <c r="I312" s="46">
        <f>6.2*0.15*0.3*2+4*0.15*0.3+0.15*0.3*0.5*2+1*6*0.05</f>
        <v>1.0830000000000002</v>
      </c>
      <c r="J312" s="543">
        <v>413.25</v>
      </c>
    </row>
    <row r="313" spans="1:10" ht="22.5">
      <c r="A313" s="592" t="s">
        <v>468</v>
      </c>
      <c r="B313" s="593">
        <v>92873</v>
      </c>
      <c r="C313" s="523" t="s">
        <v>446</v>
      </c>
      <c r="D313" s="496" t="s">
        <v>49</v>
      </c>
      <c r="E313" s="566">
        <f t="shared" si="86"/>
        <v>1.08</v>
      </c>
      <c r="F313" s="567">
        <f t="shared" si="87"/>
        <v>154.59</v>
      </c>
      <c r="G313" s="566">
        <f t="shared" si="88"/>
        <v>197.3</v>
      </c>
      <c r="H313" s="510">
        <f t="shared" si="89"/>
        <v>213.08</v>
      </c>
      <c r="I313" s="549">
        <f>I312</f>
        <v>1.0830000000000002</v>
      </c>
      <c r="J313" s="543">
        <v>154.59</v>
      </c>
    </row>
    <row r="314" spans="1:10" ht="33.75">
      <c r="A314" s="592" t="s">
        <v>859</v>
      </c>
      <c r="B314" s="655">
        <v>92778</v>
      </c>
      <c r="C314" s="523" t="s">
        <v>92</v>
      </c>
      <c r="D314" s="496" t="s">
        <v>78</v>
      </c>
      <c r="E314" s="566">
        <f t="shared" si="86"/>
        <v>60.64</v>
      </c>
      <c r="F314" s="567">
        <f t="shared" si="87"/>
        <v>16.38</v>
      </c>
      <c r="G314" s="566">
        <f t="shared" si="88"/>
        <v>20.9</v>
      </c>
      <c r="H314" s="510">
        <f t="shared" si="89"/>
        <v>1267.3699999999999</v>
      </c>
      <c r="I314" s="164">
        <f>I312*80*0.7</f>
        <v>60.648000000000003</v>
      </c>
      <c r="J314" s="543">
        <v>16.38</v>
      </c>
    </row>
    <row r="315" spans="1:10" ht="33.75">
      <c r="A315" s="592" t="s">
        <v>860</v>
      </c>
      <c r="B315" s="655">
        <v>92776</v>
      </c>
      <c r="C315" s="523" t="s">
        <v>449</v>
      </c>
      <c r="D315" s="496" t="s">
        <v>78</v>
      </c>
      <c r="E315" s="566">
        <f t="shared" si="86"/>
        <v>25.99</v>
      </c>
      <c r="F315" s="567">
        <f t="shared" si="87"/>
        <v>18.93</v>
      </c>
      <c r="G315" s="566">
        <f t="shared" si="88"/>
        <v>24.16</v>
      </c>
      <c r="H315" s="510">
        <f t="shared" si="89"/>
        <v>627.91</v>
      </c>
      <c r="I315" s="164">
        <f>I312*80*0.3</f>
        <v>25.992000000000004</v>
      </c>
      <c r="J315" s="543">
        <v>18.93</v>
      </c>
    </row>
    <row r="316" spans="1:10" ht="33.75">
      <c r="A316" s="592" t="s">
        <v>469</v>
      </c>
      <c r="B316" s="593">
        <v>87879</v>
      </c>
      <c r="C316" s="523" t="s">
        <v>144</v>
      </c>
      <c r="D316" s="496" t="s">
        <v>22</v>
      </c>
      <c r="E316" s="566">
        <f t="shared" si="86"/>
        <v>15.81</v>
      </c>
      <c r="F316" s="567">
        <f t="shared" si="87"/>
        <v>3.24</v>
      </c>
      <c r="G316" s="566">
        <f t="shared" si="88"/>
        <v>4.13</v>
      </c>
      <c r="H316" s="510">
        <f t="shared" si="89"/>
        <v>65.290000000000006</v>
      </c>
      <c r="I316" s="46">
        <f>3.1*1.7*2+3.1*1.7/2*2</f>
        <v>15.809999999999999</v>
      </c>
      <c r="J316" s="543">
        <v>3.24</v>
      </c>
    </row>
    <row r="317" spans="1:10" ht="45">
      <c r="A317" s="592" t="s">
        <v>470</v>
      </c>
      <c r="B317" s="593" t="s">
        <v>147</v>
      </c>
      <c r="C317" s="523" t="s">
        <v>148</v>
      </c>
      <c r="D317" s="496" t="s">
        <v>22</v>
      </c>
      <c r="E317" s="566">
        <f t="shared" si="86"/>
        <v>15.81</v>
      </c>
      <c r="F317" s="567">
        <f t="shared" si="87"/>
        <v>27.45</v>
      </c>
      <c r="G317" s="566">
        <f t="shared" si="88"/>
        <v>35.03</v>
      </c>
      <c r="H317" s="510">
        <f t="shared" si="89"/>
        <v>553.82000000000005</v>
      </c>
      <c r="I317" s="46">
        <f>3.1*1.7*2+3.1*1.7/2*2</f>
        <v>15.809999999999999</v>
      </c>
      <c r="J317" s="543">
        <v>27.45</v>
      </c>
    </row>
    <row r="318" spans="1:10" ht="22.5">
      <c r="A318" s="592" t="s">
        <v>471</v>
      </c>
      <c r="B318" s="593" t="s">
        <v>187</v>
      </c>
      <c r="C318" s="497" t="s">
        <v>188</v>
      </c>
      <c r="D318" s="496" t="s">
        <v>22</v>
      </c>
      <c r="E318" s="566">
        <f t="shared" si="86"/>
        <v>15.81</v>
      </c>
      <c r="F318" s="567">
        <f t="shared" si="87"/>
        <v>12</v>
      </c>
      <c r="G318" s="566">
        <f t="shared" si="88"/>
        <v>15.31</v>
      </c>
      <c r="H318" s="510">
        <f t="shared" si="89"/>
        <v>242.05</v>
      </c>
      <c r="I318" s="46">
        <f>3.1*1.7*2+3.1*1.7/2*2</f>
        <v>15.809999999999999</v>
      </c>
      <c r="J318" s="543">
        <v>12</v>
      </c>
    </row>
    <row r="319" spans="1:10" ht="22.5">
      <c r="A319" s="592" t="s">
        <v>472</v>
      </c>
      <c r="B319" s="593">
        <v>98563</v>
      </c>
      <c r="C319" s="497" t="s">
        <v>475</v>
      </c>
      <c r="D319" s="496" t="s">
        <v>22</v>
      </c>
      <c r="E319" s="566">
        <f t="shared" si="86"/>
        <v>5.4</v>
      </c>
      <c r="F319" s="567">
        <f t="shared" si="87"/>
        <v>27.92</v>
      </c>
      <c r="G319" s="566">
        <f t="shared" si="88"/>
        <v>35.630000000000003</v>
      </c>
      <c r="H319" s="510">
        <f t="shared" si="89"/>
        <v>192.4</v>
      </c>
      <c r="I319" s="164">
        <v>5.4</v>
      </c>
      <c r="J319" s="543">
        <v>27.92</v>
      </c>
    </row>
    <row r="320" spans="1:10" ht="22.5">
      <c r="A320" s="592" t="s">
        <v>473</v>
      </c>
      <c r="B320" s="593">
        <v>98564</v>
      </c>
      <c r="C320" s="497" t="s">
        <v>477</v>
      </c>
      <c r="D320" s="496" t="s">
        <v>22</v>
      </c>
      <c r="E320" s="566">
        <f t="shared" si="86"/>
        <v>10.41</v>
      </c>
      <c r="F320" s="567">
        <f t="shared" si="87"/>
        <v>41.69</v>
      </c>
      <c r="G320" s="566">
        <f t="shared" si="88"/>
        <v>53.2</v>
      </c>
      <c r="H320" s="510">
        <f t="shared" si="89"/>
        <v>553.80999999999995</v>
      </c>
      <c r="I320" s="164">
        <v>10.41</v>
      </c>
      <c r="J320" s="543">
        <v>41.69</v>
      </c>
    </row>
    <row r="321" spans="1:10" ht="22.5">
      <c r="A321" s="592" t="s">
        <v>474</v>
      </c>
      <c r="B321" s="593">
        <v>98553</v>
      </c>
      <c r="C321" s="497" t="s">
        <v>478</v>
      </c>
      <c r="D321" s="496" t="s">
        <v>22</v>
      </c>
      <c r="E321" s="566">
        <f t="shared" si="86"/>
        <v>15.81</v>
      </c>
      <c r="F321" s="567">
        <f t="shared" si="87"/>
        <v>100.49</v>
      </c>
      <c r="G321" s="566">
        <f t="shared" si="88"/>
        <v>128.25</v>
      </c>
      <c r="H321" s="510">
        <f t="shared" si="89"/>
        <v>2027.63</v>
      </c>
      <c r="I321" s="164">
        <f>I317</f>
        <v>15.809999999999999</v>
      </c>
      <c r="J321" s="543">
        <v>100.49</v>
      </c>
    </row>
    <row r="322" spans="1:10" ht="23.25" thickBot="1">
      <c r="A322" s="592" t="s">
        <v>476</v>
      </c>
      <c r="B322" s="659" t="s">
        <v>20</v>
      </c>
      <c r="C322" s="542" t="s">
        <v>480</v>
      </c>
      <c r="D322" s="533" t="s">
        <v>25</v>
      </c>
      <c r="E322" s="566">
        <f t="shared" si="86"/>
        <v>1</v>
      </c>
      <c r="F322" s="567">
        <f t="shared" si="87"/>
        <v>1838.74</v>
      </c>
      <c r="G322" s="566">
        <f t="shared" si="88"/>
        <v>2346.7800000000002</v>
      </c>
      <c r="H322" s="510">
        <f t="shared" si="89"/>
        <v>2346.7800000000002</v>
      </c>
      <c r="I322" s="549">
        <v>1</v>
      </c>
      <c r="J322" s="543">
        <v>1838.74</v>
      </c>
    </row>
    <row r="323" spans="1:10" ht="15" thickBot="1">
      <c r="A323" s="513"/>
      <c r="B323" s="514"/>
      <c r="C323" s="515" t="s">
        <v>26</v>
      </c>
      <c r="D323" s="514"/>
      <c r="E323" s="514"/>
      <c r="F323" s="514"/>
      <c r="G323" s="562"/>
      <c r="H323" s="563">
        <f>SUM(H309:H322)</f>
        <v>13795.69</v>
      </c>
      <c r="I323" s="547"/>
      <c r="J323" s="543"/>
    </row>
    <row r="324" spans="1:10" ht="8.25" customHeight="1" thickBot="1">
      <c r="A324" s="556"/>
      <c r="B324" s="557"/>
      <c r="C324" s="558"/>
      <c r="D324" s="559"/>
      <c r="E324" s="560"/>
      <c r="F324" s="560"/>
      <c r="G324" s="561"/>
      <c r="H324" s="534"/>
      <c r="I324" s="549"/>
      <c r="J324" s="543"/>
    </row>
    <row r="325" spans="1:10" ht="15" thickBot="1">
      <c r="A325" s="513" t="s">
        <v>481</v>
      </c>
      <c r="B325" s="514"/>
      <c r="C325" s="515" t="s">
        <v>482</v>
      </c>
      <c r="D325" s="515"/>
      <c r="E325" s="514"/>
      <c r="F325" s="514"/>
      <c r="G325" s="515"/>
      <c r="H325" s="553"/>
      <c r="I325" s="549"/>
      <c r="J325" s="543"/>
    </row>
    <row r="326" spans="1:10" ht="15" thickBot="1">
      <c r="A326" s="660" t="s">
        <v>483</v>
      </c>
      <c r="B326" s="661">
        <v>99803</v>
      </c>
      <c r="C326" s="554" t="s">
        <v>484</v>
      </c>
      <c r="D326" s="555" t="s">
        <v>22</v>
      </c>
      <c r="E326" s="496">
        <f t="shared" ref="E326" si="90">TRUNC(I326,2)</f>
        <v>300.81</v>
      </c>
      <c r="F326" s="498">
        <f t="shared" ref="F326" si="91">J326</f>
        <v>1.47</v>
      </c>
      <c r="G326" s="496">
        <f t="shared" ref="G326" si="92">TRUNC(J326*J$17,2)</f>
        <v>1.87</v>
      </c>
      <c r="H326" s="510">
        <f t="shared" ref="H326" si="93">TRUNC(E326*G326,2)</f>
        <v>562.51</v>
      </c>
      <c r="I326" s="549">
        <f>I107</f>
        <v>300.81</v>
      </c>
      <c r="J326" s="543">
        <v>1.47</v>
      </c>
    </row>
    <row r="327" spans="1:10" ht="15" thickBot="1">
      <c r="A327" s="513"/>
      <c r="B327" s="515"/>
      <c r="C327" s="515" t="s">
        <v>26</v>
      </c>
      <c r="D327" s="515"/>
      <c r="E327" s="515"/>
      <c r="F327" s="552"/>
      <c r="G327" s="564"/>
      <c r="H327" s="563">
        <f>SUM(H326:H326)</f>
        <v>562.51</v>
      </c>
      <c r="I327" s="547"/>
      <c r="J327" s="543"/>
    </row>
    <row r="328" spans="1:10" ht="10.5" customHeight="1" thickBot="1">
      <c r="A328" s="101"/>
      <c r="B328" s="165"/>
      <c r="C328" s="161"/>
      <c r="D328" s="104"/>
      <c r="E328" s="60"/>
      <c r="F328" s="60"/>
      <c r="G328" s="61"/>
      <c r="I328" s="547"/>
      <c r="J328" s="543"/>
    </row>
    <row r="329" spans="1:10" ht="15" thickBot="1">
      <c r="A329" s="20"/>
      <c r="B329" s="21"/>
      <c r="C329" s="21" t="s">
        <v>485</v>
      </c>
      <c r="D329" s="21"/>
      <c r="E329" s="21"/>
      <c r="F329" s="22"/>
      <c r="G329" s="21"/>
      <c r="H329" s="516">
        <f>SUM(H22:H327)/2</f>
        <v>588612.00999999989</v>
      </c>
      <c r="I329" s="547"/>
      <c r="J329" s="543"/>
    </row>
    <row r="331" spans="1:10" ht="31.5">
      <c r="B331" s="166"/>
      <c r="C331" s="166" t="s">
        <v>857</v>
      </c>
      <c r="D331" s="166"/>
      <c r="E331" s="166"/>
      <c r="F331" s="166"/>
      <c r="G331" s="166"/>
    </row>
  </sheetData>
  <mergeCells count="9">
    <mergeCell ref="E18:H18"/>
    <mergeCell ref="E19:H19"/>
    <mergeCell ref="A13:H13"/>
    <mergeCell ref="E14:H14"/>
    <mergeCell ref="A15:C15"/>
    <mergeCell ref="A16:C16"/>
    <mergeCell ref="E16:H16"/>
    <mergeCell ref="A17:C17"/>
    <mergeCell ref="E17:H17"/>
  </mergeCells>
  <pageMargins left="0.35433070866141736" right="0.15748031496062992" top="1.299212598425197" bottom="1.0236220472440944" header="1.0236220472440944" footer="0.74803149606299213"/>
  <pageSetup paperSize="9" scale="70" fitToWidth="0" fitToHeight="0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73"/>
  <sheetViews>
    <sheetView topLeftCell="B4" zoomScale="142" zoomScaleNormal="142" workbookViewId="0">
      <selection activeCell="Q54" sqref="Q54"/>
    </sheetView>
  </sheetViews>
  <sheetFormatPr defaultColWidth="8.375" defaultRowHeight="14.25"/>
  <cols>
    <col min="1" max="1" width="4.75" customWidth="1"/>
    <col min="2" max="2" width="20" customWidth="1"/>
    <col min="3" max="3" width="5.625" style="236" customWidth="1"/>
    <col min="4" max="4" width="8" style="9" customWidth="1"/>
    <col min="5" max="5" width="5.5" style="17" customWidth="1"/>
    <col min="6" max="6" width="9.5" style="9" customWidth="1"/>
    <col min="7" max="7" width="5.625" style="174" customWidth="1"/>
    <col min="8" max="8" width="7.375" style="7" customWidth="1"/>
    <col min="9" max="9" width="6.625" style="7" customWidth="1"/>
    <col min="10" max="10" width="7.375" style="7" customWidth="1"/>
    <col min="11" max="11" width="4.875" style="7" customWidth="1"/>
    <col min="12" max="12" width="7.375" style="7" customWidth="1"/>
    <col min="13" max="13" width="5.25" style="174" customWidth="1"/>
    <col min="14" max="14" width="7.25" style="7" customWidth="1"/>
    <col min="15" max="15" width="5.5" style="174" customWidth="1"/>
    <col min="16" max="16" width="7.875" style="7" customWidth="1"/>
    <col min="17" max="17" width="8.625" style="9" customWidth="1"/>
    <col min="18" max="18" width="8.375" customWidth="1"/>
    <col min="19" max="19" width="13.375" style="211" customWidth="1"/>
    <col min="20" max="20" width="8.5" style="171" customWidth="1"/>
  </cols>
  <sheetData>
    <row r="1" spans="1:20">
      <c r="A1" s="7"/>
      <c r="B1" s="7"/>
      <c r="C1" s="7"/>
      <c r="D1" s="7"/>
      <c r="E1" s="40"/>
      <c r="F1" s="7"/>
      <c r="G1" s="168"/>
      <c r="H1" s="169"/>
      <c r="I1" s="169"/>
      <c r="J1" s="169"/>
      <c r="K1" s="169"/>
      <c r="L1" s="169"/>
      <c r="M1" s="168"/>
      <c r="N1" s="169"/>
      <c r="O1" s="168"/>
      <c r="P1" s="169"/>
      <c r="S1" s="170"/>
    </row>
    <row r="2" spans="1:20">
      <c r="A2" s="7"/>
      <c r="B2" s="7"/>
      <c r="C2" s="7"/>
      <c r="D2" s="7"/>
      <c r="E2" s="40"/>
      <c r="F2" s="7"/>
      <c r="G2" s="168"/>
      <c r="H2" s="169"/>
      <c r="I2" s="169"/>
      <c r="J2" s="169"/>
      <c r="K2" s="169"/>
      <c r="L2" s="169"/>
      <c r="M2" s="168"/>
      <c r="N2" s="169"/>
      <c r="O2" s="168"/>
      <c r="P2" s="169"/>
      <c r="S2" s="170"/>
    </row>
    <row r="3" spans="1:20">
      <c r="A3" s="7"/>
      <c r="B3" s="7"/>
      <c r="C3" s="7"/>
      <c r="D3" s="7"/>
      <c r="E3" s="40"/>
      <c r="F3" s="7"/>
      <c r="G3" s="168"/>
      <c r="H3" s="169"/>
      <c r="I3" s="169"/>
      <c r="J3" s="169"/>
      <c r="K3" s="169"/>
      <c r="L3" s="169"/>
      <c r="M3" s="168"/>
      <c r="N3" s="169"/>
      <c r="O3" s="168"/>
      <c r="P3" s="169"/>
      <c r="S3" s="170"/>
    </row>
    <row r="4" spans="1:20">
      <c r="A4" s="7"/>
      <c r="B4" s="7"/>
      <c r="C4" s="7"/>
      <c r="D4" s="7"/>
      <c r="E4" s="40"/>
      <c r="F4" s="7"/>
      <c r="G4" s="168"/>
      <c r="H4" s="169"/>
      <c r="I4" s="169"/>
      <c r="J4" s="169"/>
      <c r="K4" s="169"/>
      <c r="L4" s="169"/>
      <c r="M4" s="168"/>
      <c r="N4" s="169"/>
      <c r="O4" s="168"/>
      <c r="P4" s="169"/>
      <c r="S4" s="170"/>
    </row>
    <row r="5" spans="1:20" ht="15">
      <c r="A5" s="7"/>
      <c r="B5" s="7"/>
      <c r="C5" s="7"/>
      <c r="D5" s="7"/>
      <c r="E5" s="40"/>
      <c r="F5" s="7"/>
      <c r="G5" s="168"/>
      <c r="H5" s="172"/>
      <c r="I5" s="172"/>
      <c r="J5" s="172"/>
      <c r="K5" s="172"/>
      <c r="L5" s="172"/>
      <c r="M5" s="173"/>
      <c r="N5" s="172"/>
      <c r="O5" s="173"/>
      <c r="P5" s="172"/>
      <c r="S5" s="170"/>
    </row>
    <row r="6" spans="1:20" ht="15">
      <c r="A6" s="7"/>
      <c r="B6" s="7"/>
      <c r="C6" s="7"/>
      <c r="D6" s="7"/>
      <c r="E6" s="40"/>
      <c r="F6" s="7"/>
      <c r="H6" s="172"/>
      <c r="I6" s="172"/>
      <c r="J6" s="172"/>
      <c r="K6" s="172"/>
      <c r="L6" s="172"/>
      <c r="M6" s="173"/>
      <c r="N6" s="172"/>
      <c r="O6" s="173"/>
      <c r="P6" s="172"/>
      <c r="S6" s="170"/>
    </row>
    <row r="7" spans="1:20" ht="7.5" customHeight="1">
      <c r="A7" s="18"/>
      <c r="B7" s="18"/>
      <c r="C7" s="18"/>
      <c r="D7" s="18"/>
      <c r="E7" s="175"/>
      <c r="F7" s="18"/>
      <c r="S7" s="170"/>
    </row>
    <row r="8" spans="1:20" ht="18.75" customHeight="1">
      <c r="A8" s="18"/>
      <c r="B8" s="18"/>
      <c r="C8" s="669" t="s">
        <v>486</v>
      </c>
      <c r="D8" s="669"/>
      <c r="E8" s="669"/>
      <c r="F8" s="669"/>
      <c r="G8" s="669"/>
      <c r="H8" s="669"/>
      <c r="I8" s="669"/>
      <c r="J8" s="669"/>
      <c r="K8" s="669"/>
      <c r="L8" s="669"/>
      <c r="M8" s="669"/>
      <c r="N8" s="669"/>
      <c r="O8" s="669"/>
      <c r="P8" s="669"/>
      <c r="S8" s="170"/>
    </row>
    <row r="9" spans="1:20" ht="7.5" customHeight="1">
      <c r="A9" s="18"/>
      <c r="B9" s="18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6"/>
      <c r="S9" s="170"/>
    </row>
    <row r="10" spans="1:20" ht="15.75" thickBot="1">
      <c r="B10" s="178" t="s">
        <v>487</v>
      </c>
      <c r="C10" s="178"/>
      <c r="D10" s="179"/>
      <c r="E10" s="180"/>
      <c r="F10" s="179"/>
      <c r="G10" s="181"/>
      <c r="H10" s="179"/>
      <c r="I10" s="179"/>
      <c r="J10" s="179"/>
      <c r="K10" s="179"/>
      <c r="L10" s="179"/>
      <c r="M10" s="181"/>
      <c r="N10" s="179"/>
      <c r="O10" s="181"/>
      <c r="P10" s="179"/>
      <c r="S10" s="170"/>
    </row>
    <row r="11" spans="1:20" ht="15">
      <c r="A11" s="182"/>
      <c r="B11" s="183" t="s">
        <v>488</v>
      </c>
      <c r="C11" s="184"/>
      <c r="D11" s="185"/>
      <c r="E11" s="186"/>
      <c r="F11" s="185"/>
      <c r="G11" s="187"/>
      <c r="H11" s="188"/>
      <c r="I11" s="188"/>
      <c r="J11" s="188"/>
      <c r="K11" s="188"/>
      <c r="L11" s="188"/>
      <c r="M11" s="187"/>
      <c r="N11" s="188" t="s">
        <v>826</v>
      </c>
      <c r="O11" s="187"/>
      <c r="P11" s="188"/>
      <c r="Q11" s="189"/>
      <c r="S11" s="170"/>
    </row>
    <row r="12" spans="1:20" ht="15">
      <c r="A12" s="190"/>
      <c r="B12" s="179" t="s">
        <v>825</v>
      </c>
      <c r="C12" s="179"/>
      <c r="D12" s="179"/>
      <c r="E12" s="180"/>
      <c r="F12" s="179"/>
      <c r="G12" s="181"/>
      <c r="H12" s="179"/>
      <c r="I12" s="179"/>
      <c r="J12" s="179"/>
      <c r="K12" s="179"/>
      <c r="L12" s="179"/>
      <c r="M12" s="7"/>
      <c r="N12" s="7" t="s">
        <v>2</v>
      </c>
      <c r="O12" s="7"/>
      <c r="P12" s="179"/>
      <c r="Q12" s="191"/>
      <c r="S12" s="170"/>
    </row>
    <row r="13" spans="1:20" ht="9" customHeight="1" thickBot="1">
      <c r="A13" s="192"/>
      <c r="B13" s="169"/>
      <c r="C13" s="169"/>
      <c r="D13" s="169"/>
      <c r="E13" s="40"/>
      <c r="F13" s="169"/>
      <c r="Q13" s="191"/>
      <c r="S13" s="170"/>
    </row>
    <row r="14" spans="1:20" s="194" customFormat="1" ht="13.5" thickBot="1">
      <c r="A14" s="670" t="s">
        <v>3</v>
      </c>
      <c r="B14" s="671" t="s">
        <v>489</v>
      </c>
      <c r="C14" s="193" t="s">
        <v>490</v>
      </c>
      <c r="D14" s="672" t="s">
        <v>491</v>
      </c>
      <c r="E14" s="673" t="s">
        <v>492</v>
      </c>
      <c r="F14" s="673"/>
      <c r="G14" s="673"/>
      <c r="H14" s="673"/>
      <c r="I14" s="673"/>
      <c r="J14" s="673"/>
      <c r="K14" s="673"/>
      <c r="L14" s="673"/>
      <c r="M14" s="673"/>
      <c r="N14" s="673"/>
      <c r="O14" s="673"/>
      <c r="P14" s="673"/>
      <c r="Q14" s="667" t="s">
        <v>493</v>
      </c>
      <c r="S14" s="27"/>
      <c r="T14" s="195"/>
    </row>
    <row r="15" spans="1:20" s="194" customFormat="1" ht="13.5" thickBot="1">
      <c r="A15" s="670"/>
      <c r="B15" s="671"/>
      <c r="C15" s="196" t="s">
        <v>3</v>
      </c>
      <c r="D15" s="672"/>
      <c r="E15" s="197" t="s">
        <v>490</v>
      </c>
      <c r="F15" s="198" t="s">
        <v>494</v>
      </c>
      <c r="G15" s="199" t="s">
        <v>490</v>
      </c>
      <c r="H15" s="200" t="s">
        <v>495</v>
      </c>
      <c r="I15" s="201" t="s">
        <v>490</v>
      </c>
      <c r="J15" s="200" t="s">
        <v>496</v>
      </c>
      <c r="K15" s="201" t="s">
        <v>490</v>
      </c>
      <c r="L15" s="200" t="s">
        <v>497</v>
      </c>
      <c r="M15" s="201" t="s">
        <v>490</v>
      </c>
      <c r="N15" s="200" t="s">
        <v>498</v>
      </c>
      <c r="O15" s="201" t="s">
        <v>490</v>
      </c>
      <c r="P15" s="200" t="s">
        <v>499</v>
      </c>
      <c r="Q15" s="667"/>
      <c r="S15" s="27"/>
      <c r="T15" s="195"/>
    </row>
    <row r="16" spans="1:20" s="210" customFormat="1" ht="4.5" customHeight="1">
      <c r="A16" s="202"/>
      <c r="B16" s="203"/>
      <c r="C16" s="204"/>
      <c r="D16" s="205"/>
      <c r="E16" s="206"/>
      <c r="F16" s="207"/>
      <c r="G16" s="208"/>
      <c r="H16" s="207"/>
      <c r="I16" s="207"/>
      <c r="J16" s="207"/>
      <c r="K16" s="207"/>
      <c r="L16" s="207"/>
      <c r="M16" s="208"/>
      <c r="N16" s="207"/>
      <c r="O16" s="208"/>
      <c r="P16" s="207"/>
      <c r="Q16" s="209"/>
      <c r="S16" s="211"/>
      <c r="T16" s="204"/>
    </row>
    <row r="17" spans="1:21" s="210" customFormat="1" ht="12.75">
      <c r="A17" s="212" t="s">
        <v>10</v>
      </c>
      <c r="B17" s="213" t="str">
        <f>orcam!C21</f>
        <v>SERVIÇOS PRELIMINARES</v>
      </c>
      <c r="C17" s="214">
        <f>D17/D53</f>
        <v>5.3369994947945434E-2</v>
      </c>
      <c r="D17" s="213">
        <f>orcam!H26</f>
        <v>31414.22</v>
      </c>
      <c r="E17" s="215">
        <v>0.16</v>
      </c>
      <c r="F17" s="216">
        <f>E17*D17</f>
        <v>5026.2752</v>
      </c>
      <c r="G17" s="215">
        <v>0.16</v>
      </c>
      <c r="H17" s="216">
        <f>G17*D17</f>
        <v>5026.2752</v>
      </c>
      <c r="I17" s="215">
        <v>0.16</v>
      </c>
      <c r="J17" s="216">
        <f>I17*D17</f>
        <v>5026.2752</v>
      </c>
      <c r="K17" s="215">
        <v>0.16</v>
      </c>
      <c r="L17" s="216">
        <f>K17*D17</f>
        <v>5026.2752</v>
      </c>
      <c r="M17" s="215">
        <v>0.16</v>
      </c>
      <c r="N17" s="216">
        <f>M17*D17</f>
        <v>5026.2752</v>
      </c>
      <c r="O17" s="217">
        <v>0.2</v>
      </c>
      <c r="P17" s="216">
        <f>O17*D17</f>
        <v>6282.844000000001</v>
      </c>
      <c r="Q17" s="218">
        <f>F17+H17+J17+L17+N17+P17</f>
        <v>31414.22</v>
      </c>
      <c r="S17" s="7"/>
      <c r="T17" s="204"/>
    </row>
    <row r="18" spans="1:21" s="210" customFormat="1" ht="6" customHeight="1">
      <c r="A18" s="212"/>
      <c r="B18" s="213"/>
      <c r="C18" s="214"/>
      <c r="D18" s="213"/>
      <c r="E18" s="219"/>
      <c r="F18" s="220"/>
      <c r="G18" s="219"/>
      <c r="H18" s="220"/>
      <c r="I18" s="220"/>
      <c r="J18" s="220"/>
      <c r="K18" s="219"/>
      <c r="L18" s="220"/>
      <c r="M18" s="220"/>
      <c r="N18" s="220"/>
      <c r="O18" s="221"/>
      <c r="P18" s="220"/>
      <c r="Q18" s="218"/>
      <c r="S18" s="7"/>
      <c r="T18" s="204"/>
    </row>
    <row r="19" spans="1:21" s="210" customFormat="1" ht="12.75">
      <c r="A19" s="222" t="s">
        <v>27</v>
      </c>
      <c r="B19" s="213" t="str">
        <f>orcam!C28</f>
        <v>RETIRADAS E DEMOLIÇÕES</v>
      </c>
      <c r="C19" s="214">
        <f>D19/D53</f>
        <v>1.6335633382675966E-2</v>
      </c>
      <c r="D19" s="213">
        <f>orcam!H42</f>
        <v>9615.3499999999985</v>
      </c>
      <c r="E19" s="215">
        <v>1</v>
      </c>
      <c r="F19" s="223">
        <f>E19*D19</f>
        <v>9615.3499999999985</v>
      </c>
      <c r="G19" s="224">
        <v>0</v>
      </c>
      <c r="H19" s="223">
        <f>G19*D19</f>
        <v>0</v>
      </c>
      <c r="I19" s="224">
        <v>0</v>
      </c>
      <c r="J19" s="223">
        <f>I19*D19</f>
        <v>0</v>
      </c>
      <c r="K19" s="215">
        <v>0</v>
      </c>
      <c r="L19" s="216">
        <f>K19*D19</f>
        <v>0</v>
      </c>
      <c r="M19" s="215">
        <v>0</v>
      </c>
      <c r="N19" s="223">
        <f>M19*D19</f>
        <v>0</v>
      </c>
      <c r="O19" s="225">
        <v>0</v>
      </c>
      <c r="P19" s="223">
        <f>O19*D19</f>
        <v>0</v>
      </c>
      <c r="Q19" s="218">
        <f>F19+H19+J19+L19+N19+P19</f>
        <v>9615.3499999999985</v>
      </c>
      <c r="S19" s="7"/>
      <c r="T19" s="204"/>
    </row>
    <row r="20" spans="1:21" s="210" customFormat="1" ht="6" customHeight="1">
      <c r="A20" s="212"/>
      <c r="B20" s="213"/>
      <c r="C20" s="214"/>
      <c r="D20" s="213"/>
      <c r="E20" s="219"/>
      <c r="F20" s="220"/>
      <c r="G20" s="224"/>
      <c r="H20" s="223"/>
      <c r="I20" s="223"/>
      <c r="J20" s="223"/>
      <c r="K20" s="215"/>
      <c r="L20" s="216"/>
      <c r="M20" s="223"/>
      <c r="N20" s="223"/>
      <c r="O20" s="225"/>
      <c r="P20" s="223"/>
      <c r="Q20" s="218"/>
      <c r="S20" s="7"/>
      <c r="T20" s="204"/>
    </row>
    <row r="21" spans="1:21" s="210" customFormat="1" ht="12.75">
      <c r="A21" s="222" t="s">
        <v>59</v>
      </c>
      <c r="B21" s="213" t="str">
        <f>orcam!C44</f>
        <v>MOVIMENTO DE TERRA</v>
      </c>
      <c r="C21" s="214">
        <f>D21/D53</f>
        <v>4.675066008252194E-4</v>
      </c>
      <c r="D21" s="213">
        <f>orcam!H47</f>
        <v>275.18</v>
      </c>
      <c r="E21" s="215">
        <v>1</v>
      </c>
      <c r="F21" s="223">
        <f>E21*D21</f>
        <v>275.18</v>
      </c>
      <c r="G21" s="224">
        <v>0</v>
      </c>
      <c r="H21" s="223">
        <f>G21*D21</f>
        <v>0</v>
      </c>
      <c r="I21" s="224">
        <v>0</v>
      </c>
      <c r="J21" s="223">
        <f>I21*D21</f>
        <v>0</v>
      </c>
      <c r="K21" s="215">
        <v>0</v>
      </c>
      <c r="L21" s="216">
        <f>K21*D21</f>
        <v>0</v>
      </c>
      <c r="M21" s="215">
        <v>0</v>
      </c>
      <c r="N21" s="223">
        <f>M21*D21</f>
        <v>0</v>
      </c>
      <c r="O21" s="225">
        <v>0</v>
      </c>
      <c r="P21" s="223">
        <f>O21*D21</f>
        <v>0</v>
      </c>
      <c r="Q21" s="218">
        <f>F21+H21+J21+L21+N21+P21</f>
        <v>275.18</v>
      </c>
      <c r="S21" s="7"/>
      <c r="T21" s="204"/>
    </row>
    <row r="22" spans="1:21" s="210" customFormat="1" ht="6" customHeight="1">
      <c r="A22" s="212"/>
      <c r="B22" s="213"/>
      <c r="C22" s="214"/>
      <c r="D22" s="213"/>
      <c r="E22" s="219"/>
      <c r="F22" s="220"/>
      <c r="G22" s="224"/>
      <c r="H22" s="223"/>
      <c r="I22" s="223"/>
      <c r="J22" s="223"/>
      <c r="K22" s="215"/>
      <c r="L22" s="216"/>
      <c r="M22" s="223"/>
      <c r="N22" s="223"/>
      <c r="O22" s="225"/>
      <c r="P22" s="223"/>
      <c r="Q22" s="218"/>
      <c r="S22" s="7"/>
      <c r="T22" s="204"/>
    </row>
    <row r="23" spans="1:21" s="210" customFormat="1" ht="13.5" customHeight="1">
      <c r="A23" s="212" t="s">
        <v>65</v>
      </c>
      <c r="B23" s="213" t="str">
        <f>orcam!C49</f>
        <v>FUNDAÇÕES</v>
      </c>
      <c r="C23" s="214">
        <f>D23/D53</f>
        <v>7.9844616150458788E-3</v>
      </c>
      <c r="D23" s="213">
        <f>orcam!H57</f>
        <v>4699.75</v>
      </c>
      <c r="E23" s="215">
        <v>0.4</v>
      </c>
      <c r="F23" s="223">
        <f>E23*D23</f>
        <v>1879.9</v>
      </c>
      <c r="G23" s="224">
        <v>0.6</v>
      </c>
      <c r="H23" s="223">
        <f>G23*D23</f>
        <v>2819.85</v>
      </c>
      <c r="I23" s="224">
        <v>0</v>
      </c>
      <c r="J23" s="223">
        <f>I23*D23</f>
        <v>0</v>
      </c>
      <c r="K23" s="215">
        <v>0</v>
      </c>
      <c r="L23" s="216">
        <f>K23*D23</f>
        <v>0</v>
      </c>
      <c r="M23" s="215">
        <v>0</v>
      </c>
      <c r="N23" s="223">
        <f>M23*D23</f>
        <v>0</v>
      </c>
      <c r="O23" s="225">
        <v>0</v>
      </c>
      <c r="P23" s="223">
        <f>O23*D23</f>
        <v>0</v>
      </c>
      <c r="Q23" s="218">
        <f>F23+H23+J23+L23+N23+P23</f>
        <v>4699.75</v>
      </c>
      <c r="S23" s="7"/>
      <c r="T23" s="204"/>
    </row>
    <row r="24" spans="1:21" s="210" customFormat="1" ht="6" customHeight="1">
      <c r="A24" s="212"/>
      <c r="B24" s="213"/>
      <c r="C24" s="214"/>
      <c r="D24" s="213"/>
      <c r="E24" s="219"/>
      <c r="F24" s="220"/>
      <c r="G24" s="219"/>
      <c r="H24" s="220"/>
      <c r="I24" s="223"/>
      <c r="J24" s="223"/>
      <c r="K24" s="215"/>
      <c r="L24" s="216"/>
      <c r="M24" s="223"/>
      <c r="N24" s="223"/>
      <c r="O24" s="225"/>
      <c r="P24" s="223"/>
      <c r="Q24" s="218"/>
      <c r="S24" s="7"/>
      <c r="T24" s="204"/>
    </row>
    <row r="25" spans="1:21" s="210" customFormat="1" ht="12.75">
      <c r="A25" s="222" t="s">
        <v>83</v>
      </c>
      <c r="B25" s="213" t="str">
        <f>orcam!C59</f>
        <v>ESTRUTURA</v>
      </c>
      <c r="C25" s="214">
        <f>D25/D53</f>
        <v>1.4924364183462721E-2</v>
      </c>
      <c r="D25" s="213">
        <f>orcam!H66</f>
        <v>8784.66</v>
      </c>
      <c r="E25" s="215">
        <v>0</v>
      </c>
      <c r="F25" s="223">
        <f>E25*D25</f>
        <v>0</v>
      </c>
      <c r="G25" s="224">
        <v>0.2</v>
      </c>
      <c r="H25" s="223">
        <f>G25*D25</f>
        <v>1756.932</v>
      </c>
      <c r="I25" s="224">
        <v>0.4</v>
      </c>
      <c r="J25" s="223">
        <f>I25*D25</f>
        <v>3513.864</v>
      </c>
      <c r="K25" s="215">
        <v>0.4</v>
      </c>
      <c r="L25" s="216">
        <f>K25*D25</f>
        <v>3513.864</v>
      </c>
      <c r="M25" s="215">
        <v>0</v>
      </c>
      <c r="N25" s="223">
        <f>M25*D25</f>
        <v>0</v>
      </c>
      <c r="O25" s="225">
        <v>0</v>
      </c>
      <c r="P25" s="223">
        <f>O25*D25</f>
        <v>0</v>
      </c>
      <c r="Q25" s="218">
        <f>F25+H25+J25+L25+N25+P25</f>
        <v>8784.66</v>
      </c>
      <c r="S25" s="7"/>
      <c r="T25" s="204"/>
      <c r="U25" s="210">
        <f>100/6</f>
        <v>16.666666666666668</v>
      </c>
    </row>
    <row r="26" spans="1:21" s="210" customFormat="1" ht="6" customHeight="1">
      <c r="A26" s="212"/>
      <c r="B26" s="213"/>
      <c r="C26" s="214"/>
      <c r="D26" s="213"/>
      <c r="E26" s="215"/>
      <c r="F26" s="223"/>
      <c r="G26" s="224"/>
      <c r="H26" s="223"/>
      <c r="I26" s="223"/>
      <c r="J26" s="223"/>
      <c r="K26" s="215"/>
      <c r="L26" s="216"/>
      <c r="M26" s="224"/>
      <c r="N26" s="223"/>
      <c r="O26" s="225"/>
      <c r="P26" s="223"/>
      <c r="Q26" s="218"/>
      <c r="S26" s="7"/>
      <c r="T26" s="204"/>
    </row>
    <row r="27" spans="1:21" s="210" customFormat="1" ht="12.75">
      <c r="A27" s="222" t="s">
        <v>95</v>
      </c>
      <c r="B27" s="213" t="str">
        <f>orcam!C68</f>
        <v>ALVENARIA</v>
      </c>
      <c r="C27" s="214">
        <f>D27/D53</f>
        <v>2.7973945010058496E-2</v>
      </c>
      <c r="D27" s="213">
        <f>orcam!H72</f>
        <v>16465.8</v>
      </c>
      <c r="E27" s="215">
        <v>0</v>
      </c>
      <c r="F27" s="223">
        <f>E27*D27</f>
        <v>0</v>
      </c>
      <c r="G27" s="224">
        <v>0.2</v>
      </c>
      <c r="H27" s="223">
        <f>G27*D27</f>
        <v>3293.16</v>
      </c>
      <c r="I27" s="224">
        <v>0.4</v>
      </c>
      <c r="J27" s="223">
        <f>I27*D27</f>
        <v>6586.32</v>
      </c>
      <c r="K27" s="215">
        <v>0.4</v>
      </c>
      <c r="L27" s="216">
        <f>K27*D27</f>
        <v>6586.32</v>
      </c>
      <c r="M27" s="215">
        <v>0</v>
      </c>
      <c r="N27" s="223">
        <f>M27*D27</f>
        <v>0</v>
      </c>
      <c r="O27" s="225">
        <v>0</v>
      </c>
      <c r="P27" s="223">
        <f>O27*D27</f>
        <v>0</v>
      </c>
      <c r="Q27" s="218">
        <f>F27+H27+J27+L27+N27+P27</f>
        <v>16465.8</v>
      </c>
      <c r="S27" s="7"/>
      <c r="T27" s="204"/>
    </row>
    <row r="28" spans="1:21" s="210" customFormat="1" ht="6" customHeight="1">
      <c r="A28" s="212"/>
      <c r="B28" s="213"/>
      <c r="C28" s="214"/>
      <c r="D28" s="213"/>
      <c r="E28" s="215"/>
      <c r="F28" s="223"/>
      <c r="G28" s="219"/>
      <c r="H28" s="220"/>
      <c r="I28" s="220"/>
      <c r="J28" s="220"/>
      <c r="K28" s="219"/>
      <c r="L28" s="216"/>
      <c r="M28" s="224"/>
      <c r="N28" s="223"/>
      <c r="O28" s="225"/>
      <c r="P28" s="223"/>
      <c r="Q28" s="218"/>
      <c r="S28" s="7"/>
      <c r="T28" s="204"/>
    </row>
    <row r="29" spans="1:21" s="210" customFormat="1" ht="12.75">
      <c r="A29" s="222" t="s">
        <v>104</v>
      </c>
      <c r="B29" s="213" t="str">
        <f>orcam!C74</f>
        <v>COBERTURA</v>
      </c>
      <c r="C29" s="214">
        <f>D29/D53</f>
        <v>0.29551851991603101</v>
      </c>
      <c r="D29" s="213">
        <f>orcam!H82</f>
        <v>173945.75</v>
      </c>
      <c r="E29" s="215">
        <v>0</v>
      </c>
      <c r="F29" s="223">
        <f>E29*D29</f>
        <v>0</v>
      </c>
      <c r="G29" s="224">
        <v>0</v>
      </c>
      <c r="H29" s="223">
        <f>G29*D29</f>
        <v>0</v>
      </c>
      <c r="I29" s="224">
        <v>0.5</v>
      </c>
      <c r="J29" s="223">
        <f>I29*D29</f>
        <v>86972.875</v>
      </c>
      <c r="K29" s="215">
        <v>0.5</v>
      </c>
      <c r="L29" s="216">
        <f>K29*D29</f>
        <v>86972.875</v>
      </c>
      <c r="M29" s="215">
        <v>0</v>
      </c>
      <c r="N29" s="223">
        <f>M29*D29</f>
        <v>0</v>
      </c>
      <c r="O29" s="225">
        <v>0</v>
      </c>
      <c r="P29" s="223">
        <f>O29*D29</f>
        <v>0</v>
      </c>
      <c r="Q29" s="218">
        <f>F29+H29+J29+L29+N29+P29</f>
        <v>173945.75</v>
      </c>
      <c r="S29" s="7"/>
      <c r="T29" s="204"/>
    </row>
    <row r="30" spans="1:21" s="210" customFormat="1" ht="6" customHeight="1">
      <c r="A30" s="212"/>
      <c r="B30" s="213"/>
      <c r="C30" s="214"/>
      <c r="D30" s="213"/>
      <c r="E30" s="215"/>
      <c r="F30" s="223"/>
      <c r="G30" s="224"/>
      <c r="H30" s="223"/>
      <c r="I30" s="220"/>
      <c r="J30" s="220"/>
      <c r="K30" s="219"/>
      <c r="L30" s="216"/>
      <c r="M30" s="224"/>
      <c r="N30" s="223"/>
      <c r="O30" s="225"/>
      <c r="P30" s="223"/>
      <c r="Q30" s="218"/>
      <c r="S30" s="7"/>
      <c r="T30" s="204"/>
    </row>
    <row r="31" spans="1:21" s="210" customFormat="1" ht="12.75">
      <c r="A31" s="212" t="s">
        <v>118</v>
      </c>
      <c r="B31" s="213" t="str">
        <f>orcam!C84</f>
        <v>ESQUDRIAS</v>
      </c>
      <c r="C31" s="214">
        <f>D31/D53</f>
        <v>8.3112847119786101E-2</v>
      </c>
      <c r="D31" s="213">
        <f>orcam!H96</f>
        <v>48921.22</v>
      </c>
      <c r="E31" s="215">
        <v>0</v>
      </c>
      <c r="F31" s="223">
        <f>E31*D31</f>
        <v>0</v>
      </c>
      <c r="G31" s="224">
        <v>0</v>
      </c>
      <c r="H31" s="223">
        <f>G31*D31</f>
        <v>0</v>
      </c>
      <c r="I31" s="224">
        <v>0.2</v>
      </c>
      <c r="J31" s="223">
        <f>I31*D31</f>
        <v>9784.2440000000006</v>
      </c>
      <c r="K31" s="215">
        <v>0.4</v>
      </c>
      <c r="L31" s="216">
        <f>K31*D31</f>
        <v>19568.488000000001</v>
      </c>
      <c r="M31" s="215">
        <v>0.4</v>
      </c>
      <c r="N31" s="223">
        <f>M31*D31</f>
        <v>19568.488000000001</v>
      </c>
      <c r="O31" s="225">
        <v>0</v>
      </c>
      <c r="P31" s="223">
        <f>O31*D31</f>
        <v>0</v>
      </c>
      <c r="Q31" s="218">
        <f>F31+H31+J31+L31+N31+P31</f>
        <v>48921.22</v>
      </c>
      <c r="S31" s="7"/>
      <c r="T31" s="204"/>
    </row>
    <row r="32" spans="1:21" s="210" customFormat="1" ht="6" customHeight="1">
      <c r="A32" s="212"/>
      <c r="B32" s="213"/>
      <c r="C32" s="214"/>
      <c r="D32" s="213"/>
      <c r="E32" s="215"/>
      <c r="F32" s="223"/>
      <c r="G32" s="224"/>
      <c r="H32" s="223"/>
      <c r="I32" s="226"/>
      <c r="J32" s="226"/>
      <c r="K32" s="227"/>
      <c r="L32" s="226"/>
      <c r="M32" s="227"/>
      <c r="N32" s="226"/>
      <c r="O32" s="225"/>
      <c r="P32" s="223"/>
      <c r="Q32" s="218"/>
      <c r="S32" s="7"/>
      <c r="T32" s="204"/>
    </row>
    <row r="33" spans="1:20" s="210" customFormat="1" ht="12.75">
      <c r="A33" s="222" t="s">
        <v>141</v>
      </c>
      <c r="B33" s="213" t="str">
        <f>orcam!C98</f>
        <v>REVESTIMENTO</v>
      </c>
      <c r="C33" s="214">
        <f>D33/D53</f>
        <v>4.9822292956611614E-2</v>
      </c>
      <c r="D33" s="213">
        <f>orcam!H104</f>
        <v>29326</v>
      </c>
      <c r="E33" s="215">
        <v>0</v>
      </c>
      <c r="F33" s="223">
        <f>E33*D33</f>
        <v>0</v>
      </c>
      <c r="G33" s="224">
        <v>0</v>
      </c>
      <c r="H33" s="223">
        <f>G33*D33</f>
        <v>0</v>
      </c>
      <c r="I33" s="224">
        <v>0.1</v>
      </c>
      <c r="J33" s="223">
        <f>I33*D33</f>
        <v>2932.6000000000004</v>
      </c>
      <c r="K33" s="215">
        <v>0.2</v>
      </c>
      <c r="L33" s="216">
        <f>K33*D33</f>
        <v>5865.2000000000007</v>
      </c>
      <c r="M33" s="215">
        <v>0.7</v>
      </c>
      <c r="N33" s="223">
        <f>M33*D33</f>
        <v>20528.199999999997</v>
      </c>
      <c r="O33" s="225">
        <v>0</v>
      </c>
      <c r="P33" s="223">
        <f>O33*D33</f>
        <v>0</v>
      </c>
      <c r="Q33" s="218">
        <f>F33+H33+J33+L33+N33+P33</f>
        <v>29326</v>
      </c>
      <c r="S33" s="7"/>
      <c r="T33" s="204"/>
    </row>
    <row r="34" spans="1:20" s="229" customFormat="1" ht="6" customHeight="1">
      <c r="A34" s="228"/>
      <c r="B34" s="216"/>
      <c r="C34" s="214"/>
      <c r="D34" s="216"/>
      <c r="E34" s="215"/>
      <c r="F34" s="223"/>
      <c r="G34" s="224"/>
      <c r="H34" s="223"/>
      <c r="I34" s="220"/>
      <c r="J34" s="220"/>
      <c r="K34" s="219"/>
      <c r="L34" s="220"/>
      <c r="M34" s="219"/>
      <c r="N34" s="220"/>
      <c r="O34" s="225"/>
      <c r="P34" s="223"/>
      <c r="Q34" s="218"/>
      <c r="S34" s="7"/>
      <c r="T34" s="208"/>
    </row>
    <row r="35" spans="1:20" s="210" customFormat="1" ht="11.25" customHeight="1">
      <c r="A35" s="212" t="s">
        <v>155</v>
      </c>
      <c r="B35" s="213" t="str">
        <f>orcam!C106</f>
        <v>PISOS E RODAPES</v>
      </c>
      <c r="C35" s="214">
        <f>D35/D53</f>
        <v>0.12001192432346056</v>
      </c>
      <c r="D35" s="213">
        <f>orcam!H112</f>
        <v>70640.459999999992</v>
      </c>
      <c r="E35" s="215">
        <v>0</v>
      </c>
      <c r="F35" s="223">
        <f>E35*D35</f>
        <v>0</v>
      </c>
      <c r="G35" s="224">
        <v>0</v>
      </c>
      <c r="H35" s="223">
        <f>G35*D35</f>
        <v>0</v>
      </c>
      <c r="I35" s="224">
        <v>0.1</v>
      </c>
      <c r="J35" s="223">
        <f>I35*D35</f>
        <v>7064.0459999999994</v>
      </c>
      <c r="K35" s="215">
        <v>0.1</v>
      </c>
      <c r="L35" s="216">
        <f>K35*D35</f>
        <v>7064.0459999999994</v>
      </c>
      <c r="M35" s="224">
        <v>0.5</v>
      </c>
      <c r="N35" s="223">
        <f>M35*D35</f>
        <v>35320.229999999996</v>
      </c>
      <c r="O35" s="225">
        <v>0.3</v>
      </c>
      <c r="P35" s="223">
        <f>O35*D35</f>
        <v>21192.137999999995</v>
      </c>
      <c r="Q35" s="218">
        <f>F35+H35+J35+L35+N35+P35</f>
        <v>70640.459999999992</v>
      </c>
      <c r="S35" s="7"/>
      <c r="T35" s="204"/>
    </row>
    <row r="36" spans="1:20" s="210" customFormat="1" ht="6" customHeight="1">
      <c r="A36" s="212"/>
      <c r="B36" s="213"/>
      <c r="C36" s="214"/>
      <c r="D36" s="213"/>
      <c r="E36" s="215"/>
      <c r="F36" s="223"/>
      <c r="G36" s="224"/>
      <c r="H36" s="223"/>
      <c r="I36" s="220"/>
      <c r="J36" s="220"/>
      <c r="K36" s="219"/>
      <c r="L36" s="220"/>
      <c r="M36" s="219"/>
      <c r="N36" s="220"/>
      <c r="O36" s="221"/>
      <c r="P36" s="223"/>
      <c r="Q36" s="218"/>
      <c r="S36" s="7"/>
      <c r="T36" s="204"/>
    </row>
    <row r="37" spans="1:20" s="210" customFormat="1" ht="12.75">
      <c r="A37" s="222" t="s">
        <v>169</v>
      </c>
      <c r="B37" s="213" t="str">
        <f>orcam!C114</f>
        <v>VIDROS</v>
      </c>
      <c r="C37" s="214">
        <f>D37/D53</f>
        <v>1.4992881303933982E-2</v>
      </c>
      <c r="D37" s="213">
        <f>orcam!H117</f>
        <v>8824.99</v>
      </c>
      <c r="E37" s="215">
        <v>0</v>
      </c>
      <c r="F37" s="223">
        <f>E37*D37</f>
        <v>0</v>
      </c>
      <c r="G37" s="224">
        <v>0</v>
      </c>
      <c r="H37" s="223">
        <f>G37*D37</f>
        <v>0</v>
      </c>
      <c r="I37" s="224">
        <v>0</v>
      </c>
      <c r="J37" s="223">
        <f>I37*D37</f>
        <v>0</v>
      </c>
      <c r="K37" s="215">
        <v>0</v>
      </c>
      <c r="L37" s="216">
        <f>K37*D37</f>
        <v>0</v>
      </c>
      <c r="M37" s="224">
        <v>0.6</v>
      </c>
      <c r="N37" s="223">
        <f>M37*D37</f>
        <v>5294.9939999999997</v>
      </c>
      <c r="O37" s="225">
        <v>0.4</v>
      </c>
      <c r="P37" s="223">
        <f>O37*D37</f>
        <v>3529.9960000000001</v>
      </c>
      <c r="Q37" s="218">
        <f>F37+H37+J37+L37+N37+P37</f>
        <v>8824.99</v>
      </c>
      <c r="S37" s="7"/>
      <c r="T37" s="204"/>
    </row>
    <row r="38" spans="1:20" s="210" customFormat="1" ht="6" customHeight="1">
      <c r="A38" s="212"/>
      <c r="B38" s="213"/>
      <c r="C38" s="214"/>
      <c r="D38" s="213"/>
      <c r="E38" s="215"/>
      <c r="F38" s="223"/>
      <c r="G38" s="224"/>
      <c r="H38" s="223"/>
      <c r="I38" s="223"/>
      <c r="J38" s="223"/>
      <c r="K38" s="215"/>
      <c r="L38" s="216"/>
      <c r="M38" s="219"/>
      <c r="N38" s="220"/>
      <c r="O38" s="221"/>
      <c r="P38" s="220"/>
      <c r="Q38" s="218"/>
      <c r="S38" s="7"/>
      <c r="T38" s="204"/>
    </row>
    <row r="39" spans="1:20" s="210" customFormat="1" ht="13.5" customHeight="1">
      <c r="A39" s="212" t="s">
        <v>176</v>
      </c>
      <c r="B39" s="213" t="str">
        <f>orcam!C119</f>
        <v>PINTURA</v>
      </c>
      <c r="C39" s="214">
        <f>D39/D53</f>
        <v>2.3060470682546897E-2</v>
      </c>
      <c r="D39" s="213">
        <f>orcam!H130</f>
        <v>13573.669999999998</v>
      </c>
      <c r="E39" s="215">
        <v>0</v>
      </c>
      <c r="F39" s="223">
        <f>E39*D39</f>
        <v>0</v>
      </c>
      <c r="G39" s="224">
        <v>0</v>
      </c>
      <c r="H39" s="223">
        <f>G39*D39</f>
        <v>0</v>
      </c>
      <c r="I39" s="224">
        <v>0</v>
      </c>
      <c r="J39" s="223">
        <f>I39*D39</f>
        <v>0</v>
      </c>
      <c r="K39" s="215">
        <v>0.2</v>
      </c>
      <c r="L39" s="216">
        <f>K39*D39</f>
        <v>2714.7339999999999</v>
      </c>
      <c r="M39" s="215">
        <v>0.3</v>
      </c>
      <c r="N39" s="223">
        <f>M39*D39</f>
        <v>4072.1009999999992</v>
      </c>
      <c r="O39" s="225">
        <v>0.5</v>
      </c>
      <c r="P39" s="223">
        <f>O39*D39</f>
        <v>6786.8349999999991</v>
      </c>
      <c r="Q39" s="218">
        <f>F39+H39+J39+L39+N39+P39</f>
        <v>13573.669999999998</v>
      </c>
      <c r="S39" s="7"/>
      <c r="T39" s="204"/>
    </row>
    <row r="40" spans="1:20" s="210" customFormat="1" ht="6" customHeight="1">
      <c r="A40" s="212"/>
      <c r="B40" s="213"/>
      <c r="C40" s="214"/>
      <c r="D40" s="213"/>
      <c r="E40" s="215"/>
      <c r="F40" s="223"/>
      <c r="G40" s="224"/>
      <c r="H40" s="223"/>
      <c r="I40" s="223"/>
      <c r="J40" s="223"/>
      <c r="K40" s="219"/>
      <c r="L40" s="220"/>
      <c r="M40" s="219"/>
      <c r="N40" s="220"/>
      <c r="O40" s="221"/>
      <c r="P40" s="220"/>
      <c r="Q40" s="218"/>
      <c r="S40" s="7"/>
      <c r="T40" s="204"/>
    </row>
    <row r="41" spans="1:20" s="210" customFormat="1" ht="12.75">
      <c r="A41" s="222" t="s">
        <v>202</v>
      </c>
      <c r="B41" s="213" t="str">
        <f>orcam!C132</f>
        <v>INSTALAÇÕES ELÉTRICAS</v>
      </c>
      <c r="C41" s="214">
        <f>D41/D53</f>
        <v>9.9242793228089224E-2</v>
      </c>
      <c r="D41" s="213">
        <f>orcam!H211</f>
        <v>58415.499999999978</v>
      </c>
      <c r="E41" s="215">
        <v>0</v>
      </c>
      <c r="F41" s="223">
        <f>E41*D41</f>
        <v>0</v>
      </c>
      <c r="G41" s="224">
        <v>0.05</v>
      </c>
      <c r="H41" s="223">
        <f>G41*D41</f>
        <v>2920.7749999999992</v>
      </c>
      <c r="I41" s="224">
        <v>0.1</v>
      </c>
      <c r="J41" s="223">
        <f>I41*D41</f>
        <v>5841.5499999999984</v>
      </c>
      <c r="K41" s="215">
        <v>0.3</v>
      </c>
      <c r="L41" s="216">
        <f>K41*D41</f>
        <v>17524.649999999994</v>
      </c>
      <c r="M41" s="215">
        <v>0.3</v>
      </c>
      <c r="N41" s="223">
        <f>M41*D41</f>
        <v>17524.649999999994</v>
      </c>
      <c r="O41" s="225">
        <v>0.25</v>
      </c>
      <c r="P41" s="223">
        <f>O41*D41</f>
        <v>14603.874999999995</v>
      </c>
      <c r="Q41" s="218">
        <f>F41+H41+J41+L41+N41+P41</f>
        <v>58415.499999999978</v>
      </c>
      <c r="S41" s="7"/>
      <c r="T41" s="204"/>
    </row>
    <row r="42" spans="1:20" s="210" customFormat="1" ht="6" customHeight="1">
      <c r="A42" s="212"/>
      <c r="B42" s="213"/>
      <c r="C42" s="214"/>
      <c r="D42" s="213"/>
      <c r="E42" s="224"/>
      <c r="F42" s="223"/>
      <c r="G42" s="219"/>
      <c r="H42" s="220"/>
      <c r="I42" s="220"/>
      <c r="J42" s="220"/>
      <c r="K42" s="219"/>
      <c r="L42" s="220"/>
      <c r="M42" s="219"/>
      <c r="N42" s="220"/>
      <c r="O42" s="221"/>
      <c r="P42" s="220"/>
      <c r="Q42" s="218"/>
      <c r="S42" s="7"/>
      <c r="T42" s="204"/>
    </row>
    <row r="43" spans="1:20" s="210" customFormat="1" ht="18.75">
      <c r="A43" s="222" t="s">
        <v>323</v>
      </c>
      <c r="B43" s="230" t="str">
        <f>orcam!C213</f>
        <v>INSTALAÇÃOES DE LÓGICA/TELEFONIA</v>
      </c>
      <c r="C43" s="214">
        <f>D43/D53</f>
        <v>2.2347199473554749E-2</v>
      </c>
      <c r="D43" s="213">
        <f>orcam!H240</f>
        <v>13153.83</v>
      </c>
      <c r="E43" s="215">
        <v>0</v>
      </c>
      <c r="F43" s="223">
        <f>E43*D43</f>
        <v>0</v>
      </c>
      <c r="G43" s="224">
        <v>0.05</v>
      </c>
      <c r="H43" s="223">
        <f>G43*D43</f>
        <v>657.69150000000002</v>
      </c>
      <c r="I43" s="224">
        <v>0.1</v>
      </c>
      <c r="J43" s="223">
        <f>I43*D43</f>
        <v>1315.383</v>
      </c>
      <c r="K43" s="215">
        <v>0.3</v>
      </c>
      <c r="L43" s="216">
        <f>K43*D43</f>
        <v>3946.1489999999999</v>
      </c>
      <c r="M43" s="224">
        <v>0.3</v>
      </c>
      <c r="N43" s="223">
        <f>M43*D43</f>
        <v>3946.1489999999999</v>
      </c>
      <c r="O43" s="225">
        <v>0.25</v>
      </c>
      <c r="P43" s="223">
        <f>O43*D43</f>
        <v>3288.4575</v>
      </c>
      <c r="Q43" s="218">
        <f>F43+H43+J43+L43+N43+P43</f>
        <v>13153.83</v>
      </c>
      <c r="S43" s="7"/>
      <c r="T43" s="204"/>
    </row>
    <row r="44" spans="1:20" s="210" customFormat="1" ht="6" customHeight="1">
      <c r="A44" s="212"/>
      <c r="B44" s="213"/>
      <c r="C44" s="214"/>
      <c r="D44" s="213"/>
      <c r="E44" s="215"/>
      <c r="F44" s="223"/>
      <c r="G44" s="219"/>
      <c r="H44" s="220"/>
      <c r="I44" s="220"/>
      <c r="J44" s="220"/>
      <c r="K44" s="219"/>
      <c r="L44" s="220"/>
      <c r="M44" s="219"/>
      <c r="N44" s="220"/>
      <c r="O44" s="221"/>
      <c r="P44" s="220"/>
      <c r="Q44" s="218"/>
      <c r="S44" s="7"/>
      <c r="T44" s="204"/>
    </row>
    <row r="45" spans="1:20" s="210" customFormat="1" ht="12.75">
      <c r="A45" s="222" t="s">
        <v>365</v>
      </c>
      <c r="B45" s="213" t="str">
        <f>orcam!C242</f>
        <v>INSTALAÇÃO HIDRÁULICA E SANITÁRIA</v>
      </c>
      <c r="C45" s="214">
        <f>D45/D53</f>
        <v>5.949362127354485E-2</v>
      </c>
      <c r="D45" s="213">
        <f>orcam!H288</f>
        <v>35018.659999999989</v>
      </c>
      <c r="E45" s="215">
        <v>0</v>
      </c>
      <c r="F45" s="223">
        <f>E45*D45</f>
        <v>0</v>
      </c>
      <c r="G45" s="224">
        <v>0</v>
      </c>
      <c r="H45" s="223">
        <f>G45*D45</f>
        <v>0</v>
      </c>
      <c r="I45" s="224">
        <v>0.15</v>
      </c>
      <c r="J45" s="223">
        <f>I45*D45</f>
        <v>5252.7989999999982</v>
      </c>
      <c r="K45" s="215">
        <v>0.15</v>
      </c>
      <c r="L45" s="216">
        <f>K45*D45</f>
        <v>5252.7989999999982</v>
      </c>
      <c r="M45" s="215">
        <v>0.4</v>
      </c>
      <c r="N45" s="223">
        <f>M45*D45</f>
        <v>14007.463999999996</v>
      </c>
      <c r="O45" s="225">
        <v>0.3</v>
      </c>
      <c r="P45" s="223">
        <f>O45*D45</f>
        <v>10505.597999999996</v>
      </c>
      <c r="Q45" s="218">
        <f>F45+H45+J45+L45+N45+P45</f>
        <v>35018.659999999989</v>
      </c>
      <c r="S45" s="7"/>
      <c r="T45" s="204"/>
    </row>
    <row r="46" spans="1:20" s="210" customFormat="1" ht="6" customHeight="1">
      <c r="A46" s="212"/>
      <c r="B46" s="213"/>
      <c r="C46" s="214"/>
      <c r="D46" s="213"/>
      <c r="E46" s="215"/>
      <c r="F46" s="223"/>
      <c r="G46" s="219"/>
      <c r="H46" s="220"/>
      <c r="I46" s="220"/>
      <c r="J46" s="220"/>
      <c r="K46" s="219"/>
      <c r="L46" s="220"/>
      <c r="M46" s="219"/>
      <c r="N46" s="220"/>
      <c r="O46" s="221"/>
      <c r="P46" s="220"/>
      <c r="Q46" s="218"/>
      <c r="S46" s="7"/>
      <c r="T46" s="204"/>
    </row>
    <row r="47" spans="1:20" s="210" customFormat="1" ht="14.25" customHeight="1">
      <c r="A47" s="222" t="s">
        <v>438</v>
      </c>
      <c r="B47" s="230" t="str">
        <f>orcam!C290</f>
        <v>IMPLANTAÇÃO/URBANIZAÇÃO</v>
      </c>
      <c r="C47" s="214">
        <f>D47/D53</f>
        <v>8.6948225878027863E-2</v>
      </c>
      <c r="D47" s="213">
        <f>orcam!H305</f>
        <v>51178.76999999999</v>
      </c>
      <c r="E47" s="215">
        <v>0</v>
      </c>
      <c r="F47" s="223">
        <f>E47*D47</f>
        <v>0</v>
      </c>
      <c r="G47" s="224">
        <v>0</v>
      </c>
      <c r="H47" s="223">
        <f>G47*D47</f>
        <v>0</v>
      </c>
      <c r="I47" s="224">
        <v>0</v>
      </c>
      <c r="J47" s="223">
        <f>I47*D47</f>
        <v>0</v>
      </c>
      <c r="K47" s="215">
        <v>0</v>
      </c>
      <c r="L47" s="216">
        <f>K47*D47</f>
        <v>0</v>
      </c>
      <c r="M47" s="215">
        <v>0.5</v>
      </c>
      <c r="N47" s="223">
        <f>M47*D47</f>
        <v>25589.384999999995</v>
      </c>
      <c r="O47" s="225">
        <v>0.5</v>
      </c>
      <c r="P47" s="223">
        <f>O47*D47</f>
        <v>25589.384999999995</v>
      </c>
      <c r="Q47" s="218">
        <f>F47+H47+J47+L47+N47+P47</f>
        <v>51178.76999999999</v>
      </c>
      <c r="S47" s="7"/>
      <c r="T47" s="204"/>
    </row>
    <row r="48" spans="1:20" s="210" customFormat="1" ht="6" customHeight="1">
      <c r="A48" s="212"/>
      <c r="B48" s="213"/>
      <c r="C48" s="214"/>
      <c r="D48" s="213"/>
      <c r="E48" s="215"/>
      <c r="F48" s="223"/>
      <c r="G48" s="224"/>
      <c r="H48" s="223"/>
      <c r="I48" s="223"/>
      <c r="J48" s="223"/>
      <c r="K48" s="215"/>
      <c r="L48" s="223"/>
      <c r="M48" s="219"/>
      <c r="N48" s="220"/>
      <c r="O48" s="221"/>
      <c r="P48" s="220"/>
      <c r="Q48" s="218"/>
      <c r="S48" s="7"/>
      <c r="T48" s="204"/>
    </row>
    <row r="49" spans="1:20" s="210" customFormat="1" ht="12.75">
      <c r="A49" s="222" t="s">
        <v>460</v>
      </c>
      <c r="B49" s="213" t="str">
        <f>orcam!C307</f>
        <v>SERVIÇOS COMPLEMENTARES</v>
      </c>
      <c r="C49" s="214">
        <f>D49/D53</f>
        <v>2.3437663122096341E-2</v>
      </c>
      <c r="D49" s="213">
        <f>orcam!H323</f>
        <v>13795.69</v>
      </c>
      <c r="E49" s="215">
        <v>0</v>
      </c>
      <c r="F49" s="223">
        <f>E49*D49</f>
        <v>0</v>
      </c>
      <c r="G49" s="224">
        <v>0</v>
      </c>
      <c r="H49" s="223">
        <f>G49*D49</f>
        <v>0</v>
      </c>
      <c r="I49" s="224">
        <v>0</v>
      </c>
      <c r="J49" s="223">
        <f>I49*D49</f>
        <v>0</v>
      </c>
      <c r="K49" s="215">
        <v>0</v>
      </c>
      <c r="L49" s="216">
        <f>K49*D49</f>
        <v>0</v>
      </c>
      <c r="M49" s="215">
        <v>0.5</v>
      </c>
      <c r="N49" s="223">
        <f>M49*D49</f>
        <v>6897.8450000000003</v>
      </c>
      <c r="O49" s="225">
        <v>0.5</v>
      </c>
      <c r="P49" s="223">
        <f>O49*D49</f>
        <v>6897.8450000000003</v>
      </c>
      <c r="Q49" s="218">
        <f>F49+H49+J49+L49+N49+P49</f>
        <v>13795.69</v>
      </c>
      <c r="S49" s="7"/>
      <c r="T49" s="204"/>
    </row>
    <row r="50" spans="1:20" s="210" customFormat="1" ht="6" customHeight="1">
      <c r="A50" s="212"/>
      <c r="B50" s="213"/>
      <c r="C50" s="214"/>
      <c r="D50" s="213"/>
      <c r="E50" s="215"/>
      <c r="F50" s="223"/>
      <c r="G50" s="224"/>
      <c r="H50" s="223"/>
      <c r="I50" s="223"/>
      <c r="J50" s="223"/>
      <c r="K50" s="215"/>
      <c r="L50" s="216"/>
      <c r="M50" s="219"/>
      <c r="N50" s="220"/>
      <c r="O50" s="221"/>
      <c r="P50" s="220"/>
      <c r="Q50" s="218"/>
      <c r="S50" s="7"/>
      <c r="T50" s="204"/>
    </row>
    <row r="51" spans="1:20" s="210" customFormat="1" ht="12.75">
      <c r="A51" s="222" t="s">
        <v>481</v>
      </c>
      <c r="B51" s="213" t="str">
        <f>orcam!C325</f>
        <v>LIMPEZA FINAL DA OBRA</v>
      </c>
      <c r="C51" s="214">
        <f>D51/D53</f>
        <v>9.5565498230319853E-4</v>
      </c>
      <c r="D51" s="213">
        <f>orcam!H327</f>
        <v>562.51</v>
      </c>
      <c r="E51" s="215">
        <v>0</v>
      </c>
      <c r="F51" s="223">
        <f>E51*D51</f>
        <v>0</v>
      </c>
      <c r="G51" s="224">
        <v>0</v>
      </c>
      <c r="H51" s="223">
        <f>G51*D51</f>
        <v>0</v>
      </c>
      <c r="I51" s="224">
        <v>0</v>
      </c>
      <c r="J51" s="223">
        <f>I51*D51</f>
        <v>0</v>
      </c>
      <c r="K51" s="215">
        <v>0</v>
      </c>
      <c r="L51" s="216">
        <f>K51*D51</f>
        <v>0</v>
      </c>
      <c r="M51" s="224">
        <v>0</v>
      </c>
      <c r="N51" s="223">
        <f>M51*D51</f>
        <v>0</v>
      </c>
      <c r="O51" s="225">
        <v>1</v>
      </c>
      <c r="P51" s="223">
        <f>O51*D51</f>
        <v>562.51</v>
      </c>
      <c r="Q51" s="218">
        <f>F51+H51+J51+L51+N51+P51</f>
        <v>562.51</v>
      </c>
      <c r="S51" s="7"/>
      <c r="T51" s="204"/>
    </row>
    <row r="52" spans="1:20" s="210" customFormat="1" ht="6" customHeight="1">
      <c r="A52" s="212"/>
      <c r="B52" s="213"/>
      <c r="C52" s="214"/>
      <c r="D52" s="213"/>
      <c r="E52" s="215"/>
      <c r="F52" s="216"/>
      <c r="G52" s="217"/>
      <c r="H52" s="216"/>
      <c r="I52" s="216"/>
      <c r="J52" s="216"/>
      <c r="K52" s="216"/>
      <c r="L52" s="216"/>
      <c r="M52" s="217"/>
      <c r="N52" s="216"/>
      <c r="O52" s="217"/>
      <c r="P52" s="216"/>
      <c r="Q52" s="218"/>
      <c r="S52" s="7"/>
      <c r="T52" s="204"/>
    </row>
    <row r="53" spans="1:20" s="210" customFormat="1" ht="13.5" thickBot="1">
      <c r="A53" s="668" t="s">
        <v>500</v>
      </c>
      <c r="B53" s="668"/>
      <c r="C53" s="231">
        <f>SUM(C17:C52)</f>
        <v>1.0000000000000002</v>
      </c>
      <c r="D53" s="232">
        <f>SUM(D17:D52)</f>
        <v>588612.00999999989</v>
      </c>
      <c r="E53" s="231">
        <f>F53/D53</f>
        <v>2.853612382119081E-2</v>
      </c>
      <c r="F53" s="232">
        <f>SUM(F17:F52)</f>
        <v>16796.7052</v>
      </c>
      <c r="G53" s="231">
        <f>H53/D53</f>
        <v>2.7989037634485243E-2</v>
      </c>
      <c r="H53" s="232">
        <f>SUM(H17:H52)</f>
        <v>16474.683700000001</v>
      </c>
      <c r="I53" s="231">
        <f>J53/D53</f>
        <v>0.22814681644025583</v>
      </c>
      <c r="J53" s="232">
        <f>SUM(J17:J52)</f>
        <v>134289.95620000002</v>
      </c>
      <c r="K53" s="231">
        <f>L53/D53</f>
        <v>0.27868170783671237</v>
      </c>
      <c r="L53" s="232">
        <f>SUM(L17:L52)</f>
        <v>164035.40019999997</v>
      </c>
      <c r="M53" s="231">
        <f>N53/D53</f>
        <v>0.26804716607804185</v>
      </c>
      <c r="N53" s="232">
        <f>SUM(N17:N52)</f>
        <v>157775.7812</v>
      </c>
      <c r="O53" s="231">
        <f>P53/D53</f>
        <v>0.16859914818931404</v>
      </c>
      <c r="P53" s="232">
        <f>SUM(P17:P52)</f>
        <v>99239.483499999973</v>
      </c>
      <c r="Q53" s="233">
        <f>SUM(Q17:Q52)</f>
        <v>588612.00999999989</v>
      </c>
      <c r="S53" s="7"/>
      <c r="T53" s="204"/>
    </row>
    <row r="54" spans="1:20" s="72" customFormat="1">
      <c r="G54" s="40"/>
      <c r="H54" s="40"/>
      <c r="I54" s="40"/>
      <c r="J54" s="40"/>
      <c r="K54" s="40"/>
      <c r="L54" s="40"/>
      <c r="M54" s="40"/>
      <c r="N54" s="40"/>
      <c r="O54" s="174"/>
      <c r="P54" s="40"/>
      <c r="S54" s="40"/>
      <c r="T54" s="234"/>
    </row>
    <row r="55" spans="1:20" s="72" customFormat="1">
      <c r="G55" s="40"/>
      <c r="H55" s="40"/>
      <c r="I55" s="40"/>
      <c r="J55" s="40"/>
      <c r="K55" s="40"/>
      <c r="L55" s="40"/>
      <c r="M55" s="40"/>
      <c r="N55" s="40"/>
      <c r="O55" s="174"/>
      <c r="P55" s="40"/>
      <c r="S55" s="40"/>
      <c r="T55" s="234"/>
    </row>
    <row r="56" spans="1:20" s="72" customFormat="1">
      <c r="G56" s="40"/>
      <c r="H56" s="40"/>
      <c r="I56" s="40"/>
      <c r="J56" s="40"/>
      <c r="K56" s="40"/>
      <c r="L56" s="40"/>
      <c r="M56" s="40"/>
      <c r="N56" s="40"/>
      <c r="O56" s="174"/>
      <c r="P56" s="40"/>
      <c r="S56" s="40"/>
      <c r="T56" s="234"/>
    </row>
    <row r="57" spans="1:20" s="72" customFormat="1">
      <c r="G57" s="40"/>
      <c r="H57" s="40"/>
      <c r="I57" s="40"/>
      <c r="J57" s="40"/>
      <c r="K57" s="40"/>
      <c r="L57" s="40"/>
      <c r="M57" s="40"/>
      <c r="N57" s="40"/>
      <c r="O57" s="174"/>
      <c r="P57" s="40"/>
      <c r="Q57" s="72">
        <f>orcam!H329-conograma!Q53</f>
        <v>0</v>
      </c>
      <c r="S57" s="40"/>
      <c r="T57" s="234"/>
    </row>
    <row r="58" spans="1:20" s="72" customFormat="1">
      <c r="G58" s="40"/>
      <c r="H58" s="40"/>
      <c r="I58" s="40"/>
      <c r="J58" s="40"/>
      <c r="K58" s="40"/>
      <c r="L58" s="40"/>
      <c r="M58" s="40"/>
      <c r="N58" s="40"/>
      <c r="O58" s="174"/>
      <c r="P58" s="40"/>
      <c r="S58" s="40"/>
      <c r="T58" s="234"/>
    </row>
    <row r="59" spans="1:20" s="72" customFormat="1">
      <c r="G59" s="40"/>
      <c r="H59" s="40"/>
      <c r="I59" s="40"/>
      <c r="J59" s="40"/>
      <c r="K59" s="40"/>
      <c r="L59" s="40"/>
      <c r="M59" s="40"/>
      <c r="N59" s="40"/>
      <c r="O59" s="174"/>
      <c r="P59" s="40"/>
      <c r="S59" s="40"/>
      <c r="T59" s="234"/>
    </row>
    <row r="60" spans="1:20" s="17" customFormat="1">
      <c r="C60" s="235"/>
      <c r="D60" s="72"/>
      <c r="F60" s="72"/>
      <c r="G60" s="174"/>
      <c r="H60" s="40"/>
      <c r="I60" s="40"/>
      <c r="J60" s="40"/>
      <c r="K60" s="40"/>
      <c r="L60" s="40"/>
      <c r="M60" s="174"/>
      <c r="N60" s="40"/>
      <c r="O60" s="174"/>
      <c r="P60" s="40"/>
      <c r="Q60" s="72"/>
      <c r="S60" s="63"/>
      <c r="T60" s="234"/>
    </row>
    <row r="61" spans="1:20" s="17" customFormat="1">
      <c r="C61" s="235"/>
      <c r="D61" s="72"/>
      <c r="F61" s="72"/>
      <c r="G61" s="174"/>
      <c r="H61" s="40"/>
      <c r="I61" s="40"/>
      <c r="J61" s="40"/>
      <c r="K61" s="40"/>
      <c r="L61" s="40"/>
      <c r="M61" s="174"/>
      <c r="N61" s="40"/>
      <c r="O61" s="174"/>
      <c r="P61" s="40"/>
      <c r="Q61" s="72"/>
      <c r="S61" s="63"/>
      <c r="T61" s="234"/>
    </row>
    <row r="62" spans="1:20" s="17" customFormat="1">
      <c r="C62" s="235"/>
      <c r="D62" s="72"/>
      <c r="F62" s="72"/>
      <c r="G62" s="174"/>
      <c r="H62" s="40"/>
      <c r="I62" s="40"/>
      <c r="J62" s="40"/>
      <c r="K62" s="40"/>
      <c r="L62" s="40"/>
      <c r="M62" s="174"/>
      <c r="N62" s="40"/>
      <c r="O62" s="174"/>
      <c r="P62" s="40"/>
      <c r="Q62" s="72"/>
      <c r="S62" s="63"/>
      <c r="T62" s="234"/>
    </row>
    <row r="63" spans="1:20" s="17" customFormat="1">
      <c r="C63" s="235"/>
      <c r="D63" s="72"/>
      <c r="F63" s="72"/>
      <c r="G63" s="174"/>
      <c r="H63" s="40"/>
      <c r="I63" s="40"/>
      <c r="J63" s="40"/>
      <c r="K63" s="40"/>
      <c r="L63" s="40"/>
      <c r="M63" s="174"/>
      <c r="N63" s="40"/>
      <c r="O63" s="174"/>
      <c r="P63" s="40"/>
      <c r="Q63" s="72"/>
      <c r="S63" s="63"/>
      <c r="T63" s="234"/>
    </row>
    <row r="64" spans="1:20" s="17" customFormat="1">
      <c r="C64" s="235"/>
      <c r="D64" s="72"/>
      <c r="F64" s="72"/>
      <c r="G64" s="174"/>
      <c r="H64" s="40"/>
      <c r="I64" s="40"/>
      <c r="J64" s="40"/>
      <c r="K64" s="40"/>
      <c r="L64" s="40"/>
      <c r="M64" s="174"/>
      <c r="N64" s="40"/>
      <c r="O64" s="174"/>
      <c r="P64" s="40"/>
      <c r="Q64" s="72"/>
      <c r="S64" s="63"/>
      <c r="T64" s="234"/>
    </row>
    <row r="65" spans="3:20" s="17" customFormat="1">
      <c r="C65" s="235"/>
      <c r="D65" s="72"/>
      <c r="F65" s="72"/>
      <c r="G65" s="174"/>
      <c r="H65" s="40"/>
      <c r="I65" s="40"/>
      <c r="J65" s="40"/>
      <c r="K65" s="40"/>
      <c r="L65" s="40"/>
      <c r="M65" s="174"/>
      <c r="N65" s="40"/>
      <c r="O65" s="174"/>
      <c r="P65" s="40"/>
      <c r="Q65" s="72"/>
      <c r="S65" s="63"/>
      <c r="T65" s="234"/>
    </row>
    <row r="66" spans="3:20" s="17" customFormat="1">
      <c r="C66" s="235"/>
      <c r="D66" s="72"/>
      <c r="F66" s="72"/>
      <c r="G66" s="174"/>
      <c r="H66" s="40"/>
      <c r="I66" s="40"/>
      <c r="J66" s="40"/>
      <c r="K66" s="40"/>
      <c r="L66" s="40"/>
      <c r="M66" s="174"/>
      <c r="N66" s="40"/>
      <c r="O66" s="174"/>
      <c r="P66" s="40"/>
      <c r="Q66" s="72"/>
      <c r="S66" s="63"/>
      <c r="T66" s="234"/>
    </row>
    <row r="67" spans="3:20" s="17" customFormat="1">
      <c r="C67" s="235"/>
      <c r="D67" s="72"/>
      <c r="F67" s="72"/>
      <c r="G67" s="174"/>
      <c r="H67" s="40"/>
      <c r="I67" s="40"/>
      <c r="J67" s="40"/>
      <c r="K67" s="40"/>
      <c r="L67" s="40"/>
      <c r="M67" s="174"/>
      <c r="N67" s="40"/>
      <c r="O67" s="174"/>
      <c r="P67" s="40"/>
      <c r="Q67" s="72"/>
      <c r="S67" s="63"/>
      <c r="T67" s="234"/>
    </row>
    <row r="68" spans="3:20" s="17" customFormat="1">
      <c r="C68" s="235"/>
      <c r="D68" s="72"/>
      <c r="F68" s="72"/>
      <c r="G68" s="174"/>
      <c r="H68" s="40"/>
      <c r="I68" s="40"/>
      <c r="J68" s="40"/>
      <c r="K68" s="40"/>
      <c r="L68" s="40"/>
      <c r="M68" s="174"/>
      <c r="N68" s="40"/>
      <c r="O68" s="174"/>
      <c r="P68" s="40"/>
      <c r="Q68" s="72"/>
      <c r="S68" s="63"/>
      <c r="T68" s="234"/>
    </row>
    <row r="69" spans="3:20" s="17" customFormat="1">
      <c r="C69" s="235"/>
      <c r="D69" s="72"/>
      <c r="F69" s="72"/>
      <c r="G69" s="174"/>
      <c r="H69" s="40"/>
      <c r="I69" s="40"/>
      <c r="J69" s="40"/>
      <c r="K69" s="40"/>
      <c r="L69" s="40"/>
      <c r="M69" s="174"/>
      <c r="N69" s="40"/>
      <c r="O69" s="174"/>
      <c r="P69" s="40"/>
      <c r="Q69" s="72"/>
      <c r="S69" s="63"/>
      <c r="T69" s="234"/>
    </row>
    <row r="70" spans="3:20" s="17" customFormat="1">
      <c r="C70" s="235"/>
      <c r="D70" s="72"/>
      <c r="F70" s="72"/>
      <c r="G70" s="174"/>
      <c r="H70" s="40"/>
      <c r="I70" s="40"/>
      <c r="J70" s="40"/>
      <c r="K70" s="40"/>
      <c r="L70" s="40"/>
      <c r="M70" s="174"/>
      <c r="N70" s="40"/>
      <c r="O70" s="174"/>
      <c r="P70" s="40"/>
      <c r="Q70" s="72"/>
      <c r="S70" s="63"/>
      <c r="T70" s="234"/>
    </row>
    <row r="71" spans="3:20" s="17" customFormat="1">
      <c r="C71" s="235"/>
      <c r="D71" s="72"/>
      <c r="F71" s="72"/>
      <c r="G71" s="174"/>
      <c r="H71" s="40"/>
      <c r="I71" s="40"/>
      <c r="J71" s="40"/>
      <c r="K71" s="40"/>
      <c r="L71" s="40"/>
      <c r="M71" s="174"/>
      <c r="N71" s="40"/>
      <c r="O71" s="174"/>
      <c r="P71" s="40"/>
      <c r="Q71" s="72"/>
      <c r="S71" s="63"/>
      <c r="T71" s="234"/>
    </row>
    <row r="72" spans="3:20" s="17" customFormat="1">
      <c r="C72" s="235"/>
      <c r="D72" s="72"/>
      <c r="F72" s="72"/>
      <c r="G72" s="174"/>
      <c r="H72" s="40"/>
      <c r="I72" s="40"/>
      <c r="J72" s="40"/>
      <c r="K72" s="40"/>
      <c r="L72" s="40"/>
      <c r="M72" s="174"/>
      <c r="N72" s="40"/>
      <c r="O72" s="174"/>
      <c r="P72" s="40"/>
      <c r="Q72" s="72"/>
      <c r="S72" s="63"/>
      <c r="T72" s="234"/>
    </row>
    <row r="73" spans="3:20" s="17" customFormat="1">
      <c r="C73" s="235"/>
      <c r="D73" s="72"/>
      <c r="F73" s="72"/>
      <c r="G73" s="174"/>
      <c r="H73" s="40"/>
      <c r="I73" s="40"/>
      <c r="J73" s="40"/>
      <c r="K73" s="40"/>
      <c r="L73" s="40"/>
      <c r="M73" s="174"/>
      <c r="N73" s="40"/>
      <c r="O73" s="174"/>
      <c r="P73" s="40"/>
      <c r="Q73" s="72"/>
      <c r="S73" s="63"/>
      <c r="T73" s="234"/>
    </row>
  </sheetData>
  <mergeCells count="7">
    <mergeCell ref="Q14:Q15"/>
    <mergeCell ref="A53:B53"/>
    <mergeCell ref="C8:P8"/>
    <mergeCell ref="A14:A15"/>
    <mergeCell ref="B14:B15"/>
    <mergeCell ref="D14:D15"/>
    <mergeCell ref="E14:P14"/>
  </mergeCells>
  <pageMargins left="0.55984251968503906" right="0.27992125984252003" top="0.57519685039370105" bottom="0.50511811023622" header="0.27992125984252003" footer="0.209842519685039"/>
  <pageSetup paperSize="0" scale="95" fitToWidth="0" fitToHeight="0" pageOrder="overThenDown" orientation="landscape" horizontalDpi="0" verticalDpi="0" copies="0"/>
  <headerFooter alignWithMargins="0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r:id="rId4">
            <anchor moveWithCells="1" sizeWithCells="1">
              <from>
                <xdr:col>16</xdr:col>
                <xdr:colOff>0</xdr:colOff>
                <xdr:row>0</xdr:row>
                <xdr:rowOff>142875</xdr:rowOff>
              </from>
              <to>
                <xdr:col>17</xdr:col>
                <xdr:colOff>933450</xdr:colOff>
                <xdr:row>6</xdr:row>
                <xdr:rowOff>47625</xdr:rowOff>
              </to>
            </anchor>
          </objectPr>
        </oleObject>
      </mc:Choice>
      <mc:Fallback>
        <oleObject progId="Word.Picture.8" shapeId="1025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8"/>
  <sheetViews>
    <sheetView tabSelected="1" view="pageBreakPreview" topLeftCell="A19" zoomScale="60" zoomScaleNormal="100" workbookViewId="0">
      <selection activeCell="I9" sqref="I9"/>
    </sheetView>
  </sheetViews>
  <sheetFormatPr defaultColWidth="8.5" defaultRowHeight="12.75"/>
  <cols>
    <col min="1" max="1" width="7.75" style="298" customWidth="1"/>
    <col min="2" max="2" width="42.25" style="286" customWidth="1"/>
    <col min="3" max="3" width="7.625" style="304" customWidth="1"/>
    <col min="4" max="4" width="10.875" style="305" customWidth="1"/>
    <col min="5" max="5" width="11.625" style="306" customWidth="1"/>
    <col min="6" max="6" width="13.25" style="306" customWidth="1"/>
    <col min="7" max="7" width="8.5" style="241" customWidth="1"/>
    <col min="8" max="8" width="8.875" style="241" customWidth="1"/>
    <col min="9" max="9" width="9.25" style="211" customWidth="1"/>
    <col min="10" max="16384" width="8.5" style="211"/>
  </cols>
  <sheetData>
    <row r="1" spans="1:17" s="240" customFormat="1">
      <c r="A1" s="675" t="s">
        <v>862</v>
      </c>
      <c r="B1" s="675"/>
      <c r="C1" s="675"/>
      <c r="D1" s="675"/>
      <c r="E1" s="675"/>
      <c r="F1" s="675"/>
      <c r="G1" s="238"/>
      <c r="H1" s="239"/>
    </row>
    <row r="2" spans="1:17" s="240" customFormat="1">
      <c r="A2" s="676" t="s">
        <v>501</v>
      </c>
      <c r="B2" s="677" t="s">
        <v>502</v>
      </c>
      <c r="C2" s="677" t="s">
        <v>503</v>
      </c>
      <c r="D2" s="678" t="s">
        <v>504</v>
      </c>
      <c r="E2" s="678" t="s">
        <v>505</v>
      </c>
      <c r="F2" s="678" t="s">
        <v>506</v>
      </c>
      <c r="G2" s="238"/>
      <c r="H2" s="239"/>
    </row>
    <row r="3" spans="1:17" s="242" customFormat="1">
      <c r="A3" s="676"/>
      <c r="B3" s="677"/>
      <c r="C3" s="677"/>
      <c r="D3" s="678"/>
      <c r="E3" s="678"/>
      <c r="F3" s="678"/>
      <c r="G3" s="241"/>
      <c r="H3" s="241"/>
    </row>
    <row r="4" spans="1:17" s="244" customFormat="1">
      <c r="A4" s="243"/>
      <c r="B4" s="243"/>
      <c r="C4" s="243"/>
      <c r="D4" s="243"/>
      <c r="E4" s="243"/>
      <c r="F4" s="243"/>
    </row>
    <row r="5" spans="1:17" s="244" customFormat="1" ht="31.5">
      <c r="A5" s="245" t="s">
        <v>507</v>
      </c>
      <c r="B5" s="245" t="s">
        <v>508</v>
      </c>
      <c r="C5" s="245" t="s">
        <v>509</v>
      </c>
      <c r="D5" s="245" t="s">
        <v>510</v>
      </c>
      <c r="E5" s="245" t="s">
        <v>511</v>
      </c>
      <c r="F5" s="245" t="s">
        <v>512</v>
      </c>
    </row>
    <row r="6" spans="1:17" s="244" customFormat="1" ht="31.5">
      <c r="A6" s="246" t="s">
        <v>513</v>
      </c>
      <c r="B6" s="247" t="s">
        <v>21</v>
      </c>
      <c r="C6" s="245" t="s">
        <v>22</v>
      </c>
      <c r="D6" s="248"/>
      <c r="E6" s="249"/>
      <c r="F6" s="249"/>
    </row>
    <row r="7" spans="1:17" s="244" customFormat="1" ht="60">
      <c r="A7" s="250">
        <v>4417</v>
      </c>
      <c r="B7" s="251" t="s">
        <v>514</v>
      </c>
      <c r="C7" s="250" t="s">
        <v>515</v>
      </c>
      <c r="D7" s="252" t="s">
        <v>516</v>
      </c>
      <c r="E7" s="253">
        <v>5.66</v>
      </c>
      <c r="F7" s="253">
        <f t="shared" ref="F7:F13" si="0">TRUNC((D7*E7),2)</f>
        <v>5.66</v>
      </c>
    </row>
    <row r="8" spans="1:17" s="244" customFormat="1" ht="60">
      <c r="A8" s="250">
        <v>4491</v>
      </c>
      <c r="B8" s="251" t="s">
        <v>517</v>
      </c>
      <c r="C8" s="250" t="s">
        <v>515</v>
      </c>
      <c r="D8" s="252" t="s">
        <v>518</v>
      </c>
      <c r="E8" s="253">
        <v>9.0399999999999991</v>
      </c>
      <c r="F8" s="253">
        <f t="shared" si="0"/>
        <v>36.159999999999997</v>
      </c>
    </row>
    <row r="9" spans="1:17" s="244" customFormat="1" ht="45">
      <c r="A9" s="250">
        <v>4813</v>
      </c>
      <c r="B9" s="251" t="s">
        <v>519</v>
      </c>
      <c r="C9" s="250" t="s">
        <v>520</v>
      </c>
      <c r="D9" s="252" t="s">
        <v>516</v>
      </c>
      <c r="E9" s="253">
        <v>225</v>
      </c>
      <c r="F9" s="253">
        <f t="shared" si="0"/>
        <v>225</v>
      </c>
    </row>
    <row r="10" spans="1:17" s="244" customFormat="1" ht="30">
      <c r="A10" s="250">
        <v>5075</v>
      </c>
      <c r="B10" s="251" t="s">
        <v>521</v>
      </c>
      <c r="C10" s="250" t="s">
        <v>522</v>
      </c>
      <c r="D10" s="252" t="s">
        <v>523</v>
      </c>
      <c r="E10" s="253">
        <v>24.04</v>
      </c>
      <c r="F10" s="253">
        <f t="shared" si="0"/>
        <v>2.64</v>
      </c>
    </row>
    <row r="11" spans="1:17" s="244" customFormat="1" ht="30">
      <c r="A11" s="250">
        <v>88262</v>
      </c>
      <c r="B11" s="251" t="s">
        <v>524</v>
      </c>
      <c r="C11" s="250" t="s">
        <v>525</v>
      </c>
      <c r="D11" s="252" t="s">
        <v>516</v>
      </c>
      <c r="E11" s="253">
        <v>18.63</v>
      </c>
      <c r="F11" s="253">
        <f t="shared" si="0"/>
        <v>18.63</v>
      </c>
    </row>
    <row r="12" spans="1:17" s="244" customFormat="1" ht="30">
      <c r="A12" s="250">
        <v>88316</v>
      </c>
      <c r="B12" s="251" t="s">
        <v>526</v>
      </c>
      <c r="C12" s="250" t="s">
        <v>525</v>
      </c>
      <c r="D12" s="252" t="s">
        <v>527</v>
      </c>
      <c r="E12" s="253">
        <v>15.16</v>
      </c>
      <c r="F12" s="253">
        <f t="shared" si="0"/>
        <v>30.32</v>
      </c>
    </row>
    <row r="13" spans="1:17" s="244" customFormat="1" ht="60">
      <c r="A13" s="254">
        <v>94962</v>
      </c>
      <c r="B13" s="255" t="s">
        <v>528</v>
      </c>
      <c r="C13" s="254" t="s">
        <v>529</v>
      </c>
      <c r="D13" s="256" t="s">
        <v>530</v>
      </c>
      <c r="E13" s="257">
        <v>320.37</v>
      </c>
      <c r="F13" s="257">
        <f t="shared" si="0"/>
        <v>3.2</v>
      </c>
    </row>
    <row r="14" spans="1:17" s="244" customFormat="1" ht="27.75" customHeight="1">
      <c r="A14" s="674" t="s">
        <v>531</v>
      </c>
      <c r="B14" s="674"/>
      <c r="C14" s="674"/>
      <c r="D14" s="674"/>
      <c r="E14" s="249" t="s">
        <v>493</v>
      </c>
      <c r="F14" s="249">
        <f>SUM(F7:F13)</f>
        <v>321.60999999999996</v>
      </c>
      <c r="M14" s="258" t="s">
        <v>532</v>
      </c>
      <c r="N14" s="259" t="s">
        <v>49</v>
      </c>
      <c r="O14" s="260">
        <v>8</v>
      </c>
      <c r="P14" s="260">
        <v>10</v>
      </c>
      <c r="Q14" s="260">
        <f>O14*P14</f>
        <v>80</v>
      </c>
    </row>
    <row r="15" spans="1:17" s="244" customFormat="1" ht="23.25" customHeight="1">
      <c r="A15" s="261"/>
      <c r="B15" s="262"/>
      <c r="C15" s="262"/>
      <c r="D15" s="263"/>
      <c r="E15" s="263"/>
      <c r="F15" s="263"/>
    </row>
    <row r="16" spans="1:17" s="244" customFormat="1" ht="19.5" customHeight="1">
      <c r="A16" s="264" t="s">
        <v>23</v>
      </c>
      <c r="B16" s="265" t="s">
        <v>533</v>
      </c>
      <c r="C16" s="266"/>
      <c r="D16" s="267"/>
      <c r="E16" s="268"/>
      <c r="F16" s="269"/>
    </row>
    <row r="17" spans="1:11" s="244" customFormat="1" ht="15.75" customHeight="1">
      <c r="A17" s="270"/>
      <c r="B17" s="271" t="s">
        <v>534</v>
      </c>
      <c r="C17" s="259"/>
      <c r="D17" s="272"/>
      <c r="E17" s="260"/>
      <c r="F17" s="273"/>
    </row>
    <row r="18" spans="1:11" s="244" customFormat="1" ht="14.25" customHeight="1">
      <c r="A18" s="270"/>
      <c r="B18" s="265" t="s">
        <v>535</v>
      </c>
      <c r="C18" s="259"/>
      <c r="D18" s="272"/>
      <c r="E18" s="260"/>
      <c r="F18" s="274"/>
    </row>
    <row r="19" spans="1:11" s="244" customFormat="1" ht="13.5" customHeight="1">
      <c r="A19" s="270"/>
      <c r="B19" s="275" t="s">
        <v>536</v>
      </c>
      <c r="C19" s="259" t="s">
        <v>25</v>
      </c>
      <c r="D19" s="260">
        <v>1</v>
      </c>
      <c r="E19" s="260">
        <v>280</v>
      </c>
      <c r="F19" s="274">
        <f>D19*E19</f>
        <v>280</v>
      </c>
    </row>
    <row r="20" spans="1:11" s="244" customFormat="1" ht="13.5" customHeight="1">
      <c r="A20" s="270"/>
      <c r="B20" s="258" t="s">
        <v>532</v>
      </c>
      <c r="C20" s="259" t="s">
        <v>49</v>
      </c>
      <c r="D20" s="260">
        <v>8</v>
      </c>
      <c r="E20" s="260">
        <v>10</v>
      </c>
      <c r="F20" s="260">
        <f>D20*E20</f>
        <v>80</v>
      </c>
    </row>
    <row r="21" spans="1:11" s="244" customFormat="1" ht="17.25" customHeight="1">
      <c r="A21" s="270"/>
      <c r="B21" s="265" t="s">
        <v>537</v>
      </c>
      <c r="C21" s="259"/>
      <c r="D21" s="272"/>
      <c r="E21" s="260"/>
      <c r="F21" s="276">
        <f>F19+F20</f>
        <v>360</v>
      </c>
    </row>
    <row r="22" spans="1:11" s="244" customFormat="1" ht="16.5" customHeight="1">
      <c r="A22" s="270"/>
      <c r="B22" s="265" t="s">
        <v>538</v>
      </c>
      <c r="C22" s="259"/>
      <c r="D22" s="277"/>
      <c r="E22" s="278"/>
      <c r="F22" s="279">
        <f>F21</f>
        <v>360</v>
      </c>
    </row>
    <row r="23" spans="1:11" s="244" customFormat="1" ht="27" customHeight="1">
      <c r="A23" s="270"/>
      <c r="B23" s="258" t="s">
        <v>539</v>
      </c>
      <c r="C23" s="280"/>
      <c r="D23" s="281"/>
      <c r="E23" s="35"/>
      <c r="F23" s="35"/>
    </row>
    <row r="24" spans="1:11" s="244" customFormat="1" ht="23.25" customHeight="1">
      <c r="A24" s="282"/>
      <c r="B24" s="282"/>
      <c r="C24" s="282"/>
      <c r="D24" s="282"/>
      <c r="E24" s="282"/>
      <c r="F24" s="282"/>
    </row>
    <row r="25" spans="1:11" s="244" customFormat="1" ht="19.5" customHeight="1">
      <c r="A25" s="264" t="s">
        <v>540</v>
      </c>
      <c r="B25" s="283" t="s">
        <v>541</v>
      </c>
      <c r="C25" s="284"/>
      <c r="D25" s="284"/>
      <c r="E25" s="285"/>
      <c r="F25" s="285"/>
    </row>
    <row r="26" spans="1:11" s="244" customFormat="1" ht="18.75" customHeight="1">
      <c r="A26" s="270"/>
      <c r="B26" s="286" t="s">
        <v>542</v>
      </c>
      <c r="C26" s="285"/>
      <c r="D26" s="285"/>
      <c r="E26" s="285"/>
      <c r="F26" s="285"/>
    </row>
    <row r="27" spans="1:11" s="244" customFormat="1" ht="18.75" customHeight="1">
      <c r="A27" s="270"/>
      <c r="B27" s="285" t="s">
        <v>541</v>
      </c>
      <c r="C27" s="285"/>
      <c r="D27" s="285"/>
      <c r="E27" s="285"/>
      <c r="F27" s="285"/>
    </row>
    <row r="28" spans="1:11" s="244" customFormat="1" ht="18.75" customHeight="1">
      <c r="A28" s="270"/>
      <c r="B28" s="285" t="s">
        <v>49</v>
      </c>
      <c r="C28" s="285"/>
      <c r="D28" s="285"/>
      <c r="E28" s="285"/>
      <c r="F28" s="285"/>
    </row>
    <row r="29" spans="1:11" s="244" customFormat="1" ht="18.75" customHeight="1">
      <c r="A29" s="270"/>
      <c r="B29" s="285" t="s">
        <v>543</v>
      </c>
      <c r="C29" s="285" t="s">
        <v>16</v>
      </c>
      <c r="D29" s="287">
        <v>1.3</v>
      </c>
      <c r="E29" s="285">
        <v>18.86</v>
      </c>
      <c r="F29" s="285">
        <f>TRUNC(D29*E29,2)</f>
        <v>24.51</v>
      </c>
      <c r="K29" s="244">
        <f>680.36*30%</f>
        <v>204.108</v>
      </c>
    </row>
    <row r="30" spans="1:11" s="244" customFormat="1" ht="13.5" customHeight="1">
      <c r="A30" s="270"/>
      <c r="B30" s="285" t="s">
        <v>544</v>
      </c>
      <c r="C30" s="285" t="s">
        <v>16</v>
      </c>
      <c r="D30" s="287">
        <v>13</v>
      </c>
      <c r="E30" s="285">
        <v>15.22</v>
      </c>
      <c r="F30" s="285">
        <f>TRUNC(D30*E30,2)</f>
        <v>197.86</v>
      </c>
    </row>
    <row r="31" spans="1:11" s="244" customFormat="1" ht="23.25" customHeight="1">
      <c r="A31" s="270"/>
      <c r="B31" s="284" t="s">
        <v>538</v>
      </c>
      <c r="C31" s="285"/>
      <c r="D31" s="285"/>
      <c r="E31" s="285"/>
      <c r="F31" s="284">
        <f>TRUNC(F29+F30,2)</f>
        <v>222.37</v>
      </c>
    </row>
    <row r="32" spans="1:11" s="244" customFormat="1" ht="23.25" customHeight="1">
      <c r="A32" s="288"/>
      <c r="B32" s="289" t="s">
        <v>545</v>
      </c>
      <c r="C32" s="289"/>
      <c r="D32" s="289"/>
      <c r="E32" s="289"/>
      <c r="F32" s="289"/>
    </row>
    <row r="33" spans="1:16" s="244" customFormat="1" ht="23.25" customHeight="1">
      <c r="A33" s="282"/>
      <c r="B33" s="282"/>
      <c r="C33" s="282"/>
      <c r="D33" s="282"/>
      <c r="E33" s="282"/>
      <c r="F33" s="282"/>
    </row>
    <row r="34" spans="1:16" s="244" customFormat="1" ht="30" customHeight="1">
      <c r="A34" s="290" t="s">
        <v>112</v>
      </c>
      <c r="B34" s="265" t="s">
        <v>546</v>
      </c>
      <c r="C34" s="291"/>
      <c r="D34" s="291"/>
      <c r="E34" s="291"/>
      <c r="F34" s="274"/>
    </row>
    <row r="35" spans="1:16" s="244" customFormat="1" ht="24" customHeight="1">
      <c r="A35" s="292"/>
      <c r="B35" s="265" t="s">
        <v>547</v>
      </c>
      <c r="C35" s="291"/>
      <c r="D35" s="291"/>
      <c r="E35" s="291"/>
      <c r="F35" s="274"/>
    </row>
    <row r="36" spans="1:16" s="244" customFormat="1" ht="24" customHeight="1">
      <c r="A36" s="292"/>
      <c r="B36" s="265" t="s">
        <v>548</v>
      </c>
      <c r="C36" s="275"/>
      <c r="D36" s="291"/>
      <c r="E36" s="291"/>
      <c r="F36" s="274"/>
    </row>
    <row r="37" spans="1:16" s="244" customFormat="1" ht="24" customHeight="1">
      <c r="A37" s="292"/>
      <c r="B37" s="275" t="s">
        <v>549</v>
      </c>
      <c r="C37" s="259" t="s">
        <v>16</v>
      </c>
      <c r="D37" s="293">
        <v>0.5</v>
      </c>
      <c r="E37" s="291">
        <v>18.75</v>
      </c>
      <c r="F37" s="274">
        <f>D37*E37</f>
        <v>9.375</v>
      </c>
      <c r="J37" s="294">
        <f>F39+58.16</f>
        <v>75.155000000000001</v>
      </c>
    </row>
    <row r="38" spans="1:16" s="244" customFormat="1" ht="24" customHeight="1">
      <c r="A38" s="292"/>
      <c r="B38" s="275" t="s">
        <v>550</v>
      </c>
      <c r="C38" s="259" t="s">
        <v>16</v>
      </c>
      <c r="D38" s="293">
        <v>0.5</v>
      </c>
      <c r="E38" s="291">
        <v>15.24</v>
      </c>
      <c r="F38" s="274">
        <f>D38*E38</f>
        <v>7.62</v>
      </c>
    </row>
    <row r="39" spans="1:16" s="244" customFormat="1" ht="24" customHeight="1">
      <c r="A39" s="292"/>
      <c r="B39" s="265" t="s">
        <v>537</v>
      </c>
      <c r="C39" s="280"/>
      <c r="D39" s="291"/>
      <c r="E39" s="291"/>
      <c r="F39" s="279">
        <f>F38+F37</f>
        <v>16.995000000000001</v>
      </c>
      <c r="P39" s="244">
        <f>12.26*12*256.72</f>
        <v>37768.646400000005</v>
      </c>
    </row>
    <row r="40" spans="1:16" s="244" customFormat="1" ht="24" customHeight="1">
      <c r="A40" s="292"/>
      <c r="B40" s="265" t="s">
        <v>535</v>
      </c>
      <c r="C40" s="280"/>
      <c r="D40" s="291"/>
      <c r="E40" s="291"/>
      <c r="F40" s="274"/>
    </row>
    <row r="41" spans="1:16" s="244" customFormat="1" ht="29.25" customHeight="1">
      <c r="A41" s="292"/>
      <c r="B41" s="275" t="s">
        <v>551</v>
      </c>
      <c r="C41" s="280" t="s">
        <v>101</v>
      </c>
      <c r="D41" s="293">
        <v>1</v>
      </c>
      <c r="E41" s="291">
        <v>58.16</v>
      </c>
      <c r="F41" s="274">
        <f>D41*E41</f>
        <v>58.16</v>
      </c>
    </row>
    <row r="42" spans="1:16" s="244" customFormat="1" ht="24" customHeight="1">
      <c r="A42" s="292"/>
      <c r="B42" s="265" t="s">
        <v>537</v>
      </c>
      <c r="C42" s="291"/>
      <c r="D42" s="293"/>
      <c r="E42" s="291"/>
      <c r="F42" s="279">
        <f>F41</f>
        <v>58.16</v>
      </c>
      <c r="I42" s="244">
        <f>404.4/6</f>
        <v>67.399999999999991</v>
      </c>
    </row>
    <row r="43" spans="1:16" s="244" customFormat="1" ht="24" customHeight="1">
      <c r="A43" s="292"/>
      <c r="B43" s="265" t="s">
        <v>538</v>
      </c>
      <c r="C43" s="291"/>
      <c r="D43" s="293"/>
      <c r="E43" s="291"/>
      <c r="F43" s="279">
        <f>F42+F39</f>
        <v>75.155000000000001</v>
      </c>
    </row>
    <row r="44" spans="1:16" s="244" customFormat="1" ht="24" customHeight="1">
      <c r="A44" s="292"/>
      <c r="B44" s="275"/>
      <c r="C44" s="291"/>
      <c r="D44" s="293"/>
      <c r="E44" s="291"/>
      <c r="F44" s="274"/>
      <c r="J44" s="244">
        <f>405/6</f>
        <v>67.5</v>
      </c>
      <c r="O44" s="244">
        <f>214.01*(15.84+58.16)</f>
        <v>15836.74</v>
      </c>
    </row>
    <row r="45" spans="1:16" s="244" customFormat="1" ht="30.75" customHeight="1">
      <c r="A45" s="292"/>
      <c r="B45" s="275" t="s">
        <v>552</v>
      </c>
      <c r="C45" s="291"/>
      <c r="D45" s="293"/>
      <c r="E45" s="291"/>
      <c r="F45" s="274"/>
    </row>
    <row r="46" spans="1:16" s="244" customFormat="1" ht="30.75" customHeight="1">
      <c r="A46" s="292"/>
      <c r="B46" s="275" t="s">
        <v>553</v>
      </c>
      <c r="C46" s="291"/>
      <c r="D46" s="293"/>
      <c r="E46" s="291"/>
      <c r="F46" s="274"/>
      <c r="I46" s="244">
        <f>349/6</f>
        <v>58.166666666666664</v>
      </c>
    </row>
    <row r="47" spans="1:16" s="244" customFormat="1" ht="30.75" customHeight="1">
      <c r="A47" s="292"/>
      <c r="B47" s="275" t="s">
        <v>554</v>
      </c>
      <c r="C47" s="291"/>
      <c r="D47" s="293"/>
      <c r="E47" s="291"/>
      <c r="F47" s="274"/>
    </row>
    <row r="48" spans="1:16" s="244" customFormat="1" ht="24" customHeight="1">
      <c r="A48" s="292"/>
      <c r="B48" s="275" t="s">
        <v>555</v>
      </c>
      <c r="C48" s="291"/>
      <c r="D48" s="293"/>
      <c r="E48" s="291"/>
      <c r="F48" s="274"/>
      <c r="H48" s="244">
        <f>8.75*6.9+17.85*11</f>
        <v>256.72500000000002</v>
      </c>
      <c r="J48" s="244">
        <f>11.05/1.2</f>
        <v>9.2083333333333339</v>
      </c>
      <c r="L48" s="244" t="s">
        <v>75</v>
      </c>
      <c r="N48" s="244">
        <f>214.01/256.72</f>
        <v>0.83363197257712673</v>
      </c>
    </row>
    <row r="49" spans="1:7" s="244" customFormat="1" ht="18" customHeight="1">
      <c r="A49" s="292"/>
      <c r="B49" s="275"/>
      <c r="C49" s="291"/>
      <c r="D49" s="293"/>
      <c r="E49" s="291"/>
      <c r="F49" s="274"/>
      <c r="G49" s="244">
        <f>9*12.7</f>
        <v>114.3</v>
      </c>
    </row>
    <row r="50" spans="1:7" s="244" customFormat="1" ht="23.25" customHeight="1">
      <c r="A50" s="239"/>
      <c r="B50" s="285"/>
      <c r="C50" s="285"/>
      <c r="D50" s="285"/>
      <c r="E50" s="285"/>
      <c r="F50" s="285"/>
      <c r="G50" s="244">
        <f>114.3/147.43</f>
        <v>0.77528318524045303</v>
      </c>
    </row>
    <row r="51" spans="1:7" ht="13.5" thickBot="1">
      <c r="A51" s="295"/>
      <c r="B51" s="296"/>
      <c r="C51" s="296"/>
      <c r="D51" s="296"/>
      <c r="E51" s="296"/>
      <c r="F51" s="297"/>
    </row>
    <row r="52" spans="1:7" ht="25.5">
      <c r="B52" s="299" t="s">
        <v>556</v>
      </c>
      <c r="C52" s="239"/>
      <c r="D52" s="239"/>
      <c r="E52" s="239"/>
      <c r="F52" s="239"/>
    </row>
    <row r="53" spans="1:7">
      <c r="B53" s="299" t="s">
        <v>557</v>
      </c>
      <c r="C53" s="239"/>
      <c r="D53" s="239"/>
      <c r="E53" s="239"/>
      <c r="F53" s="239"/>
    </row>
    <row r="54" spans="1:7" ht="15">
      <c r="B54" s="265" t="s">
        <v>535</v>
      </c>
      <c r="C54" s="239"/>
      <c r="D54" s="239"/>
      <c r="E54" s="239"/>
      <c r="F54" s="239"/>
    </row>
    <row r="55" spans="1:7">
      <c r="A55" s="270"/>
      <c r="B55" s="239" t="s">
        <v>558</v>
      </c>
      <c r="C55" s="239" t="s">
        <v>101</v>
      </c>
      <c r="D55" s="300">
        <v>18</v>
      </c>
      <c r="E55" s="300">
        <v>21.71</v>
      </c>
      <c r="F55" s="300">
        <f t="shared" ref="F55:F62" si="1">D55*E55</f>
        <v>390.78000000000003</v>
      </c>
    </row>
    <row r="56" spans="1:7">
      <c r="B56" s="239" t="s">
        <v>559</v>
      </c>
      <c r="C56" s="239" t="s">
        <v>22</v>
      </c>
      <c r="D56" s="300">
        <v>10.4</v>
      </c>
      <c r="E56" s="300">
        <v>134.72999999999999</v>
      </c>
      <c r="F56" s="301">
        <f t="shared" si="1"/>
        <v>1401.192</v>
      </c>
    </row>
    <row r="57" spans="1:7">
      <c r="B57" s="239" t="s">
        <v>560</v>
      </c>
      <c r="C57" s="239" t="s">
        <v>101</v>
      </c>
      <c r="D57" s="300">
        <v>9</v>
      </c>
      <c r="E57" s="300">
        <v>14.5</v>
      </c>
      <c r="F57" s="301">
        <f t="shared" si="1"/>
        <v>130.5</v>
      </c>
    </row>
    <row r="58" spans="1:7">
      <c r="A58" s="270"/>
      <c r="B58" s="239" t="s">
        <v>561</v>
      </c>
      <c r="C58" s="239" t="s">
        <v>25</v>
      </c>
      <c r="D58" s="300">
        <v>2</v>
      </c>
      <c r="E58" s="300">
        <v>28.61</v>
      </c>
      <c r="F58" s="301">
        <f t="shared" si="1"/>
        <v>57.22</v>
      </c>
    </row>
    <row r="59" spans="1:7">
      <c r="A59" s="270"/>
      <c r="B59" s="239" t="s">
        <v>562</v>
      </c>
      <c r="C59" s="239" t="s">
        <v>101</v>
      </c>
      <c r="D59" s="300">
        <v>1</v>
      </c>
      <c r="E59" s="300">
        <v>181.89</v>
      </c>
      <c r="F59" s="301">
        <f t="shared" si="1"/>
        <v>181.89</v>
      </c>
    </row>
    <row r="60" spans="1:7">
      <c r="B60" s="239" t="s">
        <v>563</v>
      </c>
      <c r="C60" s="239" t="s">
        <v>101</v>
      </c>
      <c r="D60" s="300">
        <v>8</v>
      </c>
      <c r="E60" s="300">
        <v>612.27</v>
      </c>
      <c r="F60" s="301">
        <f t="shared" si="1"/>
        <v>4898.16</v>
      </c>
    </row>
    <row r="61" spans="1:7">
      <c r="A61" s="270"/>
      <c r="B61" s="239" t="s">
        <v>564</v>
      </c>
      <c r="C61" s="239" t="s">
        <v>25</v>
      </c>
      <c r="D61" s="300">
        <v>1</v>
      </c>
      <c r="E61" s="300">
        <v>13.71</v>
      </c>
      <c r="F61" s="301">
        <f t="shared" si="1"/>
        <v>13.71</v>
      </c>
    </row>
    <row r="62" spans="1:7">
      <c r="A62" s="270"/>
      <c r="B62" s="239" t="s">
        <v>565</v>
      </c>
      <c r="C62" s="239" t="s">
        <v>78</v>
      </c>
      <c r="D62" s="300">
        <v>2</v>
      </c>
      <c r="E62" s="300">
        <v>2.5</v>
      </c>
      <c r="F62" s="301">
        <f t="shared" si="1"/>
        <v>5</v>
      </c>
    </row>
    <row r="63" spans="1:7">
      <c r="B63" s="302" t="s">
        <v>537</v>
      </c>
      <c r="C63" s="239"/>
      <c r="D63" s="300"/>
      <c r="E63" s="300"/>
      <c r="F63" s="303">
        <f>SUM(F55:F62,2)</f>
        <v>7080.4520000000002</v>
      </c>
    </row>
    <row r="64" spans="1:7" ht="15">
      <c r="B64" s="265" t="s">
        <v>548</v>
      </c>
      <c r="C64" s="239"/>
      <c r="D64" s="300"/>
      <c r="E64" s="300"/>
      <c r="F64" s="301">
        <f>D64*E64</f>
        <v>0</v>
      </c>
    </row>
    <row r="65" spans="1:11">
      <c r="B65" s="239" t="s">
        <v>549</v>
      </c>
      <c r="C65" s="239" t="s">
        <v>16</v>
      </c>
      <c r="D65" s="300">
        <v>8</v>
      </c>
      <c r="E65" s="300">
        <v>18.75</v>
      </c>
      <c r="F65" s="301">
        <f>D65*E65</f>
        <v>150</v>
      </c>
    </row>
    <row r="66" spans="1:11">
      <c r="B66" s="239" t="s">
        <v>566</v>
      </c>
      <c r="C66" s="239" t="s">
        <v>16</v>
      </c>
      <c r="D66" s="300">
        <v>8</v>
      </c>
      <c r="E66" s="300">
        <v>16.05</v>
      </c>
      <c r="F66" s="301">
        <f>D66*E66</f>
        <v>128.4</v>
      </c>
    </row>
    <row r="67" spans="1:11">
      <c r="B67" s="239" t="s">
        <v>543</v>
      </c>
      <c r="C67" s="239" t="s">
        <v>16</v>
      </c>
      <c r="D67" s="300">
        <v>8</v>
      </c>
      <c r="E67" s="300">
        <v>18.86</v>
      </c>
      <c r="F67" s="301">
        <f>D67*E67</f>
        <v>150.88</v>
      </c>
    </row>
    <row r="68" spans="1:11">
      <c r="B68" s="239" t="s">
        <v>544</v>
      </c>
      <c r="C68" s="239" t="s">
        <v>16</v>
      </c>
      <c r="D68" s="300">
        <v>8</v>
      </c>
      <c r="E68" s="300">
        <v>15.16</v>
      </c>
      <c r="F68" s="301">
        <f>D68*E68</f>
        <v>121.28</v>
      </c>
    </row>
    <row r="69" spans="1:11">
      <c r="B69" s="302" t="s">
        <v>537</v>
      </c>
      <c r="C69" s="239"/>
      <c r="D69" s="300"/>
      <c r="E69" s="300"/>
      <c r="F69" s="303">
        <f>SUM(F65:F68)</f>
        <v>550.55999999999995</v>
      </c>
    </row>
    <row r="70" spans="1:11" ht="15">
      <c r="B70" s="265" t="s">
        <v>538</v>
      </c>
      <c r="C70" s="239"/>
      <c r="D70" s="239"/>
      <c r="E70" s="300"/>
      <c r="F70" s="303">
        <f>SUM(F63+F69)</f>
        <v>7631.0120000000006</v>
      </c>
      <c r="J70" s="211">
        <f>7631.01/(4*2.6)</f>
        <v>733.75096153846152</v>
      </c>
    </row>
    <row r="71" spans="1:11" ht="14.25">
      <c r="B71" s="275" t="s">
        <v>567</v>
      </c>
      <c r="C71" s="239"/>
      <c r="D71" s="239"/>
      <c r="E71" s="300"/>
      <c r="F71" s="303" t="s">
        <v>820</v>
      </c>
    </row>
    <row r="72" spans="1:11" s="244" customFormat="1" ht="16.5" customHeight="1">
      <c r="A72" s="298"/>
      <c r="B72" s="286"/>
      <c r="C72" s="304"/>
      <c r="D72" s="305"/>
      <c r="E72" s="306"/>
      <c r="F72" s="306"/>
    </row>
    <row r="73" spans="1:11" s="307" customFormat="1">
      <c r="G73" s="244"/>
      <c r="H73" s="244"/>
    </row>
    <row r="74" spans="1:11" s="307" customFormat="1" ht="60" hidden="1">
      <c r="A74" s="308" t="s">
        <v>131</v>
      </c>
      <c r="B74" s="283" t="s">
        <v>568</v>
      </c>
      <c r="C74" s="309"/>
      <c r="D74" s="309"/>
      <c r="E74" s="309"/>
      <c r="F74" s="310"/>
      <c r="G74" s="244"/>
      <c r="H74" s="244"/>
    </row>
    <row r="75" spans="1:11" s="307" customFormat="1" ht="15" hidden="1">
      <c r="A75" s="311"/>
      <c r="B75" s="283" t="s">
        <v>569</v>
      </c>
      <c r="C75" s="309"/>
      <c r="D75" s="309"/>
      <c r="E75" s="309"/>
      <c r="F75" s="310"/>
      <c r="G75" s="244"/>
      <c r="H75" s="244"/>
    </row>
    <row r="76" spans="1:11" s="307" customFormat="1" ht="15" hidden="1">
      <c r="A76" s="311"/>
      <c r="B76" s="283" t="s">
        <v>548</v>
      </c>
      <c r="C76" s="312"/>
      <c r="D76" s="309"/>
      <c r="E76" s="309"/>
      <c r="F76" s="310"/>
      <c r="G76" s="244"/>
      <c r="H76" s="244"/>
    </row>
    <row r="77" spans="1:11" s="307" customFormat="1" ht="14.25" hidden="1">
      <c r="A77" s="311"/>
      <c r="B77" s="312" t="s">
        <v>549</v>
      </c>
      <c r="C77" s="259" t="s">
        <v>16</v>
      </c>
      <c r="D77" s="313">
        <v>60</v>
      </c>
      <c r="E77" s="309">
        <v>8.93</v>
      </c>
      <c r="F77" s="310">
        <f>D77*E77</f>
        <v>535.79999999999995</v>
      </c>
      <c r="G77" s="244"/>
      <c r="H77" s="244"/>
    </row>
    <row r="78" spans="1:11" s="307" customFormat="1" ht="14.25" hidden="1">
      <c r="A78" s="311"/>
      <c r="B78" s="312" t="s">
        <v>550</v>
      </c>
      <c r="C78" s="259" t="s">
        <v>16</v>
      </c>
      <c r="D78" s="313">
        <v>60</v>
      </c>
      <c r="E78" s="309">
        <v>5.95</v>
      </c>
      <c r="F78" s="310">
        <f>D78*E78</f>
        <v>357</v>
      </c>
      <c r="G78" s="244"/>
      <c r="H78" s="244"/>
    </row>
    <row r="79" spans="1:11" s="307" customFormat="1" ht="15" hidden="1">
      <c r="A79" s="311"/>
      <c r="B79" s="283" t="s">
        <v>537</v>
      </c>
      <c r="C79" s="309"/>
      <c r="D79" s="309"/>
      <c r="E79" s="309"/>
      <c r="F79" s="314">
        <f>F78+F77</f>
        <v>892.8</v>
      </c>
      <c r="G79" s="244"/>
      <c r="H79" s="244"/>
      <c r="K79" s="307">
        <f>E77+E78</f>
        <v>14.879999999999999</v>
      </c>
    </row>
    <row r="80" spans="1:11" s="307" customFormat="1" ht="15" hidden="1">
      <c r="A80" s="311"/>
      <c r="B80" s="283" t="s">
        <v>535</v>
      </c>
      <c r="C80" s="309"/>
      <c r="D80" s="309"/>
      <c r="E80" s="309"/>
      <c r="F80" s="310"/>
      <c r="G80" s="244"/>
      <c r="H80" s="244"/>
    </row>
    <row r="81" spans="1:11" s="307" customFormat="1" ht="14.25" hidden="1">
      <c r="A81" s="315"/>
      <c r="B81" s="312" t="s">
        <v>570</v>
      </c>
      <c r="C81" s="309" t="s">
        <v>22</v>
      </c>
      <c r="D81" s="313">
        <v>23.2</v>
      </c>
      <c r="E81" s="309">
        <v>59.22</v>
      </c>
      <c r="F81" s="310">
        <f>D81*E81</f>
        <v>1373.904</v>
      </c>
      <c r="G81" s="244"/>
      <c r="H81" s="244"/>
    </row>
    <row r="82" spans="1:11" s="307" customFormat="1" ht="14.25" hidden="1">
      <c r="A82" s="315"/>
      <c r="B82" s="312" t="s">
        <v>571</v>
      </c>
      <c r="C82" s="309" t="s">
        <v>101</v>
      </c>
      <c r="D82" s="313">
        <v>30</v>
      </c>
      <c r="E82" s="309">
        <v>17.5</v>
      </c>
      <c r="F82" s="310">
        <f>D82*E82</f>
        <v>525</v>
      </c>
      <c r="G82" s="244"/>
      <c r="H82" s="244"/>
    </row>
    <row r="83" spans="1:11" s="307" customFormat="1" ht="14.25" hidden="1">
      <c r="A83" s="315"/>
      <c r="B83" s="312" t="s">
        <v>572</v>
      </c>
      <c r="C83" s="309" t="s">
        <v>25</v>
      </c>
      <c r="D83" s="313">
        <v>12</v>
      </c>
      <c r="E83" s="309">
        <v>4.9000000000000004</v>
      </c>
      <c r="F83" s="310">
        <f>D83*E83</f>
        <v>58.800000000000004</v>
      </c>
      <c r="G83" s="244"/>
      <c r="H83" s="244"/>
      <c r="I83" s="316">
        <f>F86*0.4</f>
        <v>878.26559999999995</v>
      </c>
      <c r="K83" s="316">
        <f>I83/K79</f>
        <v>59.023225806451613</v>
      </c>
    </row>
    <row r="84" spans="1:11" s="307" customFormat="1" ht="14.25" hidden="1">
      <c r="A84" s="315"/>
      <c r="B84" s="312" t="s">
        <v>573</v>
      </c>
      <c r="C84" s="309" t="s">
        <v>101</v>
      </c>
      <c r="D84" s="313">
        <v>12</v>
      </c>
      <c r="E84" s="309">
        <v>19.829999999999998</v>
      </c>
      <c r="F84" s="310">
        <f>D84*E84</f>
        <v>237.95999999999998</v>
      </c>
      <c r="G84" s="244"/>
      <c r="H84" s="244"/>
    </row>
    <row r="85" spans="1:11" s="307" customFormat="1" ht="14.25" hidden="1">
      <c r="A85" s="315"/>
      <c r="B85" s="312"/>
      <c r="C85" s="309"/>
      <c r="D85" s="313"/>
      <c r="E85" s="309"/>
      <c r="F85" s="310"/>
      <c r="G85" s="244"/>
      <c r="H85" s="244"/>
    </row>
    <row r="86" spans="1:11" s="307" customFormat="1" ht="15" hidden="1">
      <c r="A86" s="315"/>
      <c r="B86" s="283" t="s">
        <v>537</v>
      </c>
      <c r="C86" s="309"/>
      <c r="D86" s="313"/>
      <c r="E86" s="309"/>
      <c r="F86" s="314">
        <f>F81+F82+F83+F84</f>
        <v>2195.6639999999998</v>
      </c>
      <c r="G86" s="244"/>
      <c r="H86" s="244"/>
    </row>
    <row r="87" spans="1:11" s="307" customFormat="1" ht="15" hidden="1">
      <c r="A87" s="315"/>
      <c r="B87" s="283" t="s">
        <v>538</v>
      </c>
      <c r="C87" s="309"/>
      <c r="D87" s="313"/>
      <c r="E87" s="309"/>
      <c r="F87" s="314">
        <f>F86+F79</f>
        <v>3088.4639999999999</v>
      </c>
      <c r="G87" s="244"/>
      <c r="H87" s="244"/>
    </row>
    <row r="88" spans="1:11" s="307" customFormat="1" ht="15" hidden="1">
      <c r="A88" s="315"/>
      <c r="B88" s="283" t="s">
        <v>574</v>
      </c>
      <c r="C88" s="309"/>
      <c r="D88" s="313"/>
      <c r="E88" s="309"/>
      <c r="F88" s="314">
        <f>F87/D81</f>
        <v>133.12344827586207</v>
      </c>
      <c r="G88" s="244"/>
      <c r="H88" s="244"/>
    </row>
    <row r="89" spans="1:11" s="307" customFormat="1" ht="14.25" hidden="1">
      <c r="A89" s="315"/>
      <c r="B89" s="312" t="s">
        <v>575</v>
      </c>
      <c r="C89" s="309"/>
      <c r="D89" s="313"/>
      <c r="E89" s="309"/>
      <c r="F89" s="310"/>
      <c r="G89" s="244"/>
      <c r="H89" s="244"/>
    </row>
    <row r="90" spans="1:11" s="307" customFormat="1" ht="14.25" hidden="1">
      <c r="A90" s="315"/>
      <c r="B90" s="312" t="s">
        <v>576</v>
      </c>
      <c r="C90" s="309"/>
      <c r="D90" s="313"/>
      <c r="E90" s="309"/>
      <c r="F90" s="310"/>
      <c r="G90" s="244"/>
      <c r="H90" s="244"/>
    </row>
    <row r="91" spans="1:11" s="307" customFormat="1" ht="14.25" hidden="1">
      <c r="A91" s="315"/>
      <c r="B91" s="312" t="s">
        <v>577</v>
      </c>
      <c r="C91" s="309"/>
      <c r="D91" s="313"/>
      <c r="E91" s="309"/>
      <c r="F91" s="310"/>
      <c r="G91" s="244"/>
      <c r="H91" s="244"/>
    </row>
    <row r="92" spans="1:11" s="307" customFormat="1" ht="14.25" hidden="1">
      <c r="A92" s="315"/>
      <c r="B92" s="312" t="s">
        <v>578</v>
      </c>
      <c r="C92" s="309"/>
      <c r="D92" s="313"/>
      <c r="E92" s="309"/>
      <c r="F92" s="310"/>
      <c r="G92" s="244"/>
      <c r="H92" s="244"/>
    </row>
    <row r="93" spans="1:11" s="307" customFormat="1" ht="14.25" hidden="1">
      <c r="A93" s="315"/>
      <c r="B93" s="312" t="s">
        <v>579</v>
      </c>
      <c r="C93" s="309"/>
      <c r="D93" s="313"/>
      <c r="E93" s="309"/>
      <c r="F93" s="310"/>
      <c r="G93" s="244"/>
      <c r="H93" s="244"/>
    </row>
    <row r="94" spans="1:11" s="307" customFormat="1" ht="14.25" hidden="1">
      <c r="A94" s="315"/>
      <c r="B94" s="317" t="s">
        <v>580</v>
      </c>
      <c r="C94" s="309"/>
      <c r="D94" s="313"/>
      <c r="E94" s="309"/>
      <c r="F94" s="310"/>
      <c r="G94" s="244"/>
      <c r="H94" s="244"/>
    </row>
    <row r="95" spans="1:11" s="307" customFormat="1" ht="14.25" hidden="1">
      <c r="A95" s="315"/>
      <c r="B95" s="312" t="s">
        <v>581</v>
      </c>
      <c r="C95" s="309"/>
      <c r="D95" s="313"/>
      <c r="E95" s="309"/>
      <c r="F95" s="310"/>
      <c r="G95" s="244"/>
      <c r="H95" s="244"/>
    </row>
    <row r="96" spans="1:11" s="324" customFormat="1" ht="15" hidden="1">
      <c r="A96" s="318"/>
      <c r="B96" s="319"/>
      <c r="C96" s="320"/>
      <c r="D96" s="320"/>
      <c r="E96" s="320"/>
      <c r="F96" s="321"/>
      <c r="G96" s="322"/>
      <c r="H96" s="323"/>
    </row>
    <row r="97" spans="1:6" s="244" customFormat="1" ht="23.25" customHeight="1">
      <c r="A97" s="282"/>
      <c r="B97" s="282"/>
      <c r="C97" s="282"/>
      <c r="D97" s="282"/>
      <c r="E97" s="282"/>
      <c r="F97" s="282"/>
    </row>
    <row r="98" spans="1:6" s="244" customFormat="1" ht="24" customHeight="1">
      <c r="A98" s="327" t="s">
        <v>178</v>
      </c>
      <c r="B98" s="328" t="s">
        <v>583</v>
      </c>
      <c r="C98" s="285"/>
      <c r="D98" s="285"/>
      <c r="E98" s="285"/>
      <c r="F98" s="285"/>
    </row>
    <row r="99" spans="1:6" s="244" customFormat="1" ht="24" customHeight="1">
      <c r="A99" s="32">
        <v>3767</v>
      </c>
      <c r="B99" s="44" t="s">
        <v>584</v>
      </c>
      <c r="C99" s="286" t="s">
        <v>585</v>
      </c>
      <c r="D99" s="285">
        <v>0.06</v>
      </c>
      <c r="E99" s="285">
        <v>1.1200000000000001</v>
      </c>
      <c r="F99" s="287">
        <f>D99*E99</f>
        <v>6.720000000000001E-2</v>
      </c>
    </row>
    <row r="100" spans="1:6" s="244" customFormat="1" ht="24" customHeight="1">
      <c r="A100" s="32">
        <v>88316</v>
      </c>
      <c r="B100" s="44" t="s">
        <v>526</v>
      </c>
      <c r="C100" s="286" t="s">
        <v>525</v>
      </c>
      <c r="D100" s="285">
        <v>0.18</v>
      </c>
      <c r="E100" s="285">
        <v>15.16</v>
      </c>
      <c r="F100" s="287">
        <f>D100*E100</f>
        <v>2.7288000000000001</v>
      </c>
    </row>
    <row r="101" spans="1:6" s="244" customFormat="1" ht="24" customHeight="1">
      <c r="A101" s="285"/>
      <c r="B101" s="284" t="s">
        <v>586</v>
      </c>
      <c r="C101" s="285"/>
      <c r="D101" s="285"/>
      <c r="E101" s="285"/>
      <c r="F101" s="287">
        <f>F99+F100</f>
        <v>2.7960000000000003</v>
      </c>
    </row>
    <row r="102" spans="1:6">
      <c r="A102" s="329"/>
      <c r="B102" s="240"/>
      <c r="C102" s="240"/>
      <c r="D102" s="240"/>
      <c r="E102" s="240"/>
      <c r="F102" s="330"/>
    </row>
    <row r="103" spans="1:6" ht="30">
      <c r="A103" s="331" t="s">
        <v>372</v>
      </c>
      <c r="B103" s="332" t="s">
        <v>587</v>
      </c>
      <c r="C103" s="333"/>
      <c r="D103" s="333"/>
      <c r="E103" s="333"/>
      <c r="F103" s="334"/>
    </row>
    <row r="104" spans="1:6" ht="15">
      <c r="A104" s="335"/>
      <c r="B104" s="332" t="s">
        <v>588</v>
      </c>
      <c r="C104" s="336"/>
      <c r="D104" s="336"/>
      <c r="E104" s="336"/>
      <c r="F104" s="337"/>
    </row>
    <row r="105" spans="1:6" ht="15">
      <c r="A105" s="335"/>
      <c r="B105" s="265" t="s">
        <v>548</v>
      </c>
      <c r="C105" s="336"/>
      <c r="D105" s="336"/>
      <c r="E105" s="336"/>
      <c r="F105" s="337"/>
    </row>
    <row r="106" spans="1:6" ht="25.5">
      <c r="A106" s="190">
        <v>88267</v>
      </c>
      <c r="B106" s="338" t="s">
        <v>589</v>
      </c>
      <c r="C106" s="336" t="s">
        <v>16</v>
      </c>
      <c r="D106" s="336">
        <v>0.39</v>
      </c>
      <c r="E106" s="336">
        <v>18.72</v>
      </c>
      <c r="F106" s="339">
        <f>D106*E106</f>
        <v>7.3007999999999997</v>
      </c>
    </row>
    <row r="107" spans="1:6" ht="25.5">
      <c r="A107" s="190">
        <v>88248</v>
      </c>
      <c r="B107" s="338" t="s">
        <v>590</v>
      </c>
      <c r="C107" s="336" t="s">
        <v>16</v>
      </c>
      <c r="D107" s="336">
        <v>0.19</v>
      </c>
      <c r="E107" s="336">
        <v>14.52</v>
      </c>
      <c r="F107" s="339">
        <f>D107*E107</f>
        <v>2.7587999999999999</v>
      </c>
    </row>
    <row r="108" spans="1:6" ht="15">
      <c r="A108" s="340"/>
      <c r="B108" s="341" t="s">
        <v>537</v>
      </c>
      <c r="C108" s="259"/>
      <c r="D108" s="342"/>
      <c r="E108" s="343"/>
      <c r="F108" s="344">
        <f>F106++F107</f>
        <v>10.0596</v>
      </c>
    </row>
    <row r="109" spans="1:6" ht="25.5">
      <c r="A109" s="335" t="s">
        <v>591</v>
      </c>
      <c r="B109" s="338" t="s">
        <v>587</v>
      </c>
      <c r="C109" s="336" t="s">
        <v>25</v>
      </c>
      <c r="D109" s="336">
        <v>1</v>
      </c>
      <c r="E109" s="336">
        <v>895.6</v>
      </c>
      <c r="F109" s="339">
        <f>D109*E109</f>
        <v>895.6</v>
      </c>
    </row>
    <row r="110" spans="1:6" ht="38.25">
      <c r="A110" s="340">
        <v>4351</v>
      </c>
      <c r="B110" s="338" t="s">
        <v>592</v>
      </c>
      <c r="C110" s="336" t="s">
        <v>25</v>
      </c>
      <c r="D110" s="336">
        <v>2</v>
      </c>
      <c r="E110" s="336">
        <v>15.79</v>
      </c>
      <c r="F110" s="339">
        <f>D110*E110</f>
        <v>31.58</v>
      </c>
    </row>
    <row r="111" spans="1:6" ht="14.25">
      <c r="A111" s="190">
        <v>34357</v>
      </c>
      <c r="B111" s="345" t="s">
        <v>593</v>
      </c>
      <c r="C111" s="336" t="s">
        <v>78</v>
      </c>
      <c r="D111" s="336">
        <v>5.0700000000000002E-2</v>
      </c>
      <c r="E111" s="336">
        <v>4.8099999999999996</v>
      </c>
      <c r="F111" s="339">
        <f>D111*E111</f>
        <v>0.243867</v>
      </c>
    </row>
    <row r="112" spans="1:6" ht="15">
      <c r="A112" s="346"/>
      <c r="B112" s="341" t="s">
        <v>537</v>
      </c>
      <c r="C112" s="259"/>
      <c r="D112" s="342"/>
      <c r="E112" s="343"/>
      <c r="F112" s="347">
        <f>F109+F111+F110</f>
        <v>927.42386700000009</v>
      </c>
    </row>
    <row r="113" spans="1:12" ht="15">
      <c r="A113" s="348"/>
      <c r="B113" s="349" t="s">
        <v>538</v>
      </c>
      <c r="C113" s="350"/>
      <c r="D113" s="351"/>
      <c r="E113" s="352"/>
      <c r="F113" s="353">
        <f>F112+F108</f>
        <v>937.48346700000013</v>
      </c>
    </row>
    <row r="114" spans="1:12" ht="14.25">
      <c r="A114" s="354"/>
      <c r="B114" s="355" t="s">
        <v>594</v>
      </c>
      <c r="C114" s="356"/>
      <c r="D114" s="356"/>
      <c r="E114" s="356"/>
      <c r="F114" s="357"/>
    </row>
    <row r="115" spans="1:12" s="358" customFormat="1">
      <c r="A115" s="240"/>
      <c r="B115" s="240"/>
      <c r="C115" s="240"/>
      <c r="D115" s="240"/>
      <c r="E115" s="240"/>
      <c r="F115" s="240"/>
      <c r="G115" s="244"/>
      <c r="H115" s="244"/>
      <c r="L115" s="359"/>
    </row>
    <row r="116" spans="1:12" s="242" customFormat="1" ht="15">
      <c r="A116" s="237"/>
      <c r="B116" s="319"/>
      <c r="C116" s="360"/>
      <c r="D116" s="361"/>
      <c r="E116" s="362"/>
      <c r="F116" s="363"/>
      <c r="G116" s="241"/>
      <c r="H116" s="241"/>
    </row>
    <row r="117" spans="1:12" s="63" customFormat="1" ht="60">
      <c r="A117" s="290" t="s">
        <v>595</v>
      </c>
      <c r="B117" s="265" t="s">
        <v>596</v>
      </c>
      <c r="C117" s="259"/>
      <c r="D117" s="364"/>
      <c r="E117" s="38"/>
      <c r="F117" s="38"/>
      <c r="G117" s="241"/>
      <c r="H117" s="241"/>
    </row>
    <row r="118" spans="1:12" s="63" customFormat="1" ht="14.25">
      <c r="A118" s="292"/>
      <c r="B118" s="271" t="s">
        <v>534</v>
      </c>
      <c r="C118" s="259"/>
      <c r="D118" s="364"/>
      <c r="E118" s="38"/>
      <c r="F118" s="38"/>
      <c r="G118" s="241"/>
      <c r="H118" s="241"/>
    </row>
    <row r="119" spans="1:12" s="63" customFormat="1" ht="15">
      <c r="A119" s="292"/>
      <c r="B119" s="265" t="s">
        <v>548</v>
      </c>
      <c r="C119" s="259"/>
      <c r="D119" s="364"/>
      <c r="E119" s="38"/>
      <c r="F119" s="38"/>
      <c r="G119" s="241"/>
      <c r="H119" s="241"/>
    </row>
    <row r="120" spans="1:12" s="63" customFormat="1" ht="14.25">
      <c r="A120" s="292"/>
      <c r="B120" s="275" t="s">
        <v>544</v>
      </c>
      <c r="C120" s="259" t="s">
        <v>16</v>
      </c>
      <c r="D120" s="364">
        <v>1</v>
      </c>
      <c r="E120" s="38">
        <v>14.02</v>
      </c>
      <c r="F120" s="38">
        <f>D120*E120</f>
        <v>14.02</v>
      </c>
      <c r="G120" s="241"/>
      <c r="H120" s="241"/>
    </row>
    <row r="121" spans="1:12" s="63" customFormat="1" ht="14.25">
      <c r="A121" s="292"/>
      <c r="B121" s="275" t="s">
        <v>543</v>
      </c>
      <c r="C121" s="259" t="s">
        <v>16</v>
      </c>
      <c r="D121" s="364">
        <v>1</v>
      </c>
      <c r="E121" s="38">
        <v>17.670000000000002</v>
      </c>
      <c r="F121" s="38">
        <f>D121*E121</f>
        <v>17.670000000000002</v>
      </c>
      <c r="G121" s="241"/>
      <c r="H121" s="241"/>
    </row>
    <row r="122" spans="1:12" s="63" customFormat="1" ht="15">
      <c r="A122" s="292"/>
      <c r="B122" s="265" t="s">
        <v>537</v>
      </c>
      <c r="C122" s="259"/>
      <c r="D122" s="364"/>
      <c r="E122" s="38"/>
      <c r="F122" s="365">
        <f>F120+F121</f>
        <v>31.69</v>
      </c>
      <c r="G122" s="241"/>
      <c r="H122" s="241"/>
    </row>
    <row r="123" spans="1:12" s="63" customFormat="1" ht="15">
      <c r="A123" s="292"/>
      <c r="B123" s="265" t="s">
        <v>535</v>
      </c>
      <c r="C123" s="259"/>
      <c r="D123" s="364"/>
      <c r="E123" s="38"/>
      <c r="F123" s="38"/>
      <c r="G123" s="241"/>
      <c r="H123" s="241"/>
    </row>
    <row r="124" spans="1:12" s="63" customFormat="1" ht="14.25">
      <c r="A124" s="292" t="s">
        <v>597</v>
      </c>
      <c r="B124" s="275" t="s">
        <v>598</v>
      </c>
      <c r="C124" s="259" t="s">
        <v>25</v>
      </c>
      <c r="D124" s="364">
        <v>2</v>
      </c>
      <c r="E124" s="38">
        <v>97.84</v>
      </c>
      <c r="F124" s="38">
        <f>D124*E124</f>
        <v>195.68</v>
      </c>
      <c r="G124" s="241"/>
      <c r="H124" s="241"/>
    </row>
    <row r="125" spans="1:12" s="63" customFormat="1" ht="15">
      <c r="A125" s="292"/>
      <c r="B125" s="265" t="s">
        <v>537</v>
      </c>
      <c r="C125" s="259"/>
      <c r="D125" s="364"/>
      <c r="E125" s="38"/>
      <c r="F125" s="365">
        <f>F124</f>
        <v>195.68</v>
      </c>
      <c r="G125" s="241"/>
      <c r="H125" s="241"/>
    </row>
    <row r="126" spans="1:12" s="63" customFormat="1" ht="15">
      <c r="A126" s="366"/>
      <c r="B126" s="265" t="s">
        <v>538</v>
      </c>
      <c r="C126" s="259"/>
      <c r="D126" s="364"/>
      <c r="E126" s="38"/>
      <c r="F126" s="279">
        <f>F125+F122</f>
        <v>227.37</v>
      </c>
      <c r="G126" s="241"/>
      <c r="H126" s="241"/>
    </row>
    <row r="127" spans="1:12" s="63" customFormat="1" ht="15" thickBot="1">
      <c r="A127" s="366"/>
      <c r="B127" s="275" t="s">
        <v>599</v>
      </c>
      <c r="C127" s="259"/>
      <c r="D127" s="364"/>
      <c r="E127" s="38"/>
      <c r="F127" s="273"/>
      <c r="G127" s="241"/>
      <c r="H127" s="241"/>
    </row>
    <row r="128" spans="1:12" s="241" customFormat="1">
      <c r="A128" s="367"/>
      <c r="B128" s="368"/>
      <c r="C128" s="368"/>
      <c r="D128" s="368"/>
      <c r="E128" s="368"/>
      <c r="F128" s="369"/>
    </row>
    <row r="129" spans="1:6" s="241" customFormat="1" ht="51.75" customHeight="1">
      <c r="A129" s="290" t="s">
        <v>600</v>
      </c>
      <c r="B129" s="265" t="s">
        <v>601</v>
      </c>
      <c r="C129" s="259"/>
      <c r="D129" s="364"/>
      <c r="E129" s="38"/>
      <c r="F129" s="38"/>
    </row>
    <row r="130" spans="1:6" s="241" customFormat="1" ht="19.5" customHeight="1">
      <c r="A130" s="292"/>
      <c r="B130" s="271" t="s">
        <v>534</v>
      </c>
      <c r="C130" s="259"/>
      <c r="D130" s="364"/>
      <c r="E130" s="38"/>
      <c r="F130" s="38"/>
    </row>
    <row r="131" spans="1:6" s="241" customFormat="1" ht="19.5" customHeight="1">
      <c r="A131" s="292"/>
      <c r="B131" s="265" t="s">
        <v>548</v>
      </c>
      <c r="C131" s="259"/>
      <c r="D131" s="364"/>
      <c r="E131" s="38"/>
      <c r="F131" s="38"/>
    </row>
    <row r="132" spans="1:6" s="241" customFormat="1" ht="19.5" customHeight="1">
      <c r="A132" s="292"/>
      <c r="B132" s="275" t="s">
        <v>544</v>
      </c>
      <c r="C132" s="259" t="s">
        <v>16</v>
      </c>
      <c r="D132" s="364">
        <v>1</v>
      </c>
      <c r="E132" s="38">
        <v>9.1199999999999992</v>
      </c>
      <c r="F132" s="38">
        <f>D132*E132</f>
        <v>9.1199999999999992</v>
      </c>
    </row>
    <row r="133" spans="1:6" s="241" customFormat="1" ht="19.5" customHeight="1">
      <c r="A133" s="292"/>
      <c r="B133" s="275" t="s">
        <v>543</v>
      </c>
      <c r="C133" s="259" t="s">
        <v>16</v>
      </c>
      <c r="D133" s="364">
        <v>1</v>
      </c>
      <c r="E133" s="38">
        <v>12.27</v>
      </c>
      <c r="F133" s="38">
        <f>D133*E133</f>
        <v>12.27</v>
      </c>
    </row>
    <row r="134" spans="1:6" s="241" customFormat="1" ht="19.5" customHeight="1">
      <c r="A134" s="292"/>
      <c r="B134" s="265" t="s">
        <v>537</v>
      </c>
      <c r="C134" s="259"/>
      <c r="D134" s="364"/>
      <c r="E134" s="38"/>
      <c r="F134" s="365">
        <f>F132+F133</f>
        <v>21.39</v>
      </c>
    </row>
    <row r="135" spans="1:6" s="241" customFormat="1" ht="19.5" customHeight="1">
      <c r="A135" s="292"/>
      <c r="B135" s="265" t="s">
        <v>535</v>
      </c>
      <c r="C135" s="259"/>
      <c r="D135" s="364"/>
      <c r="E135" s="38"/>
      <c r="F135" s="38"/>
    </row>
    <row r="136" spans="1:6" s="241" customFormat="1" ht="19.5" customHeight="1">
      <c r="A136" s="292" t="s">
        <v>602</v>
      </c>
      <c r="B136" s="275" t="s">
        <v>603</v>
      </c>
      <c r="C136" s="259" t="s">
        <v>25</v>
      </c>
      <c r="D136" s="364">
        <v>3</v>
      </c>
      <c r="E136" s="38">
        <v>121.36</v>
      </c>
      <c r="F136" s="38">
        <f>D136*E136</f>
        <v>364.08</v>
      </c>
    </row>
    <row r="137" spans="1:6" s="241" customFormat="1" ht="19.5" customHeight="1">
      <c r="A137" s="292"/>
      <c r="B137" s="265" t="s">
        <v>537</v>
      </c>
      <c r="C137" s="259"/>
      <c r="D137" s="364"/>
      <c r="E137" s="38"/>
      <c r="F137" s="365">
        <f>F136</f>
        <v>364.08</v>
      </c>
    </row>
    <row r="138" spans="1:6" s="241" customFormat="1" ht="15">
      <c r="A138" s="366"/>
      <c r="B138" s="265" t="s">
        <v>538</v>
      </c>
      <c r="C138" s="259"/>
      <c r="D138" s="364"/>
      <c r="E138" s="38"/>
      <c r="F138" s="279">
        <f>F137+F134</f>
        <v>385.46999999999997</v>
      </c>
    </row>
    <row r="139" spans="1:6" s="241" customFormat="1">
      <c r="A139" s="368"/>
      <c r="B139" s="368"/>
      <c r="C139" s="368"/>
      <c r="D139" s="368"/>
      <c r="E139" s="368"/>
      <c r="F139" s="368"/>
    </row>
    <row r="140" spans="1:6" ht="25.5">
      <c r="A140" s="370" t="s">
        <v>443</v>
      </c>
      <c r="B140" s="328" t="s">
        <v>604</v>
      </c>
    </row>
    <row r="141" spans="1:6" ht="15">
      <c r="B141" s="265" t="s">
        <v>548</v>
      </c>
    </row>
    <row r="142" spans="1:6">
      <c r="B142" s="71"/>
      <c r="F142" s="306">
        <f>D142*E142</f>
        <v>0</v>
      </c>
    </row>
    <row r="143" spans="1:6">
      <c r="B143" s="71" t="s">
        <v>605</v>
      </c>
      <c r="C143" s="304" t="s">
        <v>16</v>
      </c>
      <c r="D143" s="305">
        <v>1</v>
      </c>
      <c r="E143" s="306">
        <v>14.02</v>
      </c>
      <c r="F143" s="306">
        <f>D143*E143</f>
        <v>14.02</v>
      </c>
    </row>
    <row r="144" spans="1:6" ht="15">
      <c r="B144" s="341" t="s">
        <v>537</v>
      </c>
      <c r="F144" s="306">
        <f>F142+F143</f>
        <v>14.02</v>
      </c>
    </row>
    <row r="145" spans="1:11" ht="13.5" thickBot="1">
      <c r="A145" s="368"/>
      <c r="B145" s="368"/>
      <c r="C145" s="368"/>
      <c r="D145" s="368"/>
      <c r="E145" s="368"/>
      <c r="F145" s="368"/>
    </row>
    <row r="146" spans="1:11" ht="22.5">
      <c r="A146" s="370" t="s">
        <v>445</v>
      </c>
      <c r="B146" s="371" t="s">
        <v>453</v>
      </c>
    </row>
    <row r="147" spans="1:11">
      <c r="B147" s="299" t="s">
        <v>557</v>
      </c>
    </row>
    <row r="148" spans="1:11" ht="22.5">
      <c r="A148" s="32" t="s">
        <v>606</v>
      </c>
      <c r="B148" s="71" t="s">
        <v>607</v>
      </c>
      <c r="C148" s="304" t="s">
        <v>22</v>
      </c>
      <c r="D148" s="305">
        <v>0.375</v>
      </c>
      <c r="E148" s="306">
        <v>519.75</v>
      </c>
      <c r="F148" s="306">
        <f>D148*E148</f>
        <v>194.90625</v>
      </c>
      <c r="G148" s="241">
        <f>0.5*0.75</f>
        <v>0.375</v>
      </c>
      <c r="J148" s="211">
        <v>519.75</v>
      </c>
      <c r="K148" s="211">
        <f>0.5*0.75</f>
        <v>0.375</v>
      </c>
    </row>
    <row r="149" spans="1:11" ht="22.5">
      <c r="A149" s="32" t="s">
        <v>608</v>
      </c>
      <c r="B149" s="71" t="s">
        <v>609</v>
      </c>
      <c r="C149" s="304" t="s">
        <v>101</v>
      </c>
      <c r="D149" s="305">
        <v>1.6</v>
      </c>
      <c r="E149" s="306">
        <v>9.0399999999999991</v>
      </c>
      <c r="F149" s="306">
        <f>D149*E149</f>
        <v>14.463999999999999</v>
      </c>
    </row>
    <row r="150" spans="1:11" ht="22.5">
      <c r="A150" s="32">
        <v>94974</v>
      </c>
      <c r="B150" s="71" t="s">
        <v>610</v>
      </c>
      <c r="C150" s="304" t="s">
        <v>49</v>
      </c>
      <c r="D150" s="305">
        <v>0.2</v>
      </c>
      <c r="E150" s="306">
        <v>366.75</v>
      </c>
      <c r="F150" s="306">
        <f>D150*E150</f>
        <v>73.350000000000009</v>
      </c>
    </row>
    <row r="151" spans="1:11" ht="15">
      <c r="B151" s="341" t="s">
        <v>537</v>
      </c>
      <c r="F151" s="306">
        <f>F148+F149+F150</f>
        <v>282.72025000000002</v>
      </c>
    </row>
    <row r="152" spans="1:11" ht="15">
      <c r="B152" s="265" t="s">
        <v>548</v>
      </c>
    </row>
    <row r="153" spans="1:11">
      <c r="A153" s="32">
        <v>88309</v>
      </c>
      <c r="B153" s="71" t="s">
        <v>611</v>
      </c>
      <c r="C153" s="304" t="s">
        <v>16</v>
      </c>
      <c r="D153" s="305">
        <v>0.5</v>
      </c>
      <c r="E153" s="306">
        <v>18.86</v>
      </c>
      <c r="F153" s="306">
        <f>D153*E153</f>
        <v>9.43</v>
      </c>
    </row>
    <row r="154" spans="1:11">
      <c r="A154" s="32">
        <v>88316</v>
      </c>
      <c r="B154" s="71" t="s">
        <v>605</v>
      </c>
      <c r="C154" s="304" t="s">
        <v>16</v>
      </c>
      <c r="D154" s="305">
        <v>1</v>
      </c>
      <c r="E154" s="306">
        <v>15.16</v>
      </c>
      <c r="F154" s="306">
        <f>D154*E154</f>
        <v>15.16</v>
      </c>
      <c r="J154" s="211">
        <f>0.5*0.75</f>
        <v>0.375</v>
      </c>
    </row>
    <row r="155" spans="1:11" ht="15">
      <c r="B155" s="341" t="s">
        <v>537</v>
      </c>
      <c r="F155" s="306">
        <f>F153+F154</f>
        <v>24.59</v>
      </c>
    </row>
    <row r="156" spans="1:11" ht="15">
      <c r="B156" s="349" t="s">
        <v>538</v>
      </c>
      <c r="F156" s="306">
        <f>F155+F151</f>
        <v>307.31025</v>
      </c>
    </row>
    <row r="157" spans="1:11" ht="13.5" thickBot="1">
      <c r="A157" s="372"/>
      <c r="B157" s="372"/>
      <c r="C157" s="372"/>
      <c r="D157" s="372"/>
      <c r="E157" s="372"/>
      <c r="F157" s="372"/>
    </row>
    <row r="158" spans="1:11" s="241" customFormat="1" ht="63.75">
      <c r="A158" s="373" t="s">
        <v>483</v>
      </c>
      <c r="B158" s="374" t="s">
        <v>459</v>
      </c>
      <c r="C158" s="375"/>
      <c r="D158" s="375"/>
      <c r="E158" s="375"/>
      <c r="F158" s="376"/>
    </row>
    <row r="159" spans="1:11" s="241" customFormat="1">
      <c r="A159" s="377"/>
      <c r="B159" s="286"/>
      <c r="C159" s="286"/>
      <c r="D159" s="286"/>
      <c r="E159" s="286"/>
      <c r="F159" s="378"/>
    </row>
    <row r="160" spans="1:11" s="241" customFormat="1">
      <c r="A160" s="379">
        <v>88309</v>
      </c>
      <c r="B160" s="380" t="s">
        <v>612</v>
      </c>
      <c r="C160" s="380" t="s">
        <v>525</v>
      </c>
      <c r="D160" s="286">
        <v>0.28999999999999998</v>
      </c>
      <c r="E160" s="286">
        <v>19.53</v>
      </c>
      <c r="F160" s="378">
        <f>D160*E160</f>
        <v>5.6636999999999995</v>
      </c>
    </row>
    <row r="161" spans="1:11" s="241" customFormat="1">
      <c r="A161" s="379">
        <v>88316</v>
      </c>
      <c r="B161" s="380" t="s">
        <v>613</v>
      </c>
      <c r="C161" s="380" t="s">
        <v>525</v>
      </c>
      <c r="D161" s="286">
        <v>0.28999999999999998</v>
      </c>
      <c r="E161" s="286">
        <v>15.19</v>
      </c>
      <c r="F161" s="378">
        <f>D161*E161</f>
        <v>4.4050999999999991</v>
      </c>
    </row>
    <row r="162" spans="1:11" s="241" customFormat="1">
      <c r="A162" s="377"/>
      <c r="B162" s="286" t="s">
        <v>614</v>
      </c>
      <c r="C162" s="286"/>
      <c r="D162" s="286"/>
      <c r="E162" s="286"/>
      <c r="F162" s="378">
        <f>F160+F161</f>
        <v>10.0688</v>
      </c>
    </row>
    <row r="163" spans="1:11" s="241" customFormat="1">
      <c r="A163" s="377"/>
      <c r="B163" s="286"/>
      <c r="C163" s="286"/>
      <c r="D163" s="286"/>
      <c r="E163" s="286"/>
      <c r="F163" s="378"/>
    </row>
    <row r="164" spans="1:11" s="241" customFormat="1" ht="25.5">
      <c r="A164" s="381" t="s">
        <v>615</v>
      </c>
      <c r="B164" s="380" t="s">
        <v>616</v>
      </c>
      <c r="C164" s="286" t="s">
        <v>25</v>
      </c>
      <c r="D164" s="286">
        <v>1</v>
      </c>
      <c r="E164" s="286">
        <v>20.94</v>
      </c>
      <c r="F164" s="378">
        <f>D164*E164</f>
        <v>20.94</v>
      </c>
    </row>
    <row r="165" spans="1:11" s="241" customFormat="1" ht="25.5">
      <c r="A165" s="379">
        <v>34349</v>
      </c>
      <c r="B165" s="380" t="s">
        <v>617</v>
      </c>
      <c r="C165" s="286" t="s">
        <v>25</v>
      </c>
      <c r="D165" s="286">
        <v>0.5</v>
      </c>
      <c r="E165" s="382">
        <v>25.63</v>
      </c>
      <c r="F165" s="378">
        <f>D165*E165</f>
        <v>12.815</v>
      </c>
    </row>
    <row r="166" spans="1:11" s="241" customFormat="1" ht="25.5">
      <c r="A166" s="379">
        <v>90437</v>
      </c>
      <c r="B166" s="380" t="s">
        <v>618</v>
      </c>
      <c r="C166" s="286" t="s">
        <v>25</v>
      </c>
      <c r="D166" s="286">
        <v>0.125</v>
      </c>
      <c r="E166" s="382">
        <v>25.17</v>
      </c>
      <c r="F166" s="378">
        <f>D166*E166</f>
        <v>3.1462500000000002</v>
      </c>
    </row>
    <row r="167" spans="1:11" s="241" customFormat="1" ht="25.5">
      <c r="A167" s="379">
        <v>94974</v>
      </c>
      <c r="B167" s="380" t="s">
        <v>619</v>
      </c>
      <c r="C167" s="286" t="s">
        <v>49</v>
      </c>
      <c r="D167" s="286">
        <v>0.16300000000000001</v>
      </c>
      <c r="E167" s="382">
        <v>349.95</v>
      </c>
      <c r="F167" s="378">
        <f>D167*E167</f>
        <v>57.041850000000004</v>
      </c>
    </row>
    <row r="168" spans="1:11" s="241" customFormat="1">
      <c r="A168" s="377"/>
      <c r="B168" s="286" t="s">
        <v>620</v>
      </c>
      <c r="C168" s="286"/>
      <c r="D168" s="286"/>
      <c r="E168" s="286"/>
      <c r="F168" s="378">
        <f>F164+F165+F166+F167</f>
        <v>93.943100000000015</v>
      </c>
    </row>
    <row r="169" spans="1:11" s="241" customFormat="1">
      <c r="A169" s="383"/>
      <c r="B169" s="384" t="s">
        <v>621</v>
      </c>
      <c r="C169" s="385"/>
      <c r="D169" s="385"/>
      <c r="E169" s="385"/>
      <c r="F169" s="386">
        <f>F162+F168</f>
        <v>104.01190000000001</v>
      </c>
    </row>
    <row r="170" spans="1:11" s="241" customFormat="1">
      <c r="A170" s="387"/>
      <c r="B170" s="387"/>
      <c r="C170" s="387"/>
      <c r="D170" s="387"/>
      <c r="E170" s="387"/>
      <c r="F170" s="387"/>
    </row>
    <row r="171" spans="1:11" ht="38.25">
      <c r="A171" s="388" t="s">
        <v>479</v>
      </c>
      <c r="B171" s="389" t="s">
        <v>622</v>
      </c>
      <c r="C171" s="390"/>
      <c r="D171" s="390"/>
      <c r="E171" s="390"/>
      <c r="F171" s="391"/>
    </row>
    <row r="172" spans="1:11" ht="14.25">
      <c r="A172" s="392"/>
      <c r="B172" s="286" t="s">
        <v>534</v>
      </c>
      <c r="C172" s="285"/>
      <c r="D172" s="285"/>
      <c r="E172" s="285"/>
      <c r="F172" s="393"/>
    </row>
    <row r="173" spans="1:11" ht="25.5">
      <c r="A173" s="394"/>
      <c r="B173" s="395" t="s">
        <v>623</v>
      </c>
      <c r="C173" s="286" t="s">
        <v>25</v>
      </c>
      <c r="D173" s="287">
        <v>1</v>
      </c>
      <c r="E173" s="287">
        <v>1619.12</v>
      </c>
      <c r="F173" s="396">
        <f>TRUNC(D173*E173,2)</f>
        <v>1619.12</v>
      </c>
      <c r="K173" s="211">
        <f>725/6</f>
        <v>120.83333333333333</v>
      </c>
    </row>
    <row r="174" spans="1:11" ht="14.25">
      <c r="A174" s="394"/>
      <c r="B174" s="395" t="s">
        <v>624</v>
      </c>
      <c r="C174" s="286" t="s">
        <v>25</v>
      </c>
      <c r="D174" s="287">
        <v>24</v>
      </c>
      <c r="E174" s="285">
        <v>0.98</v>
      </c>
      <c r="F174" s="393">
        <f>TRUNC(D174*E174,2)</f>
        <v>23.52</v>
      </c>
      <c r="K174" s="211">
        <f>120.83*(6.2+6.2+1)</f>
        <v>1619.1220000000001</v>
      </c>
    </row>
    <row r="175" spans="1:11" ht="25.5">
      <c r="A175" s="379">
        <v>100748</v>
      </c>
      <c r="B175" s="395" t="s">
        <v>625</v>
      </c>
      <c r="C175" s="286" t="s">
        <v>22</v>
      </c>
      <c r="D175" s="287">
        <v>5.18</v>
      </c>
      <c r="E175" s="287">
        <v>7.27</v>
      </c>
      <c r="F175" s="396">
        <f>TRUNC(D175*E175,2)</f>
        <v>37.65</v>
      </c>
    </row>
    <row r="176" spans="1:11">
      <c r="A176" s="397"/>
      <c r="B176" s="284" t="s">
        <v>626</v>
      </c>
      <c r="C176" s="284"/>
      <c r="D176" s="284"/>
      <c r="E176" s="284"/>
      <c r="F176" s="398">
        <f>F173+F174+F175</f>
        <v>1680.29</v>
      </c>
      <c r="J176" s="211" t="s">
        <v>627</v>
      </c>
    </row>
    <row r="177" spans="1:8" ht="14.25">
      <c r="A177" s="394"/>
      <c r="B177" s="286" t="s">
        <v>548</v>
      </c>
      <c r="C177" s="285"/>
      <c r="D177" s="285"/>
      <c r="E177" s="285"/>
      <c r="F177" s="393"/>
    </row>
    <row r="178" spans="1:8" ht="14.25">
      <c r="A178" s="394"/>
      <c r="B178" s="286" t="s">
        <v>544</v>
      </c>
      <c r="C178" s="286" t="s">
        <v>16</v>
      </c>
      <c r="D178" s="285">
        <v>5</v>
      </c>
      <c r="E178" s="287">
        <v>14.02</v>
      </c>
      <c r="F178" s="393">
        <f>TRUNC(D178*E178,2)</f>
        <v>70.099999999999994</v>
      </c>
    </row>
    <row r="179" spans="1:8" ht="14.25">
      <c r="A179" s="394"/>
      <c r="B179" s="286" t="s">
        <v>543</v>
      </c>
      <c r="C179" s="286" t="s">
        <v>16</v>
      </c>
      <c r="D179" s="285">
        <v>5</v>
      </c>
      <c r="E179" s="287">
        <v>17.670000000000002</v>
      </c>
      <c r="F179" s="396">
        <f>TRUNC(D179*E179,2)</f>
        <v>88.35</v>
      </c>
    </row>
    <row r="180" spans="1:8">
      <c r="A180" s="397"/>
      <c r="B180" s="284" t="s">
        <v>626</v>
      </c>
      <c r="C180" s="284"/>
      <c r="D180" s="284"/>
      <c r="E180" s="284"/>
      <c r="F180" s="398">
        <f>F178+F179</f>
        <v>158.44999999999999</v>
      </c>
    </row>
    <row r="181" spans="1:8" ht="14.25">
      <c r="A181" s="399"/>
      <c r="B181" s="400" t="s">
        <v>628</v>
      </c>
      <c r="C181" s="289"/>
      <c r="D181" s="289"/>
      <c r="E181" s="289"/>
      <c r="F181" s="401">
        <f>F180+F176</f>
        <v>1838.74</v>
      </c>
    </row>
    <row r="182" spans="1:8" ht="14.25">
      <c r="A182" s="394"/>
      <c r="B182" s="328" t="s">
        <v>629</v>
      </c>
      <c r="C182" s="285"/>
      <c r="D182" s="285"/>
      <c r="E182" s="285"/>
      <c r="F182" s="398"/>
    </row>
    <row r="183" spans="1:8" ht="14.25">
      <c r="A183" s="394"/>
      <c r="B183" s="328" t="s">
        <v>630</v>
      </c>
      <c r="C183" s="285"/>
      <c r="D183" s="285"/>
      <c r="E183" s="285"/>
      <c r="F183" s="398"/>
    </row>
    <row r="184" spans="1:8" ht="15" thickBot="1">
      <c r="A184" s="399"/>
      <c r="B184" s="402" t="s">
        <v>631</v>
      </c>
      <c r="C184" s="289"/>
      <c r="D184" s="289"/>
      <c r="E184" s="289"/>
      <c r="F184" s="401"/>
    </row>
    <row r="185" spans="1:8" ht="13.5" thickBot="1">
      <c r="A185" s="367"/>
      <c r="B185" s="368"/>
      <c r="C185" s="368"/>
      <c r="D185" s="368"/>
      <c r="E185" s="368"/>
      <c r="F185" s="369"/>
    </row>
    <row r="188" spans="1:8" s="307" customFormat="1">
      <c r="G188" s="244"/>
      <c r="H188" s="244"/>
    </row>
    <row r="189" spans="1:8" s="307" customFormat="1" ht="60" hidden="1">
      <c r="A189" s="308" t="s">
        <v>131</v>
      </c>
      <c r="B189" s="283" t="s">
        <v>568</v>
      </c>
      <c r="C189" s="309"/>
      <c r="D189" s="309"/>
      <c r="E189" s="309"/>
      <c r="F189" s="310"/>
      <c r="G189" s="244"/>
      <c r="H189" s="244"/>
    </row>
    <row r="190" spans="1:8" s="307" customFormat="1" ht="15" hidden="1">
      <c r="A190" s="311"/>
      <c r="B190" s="283" t="s">
        <v>569</v>
      </c>
      <c r="C190" s="309"/>
      <c r="D190" s="309"/>
      <c r="E190" s="309"/>
      <c r="F190" s="310"/>
      <c r="G190" s="244"/>
      <c r="H190" s="244"/>
    </row>
    <row r="191" spans="1:8" s="307" customFormat="1" ht="15" hidden="1">
      <c r="A191" s="311"/>
      <c r="B191" s="283" t="s">
        <v>548</v>
      </c>
      <c r="C191" s="312"/>
      <c r="D191" s="309"/>
      <c r="E191" s="309"/>
      <c r="F191" s="310"/>
      <c r="G191" s="244"/>
      <c r="H191" s="244"/>
    </row>
    <row r="192" spans="1:8" s="307" customFormat="1" ht="14.25" hidden="1">
      <c r="A192" s="311"/>
      <c r="B192" s="312" t="s">
        <v>549</v>
      </c>
      <c r="C192" s="259" t="s">
        <v>16</v>
      </c>
      <c r="D192" s="313">
        <v>60</v>
      </c>
      <c r="E192" s="309">
        <v>8.93</v>
      </c>
      <c r="F192" s="310">
        <f>D192*E192</f>
        <v>535.79999999999995</v>
      </c>
      <c r="G192" s="244"/>
      <c r="H192" s="244"/>
    </row>
    <row r="193" spans="1:11" s="307" customFormat="1" ht="14.25" hidden="1">
      <c r="A193" s="311"/>
      <c r="B193" s="312" t="s">
        <v>550</v>
      </c>
      <c r="C193" s="259" t="s">
        <v>16</v>
      </c>
      <c r="D193" s="313">
        <v>60</v>
      </c>
      <c r="E193" s="309">
        <v>5.95</v>
      </c>
      <c r="F193" s="310">
        <f>D193*E193</f>
        <v>357</v>
      </c>
      <c r="G193" s="244"/>
      <c r="H193" s="244"/>
    </row>
    <row r="194" spans="1:11" s="307" customFormat="1" ht="15" hidden="1">
      <c r="A194" s="311"/>
      <c r="B194" s="283" t="s">
        <v>537</v>
      </c>
      <c r="C194" s="309"/>
      <c r="D194" s="309"/>
      <c r="E194" s="309"/>
      <c r="F194" s="314">
        <f>F193+F192</f>
        <v>892.8</v>
      </c>
      <c r="G194" s="244"/>
      <c r="H194" s="244"/>
      <c r="K194" s="307">
        <f>E192+E193</f>
        <v>14.879999999999999</v>
      </c>
    </row>
    <row r="195" spans="1:11" s="307" customFormat="1" ht="15" hidden="1">
      <c r="A195" s="311"/>
      <c r="B195" s="283" t="s">
        <v>535</v>
      </c>
      <c r="C195" s="309"/>
      <c r="D195" s="309"/>
      <c r="E195" s="309"/>
      <c r="F195" s="310"/>
      <c r="G195" s="244"/>
      <c r="H195" s="244"/>
    </row>
    <row r="196" spans="1:11" s="307" customFormat="1" ht="14.25" hidden="1">
      <c r="A196" s="315"/>
      <c r="B196" s="312" t="s">
        <v>570</v>
      </c>
      <c r="C196" s="309" t="s">
        <v>22</v>
      </c>
      <c r="D196" s="313">
        <v>23.2</v>
      </c>
      <c r="E196" s="309">
        <v>59.22</v>
      </c>
      <c r="F196" s="310">
        <f>D196*E196</f>
        <v>1373.904</v>
      </c>
      <c r="G196" s="244"/>
      <c r="H196" s="244"/>
    </row>
    <row r="197" spans="1:11" s="307" customFormat="1" ht="14.25" hidden="1">
      <c r="A197" s="315"/>
      <c r="B197" s="312" t="s">
        <v>571</v>
      </c>
      <c r="C197" s="309" t="s">
        <v>101</v>
      </c>
      <c r="D197" s="313">
        <v>30</v>
      </c>
      <c r="E197" s="309">
        <v>17.5</v>
      </c>
      <c r="F197" s="310">
        <f>D197*E197</f>
        <v>525</v>
      </c>
      <c r="G197" s="244"/>
      <c r="H197" s="244"/>
    </row>
    <row r="198" spans="1:11" s="307" customFormat="1" ht="14.25" hidden="1">
      <c r="A198" s="315"/>
      <c r="B198" s="312" t="s">
        <v>572</v>
      </c>
      <c r="C198" s="309" t="s">
        <v>25</v>
      </c>
      <c r="D198" s="313">
        <v>12</v>
      </c>
      <c r="E198" s="309">
        <v>4.9000000000000004</v>
      </c>
      <c r="F198" s="310">
        <f>D198*E198</f>
        <v>58.800000000000004</v>
      </c>
      <c r="G198" s="244"/>
      <c r="H198" s="244"/>
      <c r="I198" s="316">
        <f>F201*0.4</f>
        <v>878.26559999999995</v>
      </c>
      <c r="K198" s="316">
        <f>I198/K194</f>
        <v>59.023225806451613</v>
      </c>
    </row>
    <row r="199" spans="1:11" s="307" customFormat="1" ht="14.25" hidden="1">
      <c r="A199" s="315"/>
      <c r="B199" s="312" t="s">
        <v>573</v>
      </c>
      <c r="C199" s="309" t="s">
        <v>101</v>
      </c>
      <c r="D199" s="313">
        <v>12</v>
      </c>
      <c r="E199" s="309">
        <v>19.829999999999998</v>
      </c>
      <c r="F199" s="310">
        <f>D199*E199</f>
        <v>237.95999999999998</v>
      </c>
      <c r="G199" s="244"/>
      <c r="H199" s="244"/>
    </row>
    <row r="200" spans="1:11" s="307" customFormat="1" ht="14.25" hidden="1">
      <c r="A200" s="315"/>
      <c r="B200" s="312"/>
      <c r="C200" s="309"/>
      <c r="D200" s="313"/>
      <c r="E200" s="309"/>
      <c r="F200" s="310"/>
      <c r="G200" s="244"/>
      <c r="H200" s="244"/>
    </row>
    <row r="201" spans="1:11" s="307" customFormat="1" ht="15" hidden="1">
      <c r="A201" s="315"/>
      <c r="B201" s="283" t="s">
        <v>537</v>
      </c>
      <c r="C201" s="309"/>
      <c r="D201" s="313"/>
      <c r="E201" s="309"/>
      <c r="F201" s="314">
        <f>F196+F197+F198+F199</f>
        <v>2195.6639999999998</v>
      </c>
      <c r="G201" s="244"/>
      <c r="H201" s="244"/>
    </row>
    <row r="202" spans="1:11" s="307" customFormat="1" ht="15" hidden="1">
      <c r="A202" s="315"/>
      <c r="B202" s="283" t="s">
        <v>538</v>
      </c>
      <c r="C202" s="309"/>
      <c r="D202" s="313"/>
      <c r="E202" s="309"/>
      <c r="F202" s="314">
        <f>F201+F194</f>
        <v>3088.4639999999999</v>
      </c>
      <c r="G202" s="244"/>
      <c r="H202" s="244"/>
    </row>
    <row r="203" spans="1:11" s="307" customFormat="1" ht="15" hidden="1">
      <c r="A203" s="315"/>
      <c r="B203" s="283" t="s">
        <v>574</v>
      </c>
      <c r="C203" s="309"/>
      <c r="D203" s="313"/>
      <c r="E203" s="309"/>
      <c r="F203" s="314">
        <f>F202/D196</f>
        <v>133.12344827586207</v>
      </c>
      <c r="G203" s="244"/>
      <c r="H203" s="244"/>
    </row>
    <row r="204" spans="1:11" s="307" customFormat="1" ht="14.25" hidden="1">
      <c r="A204" s="315"/>
      <c r="B204" s="312" t="s">
        <v>575</v>
      </c>
      <c r="C204" s="309"/>
      <c r="D204" s="313"/>
      <c r="E204" s="309"/>
      <c r="F204" s="310"/>
      <c r="G204" s="244"/>
      <c r="H204" s="244"/>
    </row>
    <row r="205" spans="1:11" s="307" customFormat="1" ht="14.25" hidden="1">
      <c r="A205" s="315"/>
      <c r="B205" s="312" t="s">
        <v>576</v>
      </c>
      <c r="C205" s="309"/>
      <c r="D205" s="313"/>
      <c r="E205" s="309"/>
      <c r="F205" s="310"/>
      <c r="G205" s="244"/>
      <c r="H205" s="244"/>
    </row>
    <row r="206" spans="1:11" s="307" customFormat="1" ht="14.25" hidden="1">
      <c r="A206" s="315"/>
      <c r="B206" s="312" t="s">
        <v>577</v>
      </c>
      <c r="C206" s="309"/>
      <c r="D206" s="313"/>
      <c r="E206" s="309"/>
      <c r="F206" s="310"/>
      <c r="G206" s="244"/>
      <c r="H206" s="244"/>
    </row>
    <row r="207" spans="1:11" s="307" customFormat="1" ht="14.25" hidden="1">
      <c r="A207" s="315"/>
      <c r="B207" s="312" t="s">
        <v>578</v>
      </c>
      <c r="C207" s="309"/>
      <c r="D207" s="313"/>
      <c r="E207" s="309"/>
      <c r="F207" s="310"/>
      <c r="G207" s="244"/>
      <c r="H207" s="244"/>
    </row>
    <row r="208" spans="1:11" s="307" customFormat="1" ht="14.25" hidden="1">
      <c r="A208" s="315"/>
      <c r="B208" s="312" t="s">
        <v>579</v>
      </c>
      <c r="C208" s="309"/>
      <c r="D208" s="313"/>
      <c r="E208" s="309"/>
      <c r="F208" s="310"/>
      <c r="G208" s="244"/>
      <c r="H208" s="244"/>
    </row>
    <row r="209" spans="1:8" s="307" customFormat="1" ht="14.25" hidden="1">
      <c r="A209" s="315"/>
      <c r="B209" s="317" t="s">
        <v>580</v>
      </c>
      <c r="C209" s="309"/>
      <c r="D209" s="313"/>
      <c r="E209" s="309"/>
      <c r="F209" s="310"/>
      <c r="G209" s="244"/>
      <c r="H209" s="244"/>
    </row>
    <row r="210" spans="1:8" s="307" customFormat="1" ht="14.25" hidden="1">
      <c r="A210" s="315"/>
      <c r="B210" s="312" t="s">
        <v>581</v>
      </c>
      <c r="C210" s="309"/>
      <c r="D210" s="313"/>
      <c r="E210" s="309"/>
      <c r="F210" s="310"/>
      <c r="G210" s="244"/>
      <c r="H210" s="244"/>
    </row>
    <row r="211" spans="1:8" s="324" customFormat="1" ht="15" hidden="1">
      <c r="A211" s="318"/>
      <c r="B211" s="319"/>
      <c r="C211" s="320"/>
      <c r="D211" s="320"/>
      <c r="E211" s="320"/>
      <c r="F211" s="321"/>
      <c r="G211" s="322"/>
      <c r="H211" s="323"/>
    </row>
    <row r="212" spans="1:8" s="326" customFormat="1" ht="15">
      <c r="A212" s="290"/>
      <c r="B212" s="265"/>
      <c r="C212" s="325"/>
      <c r="D212" s="325"/>
      <c r="E212" s="325"/>
      <c r="F212" s="279"/>
      <c r="G212" s="322"/>
      <c r="H212" s="323"/>
    </row>
    <row r="213" spans="1:8" s="326" customFormat="1" ht="15">
      <c r="A213" s="290"/>
      <c r="B213" s="271"/>
      <c r="C213" s="325"/>
      <c r="D213" s="325"/>
      <c r="E213" s="325"/>
      <c r="F213" s="279"/>
      <c r="G213" s="322"/>
      <c r="H213" s="323"/>
    </row>
    <row r="214" spans="1:8" s="326" customFormat="1" ht="15">
      <c r="A214" s="290"/>
      <c r="B214" s="265"/>
      <c r="C214" s="325"/>
      <c r="D214" s="325"/>
      <c r="E214" s="325"/>
      <c r="F214" s="279"/>
      <c r="G214" s="322"/>
      <c r="H214" s="323"/>
    </row>
    <row r="215" spans="1:8" s="326" customFormat="1" ht="15">
      <c r="A215" s="290"/>
      <c r="B215" s="275"/>
      <c r="C215" s="291"/>
      <c r="D215" s="291"/>
      <c r="E215" s="291"/>
      <c r="F215" s="274"/>
      <c r="G215" s="322"/>
      <c r="H215" s="323"/>
    </row>
    <row r="216" spans="1:8" s="326" customFormat="1" ht="15">
      <c r="A216" s="290"/>
      <c r="B216" s="275"/>
      <c r="C216" s="291"/>
      <c r="D216" s="291"/>
      <c r="E216" s="291"/>
      <c r="F216" s="274"/>
      <c r="G216" s="322"/>
      <c r="H216" s="323"/>
    </row>
    <row r="217" spans="1:8" s="326" customFormat="1" ht="15">
      <c r="A217" s="290"/>
      <c r="B217" s="265"/>
      <c r="C217" s="325"/>
      <c r="D217" s="325"/>
      <c r="E217" s="325"/>
      <c r="F217" s="279"/>
      <c r="G217" s="322"/>
      <c r="H217" s="323"/>
    </row>
    <row r="218" spans="1:8" s="326" customFormat="1" ht="15">
      <c r="A218" s="290"/>
      <c r="B218" s="265"/>
      <c r="C218" s="325"/>
      <c r="D218" s="325"/>
      <c r="E218" s="325"/>
      <c r="F218" s="279"/>
      <c r="G218" s="322"/>
      <c r="H218" s="323"/>
    </row>
    <row r="219" spans="1:8" s="326" customFormat="1" ht="15">
      <c r="A219" s="290"/>
      <c r="B219" s="275"/>
      <c r="C219" s="291"/>
      <c r="D219" s="291"/>
      <c r="E219" s="293"/>
      <c r="F219" s="274"/>
      <c r="G219" s="322"/>
      <c r="H219" s="323"/>
    </row>
    <row r="220" spans="1:8" s="326" customFormat="1" ht="15">
      <c r="A220" s="290"/>
      <c r="B220" s="275"/>
      <c r="C220" s="291"/>
      <c r="D220" s="291"/>
      <c r="E220" s="293"/>
      <c r="F220" s="274"/>
      <c r="G220" s="322"/>
      <c r="H220" s="323"/>
    </row>
    <row r="221" spans="1:8" s="326" customFormat="1" ht="15">
      <c r="A221" s="290"/>
      <c r="B221" s="275"/>
      <c r="C221" s="325"/>
      <c r="D221" s="325"/>
      <c r="E221" s="325"/>
      <c r="F221" s="274"/>
      <c r="G221" s="322"/>
      <c r="H221" s="323"/>
    </row>
    <row r="222" spans="1:8" s="326" customFormat="1" ht="15">
      <c r="A222" s="290"/>
      <c r="B222" s="265"/>
      <c r="C222" s="325"/>
      <c r="D222" s="325"/>
      <c r="E222" s="325"/>
      <c r="F222" s="279"/>
      <c r="G222" s="322"/>
      <c r="H222" s="323"/>
    </row>
    <row r="223" spans="1:8" s="326" customFormat="1" ht="15">
      <c r="A223" s="290"/>
      <c r="B223" s="265"/>
      <c r="C223" s="325"/>
      <c r="D223" s="325"/>
      <c r="E223" s="325"/>
      <c r="F223" s="279"/>
      <c r="G223" s="322"/>
      <c r="H223" s="323"/>
    </row>
    <row r="224" spans="1:8" s="326" customFormat="1" ht="15">
      <c r="A224" s="290"/>
      <c r="B224" s="275"/>
      <c r="C224" s="325"/>
      <c r="D224" s="325"/>
      <c r="E224" s="325"/>
      <c r="F224" s="279"/>
      <c r="G224" s="322"/>
      <c r="H224" s="323"/>
    </row>
    <row r="225" spans="1:8" s="358" customFormat="1" ht="15">
      <c r="A225" s="290"/>
      <c r="B225" s="271"/>
      <c r="C225" s="325"/>
      <c r="D225" s="403"/>
      <c r="E225" s="325"/>
      <c r="F225" s="279"/>
      <c r="G225" s="244"/>
      <c r="H225" s="244"/>
    </row>
    <row r="226" spans="1:8" s="358" customFormat="1" ht="15">
      <c r="A226" s="290"/>
      <c r="B226" s="265"/>
      <c r="C226" s="325"/>
      <c r="D226" s="403"/>
      <c r="E226" s="325"/>
      <c r="F226" s="279"/>
      <c r="G226" s="244"/>
      <c r="H226" s="244"/>
    </row>
    <row r="227" spans="1:8" s="358" customFormat="1" ht="14.25">
      <c r="A227" s="292"/>
      <c r="B227" s="275"/>
      <c r="C227" s="291"/>
      <c r="D227" s="293"/>
      <c r="E227" s="291"/>
      <c r="F227" s="274"/>
      <c r="G227" s="244"/>
      <c r="H227" s="244"/>
    </row>
    <row r="228" spans="1:8" s="358" customFormat="1" ht="14.25">
      <c r="A228" s="292"/>
      <c r="B228" s="275"/>
      <c r="C228" s="291"/>
      <c r="D228" s="293"/>
      <c r="E228" s="291"/>
      <c r="F228" s="274"/>
      <c r="G228" s="244"/>
      <c r="H228" s="244"/>
    </row>
    <row r="229" spans="1:8" s="358" customFormat="1" ht="15">
      <c r="A229" s="292"/>
      <c r="B229" s="265"/>
      <c r="C229" s="291"/>
      <c r="D229" s="293"/>
      <c r="E229" s="291"/>
      <c r="F229" s="279"/>
      <c r="G229" s="244"/>
      <c r="H229" s="244"/>
    </row>
    <row r="230" spans="1:8" s="358" customFormat="1" ht="15">
      <c r="A230" s="292"/>
      <c r="B230" s="265"/>
      <c r="C230" s="291"/>
      <c r="D230" s="293"/>
      <c r="E230" s="291"/>
      <c r="F230" s="274"/>
      <c r="G230" s="244"/>
      <c r="H230" s="244"/>
    </row>
    <row r="231" spans="1:8" s="358" customFormat="1" ht="14.25">
      <c r="A231" s="292"/>
      <c r="B231" s="275"/>
      <c r="C231" s="291"/>
      <c r="D231" s="293"/>
      <c r="E231" s="291"/>
      <c r="F231" s="274"/>
      <c r="G231" s="244"/>
      <c r="H231" s="244"/>
    </row>
    <row r="232" spans="1:8" s="358" customFormat="1" ht="14.25">
      <c r="A232" s="292"/>
      <c r="B232" s="275"/>
      <c r="C232" s="291"/>
      <c r="D232" s="293"/>
      <c r="E232" s="291"/>
      <c r="F232" s="274"/>
      <c r="G232" s="244"/>
      <c r="H232" s="244"/>
    </row>
    <row r="233" spans="1:8" s="358" customFormat="1" ht="14.25">
      <c r="A233" s="292"/>
      <c r="B233" s="275"/>
      <c r="C233" s="291"/>
      <c r="D233" s="293"/>
      <c r="E233" s="291"/>
      <c r="F233" s="274"/>
      <c r="G233" s="244"/>
      <c r="H233" s="244"/>
    </row>
    <row r="234" spans="1:8" s="358" customFormat="1" ht="15">
      <c r="A234" s="290"/>
      <c r="B234" s="265"/>
      <c r="C234" s="325"/>
      <c r="D234" s="403"/>
      <c r="E234" s="325"/>
      <c r="F234" s="279"/>
      <c r="G234" s="244"/>
      <c r="H234" s="244"/>
    </row>
    <row r="235" spans="1:8" s="358" customFormat="1" ht="15">
      <c r="A235" s="290"/>
      <c r="B235" s="265"/>
      <c r="C235" s="325"/>
      <c r="D235" s="403"/>
      <c r="E235" s="325"/>
      <c r="F235" s="279"/>
      <c r="G235" s="244"/>
      <c r="H235" s="244"/>
    </row>
    <row r="274" spans="1:8" s="63" customFormat="1" ht="15" hidden="1">
      <c r="A274" s="404"/>
      <c r="B274" s="405"/>
      <c r="C274" s="406"/>
      <c r="D274" s="407"/>
      <c r="E274" s="408"/>
      <c r="F274" s="409"/>
      <c r="G274" s="241"/>
      <c r="H274" s="241"/>
    </row>
    <row r="275" spans="1:8" s="63" customFormat="1" ht="15" hidden="1">
      <c r="A275" s="410"/>
      <c r="B275" s="411"/>
      <c r="C275" s="412"/>
      <c r="D275" s="413"/>
      <c r="E275" s="414"/>
      <c r="F275" s="415"/>
      <c r="G275" s="241"/>
      <c r="H275" s="241"/>
    </row>
    <row r="276" spans="1:8" s="63" customFormat="1" ht="15" hidden="1">
      <c r="A276" s="410"/>
      <c r="B276" s="411"/>
      <c r="C276" s="412"/>
      <c r="D276" s="413"/>
      <c r="E276" s="414"/>
      <c r="F276" s="415"/>
      <c r="G276" s="241"/>
      <c r="H276" s="241"/>
    </row>
    <row r="277" spans="1:8" s="63" customFormat="1" ht="15" hidden="1">
      <c r="A277" s="410"/>
      <c r="B277" s="411"/>
      <c r="C277" s="412"/>
      <c r="D277" s="413"/>
      <c r="E277" s="414"/>
      <c r="F277" s="415"/>
      <c r="G277" s="241"/>
      <c r="H277" s="241"/>
    </row>
    <row r="278" spans="1:8" s="63" customFormat="1" ht="15" hidden="1">
      <c r="A278" s="410"/>
      <c r="B278" s="411"/>
      <c r="C278" s="412"/>
      <c r="D278" s="413"/>
      <c r="E278" s="414"/>
      <c r="F278" s="415"/>
      <c r="G278" s="241"/>
      <c r="H278" s="241"/>
    </row>
    <row r="279" spans="1:8" s="63" customFormat="1" ht="15" hidden="1">
      <c r="A279" s="410"/>
      <c r="B279" s="411"/>
      <c r="C279" s="412"/>
      <c r="D279" s="413"/>
      <c r="E279" s="414"/>
      <c r="F279" s="415"/>
      <c r="G279" s="241"/>
      <c r="H279" s="241"/>
    </row>
    <row r="280" spans="1:8" s="63" customFormat="1" ht="15" hidden="1">
      <c r="A280" s="410"/>
      <c r="B280" s="411"/>
      <c r="C280" s="412"/>
      <c r="D280" s="413"/>
      <c r="E280" s="414"/>
      <c r="F280" s="415"/>
      <c r="G280" s="241"/>
      <c r="H280" s="241"/>
    </row>
    <row r="281" spans="1:8" s="63" customFormat="1" ht="15" hidden="1">
      <c r="A281" s="410"/>
      <c r="B281" s="411"/>
      <c r="C281" s="412"/>
      <c r="D281" s="413"/>
      <c r="E281" s="414"/>
      <c r="F281" s="415"/>
      <c r="G281" s="241"/>
      <c r="H281" s="241"/>
    </row>
    <row r="282" spans="1:8" s="63" customFormat="1" ht="15" hidden="1">
      <c r="A282" s="410"/>
      <c r="B282" s="411"/>
      <c r="C282" s="412"/>
      <c r="D282" s="413"/>
      <c r="E282" s="414"/>
      <c r="F282" s="415"/>
      <c r="G282" s="241"/>
      <c r="H282" s="241"/>
    </row>
    <row r="283" spans="1:8" s="63" customFormat="1" ht="15" hidden="1">
      <c r="A283" s="410"/>
      <c r="B283" s="283"/>
      <c r="C283" s="259"/>
      <c r="D283" s="364"/>
      <c r="E283" s="38"/>
      <c r="F283" s="415"/>
      <c r="G283" s="241"/>
      <c r="H283" s="241"/>
    </row>
    <row r="284" spans="1:8" ht="15">
      <c r="A284" s="290"/>
      <c r="B284" s="371"/>
      <c r="C284" s="291"/>
      <c r="D284" s="291"/>
      <c r="E284" s="291"/>
      <c r="F284" s="274"/>
    </row>
    <row r="285" spans="1:8" ht="15">
      <c r="A285" s="292"/>
      <c r="B285" s="265"/>
      <c r="C285" s="291"/>
      <c r="D285" s="291"/>
      <c r="E285" s="291"/>
      <c r="F285" s="274"/>
    </row>
    <row r="286" spans="1:8" ht="15">
      <c r="A286" s="292"/>
      <c r="B286" s="265"/>
      <c r="C286" s="275"/>
      <c r="D286" s="291"/>
      <c r="E286" s="291"/>
      <c r="F286" s="274"/>
    </row>
    <row r="287" spans="1:8" ht="14.25">
      <c r="A287" s="292"/>
      <c r="B287" s="275"/>
      <c r="C287" s="259"/>
      <c r="D287" s="293"/>
      <c r="E287" s="291"/>
      <c r="F287" s="274"/>
    </row>
    <row r="288" spans="1:8" ht="14.25">
      <c r="A288" s="292"/>
      <c r="B288" s="275"/>
      <c r="C288" s="259"/>
      <c r="D288" s="293"/>
      <c r="E288" s="291"/>
      <c r="F288" s="274"/>
    </row>
    <row r="289" spans="1:7" ht="15">
      <c r="A289" s="292"/>
      <c r="B289" s="265"/>
      <c r="C289" s="291"/>
      <c r="D289" s="291"/>
      <c r="E289" s="291"/>
      <c r="F289" s="279"/>
    </row>
    <row r="290" spans="1:7" ht="15">
      <c r="A290" s="292"/>
      <c r="B290" s="265"/>
      <c r="C290" s="291"/>
      <c r="D290" s="291"/>
      <c r="E290" s="291"/>
      <c r="F290" s="274"/>
    </row>
    <row r="291" spans="1:7" ht="14.25">
      <c r="A291" s="292"/>
      <c r="B291" s="275"/>
      <c r="C291" s="259"/>
      <c r="D291" s="293"/>
      <c r="E291" s="291"/>
      <c r="F291" s="274"/>
    </row>
    <row r="292" spans="1:7" ht="15">
      <c r="A292" s="292"/>
      <c r="B292" s="265"/>
      <c r="C292" s="291"/>
      <c r="D292" s="293"/>
      <c r="E292" s="291"/>
      <c r="F292" s="279"/>
    </row>
    <row r="293" spans="1:7" ht="15">
      <c r="A293" s="292"/>
      <c r="B293" s="265"/>
      <c r="C293" s="291"/>
      <c r="D293" s="293"/>
      <c r="E293" s="291"/>
      <c r="F293" s="279"/>
    </row>
    <row r="294" spans="1:7" ht="14.25">
      <c r="A294" s="292"/>
      <c r="B294" s="275"/>
      <c r="C294" s="291"/>
      <c r="D294" s="293"/>
      <c r="E294" s="291"/>
      <c r="F294" s="274"/>
    </row>
    <row r="295" spans="1:7" ht="14.25">
      <c r="A295" s="292"/>
      <c r="B295" s="275"/>
      <c r="C295" s="291"/>
      <c r="D295" s="293"/>
      <c r="E295" s="291"/>
      <c r="F295" s="274"/>
    </row>
    <row r="296" spans="1:7" ht="14.25">
      <c r="A296" s="292"/>
      <c r="B296" s="275"/>
      <c r="C296" s="291"/>
      <c r="D296" s="293"/>
      <c r="E296" s="291"/>
      <c r="F296" s="274"/>
      <c r="G296" s="211"/>
    </row>
    <row r="297" spans="1:7" ht="14.25">
      <c r="A297" s="292"/>
      <c r="B297" s="275"/>
      <c r="C297" s="291"/>
      <c r="D297" s="293"/>
      <c r="E297" s="291"/>
      <c r="F297" s="274"/>
    </row>
    <row r="298" spans="1:7" ht="14.25">
      <c r="A298" s="292"/>
      <c r="B298" s="275"/>
      <c r="C298" s="291"/>
      <c r="D298" s="293"/>
      <c r="E298" s="291"/>
      <c r="F298" s="274"/>
    </row>
    <row r="299" spans="1:7" ht="15">
      <c r="A299" s="290"/>
      <c r="B299" s="371"/>
      <c r="C299" s="291"/>
      <c r="D299" s="291"/>
      <c r="E299" s="291"/>
      <c r="F299" s="274"/>
    </row>
    <row r="300" spans="1:7" ht="15">
      <c r="A300" s="292"/>
      <c r="B300" s="265"/>
      <c r="C300" s="291"/>
      <c r="D300" s="291"/>
      <c r="E300" s="291"/>
      <c r="F300" s="274"/>
    </row>
    <row r="301" spans="1:7" ht="15">
      <c r="A301" s="292"/>
      <c r="B301" s="265"/>
      <c r="C301" s="275"/>
      <c r="D301" s="291"/>
      <c r="E301" s="291"/>
      <c r="F301" s="274"/>
    </row>
    <row r="302" spans="1:7" ht="14.25">
      <c r="A302" s="292"/>
      <c r="B302" s="275"/>
      <c r="C302" s="259"/>
      <c r="D302" s="293"/>
      <c r="E302" s="291"/>
      <c r="F302" s="274"/>
    </row>
    <row r="303" spans="1:7" ht="14.25">
      <c r="A303" s="292"/>
      <c r="B303" s="275"/>
      <c r="C303" s="259"/>
      <c r="D303" s="293"/>
      <c r="E303" s="291"/>
      <c r="F303" s="274"/>
    </row>
    <row r="304" spans="1:7" ht="15">
      <c r="A304" s="292"/>
      <c r="B304" s="265"/>
      <c r="C304" s="291"/>
      <c r="D304" s="291"/>
      <c r="E304" s="291"/>
      <c r="F304" s="279"/>
    </row>
    <row r="305" spans="1:6" ht="15">
      <c r="A305" s="292"/>
      <c r="B305" s="265"/>
      <c r="C305" s="291"/>
      <c r="D305" s="291"/>
      <c r="E305" s="291"/>
      <c r="F305" s="274"/>
    </row>
    <row r="306" spans="1:6" ht="14.25">
      <c r="A306" s="292"/>
      <c r="B306" s="275"/>
      <c r="C306" s="259"/>
      <c r="D306" s="293"/>
      <c r="E306" s="291"/>
      <c r="F306" s="274"/>
    </row>
    <row r="307" spans="1:6" ht="15">
      <c r="A307" s="292"/>
      <c r="B307" s="265"/>
      <c r="C307" s="291"/>
      <c r="D307" s="293"/>
      <c r="E307" s="291"/>
      <c r="F307" s="279"/>
    </row>
    <row r="308" spans="1:6" ht="15">
      <c r="A308" s="292"/>
      <c r="B308" s="265"/>
      <c r="C308" s="291"/>
      <c r="D308" s="293"/>
      <c r="E308" s="291"/>
      <c r="F308" s="279"/>
    </row>
    <row r="309" spans="1:6" ht="14.25">
      <c r="A309" s="292"/>
      <c r="B309" s="275"/>
      <c r="C309" s="291"/>
      <c r="D309" s="293"/>
      <c r="E309" s="291"/>
      <c r="F309" s="274"/>
    </row>
    <row r="310" spans="1:6" ht="14.25">
      <c r="A310" s="292"/>
      <c r="B310" s="275"/>
      <c r="C310" s="291"/>
      <c r="D310" s="293"/>
      <c r="E310" s="291"/>
      <c r="F310" s="274"/>
    </row>
    <row r="311" spans="1:6" ht="14.25">
      <c r="A311" s="292"/>
      <c r="B311" s="275"/>
      <c r="C311" s="291"/>
      <c r="D311" s="293"/>
      <c r="E311" s="291"/>
      <c r="F311" s="274"/>
    </row>
    <row r="312" spans="1:6" ht="14.25">
      <c r="A312" s="292"/>
      <c r="B312" s="275"/>
      <c r="C312" s="291"/>
      <c r="D312" s="293"/>
      <c r="E312" s="291"/>
      <c r="F312" s="274"/>
    </row>
    <row r="313" spans="1:6" ht="14.25">
      <c r="A313" s="292"/>
      <c r="B313" s="275"/>
      <c r="C313" s="291"/>
      <c r="D313" s="293"/>
      <c r="E313" s="291"/>
      <c r="F313" s="274"/>
    </row>
    <row r="324" spans="1:6" ht="14.25">
      <c r="A324" s="32"/>
      <c r="B324" s="328"/>
      <c r="C324" s="285"/>
      <c r="D324" s="285"/>
      <c r="E324" s="285"/>
      <c r="F324" s="285"/>
    </row>
    <row r="325" spans="1:6" ht="14.25">
      <c r="A325" s="32"/>
      <c r="B325" s="285"/>
      <c r="C325" s="285"/>
      <c r="D325" s="285"/>
      <c r="E325" s="285"/>
      <c r="F325" s="285"/>
    </row>
    <row r="326" spans="1:6" ht="14.25">
      <c r="A326" s="32"/>
      <c r="B326" s="44"/>
      <c r="C326" s="286"/>
      <c r="D326" s="285"/>
      <c r="E326" s="285"/>
      <c r="F326" s="287"/>
    </row>
    <row r="327" spans="1:6" ht="14.25">
      <c r="A327" s="32"/>
      <c r="B327" s="44"/>
      <c r="C327" s="286"/>
      <c r="D327" s="285"/>
      <c r="E327" s="285"/>
      <c r="F327" s="287"/>
    </row>
    <row r="328" spans="1:6" ht="14.25">
      <c r="A328" s="285"/>
      <c r="B328" s="284"/>
      <c r="C328" s="285"/>
      <c r="D328" s="285"/>
      <c r="E328" s="285"/>
      <c r="F328" s="287"/>
    </row>
  </sheetData>
  <mergeCells count="8">
    <mergeCell ref="A14:D14"/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0.59015748031496096" right="0.39370078740157505" top="1.015354330708661" bottom="0.88543307086614198" header="0.72007874015748008" footer="0.59015748031496096"/>
  <pageSetup paperSize="9" scale="61" fitToWidth="0" fitToHeight="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3"/>
  <sheetViews>
    <sheetView workbookViewId="0">
      <selection activeCell="J385" sqref="J385"/>
    </sheetView>
  </sheetViews>
  <sheetFormatPr defaultRowHeight="14.25"/>
  <cols>
    <col min="1" max="1" width="9" customWidth="1"/>
    <col min="2" max="2" width="32.5" customWidth="1"/>
    <col min="3" max="4" width="9" customWidth="1"/>
    <col min="5" max="5" width="9" style="162" customWidth="1"/>
    <col min="6" max="6" width="9" customWidth="1"/>
  </cols>
  <sheetData>
    <row r="2" spans="1:6" ht="15">
      <c r="A2" s="679" t="s">
        <v>632</v>
      </c>
      <c r="B2" s="679"/>
      <c r="C2" s="679"/>
      <c r="D2" s="679"/>
      <c r="E2" s="679"/>
      <c r="F2" s="679"/>
    </row>
    <row r="3" spans="1:6" ht="15">
      <c r="A3" s="416"/>
      <c r="B3" s="416"/>
      <c r="C3" s="416"/>
      <c r="D3" s="416"/>
      <c r="E3" s="416"/>
      <c r="F3" s="416"/>
    </row>
    <row r="4" spans="1:6" ht="15">
      <c r="A4" s="679" t="s">
        <v>203</v>
      </c>
      <c r="B4" s="679"/>
      <c r="C4" s="679"/>
      <c r="D4" s="679"/>
      <c r="E4" s="679"/>
      <c r="F4" s="679"/>
    </row>
    <row r="5" spans="1:6" ht="15">
      <c r="A5" s="416"/>
      <c r="B5" s="416"/>
      <c r="C5" s="416"/>
      <c r="D5" s="416"/>
      <c r="E5" s="416"/>
      <c r="F5" s="416"/>
    </row>
    <row r="6" spans="1:6" ht="15" thickBot="1">
      <c r="A6" s="417"/>
      <c r="B6" s="417"/>
      <c r="C6" s="417"/>
      <c r="D6" s="417"/>
      <c r="E6" s="417"/>
      <c r="F6" s="417"/>
    </row>
    <row r="7" spans="1:6" ht="70.5" customHeight="1">
      <c r="A7" s="418" t="s">
        <v>204</v>
      </c>
      <c r="B7" s="419" t="s">
        <v>206</v>
      </c>
      <c r="C7" s="325">
        <v>1</v>
      </c>
      <c r="D7" s="325"/>
      <c r="E7" s="325"/>
      <c r="F7" s="420"/>
    </row>
    <row r="8" spans="1:6">
      <c r="A8" s="298"/>
      <c r="B8" s="271" t="s">
        <v>633</v>
      </c>
      <c r="C8" s="325"/>
      <c r="D8" s="325"/>
      <c r="E8" s="325"/>
      <c r="F8" s="420"/>
    </row>
    <row r="9" spans="1:6" ht="15">
      <c r="A9" s="298"/>
      <c r="B9" s="265" t="s">
        <v>548</v>
      </c>
      <c r="C9" s="325"/>
      <c r="D9" s="325"/>
      <c r="E9" s="325"/>
      <c r="F9" s="420"/>
    </row>
    <row r="10" spans="1:6">
      <c r="A10" s="298" t="s">
        <v>634</v>
      </c>
      <c r="B10" s="275" t="s">
        <v>635</v>
      </c>
      <c r="C10" s="291" t="s">
        <v>16</v>
      </c>
      <c r="D10" s="291">
        <v>3.5</v>
      </c>
      <c r="E10" s="291">
        <v>19.53</v>
      </c>
      <c r="F10" s="421">
        <f>D10*E10</f>
        <v>68.355000000000004</v>
      </c>
    </row>
    <row r="11" spans="1:6">
      <c r="A11" s="298" t="s">
        <v>636</v>
      </c>
      <c r="B11" s="275" t="s">
        <v>637</v>
      </c>
      <c r="C11" s="291" t="s">
        <v>16</v>
      </c>
      <c r="D11" s="291">
        <v>1.2</v>
      </c>
      <c r="E11" s="293">
        <v>15.19</v>
      </c>
      <c r="F11" s="421">
        <f>D11*E11</f>
        <v>18.227999999999998</v>
      </c>
    </row>
    <row r="12" spans="1:6">
      <c r="A12" s="298" t="s">
        <v>638</v>
      </c>
      <c r="B12" s="275" t="s">
        <v>543</v>
      </c>
      <c r="C12" s="291" t="s">
        <v>16</v>
      </c>
      <c r="D12" s="291">
        <v>0.8</v>
      </c>
      <c r="E12" s="291">
        <v>18.86</v>
      </c>
      <c r="F12" s="421">
        <f>D12*E12</f>
        <v>15.088000000000001</v>
      </c>
    </row>
    <row r="13" spans="1:6" ht="15">
      <c r="A13" s="298"/>
      <c r="B13" s="265" t="s">
        <v>537</v>
      </c>
      <c r="C13" s="325"/>
      <c r="D13" s="325"/>
      <c r="E13" s="325"/>
      <c r="F13" s="420">
        <f>SUM(F10:F12)</f>
        <v>101.67099999999999</v>
      </c>
    </row>
    <row r="14" spans="1:6" ht="15">
      <c r="A14" s="298"/>
      <c r="B14" s="265" t="s">
        <v>535</v>
      </c>
      <c r="C14" s="325"/>
      <c r="D14" s="325"/>
      <c r="E14" s="325"/>
      <c r="F14" s="420"/>
    </row>
    <row r="15" spans="1:6" ht="54.75" customHeight="1">
      <c r="A15" s="422" t="s">
        <v>639</v>
      </c>
      <c r="B15" s="33" t="s">
        <v>640</v>
      </c>
      <c r="C15" s="325" t="s">
        <v>25</v>
      </c>
      <c r="D15" s="325">
        <v>1</v>
      </c>
      <c r="E15" s="291">
        <v>297.39999999999998</v>
      </c>
      <c r="F15" s="420">
        <f t="shared" ref="F15:F33" si="0">(E15*D15)</f>
        <v>297.39999999999998</v>
      </c>
    </row>
    <row r="16" spans="1:6" ht="37.5" customHeight="1">
      <c r="A16" s="422" t="s">
        <v>641</v>
      </c>
      <c r="B16" s="33" t="s">
        <v>642</v>
      </c>
      <c r="C16" s="325" t="s">
        <v>101</v>
      </c>
      <c r="D16" s="325">
        <v>22.8</v>
      </c>
      <c r="E16" s="291">
        <v>35.76</v>
      </c>
      <c r="F16" s="420">
        <f t="shared" si="0"/>
        <v>815.32799999999997</v>
      </c>
    </row>
    <row r="17" spans="1:6" ht="35.25" customHeight="1">
      <c r="A17" s="422">
        <v>41195</v>
      </c>
      <c r="B17" s="33" t="s">
        <v>643</v>
      </c>
      <c r="C17" s="325" t="s">
        <v>25</v>
      </c>
      <c r="D17" s="325">
        <v>1</v>
      </c>
      <c r="E17" s="293">
        <v>487.87</v>
      </c>
      <c r="F17" s="420">
        <f t="shared" si="0"/>
        <v>487.87</v>
      </c>
    </row>
    <row r="18" spans="1:6" ht="57" customHeight="1">
      <c r="A18" s="422">
        <v>100578</v>
      </c>
      <c r="B18" s="33" t="s">
        <v>644</v>
      </c>
      <c r="C18" s="325" t="s">
        <v>645</v>
      </c>
      <c r="D18" s="325">
        <v>1</v>
      </c>
      <c r="E18" s="293">
        <v>383.34</v>
      </c>
      <c r="F18" s="420">
        <f t="shared" si="0"/>
        <v>383.34</v>
      </c>
    </row>
    <row r="19" spans="1:6" ht="30" customHeight="1">
      <c r="A19" s="422" t="s">
        <v>646</v>
      </c>
      <c r="B19" s="33" t="s">
        <v>647</v>
      </c>
      <c r="C19" s="325" t="s">
        <v>101</v>
      </c>
      <c r="D19" s="325">
        <v>5.5</v>
      </c>
      <c r="E19" s="291">
        <v>15.35</v>
      </c>
      <c r="F19" s="420">
        <f t="shared" si="0"/>
        <v>84.424999999999997</v>
      </c>
    </row>
    <row r="20" spans="1:6" ht="60" customHeight="1">
      <c r="A20" s="422" t="s">
        <v>648</v>
      </c>
      <c r="B20" s="33" t="s">
        <v>649</v>
      </c>
      <c r="C20" s="325" t="s">
        <v>25</v>
      </c>
      <c r="D20" s="325">
        <v>1</v>
      </c>
      <c r="E20" s="291">
        <v>12.41</v>
      </c>
      <c r="F20" s="420">
        <f t="shared" si="0"/>
        <v>12.41</v>
      </c>
    </row>
    <row r="21" spans="1:6" ht="33.75" customHeight="1">
      <c r="A21" s="422" t="s">
        <v>650</v>
      </c>
      <c r="B21" s="33" t="s">
        <v>651</v>
      </c>
      <c r="C21" s="325" t="s">
        <v>25</v>
      </c>
      <c r="D21" s="325">
        <v>5</v>
      </c>
      <c r="E21" s="291">
        <v>4.1100000000000003</v>
      </c>
      <c r="F21" s="420">
        <f t="shared" si="0"/>
        <v>20.55</v>
      </c>
    </row>
    <row r="22" spans="1:6" ht="39.75" customHeight="1">
      <c r="A22" s="422" t="s">
        <v>652</v>
      </c>
      <c r="B22" s="33" t="s">
        <v>653</v>
      </c>
      <c r="C22" s="325" t="s">
        <v>25</v>
      </c>
      <c r="D22" s="325">
        <v>1</v>
      </c>
      <c r="E22" s="291">
        <v>26.74</v>
      </c>
      <c r="F22" s="420">
        <f t="shared" si="0"/>
        <v>26.74</v>
      </c>
    </row>
    <row r="23" spans="1:6" ht="36" customHeight="1">
      <c r="A23" s="422" t="s">
        <v>654</v>
      </c>
      <c r="B23" s="33" t="s">
        <v>655</v>
      </c>
      <c r="C23" s="325" t="s">
        <v>25</v>
      </c>
      <c r="D23" s="325">
        <v>1</v>
      </c>
      <c r="E23" s="291">
        <v>6.21</v>
      </c>
      <c r="F23" s="420">
        <f t="shared" si="0"/>
        <v>6.21</v>
      </c>
    </row>
    <row r="24" spans="1:6" ht="39" customHeight="1">
      <c r="A24" s="422" t="s">
        <v>652</v>
      </c>
      <c r="B24" s="33" t="s">
        <v>656</v>
      </c>
      <c r="C24" s="325" t="s">
        <v>25</v>
      </c>
      <c r="D24" s="325">
        <v>2</v>
      </c>
      <c r="E24" s="293">
        <v>9.6</v>
      </c>
      <c r="F24" s="420">
        <f t="shared" si="0"/>
        <v>19.2</v>
      </c>
    </row>
    <row r="25" spans="1:6" ht="48.75" customHeight="1">
      <c r="A25" s="422" t="s">
        <v>657</v>
      </c>
      <c r="B25" s="33" t="s">
        <v>658</v>
      </c>
      <c r="C25" s="325" t="s">
        <v>25</v>
      </c>
      <c r="D25" s="325">
        <v>2</v>
      </c>
      <c r="E25" s="293">
        <v>0.8</v>
      </c>
      <c r="F25" s="420">
        <f t="shared" si="0"/>
        <v>1.6</v>
      </c>
    </row>
    <row r="26" spans="1:6" ht="28.5" customHeight="1">
      <c r="A26" s="422" t="s">
        <v>659</v>
      </c>
      <c r="B26" s="44" t="s">
        <v>660</v>
      </c>
      <c r="C26" s="325" t="s">
        <v>25</v>
      </c>
      <c r="D26" s="325">
        <v>1</v>
      </c>
      <c r="E26" s="291">
        <v>113.4</v>
      </c>
      <c r="F26" s="420">
        <f t="shared" si="0"/>
        <v>113.4</v>
      </c>
    </row>
    <row r="27" spans="1:6" ht="31.5" customHeight="1">
      <c r="A27" s="422" t="s">
        <v>661</v>
      </c>
      <c r="B27" s="48" t="s">
        <v>286</v>
      </c>
      <c r="C27" s="325" t="s">
        <v>25</v>
      </c>
      <c r="D27" s="325">
        <v>3</v>
      </c>
      <c r="E27" s="291">
        <v>56.31</v>
      </c>
      <c r="F27" s="420">
        <f t="shared" si="0"/>
        <v>168.93</v>
      </c>
    </row>
    <row r="28" spans="1:6" ht="33" customHeight="1">
      <c r="A28" s="422" t="s">
        <v>662</v>
      </c>
      <c r="B28" s="48" t="s">
        <v>223</v>
      </c>
      <c r="C28" s="325" t="s">
        <v>101</v>
      </c>
      <c r="D28" s="325">
        <f>(3*2.4)+1.5</f>
        <v>8.6999999999999993</v>
      </c>
      <c r="E28" s="291">
        <v>46.92</v>
      </c>
      <c r="F28" s="420">
        <f t="shared" si="0"/>
        <v>408.20400000000001</v>
      </c>
    </row>
    <row r="29" spans="1:6" ht="36.75" customHeight="1">
      <c r="A29" s="422" t="s">
        <v>663</v>
      </c>
      <c r="B29" s="48" t="s">
        <v>664</v>
      </c>
      <c r="C29" s="325" t="s">
        <v>25</v>
      </c>
      <c r="D29" s="325">
        <v>3</v>
      </c>
      <c r="E29" s="291">
        <v>4.51</v>
      </c>
      <c r="F29" s="420">
        <f t="shared" si="0"/>
        <v>13.53</v>
      </c>
    </row>
    <row r="30" spans="1:6" ht="28.5" customHeight="1">
      <c r="A30" s="422" t="s">
        <v>665</v>
      </c>
      <c r="B30" s="48" t="s">
        <v>666</v>
      </c>
      <c r="C30" s="325" t="s">
        <v>101</v>
      </c>
      <c r="D30" s="325">
        <v>1.2</v>
      </c>
      <c r="E30" s="291">
        <v>1.36</v>
      </c>
      <c r="F30" s="420">
        <f t="shared" si="0"/>
        <v>1.6320000000000001</v>
      </c>
    </row>
    <row r="31" spans="1:6" ht="40.5" customHeight="1">
      <c r="A31" s="422" t="s">
        <v>667</v>
      </c>
      <c r="B31" s="48" t="s">
        <v>668</v>
      </c>
      <c r="C31" s="325" t="s">
        <v>25</v>
      </c>
      <c r="D31" s="325">
        <v>1</v>
      </c>
      <c r="E31" s="291">
        <v>307.14</v>
      </c>
      <c r="F31" s="420">
        <f t="shared" si="0"/>
        <v>307.14</v>
      </c>
    </row>
    <row r="32" spans="1:6" ht="36.75" customHeight="1">
      <c r="A32" s="422" t="s">
        <v>669</v>
      </c>
      <c r="B32" s="48" t="s">
        <v>670</v>
      </c>
      <c r="C32" s="325" t="s">
        <v>25</v>
      </c>
      <c r="D32" s="325">
        <v>3</v>
      </c>
      <c r="E32" s="291">
        <v>36.840000000000003</v>
      </c>
      <c r="F32" s="420">
        <f t="shared" si="0"/>
        <v>110.52000000000001</v>
      </c>
    </row>
    <row r="33" spans="1:6" ht="37.5" customHeight="1">
      <c r="A33" s="422" t="s">
        <v>671</v>
      </c>
      <c r="B33" s="48" t="s">
        <v>672</v>
      </c>
      <c r="C33" s="325" t="s">
        <v>49</v>
      </c>
      <c r="D33" s="325">
        <v>0.81599999999999995</v>
      </c>
      <c r="E33" s="291">
        <v>402.67</v>
      </c>
      <c r="F33" s="420">
        <f t="shared" si="0"/>
        <v>328.57871999999998</v>
      </c>
    </row>
    <row r="34" spans="1:6" ht="15">
      <c r="A34" s="298"/>
      <c r="B34" s="265" t="s">
        <v>537</v>
      </c>
      <c r="C34" s="325"/>
      <c r="D34" s="325"/>
      <c r="E34" s="325"/>
      <c r="F34" s="420">
        <f>SUM(F15:F33)</f>
        <v>3607.0077199999996</v>
      </c>
    </row>
    <row r="35" spans="1:6" ht="15">
      <c r="A35" s="298"/>
      <c r="B35" s="265" t="s">
        <v>538</v>
      </c>
      <c r="C35" s="325"/>
      <c r="D35" s="325"/>
      <c r="E35" s="325"/>
      <c r="F35" s="420">
        <f>F34+F13</f>
        <v>3708.6787199999994</v>
      </c>
    </row>
    <row r="36" spans="1:6" ht="15" thickBot="1">
      <c r="A36" s="417"/>
      <c r="B36" s="417"/>
      <c r="C36" s="417"/>
      <c r="D36" s="417"/>
      <c r="E36" s="417"/>
      <c r="F36" s="417"/>
    </row>
    <row r="37" spans="1:6" ht="68.25" customHeight="1">
      <c r="A37" s="418" t="s">
        <v>253</v>
      </c>
      <c r="B37" s="419" t="s">
        <v>254</v>
      </c>
      <c r="C37" s="325">
        <v>1</v>
      </c>
      <c r="D37" s="325"/>
      <c r="E37" s="325"/>
      <c r="F37" s="420"/>
    </row>
    <row r="38" spans="1:6">
      <c r="A38" s="298"/>
      <c r="B38" s="271" t="s">
        <v>673</v>
      </c>
      <c r="C38" s="325"/>
      <c r="D38" s="325"/>
      <c r="E38" s="325"/>
      <c r="F38" s="420"/>
    </row>
    <row r="39" spans="1:6" ht="15">
      <c r="A39" s="298"/>
      <c r="B39" s="265" t="s">
        <v>548</v>
      </c>
      <c r="C39" s="325"/>
      <c r="D39" s="325"/>
      <c r="E39" s="325"/>
      <c r="F39" s="420"/>
    </row>
    <row r="40" spans="1:6">
      <c r="A40" s="298" t="s">
        <v>634</v>
      </c>
      <c r="B40" s="275" t="s">
        <v>635</v>
      </c>
      <c r="C40" s="291" t="s">
        <v>16</v>
      </c>
      <c r="D40" s="291">
        <v>0.5</v>
      </c>
      <c r="E40" s="293">
        <v>19.53</v>
      </c>
      <c r="F40" s="421">
        <f>D40*E40</f>
        <v>9.7650000000000006</v>
      </c>
    </row>
    <row r="41" spans="1:6">
      <c r="A41" s="298" t="s">
        <v>636</v>
      </c>
      <c r="B41" s="275" t="s">
        <v>637</v>
      </c>
      <c r="C41" s="291" t="s">
        <v>16</v>
      </c>
      <c r="D41" s="291">
        <v>0.3</v>
      </c>
      <c r="E41" s="293">
        <v>15.19</v>
      </c>
      <c r="F41" s="421">
        <f>D41*E41</f>
        <v>4.5569999999999995</v>
      </c>
    </row>
    <row r="42" spans="1:6" ht="15">
      <c r="A42" s="298"/>
      <c r="B42" s="265" t="s">
        <v>537</v>
      </c>
      <c r="C42" s="325"/>
      <c r="D42" s="325"/>
      <c r="E42" s="325"/>
      <c r="F42" s="420">
        <f>SUM(F40:F41)</f>
        <v>14.321999999999999</v>
      </c>
    </row>
    <row r="43" spans="1:6" ht="15">
      <c r="A43" s="298"/>
      <c r="B43" s="265" t="s">
        <v>535</v>
      </c>
      <c r="C43" s="325"/>
      <c r="D43" s="325"/>
      <c r="E43" s="325"/>
      <c r="F43" s="420"/>
    </row>
    <row r="44" spans="1:6" ht="73.5" customHeight="1">
      <c r="A44" s="298" t="s">
        <v>674</v>
      </c>
      <c r="B44" s="423" t="s">
        <v>675</v>
      </c>
      <c r="C44" s="325" t="s">
        <v>25</v>
      </c>
      <c r="D44" s="403">
        <v>1</v>
      </c>
      <c r="E44" s="325">
        <v>56.14</v>
      </c>
      <c r="F44" s="421">
        <f>(D44*E44)</f>
        <v>56.14</v>
      </c>
    </row>
    <row r="45" spans="1:6" ht="33" customHeight="1">
      <c r="A45" s="298" t="s">
        <v>676</v>
      </c>
      <c r="B45" s="423" t="s">
        <v>677</v>
      </c>
      <c r="C45" s="291" t="s">
        <v>25</v>
      </c>
      <c r="D45" s="293">
        <v>2</v>
      </c>
      <c r="E45" s="291">
        <v>14.76</v>
      </c>
      <c r="F45" s="421">
        <f>(D45*E45)</f>
        <v>29.52</v>
      </c>
    </row>
    <row r="46" spans="1:6" ht="45.75" customHeight="1">
      <c r="A46" s="298">
        <v>21127</v>
      </c>
      <c r="B46" s="423" t="s">
        <v>678</v>
      </c>
      <c r="C46" s="291" t="s">
        <v>25</v>
      </c>
      <c r="D46" s="291">
        <v>4.2000000000000003E-2</v>
      </c>
      <c r="E46" s="293">
        <v>3.77</v>
      </c>
      <c r="F46" s="421">
        <f>(D46*E46)</f>
        <v>0.15834000000000001</v>
      </c>
    </row>
    <row r="47" spans="1:6" ht="15">
      <c r="A47" s="298"/>
      <c r="B47" s="265" t="s">
        <v>537</v>
      </c>
      <c r="C47" s="325"/>
      <c r="D47" s="325"/>
      <c r="E47" s="325"/>
      <c r="F47" s="420">
        <f>SUM(F44:F46)</f>
        <v>85.818339999999992</v>
      </c>
    </row>
    <row r="48" spans="1:6" ht="15">
      <c r="A48" s="298"/>
      <c r="B48" s="265" t="s">
        <v>538</v>
      </c>
      <c r="C48" s="325"/>
      <c r="D48" s="325"/>
      <c r="E48" s="325"/>
      <c r="F48" s="420">
        <f>F47+F42</f>
        <v>100.14033999999999</v>
      </c>
    </row>
    <row r="49" spans="1:6" ht="15" thickBot="1">
      <c r="A49" s="417"/>
      <c r="B49" s="417"/>
      <c r="C49" s="417"/>
      <c r="D49" s="417"/>
      <c r="E49" s="417"/>
      <c r="F49" s="417"/>
    </row>
    <row r="50" spans="1:6" ht="42.75" customHeight="1">
      <c r="A50" s="418" t="s">
        <v>260</v>
      </c>
      <c r="B50" s="419" t="s">
        <v>679</v>
      </c>
      <c r="C50" s="325">
        <v>1</v>
      </c>
      <c r="D50" s="325"/>
      <c r="E50" s="325"/>
      <c r="F50" s="420"/>
    </row>
    <row r="51" spans="1:6">
      <c r="A51" s="298"/>
      <c r="B51" s="271" t="s">
        <v>582</v>
      </c>
      <c r="C51" s="325"/>
      <c r="D51" s="325"/>
      <c r="E51" s="325"/>
      <c r="F51" s="420"/>
    </row>
    <row r="52" spans="1:6" ht="15">
      <c r="A52" s="298"/>
      <c r="B52" s="265" t="s">
        <v>548</v>
      </c>
      <c r="C52" s="325"/>
      <c r="D52" s="325"/>
      <c r="E52" s="325"/>
      <c r="F52" s="420"/>
    </row>
    <row r="53" spans="1:6">
      <c r="A53" s="298" t="s">
        <v>634</v>
      </c>
      <c r="B53" s="275" t="s">
        <v>635</v>
      </c>
      <c r="C53" s="291" t="s">
        <v>16</v>
      </c>
      <c r="D53" s="291">
        <v>0.6</v>
      </c>
      <c r="E53" s="293">
        <v>19.53</v>
      </c>
      <c r="F53" s="421">
        <f>D53*E53</f>
        <v>11.718</v>
      </c>
    </row>
    <row r="54" spans="1:6" ht="22.5" customHeight="1">
      <c r="A54" s="298" t="s">
        <v>636</v>
      </c>
      <c r="B54" s="275" t="s">
        <v>637</v>
      </c>
      <c r="C54" s="291" t="s">
        <v>16</v>
      </c>
      <c r="D54" s="291">
        <v>0.4</v>
      </c>
      <c r="E54" s="293">
        <v>15.19</v>
      </c>
      <c r="F54" s="421">
        <f>D54*E54</f>
        <v>6.0760000000000005</v>
      </c>
    </row>
    <row r="55" spans="1:6" ht="15">
      <c r="A55" s="298"/>
      <c r="B55" s="265" t="s">
        <v>537</v>
      </c>
      <c r="C55" s="325"/>
      <c r="D55" s="325"/>
      <c r="E55" s="325"/>
      <c r="F55" s="420">
        <f>SUM(F53:F54)</f>
        <v>17.794</v>
      </c>
    </row>
    <row r="56" spans="1:6" ht="15">
      <c r="A56" s="298"/>
      <c r="B56" s="265" t="s">
        <v>535</v>
      </c>
      <c r="C56" s="325"/>
      <c r="D56" s="325"/>
      <c r="E56" s="325"/>
      <c r="F56" s="420"/>
    </row>
    <row r="57" spans="1:6" ht="43.5" customHeight="1">
      <c r="A57" s="298" t="s">
        <v>680</v>
      </c>
      <c r="B57" s="423" t="s">
        <v>681</v>
      </c>
      <c r="C57" s="291" t="s">
        <v>25</v>
      </c>
      <c r="D57" s="291">
        <v>2</v>
      </c>
      <c r="E57" s="293">
        <v>45.17</v>
      </c>
      <c r="F57" s="421">
        <f>(D57*E57)</f>
        <v>90.34</v>
      </c>
    </row>
    <row r="58" spans="1:6" ht="47.25" customHeight="1">
      <c r="A58" s="298">
        <v>21127</v>
      </c>
      <c r="B58" s="423" t="s">
        <v>678</v>
      </c>
      <c r="C58" s="291" t="s">
        <v>25</v>
      </c>
      <c r="D58" s="291">
        <v>4.2000000000000003E-2</v>
      </c>
      <c r="E58" s="293">
        <v>3.77</v>
      </c>
      <c r="F58" s="421">
        <f>(D58*E58)</f>
        <v>0.15834000000000001</v>
      </c>
    </row>
    <row r="59" spans="1:6" ht="72" customHeight="1">
      <c r="A59" s="298" t="s">
        <v>682</v>
      </c>
      <c r="B59" s="275" t="s">
        <v>683</v>
      </c>
      <c r="C59" s="275" t="s">
        <v>25</v>
      </c>
      <c r="D59" s="424">
        <v>2</v>
      </c>
      <c r="E59" s="275">
        <v>0.2</v>
      </c>
      <c r="F59" s="275">
        <f>D59*E59</f>
        <v>0.4</v>
      </c>
    </row>
    <row r="60" spans="1:6" ht="15">
      <c r="A60" s="425"/>
      <c r="B60" s="332" t="s">
        <v>537</v>
      </c>
      <c r="C60" s="426"/>
      <c r="D60" s="426"/>
      <c r="E60" s="426"/>
      <c r="F60" s="427">
        <f>SUM(F57:F59)</f>
        <v>90.898340000000005</v>
      </c>
    </row>
    <row r="61" spans="1:6" ht="15">
      <c r="A61" s="298"/>
      <c r="B61" s="265" t="s">
        <v>538</v>
      </c>
      <c r="C61" s="325"/>
      <c r="D61" s="325"/>
      <c r="E61" s="325"/>
      <c r="F61" s="420">
        <f>F60+F55</f>
        <v>108.69234</v>
      </c>
    </row>
    <row r="62" spans="1:6" ht="15" thickBot="1">
      <c r="A62" s="417"/>
      <c r="B62" s="417"/>
      <c r="C62" s="417"/>
      <c r="D62" s="417"/>
      <c r="E62" s="417"/>
      <c r="F62" s="417"/>
    </row>
    <row r="63" spans="1:6" ht="30" customHeight="1">
      <c r="A63" s="418" t="s">
        <v>262</v>
      </c>
      <c r="B63" s="419" t="s">
        <v>684</v>
      </c>
      <c r="C63" s="325">
        <v>1</v>
      </c>
      <c r="D63" s="325"/>
      <c r="E63" s="325"/>
      <c r="F63" s="420"/>
    </row>
    <row r="64" spans="1:6">
      <c r="A64" s="298"/>
      <c r="B64" s="271" t="s">
        <v>582</v>
      </c>
      <c r="C64" s="325"/>
      <c r="D64" s="325"/>
      <c r="E64" s="325"/>
      <c r="F64" s="420"/>
    </row>
    <row r="65" spans="1:6" ht="15">
      <c r="A65" s="298"/>
      <c r="B65" s="265" t="s">
        <v>548</v>
      </c>
      <c r="C65" s="325"/>
      <c r="D65" s="325"/>
      <c r="E65" s="325"/>
      <c r="F65" s="420"/>
    </row>
    <row r="66" spans="1:6">
      <c r="A66" s="298" t="s">
        <v>634</v>
      </c>
      <c r="B66" s="275" t="s">
        <v>635</v>
      </c>
      <c r="C66" s="291" t="s">
        <v>16</v>
      </c>
      <c r="D66" s="291">
        <v>0.6</v>
      </c>
      <c r="E66" s="293">
        <v>19.53</v>
      </c>
      <c r="F66" s="421">
        <f>D66*E66</f>
        <v>11.718</v>
      </c>
    </row>
    <row r="67" spans="1:6" ht="22.5" customHeight="1">
      <c r="A67" s="298" t="s">
        <v>636</v>
      </c>
      <c r="B67" s="275" t="s">
        <v>637</v>
      </c>
      <c r="C67" s="291" t="s">
        <v>16</v>
      </c>
      <c r="D67" s="291">
        <v>0.4</v>
      </c>
      <c r="E67" s="293">
        <v>15.19</v>
      </c>
      <c r="F67" s="421">
        <f>D67*E67</f>
        <v>6.0760000000000005</v>
      </c>
    </row>
    <row r="68" spans="1:6" ht="15">
      <c r="A68" s="298"/>
      <c r="B68" s="265" t="s">
        <v>537</v>
      </c>
      <c r="C68" s="325"/>
      <c r="D68" s="325"/>
      <c r="E68" s="325"/>
      <c r="F68" s="420">
        <f>SUM(F66:F67)</f>
        <v>17.794</v>
      </c>
    </row>
    <row r="69" spans="1:6" ht="15">
      <c r="A69" s="298"/>
      <c r="B69" s="265" t="s">
        <v>535</v>
      </c>
      <c r="C69" s="325"/>
      <c r="D69" s="325"/>
      <c r="E69" s="325"/>
      <c r="F69" s="420"/>
    </row>
    <row r="70" spans="1:6" ht="43.5" customHeight="1">
      <c r="A70" s="298" t="s">
        <v>680</v>
      </c>
      <c r="B70" s="423" t="s">
        <v>681</v>
      </c>
      <c r="C70" s="291" t="s">
        <v>25</v>
      </c>
      <c r="D70" s="291">
        <v>1</v>
      </c>
      <c r="E70" s="293">
        <v>45.17</v>
      </c>
      <c r="F70" s="421">
        <f>(D70*E70)</f>
        <v>45.17</v>
      </c>
    </row>
    <row r="71" spans="1:6" ht="47.25" customHeight="1">
      <c r="A71" s="298">
        <v>21127</v>
      </c>
      <c r="B71" s="423" t="s">
        <v>678</v>
      </c>
      <c r="C71" s="291" t="s">
        <v>25</v>
      </c>
      <c r="D71" s="291">
        <v>4.2000000000000003E-2</v>
      </c>
      <c r="E71" s="293">
        <v>3.77</v>
      </c>
      <c r="F71" s="421">
        <f>(D71*E71)</f>
        <v>0.15834000000000001</v>
      </c>
    </row>
    <row r="72" spans="1:6" ht="72" customHeight="1">
      <c r="A72" s="298" t="s">
        <v>682</v>
      </c>
      <c r="B72" s="275" t="s">
        <v>683</v>
      </c>
      <c r="C72" s="275" t="s">
        <v>25</v>
      </c>
      <c r="D72" s="424">
        <v>2</v>
      </c>
      <c r="E72" s="275">
        <v>0.2</v>
      </c>
      <c r="F72" s="275">
        <f>D72*E72</f>
        <v>0.4</v>
      </c>
    </row>
    <row r="73" spans="1:6" ht="15">
      <c r="A73" s="425"/>
      <c r="B73" s="332" t="s">
        <v>537</v>
      </c>
      <c r="C73" s="426"/>
      <c r="D73" s="426"/>
      <c r="E73" s="426"/>
      <c r="F73" s="427">
        <f>SUM(F70:F72)</f>
        <v>45.728340000000003</v>
      </c>
    </row>
    <row r="74" spans="1:6" ht="15">
      <c r="A74" s="298"/>
      <c r="B74" s="265" t="s">
        <v>538</v>
      </c>
      <c r="C74" s="325"/>
      <c r="D74" s="325"/>
      <c r="E74" s="325"/>
      <c r="F74" s="420">
        <f>F73+F68</f>
        <v>63.52234</v>
      </c>
    </row>
    <row r="75" spans="1:6" ht="15" thickBot="1">
      <c r="A75" s="298"/>
      <c r="B75" s="286"/>
      <c r="C75" s="304"/>
      <c r="D75" s="428"/>
      <c r="E75" s="429"/>
      <c r="F75" s="430"/>
    </row>
    <row r="76" spans="1:6" ht="15" thickBot="1">
      <c r="A76" s="417"/>
      <c r="B76" s="417"/>
      <c r="C76" s="417"/>
      <c r="D76" s="417"/>
      <c r="E76" s="417"/>
      <c r="F76" s="417"/>
    </row>
    <row r="77" spans="1:6" ht="43.5" customHeight="1">
      <c r="A77" s="418"/>
      <c r="B77" s="48" t="s">
        <v>685</v>
      </c>
      <c r="C77" s="325">
        <v>1</v>
      </c>
      <c r="D77" s="325"/>
      <c r="E77" s="325"/>
      <c r="F77" s="420"/>
    </row>
    <row r="78" spans="1:6">
      <c r="A78" s="298"/>
      <c r="B78" s="271" t="s">
        <v>686</v>
      </c>
      <c r="C78" s="325"/>
      <c r="D78" s="325"/>
      <c r="E78" s="325"/>
      <c r="F78" s="420"/>
    </row>
    <row r="79" spans="1:6" ht="15">
      <c r="A79" s="298"/>
      <c r="B79" s="265" t="s">
        <v>548</v>
      </c>
      <c r="C79" s="325"/>
      <c r="D79" s="325"/>
      <c r="E79" s="325"/>
      <c r="F79" s="420"/>
    </row>
    <row r="80" spans="1:6">
      <c r="A80" s="298" t="s">
        <v>634</v>
      </c>
      <c r="B80" s="275" t="s">
        <v>635</v>
      </c>
      <c r="C80" s="291" t="s">
        <v>16</v>
      </c>
      <c r="D80" s="291">
        <v>1.5</v>
      </c>
      <c r="E80" s="291">
        <v>19.53</v>
      </c>
      <c r="F80" s="421">
        <f>D80*E80</f>
        <v>29.295000000000002</v>
      </c>
    </row>
    <row r="81" spans="1:6">
      <c r="A81" s="298" t="s">
        <v>636</v>
      </c>
      <c r="B81" s="275" t="s">
        <v>637</v>
      </c>
      <c r="C81" s="291" t="s">
        <v>16</v>
      </c>
      <c r="D81" s="291">
        <v>1.5</v>
      </c>
      <c r="E81" s="291">
        <v>15.19</v>
      </c>
      <c r="F81" s="421">
        <f>D81*E81</f>
        <v>22.785</v>
      </c>
    </row>
    <row r="82" spans="1:6">
      <c r="A82" s="298" t="s">
        <v>638</v>
      </c>
      <c r="B82" s="275" t="s">
        <v>543</v>
      </c>
      <c r="C82" s="291" t="s">
        <v>16</v>
      </c>
      <c r="D82" s="291">
        <v>4</v>
      </c>
      <c r="E82" s="291">
        <v>18.86</v>
      </c>
      <c r="F82" s="421">
        <f>D82*E82</f>
        <v>75.44</v>
      </c>
    </row>
    <row r="83" spans="1:6" ht="27.75" customHeight="1">
      <c r="A83" s="270" t="s">
        <v>687</v>
      </c>
      <c r="B83" s="275" t="s">
        <v>688</v>
      </c>
      <c r="C83" s="291" t="s">
        <v>16</v>
      </c>
      <c r="D83" s="291">
        <v>2</v>
      </c>
      <c r="E83" s="291">
        <v>15.22</v>
      </c>
      <c r="F83" s="421">
        <f>D83*E83</f>
        <v>30.44</v>
      </c>
    </row>
    <row r="84" spans="1:6" ht="15">
      <c r="A84" s="298"/>
      <c r="B84" s="265" t="s">
        <v>537</v>
      </c>
      <c r="C84" s="325"/>
      <c r="D84" s="325"/>
      <c r="E84" s="325"/>
      <c r="F84" s="420">
        <f>SUM(F80:F83)</f>
        <v>157.96</v>
      </c>
    </row>
    <row r="85" spans="1:6" ht="15">
      <c r="A85" s="298"/>
      <c r="B85" s="265" t="s">
        <v>535</v>
      </c>
      <c r="C85" s="325"/>
      <c r="D85" s="325"/>
      <c r="E85" s="325"/>
      <c r="F85" s="420"/>
    </row>
    <row r="86" spans="1:6" ht="36" customHeight="1">
      <c r="A86" s="32">
        <v>5050</v>
      </c>
      <c r="B86" s="48" t="s">
        <v>689</v>
      </c>
      <c r="C86" s="325" t="s">
        <v>25</v>
      </c>
      <c r="D86" s="325">
        <v>1</v>
      </c>
      <c r="E86" s="291">
        <v>298.16000000000003</v>
      </c>
      <c r="F86" s="420">
        <f>(E86*D86)</f>
        <v>298.16000000000003</v>
      </c>
    </row>
    <row r="87" spans="1:6" ht="25.5" customHeight="1">
      <c r="A87" s="32">
        <v>2512</v>
      </c>
      <c r="B87" s="48" t="s">
        <v>690</v>
      </c>
      <c r="C87" s="325" t="s">
        <v>25</v>
      </c>
      <c r="D87" s="325">
        <v>2</v>
      </c>
      <c r="E87" s="291">
        <v>53.5</v>
      </c>
      <c r="F87" s="420">
        <f>(E87*D87)</f>
        <v>107</v>
      </c>
    </row>
    <row r="88" spans="1:6" ht="36.75" customHeight="1">
      <c r="A88" s="32">
        <v>2510</v>
      </c>
      <c r="B88" s="44" t="s">
        <v>691</v>
      </c>
      <c r="C88" s="325" t="s">
        <v>25</v>
      </c>
      <c r="D88" s="325">
        <v>1</v>
      </c>
      <c r="E88" s="291">
        <v>48.65</v>
      </c>
      <c r="F88" s="420">
        <f>(E88*D88)</f>
        <v>48.65</v>
      </c>
    </row>
    <row r="89" spans="1:6" ht="38.25" customHeight="1">
      <c r="A89" s="32">
        <v>38785</v>
      </c>
      <c r="B89" s="44" t="s">
        <v>692</v>
      </c>
      <c r="C89" s="325" t="s">
        <v>25</v>
      </c>
      <c r="D89" s="325">
        <v>2</v>
      </c>
      <c r="E89" s="291">
        <v>237.72</v>
      </c>
      <c r="F89" s="420">
        <f>(E89*D89)</f>
        <v>475.44</v>
      </c>
    </row>
    <row r="90" spans="1:6" ht="79.5" customHeight="1">
      <c r="A90" s="32" t="s">
        <v>693</v>
      </c>
      <c r="B90" s="48" t="s">
        <v>694</v>
      </c>
      <c r="C90" s="325" t="s">
        <v>25</v>
      </c>
      <c r="D90" s="325">
        <v>1</v>
      </c>
      <c r="E90" s="291">
        <v>132.52000000000001</v>
      </c>
      <c r="F90" s="420">
        <f>(E90*D90)</f>
        <v>132.52000000000001</v>
      </c>
    </row>
    <row r="91" spans="1:6" ht="15">
      <c r="A91" s="298"/>
      <c r="B91" s="265" t="s">
        <v>537</v>
      </c>
      <c r="C91" s="325"/>
      <c r="D91" s="325"/>
      <c r="E91" s="325"/>
      <c r="F91" s="420">
        <f>SUM(F86:F90)</f>
        <v>1061.77</v>
      </c>
    </row>
    <row r="92" spans="1:6" ht="15">
      <c r="A92" s="298"/>
      <c r="B92" s="265" t="s">
        <v>538</v>
      </c>
      <c r="C92" s="325"/>
      <c r="D92" s="325"/>
      <c r="E92" s="325"/>
      <c r="F92" s="420">
        <f>F91+F84</f>
        <v>1219.73</v>
      </c>
    </row>
    <row r="93" spans="1:6">
      <c r="A93" s="431"/>
      <c r="B93" s="432"/>
      <c r="C93" s="360"/>
      <c r="D93" s="433"/>
      <c r="E93" s="433"/>
      <c r="F93" s="434"/>
    </row>
    <row r="94" spans="1:6" ht="39" customHeight="1">
      <c r="A94" s="418"/>
      <c r="B94" s="48" t="s">
        <v>695</v>
      </c>
      <c r="C94" s="325">
        <v>1</v>
      </c>
      <c r="D94" s="325"/>
      <c r="E94" s="325"/>
      <c r="F94" s="420"/>
    </row>
    <row r="95" spans="1:6">
      <c r="A95" s="298"/>
      <c r="B95" s="271" t="s">
        <v>673</v>
      </c>
      <c r="C95" s="325"/>
      <c r="D95" s="325"/>
      <c r="E95" s="325"/>
      <c r="F95" s="420"/>
    </row>
    <row r="96" spans="1:6" ht="15">
      <c r="A96" s="298"/>
      <c r="B96" s="265" t="s">
        <v>548</v>
      </c>
      <c r="C96" s="325"/>
      <c r="D96" s="325"/>
      <c r="E96" s="325"/>
      <c r="F96" s="420"/>
    </row>
    <row r="97" spans="1:6">
      <c r="A97" s="298" t="s">
        <v>696</v>
      </c>
      <c r="B97" s="275" t="s">
        <v>635</v>
      </c>
      <c r="C97" s="291" t="s">
        <v>16</v>
      </c>
      <c r="D97" s="291">
        <v>0.60000000000000009</v>
      </c>
      <c r="E97" s="291">
        <v>18.850000000000001</v>
      </c>
      <c r="F97" s="421">
        <f>D97*E97</f>
        <v>11.310000000000002</v>
      </c>
    </row>
    <row r="98" spans="1:6" ht="17.25" customHeight="1">
      <c r="A98" s="298" t="s">
        <v>697</v>
      </c>
      <c r="B98" s="275" t="s">
        <v>637</v>
      </c>
      <c r="C98" s="291" t="s">
        <v>16</v>
      </c>
      <c r="D98" s="291">
        <v>0.60000000000000009</v>
      </c>
      <c r="E98" s="291">
        <v>14.74</v>
      </c>
      <c r="F98" s="421">
        <f>D98*E98</f>
        <v>8.8440000000000012</v>
      </c>
    </row>
    <row r="99" spans="1:6">
      <c r="A99" s="298" t="s">
        <v>698</v>
      </c>
      <c r="B99" s="275" t="s">
        <v>543</v>
      </c>
      <c r="C99" s="291" t="s">
        <v>16</v>
      </c>
      <c r="D99" s="291">
        <v>3.5</v>
      </c>
      <c r="E99" s="291">
        <v>18.18</v>
      </c>
      <c r="F99" s="421">
        <f>D99*E99</f>
        <v>63.629999999999995</v>
      </c>
    </row>
    <row r="100" spans="1:6" ht="22.5" customHeight="1">
      <c r="A100" s="270" t="s">
        <v>687</v>
      </c>
      <c r="B100" s="275" t="s">
        <v>688</v>
      </c>
      <c r="C100" s="291" t="s">
        <v>16</v>
      </c>
      <c r="D100" s="291">
        <v>3.5</v>
      </c>
      <c r="E100" s="291">
        <v>14.74</v>
      </c>
      <c r="F100" s="421">
        <f>D100*E100</f>
        <v>51.59</v>
      </c>
    </row>
    <row r="101" spans="1:6" ht="15">
      <c r="A101" s="298"/>
      <c r="B101" s="265" t="s">
        <v>537</v>
      </c>
      <c r="C101" s="325"/>
      <c r="D101" s="325"/>
      <c r="E101" s="325"/>
      <c r="F101" s="420">
        <f>SUM(F97:F100)</f>
        <v>135.374</v>
      </c>
    </row>
    <row r="102" spans="1:6" ht="15">
      <c r="A102" s="298"/>
      <c r="B102" s="265" t="s">
        <v>535</v>
      </c>
      <c r="C102" s="325"/>
      <c r="D102" s="325"/>
      <c r="E102" s="325"/>
      <c r="F102" s="420"/>
    </row>
    <row r="103" spans="1:6" ht="18" customHeight="1">
      <c r="A103" s="422"/>
      <c r="B103" s="33" t="s">
        <v>699</v>
      </c>
      <c r="C103" s="325" t="s">
        <v>25</v>
      </c>
      <c r="D103" s="325">
        <v>1</v>
      </c>
      <c r="E103" s="291">
        <v>242.22</v>
      </c>
      <c r="F103" s="420">
        <f>(E103*D103)</f>
        <v>242.22</v>
      </c>
    </row>
    <row r="104" spans="1:6" ht="36" customHeight="1">
      <c r="A104" s="32">
        <v>91939</v>
      </c>
      <c r="B104" s="48" t="s">
        <v>307</v>
      </c>
      <c r="C104" s="325" t="s">
        <v>25</v>
      </c>
      <c r="D104" s="325">
        <v>1</v>
      </c>
      <c r="E104" s="291">
        <v>18.670000000000002</v>
      </c>
      <c r="F104" s="420">
        <f>(E104*D104)</f>
        <v>18.670000000000002</v>
      </c>
    </row>
    <row r="105" spans="1:6" ht="15">
      <c r="A105" s="298"/>
      <c r="B105" s="265" t="s">
        <v>537</v>
      </c>
      <c r="C105" s="325"/>
      <c r="D105" s="325"/>
      <c r="E105" s="325"/>
      <c r="F105" s="420">
        <f>SUM(F103:F104)</f>
        <v>260.89</v>
      </c>
    </row>
    <row r="106" spans="1:6" ht="15">
      <c r="A106" s="298"/>
      <c r="B106" s="265" t="s">
        <v>538</v>
      </c>
      <c r="C106" s="325"/>
      <c r="D106" s="325"/>
      <c r="E106" s="325"/>
      <c r="F106" s="420">
        <f>F105+F101</f>
        <v>396.26400000000001</v>
      </c>
    </row>
    <row r="107" spans="1:6" ht="15" thickBot="1">
      <c r="A107" s="431"/>
      <c r="B107" s="432"/>
      <c r="C107" s="360"/>
      <c r="D107" s="433"/>
      <c r="E107" s="433"/>
      <c r="F107" s="434"/>
    </row>
    <row r="108" spans="1:6" ht="15" thickBot="1">
      <c r="A108" s="417"/>
      <c r="B108" s="417"/>
      <c r="C108" s="417"/>
      <c r="D108" s="417"/>
      <c r="E108" s="417"/>
      <c r="F108" s="417"/>
    </row>
    <row r="109" spans="1:6" ht="30" customHeight="1">
      <c r="A109" s="418" t="s">
        <v>264</v>
      </c>
      <c r="B109" s="419" t="s">
        <v>700</v>
      </c>
      <c r="C109" s="325">
        <v>1</v>
      </c>
      <c r="D109" s="325"/>
      <c r="E109" s="325"/>
      <c r="F109" s="420"/>
    </row>
    <row r="110" spans="1:6">
      <c r="A110" s="298"/>
      <c r="B110" s="271" t="s">
        <v>582</v>
      </c>
      <c r="C110" s="325"/>
      <c r="D110" s="325"/>
      <c r="E110" s="325"/>
      <c r="F110" s="420"/>
    </row>
    <row r="111" spans="1:6" ht="15">
      <c r="A111" s="298"/>
      <c r="B111" s="265" t="s">
        <v>548</v>
      </c>
      <c r="C111" s="325"/>
      <c r="D111" s="325"/>
      <c r="E111" s="325"/>
      <c r="F111" s="420"/>
    </row>
    <row r="112" spans="1:6">
      <c r="A112" s="298" t="s">
        <v>634</v>
      </c>
      <c r="B112" s="275" t="s">
        <v>635</v>
      </c>
      <c r="C112" s="291" t="s">
        <v>16</v>
      </c>
      <c r="D112" s="291">
        <v>0.4</v>
      </c>
      <c r="E112" s="291">
        <v>18.3</v>
      </c>
      <c r="F112" s="421">
        <f>D112*E112</f>
        <v>7.32</v>
      </c>
    </row>
    <row r="113" spans="1:6" ht="17.25" customHeight="1">
      <c r="A113" s="298" t="s">
        <v>636</v>
      </c>
      <c r="B113" s="275" t="s">
        <v>637</v>
      </c>
      <c r="C113" s="291" t="s">
        <v>16</v>
      </c>
      <c r="D113" s="291">
        <v>0.6</v>
      </c>
      <c r="E113" s="293">
        <v>14</v>
      </c>
      <c r="F113" s="421">
        <f>D113*E113</f>
        <v>8.4</v>
      </c>
    </row>
    <row r="114" spans="1:6" ht="15">
      <c r="A114" s="298"/>
      <c r="B114" s="265" t="s">
        <v>537</v>
      </c>
      <c r="C114" s="325"/>
      <c r="D114" s="325"/>
      <c r="E114" s="325"/>
      <c r="F114" s="420">
        <f>SUM(F112:F113)</f>
        <v>15.72</v>
      </c>
    </row>
    <row r="115" spans="1:6" ht="15">
      <c r="A115" s="298"/>
      <c r="B115" s="265" t="s">
        <v>535</v>
      </c>
      <c r="C115" s="325"/>
      <c r="D115" s="325"/>
      <c r="E115" s="325"/>
      <c r="F115" s="420"/>
    </row>
    <row r="116" spans="1:6" ht="43.5" customHeight="1">
      <c r="A116" s="298" t="s">
        <v>680</v>
      </c>
      <c r="B116" s="423" t="s">
        <v>681</v>
      </c>
      <c r="C116" s="291" t="s">
        <v>25</v>
      </c>
      <c r="D116" s="291">
        <v>1</v>
      </c>
      <c r="E116" s="293">
        <v>42.24</v>
      </c>
      <c r="F116" s="421">
        <f>(D116*E116)</f>
        <v>42.24</v>
      </c>
    </row>
    <row r="117" spans="1:6" ht="45" customHeight="1">
      <c r="A117" s="298">
        <v>21127</v>
      </c>
      <c r="B117" s="423" t="s">
        <v>678</v>
      </c>
      <c r="C117" s="291" t="s">
        <v>25</v>
      </c>
      <c r="D117" s="291">
        <v>4.2000000000000003E-2</v>
      </c>
      <c r="E117" s="293">
        <v>3.78</v>
      </c>
      <c r="F117" s="421">
        <f>(D117*E117)</f>
        <v>0.15876000000000001</v>
      </c>
    </row>
    <row r="118" spans="1:6" ht="72" customHeight="1">
      <c r="A118" s="298" t="s">
        <v>682</v>
      </c>
      <c r="B118" s="275" t="s">
        <v>683</v>
      </c>
      <c r="C118" s="275" t="s">
        <v>25</v>
      </c>
      <c r="D118" s="424">
        <v>2</v>
      </c>
      <c r="E118" s="275">
        <v>0.22</v>
      </c>
      <c r="F118" s="275">
        <f>D118*E118</f>
        <v>0.44</v>
      </c>
    </row>
    <row r="119" spans="1:6" ht="15">
      <c r="A119" s="425"/>
      <c r="B119" s="332" t="s">
        <v>537</v>
      </c>
      <c r="C119" s="426"/>
      <c r="D119" s="426"/>
      <c r="E119" s="426"/>
      <c r="F119" s="427">
        <f>SUM(F116:F118)</f>
        <v>42.838760000000001</v>
      </c>
    </row>
    <row r="120" spans="1:6" ht="15">
      <c r="A120" s="298"/>
      <c r="B120" s="265" t="s">
        <v>538</v>
      </c>
      <c r="C120" s="325"/>
      <c r="D120" s="325"/>
      <c r="E120" s="325"/>
      <c r="F120" s="420">
        <f>F119+F114</f>
        <v>58.558759999999999</v>
      </c>
    </row>
    <row r="121" spans="1:6" ht="15" thickBot="1">
      <c r="A121" s="417"/>
      <c r="B121" s="417"/>
      <c r="C121" s="417"/>
      <c r="D121" s="417"/>
      <c r="E121" s="417"/>
      <c r="F121" s="417"/>
    </row>
    <row r="122" spans="1:6" ht="35.25" customHeight="1">
      <c r="A122" s="418" t="s">
        <v>282</v>
      </c>
      <c r="B122" s="44" t="s">
        <v>284</v>
      </c>
      <c r="C122" s="325">
        <v>1</v>
      </c>
      <c r="D122" s="325"/>
      <c r="E122" s="325"/>
      <c r="F122" s="420"/>
    </row>
    <row r="123" spans="1:6">
      <c r="A123" s="298"/>
      <c r="B123" s="271" t="s">
        <v>673</v>
      </c>
      <c r="C123" s="325"/>
      <c r="D123" s="325"/>
      <c r="E123" s="325"/>
      <c r="F123" s="420"/>
    </row>
    <row r="124" spans="1:6" ht="15">
      <c r="A124" s="298"/>
      <c r="B124" s="265" t="s">
        <v>548</v>
      </c>
      <c r="C124" s="325"/>
      <c r="D124" s="325"/>
      <c r="E124" s="325"/>
      <c r="F124" s="420"/>
    </row>
    <row r="125" spans="1:6">
      <c r="A125" s="298" t="s">
        <v>634</v>
      </c>
      <c r="B125" s="275" t="s">
        <v>635</v>
      </c>
      <c r="C125" s="291" t="s">
        <v>16</v>
      </c>
      <c r="D125" s="291">
        <v>0.3</v>
      </c>
      <c r="E125" s="291">
        <v>19.53</v>
      </c>
      <c r="F125" s="421">
        <f>D125*E125</f>
        <v>5.859</v>
      </c>
    </row>
    <row r="126" spans="1:6" ht="28.5" customHeight="1">
      <c r="A126" s="298" t="s">
        <v>636</v>
      </c>
      <c r="B126" s="44" t="s">
        <v>701</v>
      </c>
      <c r="C126" s="291" t="s">
        <v>16</v>
      </c>
      <c r="D126" s="291">
        <v>0.15</v>
      </c>
      <c r="E126" s="293">
        <v>15.19</v>
      </c>
      <c r="F126" s="421">
        <f>D126*E126</f>
        <v>2.2784999999999997</v>
      </c>
    </row>
    <row r="127" spans="1:6" ht="15">
      <c r="A127" s="298"/>
      <c r="B127" s="265" t="s">
        <v>537</v>
      </c>
      <c r="C127" s="325"/>
      <c r="D127" s="325"/>
      <c r="E127" s="325"/>
      <c r="F127" s="420">
        <f>SUM(F125:F126)</f>
        <v>8.1374999999999993</v>
      </c>
    </row>
    <row r="128" spans="1:6" ht="15">
      <c r="A128" s="298"/>
      <c r="B128" s="265" t="s">
        <v>535</v>
      </c>
      <c r="C128" s="325"/>
      <c r="D128" s="325"/>
      <c r="E128" s="325"/>
      <c r="F128" s="420"/>
    </row>
    <row r="129" spans="1:6" ht="39.75" customHeight="1">
      <c r="A129" s="298" t="s">
        <v>702</v>
      </c>
      <c r="B129" s="44" t="s">
        <v>703</v>
      </c>
      <c r="C129" s="325"/>
      <c r="D129" s="325">
        <v>1</v>
      </c>
      <c r="E129" s="325">
        <v>99.69</v>
      </c>
      <c r="F129" s="420">
        <f>(D129*E129)</f>
        <v>99.69</v>
      </c>
    </row>
    <row r="130" spans="1:6">
      <c r="A130" s="298"/>
      <c r="B130" s="423"/>
      <c r="C130" s="291" t="s">
        <v>25</v>
      </c>
      <c r="D130" s="291">
        <v>0</v>
      </c>
      <c r="E130" s="291">
        <v>0</v>
      </c>
      <c r="F130" s="421">
        <f>(D130*E130)</f>
        <v>0</v>
      </c>
    </row>
    <row r="131" spans="1:6" ht="15">
      <c r="A131" s="298"/>
      <c r="B131" s="265" t="s">
        <v>537</v>
      </c>
      <c r="C131" s="325"/>
      <c r="D131" s="325"/>
      <c r="E131" s="325"/>
      <c r="F131" s="420">
        <f>SUM(F129:F130)</f>
        <v>99.69</v>
      </c>
    </row>
    <row r="132" spans="1:6" ht="15">
      <c r="A132" s="298"/>
      <c r="B132" s="265" t="s">
        <v>538</v>
      </c>
      <c r="C132" s="325"/>
      <c r="D132" s="325"/>
      <c r="E132" s="325"/>
      <c r="F132" s="420">
        <f>F131+F127</f>
        <v>107.8275</v>
      </c>
    </row>
    <row r="133" spans="1:6">
      <c r="A133" s="432"/>
      <c r="B133" s="432"/>
      <c r="C133" s="432"/>
      <c r="D133" s="432"/>
      <c r="E133" s="432"/>
      <c r="F133" s="432"/>
    </row>
    <row r="134" spans="1:6" ht="39.75" customHeight="1">
      <c r="A134" s="435"/>
      <c r="B134" s="436" t="s">
        <v>704</v>
      </c>
      <c r="C134" s="437">
        <v>1</v>
      </c>
      <c r="D134" s="437"/>
      <c r="E134" s="325"/>
      <c r="F134" s="438"/>
    </row>
    <row r="135" spans="1:6">
      <c r="A135" s="439"/>
      <c r="B135" s="440" t="s">
        <v>673</v>
      </c>
      <c r="C135" s="437"/>
      <c r="D135" s="437"/>
      <c r="E135" s="325"/>
      <c r="F135" s="438"/>
    </row>
    <row r="136" spans="1:6" ht="15">
      <c r="A136" s="439"/>
      <c r="B136" s="411" t="s">
        <v>548</v>
      </c>
      <c r="C136" s="437"/>
      <c r="D136" s="437"/>
      <c r="E136" s="325"/>
      <c r="F136" s="438"/>
    </row>
    <row r="137" spans="1:6">
      <c r="A137" s="298" t="s">
        <v>634</v>
      </c>
      <c r="B137" s="423" t="s">
        <v>635</v>
      </c>
      <c r="C137" s="309" t="s">
        <v>16</v>
      </c>
      <c r="D137" s="309">
        <v>0.60000000000000009</v>
      </c>
      <c r="E137" s="421">
        <v>19.53</v>
      </c>
      <c r="F137" s="441">
        <f>(D137*E137)</f>
        <v>11.718000000000002</v>
      </c>
    </row>
    <row r="138" spans="1:6" ht="21.75" customHeight="1">
      <c r="A138" s="298" t="s">
        <v>636</v>
      </c>
      <c r="B138" s="423" t="s">
        <v>637</v>
      </c>
      <c r="C138" s="309" t="s">
        <v>16</v>
      </c>
      <c r="D138" s="309">
        <v>0.60000000000000009</v>
      </c>
      <c r="E138" s="421">
        <v>15.19</v>
      </c>
      <c r="F138" s="441">
        <f>(D138*E138)</f>
        <v>9.1140000000000008</v>
      </c>
    </row>
    <row r="139" spans="1:6" ht="15">
      <c r="A139" s="439"/>
      <c r="B139" s="411" t="s">
        <v>537</v>
      </c>
      <c r="C139" s="437"/>
      <c r="D139" s="437"/>
      <c r="E139" s="325"/>
      <c r="F139" s="438">
        <f>SUM(F137:F138)</f>
        <v>20.832000000000001</v>
      </c>
    </row>
    <row r="140" spans="1:6" ht="15">
      <c r="A140" s="439"/>
      <c r="B140" s="411" t="s">
        <v>535</v>
      </c>
      <c r="C140" s="437"/>
      <c r="D140" s="437"/>
      <c r="E140" s="325"/>
      <c r="F140" s="438"/>
    </row>
    <row r="141" spans="1:6" ht="29.25" customHeight="1">
      <c r="A141" s="439" t="s">
        <v>705</v>
      </c>
      <c r="B141" s="442" t="s">
        <v>706</v>
      </c>
      <c r="C141" s="437"/>
      <c r="D141" s="437">
        <v>1</v>
      </c>
      <c r="E141" s="325">
        <v>330.63</v>
      </c>
      <c r="F141" s="438">
        <f>(D141*E141)</f>
        <v>330.63</v>
      </c>
    </row>
    <row r="142" spans="1:6">
      <c r="A142" s="439"/>
      <c r="B142" s="423"/>
      <c r="C142" s="309" t="s">
        <v>25</v>
      </c>
      <c r="D142" s="309">
        <v>0</v>
      </c>
      <c r="E142" s="291">
        <v>0</v>
      </c>
      <c r="F142" s="441">
        <f>(D142*E142)</f>
        <v>0</v>
      </c>
    </row>
    <row r="143" spans="1:6" ht="15">
      <c r="A143" s="439"/>
      <c r="B143" s="411" t="s">
        <v>537</v>
      </c>
      <c r="C143" s="437"/>
      <c r="D143" s="437"/>
      <c r="E143" s="325"/>
      <c r="F143" s="438">
        <f>SUM(F141:F142)</f>
        <v>330.63</v>
      </c>
    </row>
    <row r="144" spans="1:6" ht="15">
      <c r="A144" s="439"/>
      <c r="B144" s="411" t="s">
        <v>538</v>
      </c>
      <c r="C144" s="437"/>
      <c r="D144" s="437"/>
      <c r="E144" s="325"/>
      <c r="F144" s="438">
        <f>F143+F139</f>
        <v>351.46199999999999</v>
      </c>
    </row>
    <row r="145" spans="1:6">
      <c r="A145" s="432"/>
      <c r="B145" s="432"/>
      <c r="C145" s="432"/>
      <c r="D145" s="432"/>
      <c r="E145" s="432"/>
      <c r="F145" s="432"/>
    </row>
    <row r="146" spans="1:6" ht="42" customHeight="1">
      <c r="A146" s="418"/>
      <c r="B146" s="436" t="s">
        <v>327</v>
      </c>
      <c r="C146" s="266"/>
      <c r="D146" s="443"/>
      <c r="E146" s="444"/>
      <c r="F146" s="269"/>
    </row>
    <row r="147" spans="1:6">
      <c r="A147" s="270"/>
      <c r="B147" s="271" t="s">
        <v>534</v>
      </c>
      <c r="C147" s="259"/>
      <c r="D147" s="342"/>
      <c r="E147" s="343"/>
      <c r="F147" s="273"/>
    </row>
    <row r="148" spans="1:6" ht="15">
      <c r="A148" s="270"/>
      <c r="B148" s="265" t="s">
        <v>548</v>
      </c>
      <c r="C148" s="259"/>
      <c r="D148" s="342"/>
      <c r="E148" s="343"/>
      <c r="F148" s="273"/>
    </row>
    <row r="149" spans="1:6" ht="33" customHeight="1">
      <c r="A149" s="292" t="s">
        <v>638</v>
      </c>
      <c r="B149" s="275" t="s">
        <v>707</v>
      </c>
      <c r="C149" s="275" t="s">
        <v>16</v>
      </c>
      <c r="D149" s="424">
        <v>0.34739999999999999</v>
      </c>
      <c r="E149" s="275">
        <v>18.86</v>
      </c>
      <c r="F149" s="421">
        <f>(D149*E149)</f>
        <v>6.5519639999999999</v>
      </c>
    </row>
    <row r="150" spans="1:6" ht="33.75" customHeight="1">
      <c r="A150" s="292" t="s">
        <v>708</v>
      </c>
      <c r="B150" s="275" t="s">
        <v>526</v>
      </c>
      <c r="C150" s="275" t="s">
        <v>16</v>
      </c>
      <c r="D150" s="424">
        <v>0.2</v>
      </c>
      <c r="E150" s="275">
        <v>15.16</v>
      </c>
      <c r="F150" s="421">
        <f>(D150*E150)</f>
        <v>3.032</v>
      </c>
    </row>
    <row r="151" spans="1:6" ht="15">
      <c r="A151" s="270"/>
      <c r="B151" s="265" t="s">
        <v>537</v>
      </c>
      <c r="C151" s="259"/>
      <c r="D151" s="342"/>
      <c r="E151" s="343"/>
      <c r="F151" s="420">
        <f>F149++F150</f>
        <v>9.5839639999999999</v>
      </c>
    </row>
    <row r="152" spans="1:6" ht="15">
      <c r="A152" s="270"/>
      <c r="B152" s="265" t="s">
        <v>535</v>
      </c>
      <c r="C152" s="259"/>
      <c r="D152" s="342"/>
      <c r="E152" s="343"/>
      <c r="F152" s="421"/>
    </row>
    <row r="153" spans="1:6" ht="41.25" customHeight="1">
      <c r="A153" s="270" t="s">
        <v>709</v>
      </c>
      <c r="B153" s="275" t="s">
        <v>710</v>
      </c>
      <c r="C153" s="259" t="s">
        <v>25</v>
      </c>
      <c r="D153" s="342">
        <v>1</v>
      </c>
      <c r="E153" s="343">
        <v>58.54</v>
      </c>
      <c r="F153" s="421">
        <f>(D153*E153)</f>
        <v>58.54</v>
      </c>
    </row>
    <row r="154" spans="1:6" ht="15">
      <c r="A154" s="270"/>
      <c r="B154" s="265" t="s">
        <v>537</v>
      </c>
      <c r="C154" s="259"/>
      <c r="D154" s="342"/>
      <c r="E154" s="343"/>
      <c r="F154" s="445">
        <f>F153</f>
        <v>58.54</v>
      </c>
    </row>
    <row r="155" spans="1:6" ht="15">
      <c r="A155" s="270"/>
      <c r="B155" s="265" t="s">
        <v>538</v>
      </c>
      <c r="C155" s="259"/>
      <c r="D155" s="446"/>
      <c r="E155" s="447"/>
      <c r="F155" s="420">
        <f>F154+F151</f>
        <v>68.123964000000001</v>
      </c>
    </row>
    <row r="157" spans="1:6">
      <c r="A157" s="432"/>
      <c r="B157" s="432"/>
      <c r="C157" s="432"/>
      <c r="D157" s="432"/>
      <c r="E157" s="432"/>
      <c r="F157" s="432"/>
    </row>
    <row r="158" spans="1:6" ht="41.25" customHeight="1">
      <c r="A158" s="418" t="s">
        <v>238</v>
      </c>
      <c r="B158" s="436" t="s">
        <v>239</v>
      </c>
      <c r="C158" s="265"/>
      <c r="D158" s="448"/>
      <c r="E158" s="265"/>
      <c r="F158" s="265"/>
    </row>
    <row r="159" spans="1:6" ht="15">
      <c r="A159" s="290"/>
      <c r="B159" s="271" t="s">
        <v>711</v>
      </c>
      <c r="C159" s="265"/>
      <c r="D159" s="448"/>
      <c r="E159" s="265"/>
      <c r="F159" s="265"/>
    </row>
    <row r="160" spans="1:6" ht="15">
      <c r="A160" s="290"/>
      <c r="B160" s="265" t="s">
        <v>548</v>
      </c>
      <c r="C160" s="265"/>
      <c r="D160" s="448"/>
      <c r="E160" s="265"/>
      <c r="F160" s="265"/>
    </row>
    <row r="161" spans="1:6" ht="28.5">
      <c r="A161" s="298" t="s">
        <v>638</v>
      </c>
      <c r="B161" s="275" t="s">
        <v>707</v>
      </c>
      <c r="C161" s="291" t="s">
        <v>16</v>
      </c>
      <c r="D161" s="291">
        <v>0.35</v>
      </c>
      <c r="E161" s="291">
        <v>18.86</v>
      </c>
      <c r="F161" s="421">
        <f>D161*E161</f>
        <v>6.6009999999999991</v>
      </c>
    </row>
    <row r="162" spans="1:6" ht="28.5">
      <c r="A162" s="298" t="s">
        <v>708</v>
      </c>
      <c r="B162" s="275" t="s">
        <v>526</v>
      </c>
      <c r="C162" s="291" t="s">
        <v>16</v>
      </c>
      <c r="D162" s="291">
        <v>0.2</v>
      </c>
      <c r="E162" s="293">
        <v>15.16</v>
      </c>
      <c r="F162" s="421">
        <f>D162*E162</f>
        <v>3.032</v>
      </c>
    </row>
    <row r="163" spans="1:6" ht="15">
      <c r="A163" s="290"/>
      <c r="B163" s="265" t="s">
        <v>537</v>
      </c>
      <c r="C163" s="265"/>
      <c r="D163" s="448"/>
      <c r="E163" s="265"/>
      <c r="F163" s="445">
        <f>SUM(F161:F162)</f>
        <v>9.6329999999999991</v>
      </c>
    </row>
    <row r="164" spans="1:6" ht="15">
      <c r="A164" s="290"/>
      <c r="B164" s="265" t="s">
        <v>535</v>
      </c>
      <c r="C164" s="265"/>
      <c r="D164" s="448"/>
      <c r="E164" s="265"/>
      <c r="F164" s="265"/>
    </row>
    <row r="165" spans="1:6" ht="77.25" customHeight="1">
      <c r="A165" s="418" t="s">
        <v>712</v>
      </c>
      <c r="B165" s="275" t="s">
        <v>713</v>
      </c>
      <c r="C165" s="275" t="s">
        <v>25</v>
      </c>
      <c r="D165" s="424">
        <v>1</v>
      </c>
      <c r="E165" s="275">
        <v>38.94</v>
      </c>
      <c r="F165" s="275">
        <f>(D165*E165)</f>
        <v>38.94</v>
      </c>
    </row>
    <row r="166" spans="1:6" ht="75.75" customHeight="1">
      <c r="A166" s="418" t="s">
        <v>682</v>
      </c>
      <c r="B166" s="275" t="s">
        <v>683</v>
      </c>
      <c r="C166" s="275" t="s">
        <v>25</v>
      </c>
      <c r="D166" s="424">
        <v>4</v>
      </c>
      <c r="E166" s="275">
        <v>0.2</v>
      </c>
      <c r="F166" s="275">
        <f>(D166*E166)</f>
        <v>0.8</v>
      </c>
    </row>
    <row r="167" spans="1:6" ht="15">
      <c r="A167" s="290"/>
      <c r="B167" s="265" t="s">
        <v>537</v>
      </c>
      <c r="C167" s="265"/>
      <c r="D167" s="448"/>
      <c r="E167" s="265"/>
      <c r="F167" s="265">
        <f>SUM(F165:F166)</f>
        <v>39.739999999999995</v>
      </c>
    </row>
    <row r="168" spans="1:6" ht="15">
      <c r="A168" s="290"/>
      <c r="B168" s="265" t="s">
        <v>538</v>
      </c>
      <c r="C168" s="265"/>
      <c r="D168" s="448"/>
      <c r="E168" s="448"/>
      <c r="F168" s="445">
        <f>F163+F167</f>
        <v>49.37299999999999</v>
      </c>
    </row>
    <row r="169" spans="1:6" ht="15">
      <c r="A169" s="318"/>
      <c r="B169" s="319"/>
      <c r="C169" s="319"/>
      <c r="D169" s="449"/>
      <c r="E169" s="449"/>
      <c r="F169" s="319"/>
    </row>
    <row r="170" spans="1:6" ht="36.75" customHeight="1">
      <c r="A170" s="290" t="s">
        <v>265</v>
      </c>
      <c r="B170" s="436" t="s">
        <v>266</v>
      </c>
      <c r="C170" s="275"/>
      <c r="D170" s="275"/>
      <c r="E170" s="265"/>
      <c r="F170" s="265"/>
    </row>
    <row r="171" spans="1:6" ht="15">
      <c r="A171" s="290"/>
      <c r="B171" s="271" t="s">
        <v>711</v>
      </c>
      <c r="C171" s="265"/>
      <c r="D171" s="448"/>
      <c r="E171" s="265"/>
      <c r="F171" s="265"/>
    </row>
    <row r="172" spans="1:6" ht="19.5" customHeight="1">
      <c r="A172" s="290"/>
      <c r="B172" s="265" t="s">
        <v>548</v>
      </c>
      <c r="C172" s="265"/>
      <c r="D172" s="448"/>
      <c r="E172" s="265"/>
      <c r="F172" s="265"/>
    </row>
    <row r="173" spans="1:6" ht="35.25" customHeight="1">
      <c r="A173" s="290" t="s">
        <v>634</v>
      </c>
      <c r="B173" s="275" t="s">
        <v>714</v>
      </c>
      <c r="C173" s="275" t="s">
        <v>16</v>
      </c>
      <c r="D173" s="424">
        <v>0.3</v>
      </c>
      <c r="E173" s="291">
        <v>19.53</v>
      </c>
      <c r="F173" s="424">
        <f>D173*E173</f>
        <v>5.859</v>
      </c>
    </row>
    <row r="174" spans="1:6" ht="31.5" customHeight="1">
      <c r="A174" s="290" t="s">
        <v>636</v>
      </c>
      <c r="B174" s="275" t="s">
        <v>701</v>
      </c>
      <c r="C174" s="275" t="s">
        <v>16</v>
      </c>
      <c r="D174" s="424">
        <v>0.3</v>
      </c>
      <c r="E174" s="293">
        <v>15.19</v>
      </c>
      <c r="F174" s="424">
        <f>D174*E174</f>
        <v>4.5569999999999995</v>
      </c>
    </row>
    <row r="175" spans="1:6" ht="15">
      <c r="A175" s="290"/>
      <c r="B175" s="265" t="s">
        <v>537</v>
      </c>
      <c r="C175" s="265"/>
      <c r="D175" s="448"/>
      <c r="E175" s="265"/>
      <c r="F175" s="448">
        <f>F174+F173</f>
        <v>10.416</v>
      </c>
    </row>
    <row r="176" spans="1:6" ht="15">
      <c r="A176" s="290"/>
      <c r="B176" s="265" t="s">
        <v>535</v>
      </c>
      <c r="C176" s="265"/>
      <c r="D176" s="448"/>
      <c r="E176" s="265"/>
      <c r="F176" s="265"/>
    </row>
    <row r="177" spans="1:6" ht="33" customHeight="1">
      <c r="A177" s="290">
        <v>34714</v>
      </c>
      <c r="B177" s="275" t="s">
        <v>715</v>
      </c>
      <c r="C177" s="275" t="s">
        <v>25</v>
      </c>
      <c r="D177" s="424">
        <v>1</v>
      </c>
      <c r="E177" s="275">
        <v>77.650000000000006</v>
      </c>
      <c r="F177" s="275">
        <f>D177*E177</f>
        <v>77.650000000000006</v>
      </c>
    </row>
    <row r="178" spans="1:6" ht="62.25" customHeight="1">
      <c r="A178" s="290" t="s">
        <v>716</v>
      </c>
      <c r="B178" s="275" t="s">
        <v>717</v>
      </c>
      <c r="C178" s="275" t="s">
        <v>25</v>
      </c>
      <c r="D178" s="424">
        <v>3</v>
      </c>
      <c r="E178" s="275">
        <v>2.2599999999999998</v>
      </c>
      <c r="F178" s="275">
        <f>D178*E178</f>
        <v>6.7799999999999994</v>
      </c>
    </row>
    <row r="179" spans="1:6" ht="15">
      <c r="A179" s="290"/>
      <c r="B179" s="265" t="s">
        <v>537</v>
      </c>
      <c r="C179" s="265"/>
      <c r="D179" s="448"/>
      <c r="E179" s="265"/>
      <c r="F179" s="265">
        <f>SUM(F177:F178)</f>
        <v>84.43</v>
      </c>
    </row>
    <row r="180" spans="1:6" ht="15">
      <c r="A180" s="290"/>
      <c r="B180" s="265" t="s">
        <v>538</v>
      </c>
      <c r="C180" s="265"/>
      <c r="D180" s="448"/>
      <c r="E180" s="265"/>
      <c r="F180" s="448">
        <f>F175+F179</f>
        <v>94.846000000000004</v>
      </c>
    </row>
    <row r="181" spans="1:6" ht="15">
      <c r="A181" s="318"/>
      <c r="B181" s="319"/>
      <c r="C181" s="319"/>
      <c r="D181" s="449"/>
      <c r="E181" s="449"/>
      <c r="F181" s="319"/>
    </row>
    <row r="182" spans="1:6" ht="38.25" customHeight="1">
      <c r="A182" s="290" t="s">
        <v>281</v>
      </c>
      <c r="B182" s="436" t="s">
        <v>718</v>
      </c>
      <c r="C182" s="275"/>
      <c r="D182" s="275"/>
      <c r="E182" s="265"/>
      <c r="F182" s="265"/>
    </row>
    <row r="183" spans="1:6" ht="15">
      <c r="A183" s="290"/>
      <c r="B183" s="271" t="s">
        <v>711</v>
      </c>
      <c r="C183" s="265"/>
      <c r="D183" s="448"/>
      <c r="E183" s="265"/>
      <c r="F183" s="265"/>
    </row>
    <row r="184" spans="1:6" ht="15">
      <c r="A184" s="290"/>
      <c r="B184" s="265" t="s">
        <v>548</v>
      </c>
      <c r="C184" s="265"/>
      <c r="D184" s="448"/>
      <c r="E184" s="265"/>
      <c r="F184" s="265"/>
    </row>
    <row r="185" spans="1:6" ht="27" customHeight="1">
      <c r="A185" s="290" t="s">
        <v>634</v>
      </c>
      <c r="B185" s="275" t="s">
        <v>714</v>
      </c>
      <c r="C185" s="275" t="s">
        <v>16</v>
      </c>
      <c r="D185" s="424">
        <v>0.1</v>
      </c>
      <c r="E185" s="291">
        <v>19.53</v>
      </c>
      <c r="F185" s="424">
        <f>D185*E185</f>
        <v>1.9530000000000003</v>
      </c>
    </row>
    <row r="186" spans="1:6" ht="30.75" customHeight="1">
      <c r="A186" s="290" t="s">
        <v>636</v>
      </c>
      <c r="B186" s="275" t="s">
        <v>701</v>
      </c>
      <c r="C186" s="275" t="s">
        <v>16</v>
      </c>
      <c r="D186" s="424">
        <v>0.1</v>
      </c>
      <c r="E186" s="293">
        <v>15.19</v>
      </c>
      <c r="F186" s="424">
        <f>D186*E186</f>
        <v>1.5190000000000001</v>
      </c>
    </row>
    <row r="187" spans="1:6" ht="15">
      <c r="A187" s="290"/>
      <c r="B187" s="265" t="s">
        <v>537</v>
      </c>
      <c r="C187" s="265"/>
      <c r="D187" s="448"/>
      <c r="E187" s="265"/>
      <c r="F187" s="448">
        <f>F186+F185</f>
        <v>3.4720000000000004</v>
      </c>
    </row>
    <row r="188" spans="1:6" ht="15">
      <c r="A188" s="290"/>
      <c r="B188" s="265" t="s">
        <v>535</v>
      </c>
      <c r="C188" s="265"/>
      <c r="D188" s="448"/>
      <c r="E188" s="265"/>
      <c r="F188" s="265"/>
    </row>
    <row r="189" spans="1:6" ht="41.25" customHeight="1">
      <c r="A189" s="290" t="s">
        <v>821</v>
      </c>
      <c r="B189" s="275" t="s">
        <v>822</v>
      </c>
      <c r="C189" s="275" t="s">
        <v>25</v>
      </c>
      <c r="D189" s="424">
        <v>1</v>
      </c>
      <c r="E189" s="275">
        <v>145.08000000000001</v>
      </c>
      <c r="F189" s="275">
        <f>D189*E189</f>
        <v>145.08000000000001</v>
      </c>
    </row>
    <row r="190" spans="1:6" ht="15">
      <c r="A190" s="290"/>
      <c r="B190" s="265" t="s">
        <v>537</v>
      </c>
      <c r="C190" s="265"/>
      <c r="D190" s="448"/>
      <c r="E190" s="265"/>
      <c r="F190" s="265">
        <f>SUM(F189:F189)</f>
        <v>145.08000000000001</v>
      </c>
    </row>
    <row r="191" spans="1:6" ht="15">
      <c r="A191" s="290"/>
      <c r="B191" s="265" t="s">
        <v>538</v>
      </c>
      <c r="C191" s="265"/>
      <c r="D191" s="448"/>
      <c r="E191" s="265"/>
      <c r="F191" s="448">
        <f>F187+F190</f>
        <v>148.55200000000002</v>
      </c>
    </row>
    <row r="192" spans="1:6" ht="15">
      <c r="A192" s="318"/>
      <c r="B192" s="319"/>
      <c r="C192" s="319"/>
      <c r="D192" s="449"/>
      <c r="E192" s="449"/>
      <c r="F192" s="319"/>
    </row>
    <row r="193" spans="1:6" ht="39" customHeight="1">
      <c r="A193" s="290" t="s">
        <v>285</v>
      </c>
      <c r="B193" s="436" t="s">
        <v>288</v>
      </c>
      <c r="C193" s="275"/>
      <c r="D193" s="275"/>
      <c r="E193" s="265"/>
      <c r="F193" s="265"/>
    </row>
    <row r="194" spans="1:6" ht="15">
      <c r="A194" s="290"/>
      <c r="B194" s="271" t="s">
        <v>711</v>
      </c>
      <c r="C194" s="265"/>
      <c r="D194" s="448"/>
      <c r="E194" s="265"/>
      <c r="F194" s="265"/>
    </row>
    <row r="195" spans="1:6" ht="22.5" customHeight="1">
      <c r="A195" s="290"/>
      <c r="B195" s="265" t="s">
        <v>548</v>
      </c>
      <c r="C195" s="265"/>
      <c r="D195" s="448"/>
      <c r="E195" s="265"/>
      <c r="F195" s="265"/>
    </row>
    <row r="196" spans="1:6" ht="33.75" customHeight="1">
      <c r="A196" s="292" t="s">
        <v>634</v>
      </c>
      <c r="B196" s="275" t="s">
        <v>714</v>
      </c>
      <c r="C196" s="275" t="s">
        <v>16</v>
      </c>
      <c r="D196" s="424">
        <v>0.1</v>
      </c>
      <c r="E196" s="291">
        <v>19.53</v>
      </c>
      <c r="F196" s="424">
        <f>D196*E196</f>
        <v>1.9530000000000003</v>
      </c>
    </row>
    <row r="197" spans="1:6" ht="33" customHeight="1">
      <c r="A197" s="292" t="s">
        <v>636</v>
      </c>
      <c r="B197" s="275" t="s">
        <v>701</v>
      </c>
      <c r="C197" s="275" t="s">
        <v>16</v>
      </c>
      <c r="D197" s="424">
        <v>0.1</v>
      </c>
      <c r="E197" s="293">
        <v>15.19</v>
      </c>
      <c r="F197" s="424">
        <f>D197*E197</f>
        <v>1.5190000000000001</v>
      </c>
    </row>
    <row r="198" spans="1:6" ht="15">
      <c r="A198" s="290"/>
      <c r="B198" s="265" t="s">
        <v>537</v>
      </c>
      <c r="C198" s="265"/>
      <c r="D198" s="448"/>
      <c r="E198" s="265"/>
      <c r="F198" s="448">
        <f>F197+F196</f>
        <v>3.4720000000000004</v>
      </c>
    </row>
    <row r="199" spans="1:6" ht="15">
      <c r="A199" s="290"/>
      <c r="B199" s="265" t="s">
        <v>535</v>
      </c>
      <c r="C199" s="265"/>
      <c r="D199" s="448"/>
      <c r="E199" s="265"/>
      <c r="F199" s="265"/>
    </row>
    <row r="200" spans="1:6" ht="45" customHeight="1">
      <c r="A200" s="290" t="s">
        <v>719</v>
      </c>
      <c r="B200" s="275" t="s">
        <v>720</v>
      </c>
      <c r="C200" s="275" t="s">
        <v>25</v>
      </c>
      <c r="D200" s="424">
        <v>1</v>
      </c>
      <c r="E200" s="275">
        <v>11.71</v>
      </c>
      <c r="F200" s="275">
        <f>D200*E200</f>
        <v>11.71</v>
      </c>
    </row>
    <row r="201" spans="1:6" ht="15">
      <c r="A201" s="290"/>
      <c r="B201" s="265" t="s">
        <v>537</v>
      </c>
      <c r="C201" s="265"/>
      <c r="D201" s="448"/>
      <c r="E201" s="265"/>
      <c r="F201" s="265">
        <f>SUM(F200:F200)</f>
        <v>11.71</v>
      </c>
    </row>
    <row r="202" spans="1:6" ht="15">
      <c r="A202" s="290"/>
      <c r="B202" s="265" t="s">
        <v>538</v>
      </c>
      <c r="C202" s="265"/>
      <c r="D202" s="448"/>
      <c r="E202" s="265"/>
      <c r="F202" s="448">
        <f>F198+F201</f>
        <v>15.182000000000002</v>
      </c>
    </row>
    <row r="203" spans="1:6" ht="15">
      <c r="A203" s="318"/>
      <c r="B203" s="319"/>
      <c r="C203" s="319"/>
      <c r="D203" s="449"/>
      <c r="E203" s="449"/>
      <c r="F203" s="319"/>
    </row>
    <row r="204" spans="1:6" ht="53.25" customHeight="1">
      <c r="A204" s="290" t="s">
        <v>287</v>
      </c>
      <c r="B204" s="436" t="s">
        <v>290</v>
      </c>
      <c r="C204" s="275"/>
      <c r="D204" s="275"/>
      <c r="E204" s="265"/>
      <c r="F204" s="265"/>
    </row>
    <row r="205" spans="1:6" ht="15">
      <c r="A205" s="290"/>
      <c r="B205" s="271" t="s">
        <v>711</v>
      </c>
      <c r="C205" s="265"/>
      <c r="D205" s="448"/>
      <c r="E205" s="265"/>
      <c r="F205" s="265"/>
    </row>
    <row r="206" spans="1:6" ht="15">
      <c r="A206" s="290"/>
      <c r="B206" s="265" t="s">
        <v>548</v>
      </c>
      <c r="C206" s="265"/>
      <c r="D206" s="448"/>
      <c r="E206" s="265"/>
      <c r="F206" s="265"/>
    </row>
    <row r="207" spans="1:6" ht="31.5" customHeight="1">
      <c r="A207" s="292" t="s">
        <v>634</v>
      </c>
      <c r="B207" s="275" t="s">
        <v>714</v>
      </c>
      <c r="C207" s="275" t="s">
        <v>16</v>
      </c>
      <c r="D207" s="424">
        <v>0.05</v>
      </c>
      <c r="E207" s="291">
        <v>19.53</v>
      </c>
      <c r="F207" s="424">
        <f>D207*E207</f>
        <v>0.97650000000000015</v>
      </c>
    </row>
    <row r="208" spans="1:6" ht="37.5" customHeight="1">
      <c r="A208" s="292"/>
      <c r="B208" s="275"/>
      <c r="C208" s="275"/>
      <c r="D208" s="424"/>
      <c r="E208" s="293"/>
      <c r="F208" s="424">
        <f>D208*E208</f>
        <v>0</v>
      </c>
    </row>
    <row r="209" spans="1:6" ht="60.75" customHeight="1">
      <c r="A209" s="290"/>
      <c r="B209" s="265" t="s">
        <v>537</v>
      </c>
      <c r="C209" s="265"/>
      <c r="D209" s="448"/>
      <c r="E209" s="265"/>
      <c r="F209" s="448">
        <f>F208+F207</f>
        <v>0.97650000000000015</v>
      </c>
    </row>
    <row r="210" spans="1:6" ht="15">
      <c r="A210" s="290"/>
      <c r="B210" s="265" t="s">
        <v>535</v>
      </c>
      <c r="C210" s="265"/>
      <c r="D210" s="448"/>
      <c r="E210" s="265"/>
      <c r="F210" s="265"/>
    </row>
    <row r="211" spans="1:6" ht="57" customHeight="1">
      <c r="A211" s="290" t="s">
        <v>721</v>
      </c>
      <c r="B211" s="275" t="s">
        <v>722</v>
      </c>
      <c r="C211" s="275" t="s">
        <v>25</v>
      </c>
      <c r="D211" s="424">
        <v>1</v>
      </c>
      <c r="E211" s="275">
        <v>2.5499999999999998</v>
      </c>
      <c r="F211" s="275">
        <f>D211*E211</f>
        <v>2.5499999999999998</v>
      </c>
    </row>
    <row r="212" spans="1:6" ht="56.25" customHeight="1">
      <c r="A212" s="290"/>
      <c r="B212" s="265" t="s">
        <v>537</v>
      </c>
      <c r="C212" s="265"/>
      <c r="D212" s="448"/>
      <c r="E212" s="265"/>
      <c r="F212" s="265">
        <f>SUM(F211:F211)</f>
        <v>2.5499999999999998</v>
      </c>
    </row>
    <row r="213" spans="1:6" ht="15">
      <c r="A213" s="290"/>
      <c r="B213" s="265" t="s">
        <v>538</v>
      </c>
      <c r="C213" s="265"/>
      <c r="D213" s="448"/>
      <c r="E213" s="265"/>
      <c r="F213" s="448">
        <f>F209+F212</f>
        <v>3.5265</v>
      </c>
    </row>
    <row r="214" spans="1:6" ht="15">
      <c r="A214" s="318"/>
      <c r="B214" s="319"/>
      <c r="C214" s="319"/>
      <c r="D214" s="449"/>
      <c r="E214" s="449"/>
      <c r="F214" s="319"/>
    </row>
    <row r="215" spans="1:6" ht="45.75">
      <c r="A215" s="290" t="s">
        <v>289</v>
      </c>
      <c r="B215" s="436" t="s">
        <v>292</v>
      </c>
      <c r="C215" s="275"/>
      <c r="D215" s="275"/>
      <c r="E215" s="265"/>
      <c r="F215" s="265"/>
    </row>
    <row r="216" spans="1:6" ht="15">
      <c r="A216" s="290"/>
      <c r="B216" s="271" t="s">
        <v>711</v>
      </c>
      <c r="C216" s="265"/>
      <c r="D216" s="448"/>
      <c r="E216" s="265"/>
      <c r="F216" s="265"/>
    </row>
    <row r="217" spans="1:6" ht="15">
      <c r="A217" s="290"/>
      <c r="B217" s="265" t="s">
        <v>548</v>
      </c>
      <c r="C217" s="265"/>
      <c r="D217" s="448"/>
      <c r="E217" s="265"/>
      <c r="F217" s="265"/>
    </row>
    <row r="218" spans="1:6" ht="28.5">
      <c r="A218" s="292" t="s">
        <v>634</v>
      </c>
      <c r="B218" s="275" t="s">
        <v>714</v>
      </c>
      <c r="C218" s="275" t="s">
        <v>16</v>
      </c>
      <c r="D218" s="424">
        <v>0.05</v>
      </c>
      <c r="E218" s="291">
        <v>19.53</v>
      </c>
      <c r="F218" s="424">
        <f>D218*E218</f>
        <v>0.97650000000000015</v>
      </c>
    </row>
    <row r="219" spans="1:6" ht="41.25" customHeight="1">
      <c r="A219" s="292"/>
      <c r="B219" s="275"/>
      <c r="C219" s="275" t="s">
        <v>16</v>
      </c>
      <c r="D219" s="424"/>
      <c r="E219" s="293"/>
      <c r="F219" s="424">
        <f>D219*E219</f>
        <v>0</v>
      </c>
    </row>
    <row r="220" spans="1:6" ht="15">
      <c r="A220" s="290"/>
      <c r="B220" s="265" t="s">
        <v>537</v>
      </c>
      <c r="C220" s="265"/>
      <c r="D220" s="448"/>
      <c r="E220" s="265"/>
      <c r="F220" s="448">
        <f>F219+F218</f>
        <v>0.97650000000000015</v>
      </c>
    </row>
    <row r="221" spans="1:6" ht="21.75" customHeight="1">
      <c r="A221" s="290"/>
      <c r="B221" s="265" t="s">
        <v>535</v>
      </c>
      <c r="C221" s="265"/>
      <c r="D221" s="448"/>
      <c r="E221" s="265"/>
      <c r="F221" s="265"/>
    </row>
    <row r="222" spans="1:6" ht="59.25" customHeight="1">
      <c r="A222" s="290" t="s">
        <v>723</v>
      </c>
      <c r="B222" s="275" t="s">
        <v>724</v>
      </c>
      <c r="C222" s="275" t="s">
        <v>25</v>
      </c>
      <c r="D222" s="424">
        <v>1</v>
      </c>
      <c r="E222" s="275">
        <v>1.63</v>
      </c>
      <c r="F222" s="275">
        <f>D222*E222</f>
        <v>1.63</v>
      </c>
    </row>
    <row r="223" spans="1:6" ht="35.25" customHeight="1">
      <c r="A223" s="290"/>
      <c r="B223" s="265" t="s">
        <v>537</v>
      </c>
      <c r="C223" s="265"/>
      <c r="D223" s="448"/>
      <c r="E223" s="265"/>
      <c r="F223" s="265">
        <f>SUM(F222:F222)</f>
        <v>1.63</v>
      </c>
    </row>
    <row r="224" spans="1:6" ht="15">
      <c r="A224" s="290"/>
      <c r="B224" s="265" t="s">
        <v>538</v>
      </c>
      <c r="C224" s="265"/>
      <c r="D224" s="448"/>
      <c r="E224" s="265"/>
      <c r="F224" s="448">
        <f>F220+F223</f>
        <v>2.6065</v>
      </c>
    </row>
    <row r="225" spans="1:6" ht="15">
      <c r="A225" s="318"/>
      <c r="B225" s="319"/>
      <c r="C225" s="319"/>
      <c r="D225" s="449"/>
      <c r="E225" s="449"/>
      <c r="F225" s="319"/>
    </row>
    <row r="226" spans="1:6" ht="50.25" customHeight="1">
      <c r="A226" s="290"/>
      <c r="B226" s="436" t="s">
        <v>294</v>
      </c>
      <c r="C226" s="275"/>
      <c r="D226" s="275"/>
      <c r="E226" s="265"/>
      <c r="F226" s="265"/>
    </row>
    <row r="227" spans="1:6" ht="15">
      <c r="A227" s="290"/>
      <c r="B227" s="271" t="s">
        <v>711</v>
      </c>
      <c r="C227" s="265"/>
      <c r="D227" s="448"/>
      <c r="E227" s="265"/>
      <c r="F227" s="265"/>
    </row>
    <row r="228" spans="1:6" ht="21.75" customHeight="1">
      <c r="A228" s="290"/>
      <c r="B228" s="265" t="s">
        <v>548</v>
      </c>
      <c r="C228" s="265"/>
      <c r="D228" s="448"/>
      <c r="E228" s="265"/>
      <c r="F228" s="265"/>
    </row>
    <row r="229" spans="1:6" ht="28.5">
      <c r="A229" s="292" t="s">
        <v>634</v>
      </c>
      <c r="B229" s="275" t="s">
        <v>714</v>
      </c>
      <c r="C229" s="275" t="s">
        <v>16</v>
      </c>
      <c r="D229" s="424">
        <v>8.9999999999999993E-3</v>
      </c>
      <c r="E229" s="291">
        <v>19.53</v>
      </c>
      <c r="F229" s="424">
        <f>D229*E229</f>
        <v>0.17577000000000001</v>
      </c>
    </row>
    <row r="230" spans="1:6">
      <c r="A230" s="292"/>
      <c r="B230" s="275"/>
      <c r="C230" s="275" t="s">
        <v>16</v>
      </c>
      <c r="D230" s="424"/>
      <c r="E230" s="293"/>
      <c r="F230" s="424">
        <f>D230*E230</f>
        <v>0</v>
      </c>
    </row>
    <row r="231" spans="1:6" ht="40.5" customHeight="1">
      <c r="A231" s="290"/>
      <c r="B231" s="265" t="s">
        <v>537</v>
      </c>
      <c r="C231" s="265"/>
      <c r="D231" s="448"/>
      <c r="E231" s="265"/>
      <c r="F231" s="448">
        <f>F230+F229</f>
        <v>0.17577000000000001</v>
      </c>
    </row>
    <row r="232" spans="1:6" ht="15">
      <c r="A232" s="290"/>
      <c r="B232" s="265" t="s">
        <v>535</v>
      </c>
      <c r="C232" s="265"/>
      <c r="D232" s="448"/>
      <c r="E232" s="265"/>
      <c r="F232" s="265"/>
    </row>
    <row r="233" spans="1:6" ht="57">
      <c r="A233" s="290" t="s">
        <v>725</v>
      </c>
      <c r="B233" s="275" t="s">
        <v>726</v>
      </c>
      <c r="C233" s="275" t="s">
        <v>25</v>
      </c>
      <c r="D233" s="424">
        <v>1</v>
      </c>
      <c r="E233" s="275">
        <v>1.06</v>
      </c>
      <c r="F233" s="275">
        <f>D233*E233</f>
        <v>1.06</v>
      </c>
    </row>
    <row r="234" spans="1:6" ht="32.25" customHeight="1">
      <c r="A234" s="290"/>
      <c r="B234" s="265" t="s">
        <v>537</v>
      </c>
      <c r="C234" s="265"/>
      <c r="D234" s="448"/>
      <c r="E234" s="265"/>
      <c r="F234" s="265">
        <f>SUM(F233:F233)</f>
        <v>1.06</v>
      </c>
    </row>
    <row r="235" spans="1:6" ht="28.5" customHeight="1">
      <c r="A235" s="290"/>
      <c r="B235" s="265" t="s">
        <v>538</v>
      </c>
      <c r="C235" s="265"/>
      <c r="D235" s="448"/>
      <c r="E235" s="265"/>
      <c r="F235" s="448">
        <f>F231+F234</f>
        <v>1.23577</v>
      </c>
    </row>
    <row r="236" spans="1:6" ht="15">
      <c r="A236" s="318"/>
      <c r="B236" s="319"/>
      <c r="C236" s="319"/>
      <c r="D236" s="449"/>
      <c r="E236" s="449"/>
      <c r="F236" s="319"/>
    </row>
    <row r="237" spans="1:6" ht="45.75" customHeight="1">
      <c r="A237" s="290"/>
      <c r="B237" s="436" t="s">
        <v>807</v>
      </c>
      <c r="C237" s="275"/>
      <c r="D237" s="275"/>
      <c r="E237" s="265"/>
      <c r="F237" s="265"/>
    </row>
    <row r="238" spans="1:6" ht="15">
      <c r="A238" s="290"/>
      <c r="B238" s="271" t="s">
        <v>711</v>
      </c>
      <c r="C238" s="265"/>
      <c r="D238" s="448"/>
      <c r="E238" s="265"/>
      <c r="F238" s="265"/>
    </row>
    <row r="239" spans="1:6" ht="21.75" customHeight="1">
      <c r="A239" s="290"/>
      <c r="B239" s="265" t="s">
        <v>548</v>
      </c>
      <c r="C239" s="265"/>
      <c r="D239" s="448"/>
      <c r="E239" s="265"/>
      <c r="F239" s="265"/>
    </row>
    <row r="240" spans="1:6" ht="28.5">
      <c r="A240" s="292" t="s">
        <v>634</v>
      </c>
      <c r="B240" s="275" t="s">
        <v>714</v>
      </c>
      <c r="C240" s="275" t="s">
        <v>16</v>
      </c>
      <c r="D240" s="424">
        <v>8.9999999999999993E-3</v>
      </c>
      <c r="E240" s="291">
        <v>19.53</v>
      </c>
      <c r="F240" s="424">
        <f>D240*E240</f>
        <v>0.17577000000000001</v>
      </c>
    </row>
    <row r="241" spans="1:6">
      <c r="A241" s="292"/>
      <c r="B241" s="275"/>
      <c r="C241" s="275" t="s">
        <v>16</v>
      </c>
      <c r="D241" s="424"/>
      <c r="E241" s="293"/>
      <c r="F241" s="424">
        <f>D241*E241</f>
        <v>0</v>
      </c>
    </row>
    <row r="242" spans="1:6" ht="40.5" customHeight="1">
      <c r="A242" s="290"/>
      <c r="B242" s="265" t="s">
        <v>537</v>
      </c>
      <c r="C242" s="265"/>
      <c r="D242" s="448"/>
      <c r="E242" s="265"/>
      <c r="F242" s="448">
        <f>F241+F240</f>
        <v>0.17577000000000001</v>
      </c>
    </row>
    <row r="243" spans="1:6" ht="15">
      <c r="A243" s="290"/>
      <c r="B243" s="265" t="s">
        <v>535</v>
      </c>
      <c r="C243" s="265"/>
      <c r="D243" s="448"/>
      <c r="E243" s="265"/>
      <c r="F243" s="265"/>
    </row>
    <row r="244" spans="1:6" ht="71.25">
      <c r="A244" s="290" t="s">
        <v>809</v>
      </c>
      <c r="B244" s="275" t="s">
        <v>808</v>
      </c>
      <c r="C244" s="275" t="s">
        <v>25</v>
      </c>
      <c r="D244" s="424">
        <v>1</v>
      </c>
      <c r="E244" s="275">
        <v>0.82</v>
      </c>
      <c r="F244" s="275">
        <f>D244*E244</f>
        <v>0.82</v>
      </c>
    </row>
    <row r="245" spans="1:6" ht="32.25" customHeight="1">
      <c r="A245" s="290"/>
      <c r="B245" s="265" t="s">
        <v>537</v>
      </c>
      <c r="C245" s="265"/>
      <c r="D245" s="448"/>
      <c r="E245" s="265"/>
      <c r="F245" s="265">
        <f>SUM(F244:F244)</f>
        <v>0.82</v>
      </c>
    </row>
    <row r="246" spans="1:6" ht="28.5" customHeight="1">
      <c r="A246" s="290"/>
      <c r="B246" s="265" t="s">
        <v>538</v>
      </c>
      <c r="C246" s="265"/>
      <c r="D246" s="448"/>
      <c r="E246" s="265"/>
      <c r="F246" s="448">
        <f>F242+F245</f>
        <v>0.99576999999999993</v>
      </c>
    </row>
    <row r="247" spans="1:6" ht="15">
      <c r="A247" s="318"/>
      <c r="B247" s="319"/>
      <c r="C247" s="319"/>
      <c r="D247" s="449"/>
      <c r="E247" s="449"/>
      <c r="F247" s="319"/>
    </row>
    <row r="248" spans="1:6" ht="72">
      <c r="A248" s="290"/>
      <c r="B248" s="275" t="s">
        <v>727</v>
      </c>
      <c r="C248" s="275"/>
      <c r="D248" s="275"/>
      <c r="E248" s="265"/>
      <c r="F248" s="265"/>
    </row>
    <row r="249" spans="1:6" ht="55.5" customHeight="1">
      <c r="A249" s="290"/>
      <c r="B249" s="271" t="s">
        <v>711</v>
      </c>
      <c r="C249" s="265"/>
      <c r="D249" s="448"/>
      <c r="E249" s="265"/>
      <c r="F249" s="265"/>
    </row>
    <row r="250" spans="1:6" ht="15">
      <c r="A250" s="290"/>
      <c r="B250" s="265" t="s">
        <v>548</v>
      </c>
      <c r="C250" s="265"/>
      <c r="D250" s="448"/>
      <c r="E250" s="265"/>
      <c r="F250" s="265"/>
    </row>
    <row r="251" spans="1:6" ht="28.5">
      <c r="A251" s="292" t="s">
        <v>638</v>
      </c>
      <c r="B251" s="275" t="s">
        <v>707</v>
      </c>
      <c r="C251" s="275" t="s">
        <v>16</v>
      </c>
      <c r="D251" s="424">
        <v>0.34739999999999999</v>
      </c>
      <c r="E251" s="275">
        <v>16.78</v>
      </c>
      <c r="F251" s="424">
        <f>D251*E251</f>
        <v>5.8293720000000002</v>
      </c>
    </row>
    <row r="252" spans="1:6" ht="33" customHeight="1">
      <c r="A252" s="292" t="s">
        <v>708</v>
      </c>
      <c r="B252" s="275" t="s">
        <v>526</v>
      </c>
      <c r="C252" s="275" t="s">
        <v>16</v>
      </c>
      <c r="D252" s="424">
        <v>0.34739999999999999</v>
      </c>
      <c r="E252" s="275">
        <v>13.34</v>
      </c>
      <c r="F252" s="424">
        <f>D252*E252</f>
        <v>4.6343160000000001</v>
      </c>
    </row>
    <row r="253" spans="1:6" ht="57">
      <c r="A253" s="292" t="s">
        <v>728</v>
      </c>
      <c r="B253" s="275" t="s">
        <v>729</v>
      </c>
      <c r="C253" s="275" t="s">
        <v>49</v>
      </c>
      <c r="D253" s="424">
        <v>1.41E-2</v>
      </c>
      <c r="E253" s="275">
        <v>145.88</v>
      </c>
      <c r="F253" s="424">
        <f>D253*E253</f>
        <v>2.056908</v>
      </c>
    </row>
    <row r="254" spans="1:6" ht="39.75" customHeight="1">
      <c r="A254" s="292"/>
      <c r="B254" s="265" t="s">
        <v>537</v>
      </c>
      <c r="C254" s="265"/>
      <c r="D254" s="448"/>
      <c r="E254" s="265"/>
      <c r="F254" s="448">
        <f>SUM(F251:F253)</f>
        <v>12.520596000000001</v>
      </c>
    </row>
    <row r="255" spans="1:6" ht="15">
      <c r="A255" s="292"/>
      <c r="B255" s="265" t="s">
        <v>535</v>
      </c>
      <c r="C255" s="265"/>
      <c r="D255" s="448"/>
      <c r="E255" s="265"/>
      <c r="F255" s="265"/>
    </row>
    <row r="256" spans="1:6" ht="57">
      <c r="A256" s="292" t="s">
        <v>719</v>
      </c>
      <c r="B256" s="275" t="s">
        <v>730</v>
      </c>
      <c r="C256" s="275" t="s">
        <v>25</v>
      </c>
      <c r="D256" s="424">
        <v>1</v>
      </c>
      <c r="E256" s="275">
        <v>254.11</v>
      </c>
      <c r="F256" s="275">
        <f>D256*E256</f>
        <v>254.11</v>
      </c>
    </row>
    <row r="257" spans="1:6" ht="33.75" customHeight="1">
      <c r="A257" s="290"/>
      <c r="B257" s="265" t="s">
        <v>537</v>
      </c>
      <c r="C257" s="265"/>
      <c r="D257" s="448"/>
      <c r="E257" s="265"/>
      <c r="F257" s="265">
        <f>SUM(F256:F256)</f>
        <v>254.11</v>
      </c>
    </row>
    <row r="258" spans="1:6" ht="35.25" customHeight="1">
      <c r="A258" s="290"/>
      <c r="B258" s="265" t="s">
        <v>538</v>
      </c>
      <c r="C258" s="265"/>
      <c r="D258" s="448"/>
      <c r="E258" s="265"/>
      <c r="F258" s="448">
        <f>F254+F257</f>
        <v>266.63059600000003</v>
      </c>
    </row>
    <row r="259" spans="1:6">
      <c r="A259" s="432"/>
      <c r="B259" s="432"/>
      <c r="C259" s="432"/>
      <c r="D259" s="432"/>
      <c r="E259" s="432"/>
      <c r="F259" s="432"/>
    </row>
    <row r="260" spans="1:6" ht="15">
      <c r="A260" s="416"/>
      <c r="B260" s="450"/>
      <c r="C260" s="450"/>
      <c r="D260" s="451"/>
      <c r="E260" s="450"/>
      <c r="F260" s="451"/>
    </row>
    <row r="261" spans="1:6" ht="42" customHeight="1">
      <c r="A261" s="680" t="s">
        <v>731</v>
      </c>
      <c r="B261" s="680"/>
      <c r="C261" s="680"/>
      <c r="D261" s="680"/>
      <c r="E261" s="680"/>
      <c r="F261" s="680"/>
    </row>
    <row r="262" spans="1:6">
      <c r="A262" s="432"/>
      <c r="B262" s="432"/>
      <c r="C262" s="432"/>
      <c r="D262" s="432"/>
      <c r="E262" s="432"/>
      <c r="F262" s="432"/>
    </row>
    <row r="263" spans="1:6" ht="34.5">
      <c r="A263" s="418" t="s">
        <v>732</v>
      </c>
      <c r="B263" s="436" t="s">
        <v>239</v>
      </c>
      <c r="C263" s="265"/>
      <c r="D263" s="448"/>
      <c r="E263" s="265"/>
      <c r="F263" s="265"/>
    </row>
    <row r="264" spans="1:6" ht="27" customHeight="1">
      <c r="A264" s="290"/>
      <c r="B264" s="271" t="s">
        <v>711</v>
      </c>
      <c r="C264" s="265"/>
      <c r="D264" s="448"/>
      <c r="E264" s="265"/>
      <c r="F264" s="265"/>
    </row>
    <row r="265" spans="1:6" ht="15">
      <c r="A265" s="290"/>
      <c r="B265" s="265" t="s">
        <v>548</v>
      </c>
      <c r="C265" s="265"/>
      <c r="D265" s="448"/>
      <c r="E265" s="265"/>
      <c r="F265" s="265"/>
    </row>
    <row r="266" spans="1:6" ht="30" customHeight="1">
      <c r="A266" s="298" t="s">
        <v>638</v>
      </c>
      <c r="B266" s="275" t="s">
        <v>707</v>
      </c>
      <c r="C266" s="291" t="s">
        <v>16</v>
      </c>
      <c r="D266" s="291">
        <v>0.35</v>
      </c>
      <c r="E266" s="291">
        <v>19.53</v>
      </c>
      <c r="F266" s="421">
        <f>D266*E266</f>
        <v>6.8354999999999997</v>
      </c>
    </row>
    <row r="267" spans="1:6" ht="28.5">
      <c r="A267" s="298" t="s">
        <v>708</v>
      </c>
      <c r="B267" s="275" t="s">
        <v>526</v>
      </c>
      <c r="C267" s="291" t="s">
        <v>16</v>
      </c>
      <c r="D267" s="291">
        <v>0.2</v>
      </c>
      <c r="E267" s="293">
        <v>15.19</v>
      </c>
      <c r="F267" s="421">
        <f>D267*E267</f>
        <v>3.0380000000000003</v>
      </c>
    </row>
    <row r="268" spans="1:6" ht="19.5" customHeight="1">
      <c r="A268" s="290"/>
      <c r="B268" s="265" t="s">
        <v>537</v>
      </c>
      <c r="C268" s="265"/>
      <c r="D268" s="448"/>
      <c r="E268" s="265"/>
      <c r="F268" s="445">
        <f>SUM(F266:F267)</f>
        <v>9.8734999999999999</v>
      </c>
    </row>
    <row r="269" spans="1:6" ht="30.75" customHeight="1">
      <c r="A269" s="290"/>
      <c r="B269" s="265" t="s">
        <v>535</v>
      </c>
      <c r="C269" s="265"/>
      <c r="D269" s="448"/>
      <c r="E269" s="265"/>
      <c r="F269" s="265"/>
    </row>
    <row r="270" spans="1:6" ht="77.25" customHeight="1">
      <c r="A270" s="418" t="s">
        <v>712</v>
      </c>
      <c r="B270" s="275" t="s">
        <v>713</v>
      </c>
      <c r="C270" s="275" t="s">
        <v>25</v>
      </c>
      <c r="D270" s="424">
        <v>1</v>
      </c>
      <c r="E270" s="275">
        <v>38.94</v>
      </c>
      <c r="F270" s="275">
        <f>(D270*E270)</f>
        <v>38.94</v>
      </c>
    </row>
    <row r="271" spans="1:6" ht="71.25">
      <c r="A271" s="418" t="s">
        <v>682</v>
      </c>
      <c r="B271" s="275" t="s">
        <v>683</v>
      </c>
      <c r="C271" s="275" t="s">
        <v>25</v>
      </c>
      <c r="D271" s="424">
        <v>4</v>
      </c>
      <c r="E271" s="275">
        <v>0.2</v>
      </c>
      <c r="F271" s="275">
        <f>(D271*E271)</f>
        <v>0.8</v>
      </c>
    </row>
    <row r="272" spans="1:6" ht="15">
      <c r="A272" s="290"/>
      <c r="B272" s="265" t="s">
        <v>537</v>
      </c>
      <c r="C272" s="265"/>
      <c r="D272" s="448"/>
      <c r="E272" s="265"/>
      <c r="F272" s="265">
        <f>SUM(F270:F271)</f>
        <v>39.739999999999995</v>
      </c>
    </row>
    <row r="273" spans="1:6" ht="26.25" customHeight="1">
      <c r="A273" s="290"/>
      <c r="B273" s="265" t="s">
        <v>538</v>
      </c>
      <c r="C273" s="265"/>
      <c r="D273" s="448"/>
      <c r="E273" s="448"/>
      <c r="F273" s="445">
        <f>F268+F272</f>
        <v>49.613499999999995</v>
      </c>
    </row>
    <row r="274" spans="1:6">
      <c r="A274" s="432"/>
      <c r="B274" s="432"/>
      <c r="C274" s="432"/>
      <c r="D274" s="432"/>
      <c r="E274" s="432"/>
      <c r="F274" s="432"/>
    </row>
    <row r="275" spans="1:6" ht="15">
      <c r="A275" s="318"/>
      <c r="B275" s="319"/>
      <c r="C275" s="319"/>
      <c r="D275" s="449"/>
      <c r="E275" s="449"/>
      <c r="F275" s="319"/>
    </row>
    <row r="276" spans="1:6" ht="34.5">
      <c r="A276" s="290" t="s">
        <v>343</v>
      </c>
      <c r="B276" s="436" t="s">
        <v>733</v>
      </c>
      <c r="C276" s="265"/>
      <c r="D276" s="448"/>
      <c r="E276" s="265"/>
      <c r="F276" s="265"/>
    </row>
    <row r="277" spans="1:6" ht="15">
      <c r="A277" s="290"/>
      <c r="B277" s="271" t="s">
        <v>711</v>
      </c>
      <c r="C277" s="265"/>
      <c r="D277" s="448"/>
      <c r="E277" s="265"/>
      <c r="F277" s="265"/>
    </row>
    <row r="278" spans="1:6" ht="15">
      <c r="A278" s="290"/>
      <c r="B278" s="265" t="s">
        <v>548</v>
      </c>
      <c r="C278" s="265"/>
      <c r="D278" s="448"/>
      <c r="E278" s="265"/>
      <c r="F278" s="265"/>
    </row>
    <row r="279" spans="1:6" ht="28.5">
      <c r="A279" s="292" t="s">
        <v>634</v>
      </c>
      <c r="B279" s="275" t="s">
        <v>714</v>
      </c>
      <c r="C279" s="275" t="s">
        <v>16</v>
      </c>
      <c r="D279" s="424">
        <v>1.2</v>
      </c>
      <c r="E279" s="291">
        <v>19.53</v>
      </c>
      <c r="F279" s="424">
        <f>D279*E279</f>
        <v>23.436</v>
      </c>
    </row>
    <row r="280" spans="1:6" ht="28.5">
      <c r="A280" s="292" t="s">
        <v>636</v>
      </c>
      <c r="B280" s="275" t="s">
        <v>701</v>
      </c>
      <c r="C280" s="275" t="s">
        <v>16</v>
      </c>
      <c r="D280" s="424">
        <v>0.8</v>
      </c>
      <c r="E280" s="293">
        <v>15.19</v>
      </c>
      <c r="F280" s="424">
        <f>D280*E280</f>
        <v>12.152000000000001</v>
      </c>
    </row>
    <row r="281" spans="1:6" ht="15">
      <c r="A281" s="290"/>
      <c r="B281" s="265" t="s">
        <v>537</v>
      </c>
      <c r="C281" s="265"/>
      <c r="D281" s="448"/>
      <c r="E281" s="265"/>
      <c r="F281" s="265">
        <f>F280+F279</f>
        <v>35.588000000000001</v>
      </c>
    </row>
    <row r="282" spans="1:6" ht="15">
      <c r="A282" s="290"/>
      <c r="B282" s="265" t="s">
        <v>535</v>
      </c>
      <c r="C282" s="265"/>
      <c r="D282" s="448"/>
      <c r="E282" s="265"/>
      <c r="F282" s="265"/>
    </row>
    <row r="283" spans="1:6" ht="57">
      <c r="A283" s="292" t="s">
        <v>734</v>
      </c>
      <c r="B283" s="275" t="s">
        <v>735</v>
      </c>
      <c r="C283" s="275" t="s">
        <v>25</v>
      </c>
      <c r="D283" s="424">
        <v>1</v>
      </c>
      <c r="E283" s="424">
        <f>C289</f>
        <v>725.24333333333334</v>
      </c>
      <c r="F283" s="424">
        <f>D283*E283</f>
        <v>725.24333333333334</v>
      </c>
    </row>
    <row r="284" spans="1:6" ht="15">
      <c r="A284" s="290"/>
      <c r="B284" s="265" t="s">
        <v>537</v>
      </c>
      <c r="C284" s="265"/>
      <c r="D284" s="448"/>
      <c r="E284" s="265"/>
      <c r="F284" s="448">
        <f>F283</f>
        <v>725.24333333333334</v>
      </c>
    </row>
    <row r="285" spans="1:6" ht="15">
      <c r="A285" s="290"/>
      <c r="B285" s="265" t="s">
        <v>538</v>
      </c>
      <c r="C285" s="265"/>
      <c r="D285" s="448"/>
      <c r="E285" s="265"/>
      <c r="F285" s="452">
        <f>F281+F284</f>
        <v>760.8313333333333</v>
      </c>
    </row>
    <row r="286" spans="1:6" ht="24">
      <c r="A286" s="453">
        <v>44477</v>
      </c>
      <c r="B286" s="454" t="s">
        <v>736</v>
      </c>
      <c r="C286" s="455">
        <v>705.87</v>
      </c>
      <c r="D286" s="456" t="s">
        <v>737</v>
      </c>
      <c r="E286" s="457" t="s">
        <v>738</v>
      </c>
      <c r="F286" s="455" t="s">
        <v>739</v>
      </c>
    </row>
    <row r="287" spans="1:6" ht="24">
      <c r="A287" s="453">
        <v>44477</v>
      </c>
      <c r="B287" s="454" t="s">
        <v>740</v>
      </c>
      <c r="C287" s="455">
        <v>830.86</v>
      </c>
      <c r="D287" s="456" t="s">
        <v>741</v>
      </c>
      <c r="E287" s="458" t="s">
        <v>742</v>
      </c>
      <c r="F287" s="459" t="s">
        <v>743</v>
      </c>
    </row>
    <row r="288" spans="1:6" ht="24">
      <c r="A288" s="453">
        <v>44477</v>
      </c>
      <c r="B288" s="454" t="s">
        <v>744</v>
      </c>
      <c r="C288" s="455">
        <v>639</v>
      </c>
      <c r="D288" s="460" t="s">
        <v>745</v>
      </c>
      <c r="E288" s="461" t="s">
        <v>746</v>
      </c>
      <c r="F288" s="462" t="s">
        <v>747</v>
      </c>
    </row>
    <row r="289" spans="1:6" ht="15">
      <c r="A289" s="290"/>
      <c r="B289" s="265"/>
      <c r="C289" s="448">
        <f>(SUM(C286:C288))/3</f>
        <v>725.24333333333334</v>
      </c>
      <c r="D289" s="448"/>
      <c r="E289" s="265"/>
      <c r="F289" s="448"/>
    </row>
    <row r="290" spans="1:6" ht="15">
      <c r="A290" s="318"/>
      <c r="B290" s="319"/>
      <c r="C290" s="319"/>
      <c r="D290" s="449"/>
      <c r="E290" s="449"/>
      <c r="F290" s="319"/>
    </row>
    <row r="291" spans="1:6" ht="34.5">
      <c r="A291" s="290" t="s">
        <v>344</v>
      </c>
      <c r="B291" s="436" t="s">
        <v>748</v>
      </c>
      <c r="C291" s="265"/>
      <c r="D291" s="448"/>
      <c r="E291" s="265"/>
      <c r="F291" s="265"/>
    </row>
    <row r="292" spans="1:6" ht="24" customHeight="1">
      <c r="A292" s="290"/>
      <c r="B292" s="271" t="s">
        <v>711</v>
      </c>
      <c r="C292" s="265"/>
      <c r="D292" s="448"/>
      <c r="E292" s="265"/>
      <c r="F292" s="265"/>
    </row>
    <row r="293" spans="1:6" ht="15">
      <c r="A293" s="290"/>
      <c r="B293" s="265" t="s">
        <v>548</v>
      </c>
      <c r="C293" s="265"/>
      <c r="D293" s="448"/>
      <c r="E293" s="265"/>
      <c r="F293" s="265"/>
    </row>
    <row r="294" spans="1:6" ht="27.75" customHeight="1">
      <c r="A294" s="292" t="s">
        <v>634</v>
      </c>
      <c r="B294" s="275" t="s">
        <v>714</v>
      </c>
      <c r="C294" s="275" t="s">
        <v>16</v>
      </c>
      <c r="D294" s="424">
        <v>0.8</v>
      </c>
      <c r="E294" s="291">
        <v>19.53</v>
      </c>
      <c r="F294" s="275">
        <f>D294*E294</f>
        <v>15.624000000000002</v>
      </c>
    </row>
    <row r="295" spans="1:6" ht="29.25" customHeight="1">
      <c r="A295" s="292" t="s">
        <v>636</v>
      </c>
      <c r="B295" s="275" t="s">
        <v>701</v>
      </c>
      <c r="C295" s="275" t="s">
        <v>16</v>
      </c>
      <c r="D295" s="424">
        <v>0.8</v>
      </c>
      <c r="E295" s="293">
        <v>15.19</v>
      </c>
      <c r="F295" s="275">
        <f>D295*E295</f>
        <v>12.152000000000001</v>
      </c>
    </row>
    <row r="296" spans="1:6" ht="15">
      <c r="A296" s="290"/>
      <c r="B296" s="265" t="s">
        <v>537</v>
      </c>
      <c r="C296" s="265"/>
      <c r="D296" s="448"/>
      <c r="E296" s="265"/>
      <c r="F296" s="265">
        <f>F295+F294</f>
        <v>27.776000000000003</v>
      </c>
    </row>
    <row r="297" spans="1:6" ht="15">
      <c r="A297" s="290"/>
      <c r="B297" s="265" t="s">
        <v>535</v>
      </c>
      <c r="C297" s="265"/>
      <c r="D297" s="448"/>
      <c r="E297" s="265"/>
      <c r="F297" s="265"/>
    </row>
    <row r="298" spans="1:6" ht="42.75" customHeight="1">
      <c r="A298" s="290"/>
      <c r="B298" s="275" t="s">
        <v>749</v>
      </c>
      <c r="C298" s="275" t="s">
        <v>25</v>
      </c>
      <c r="D298" s="424">
        <v>1</v>
      </c>
      <c r="E298" s="424">
        <v>47</v>
      </c>
      <c r="F298" s="424">
        <f>D298*E298</f>
        <v>47</v>
      </c>
    </row>
    <row r="299" spans="1:6" ht="15">
      <c r="A299" s="290"/>
      <c r="B299" s="265" t="s">
        <v>537</v>
      </c>
      <c r="C299" s="265"/>
      <c r="D299" s="448"/>
      <c r="E299" s="265"/>
      <c r="F299" s="448">
        <f>F298</f>
        <v>47</v>
      </c>
    </row>
    <row r="300" spans="1:6" ht="17.25" customHeight="1">
      <c r="A300" s="290"/>
      <c r="B300" s="265" t="s">
        <v>538</v>
      </c>
      <c r="C300" s="265"/>
      <c r="D300" s="448"/>
      <c r="E300" s="265"/>
      <c r="F300" s="265">
        <f>F296+F299</f>
        <v>74.77600000000001</v>
      </c>
    </row>
    <row r="301" spans="1:6" ht="29.25">
      <c r="A301" s="290"/>
      <c r="B301" s="275" t="s">
        <v>750</v>
      </c>
      <c r="C301" s="265"/>
      <c r="D301" s="448"/>
      <c r="E301" s="265"/>
      <c r="F301" s="265"/>
    </row>
    <row r="302" spans="1:6" ht="38.25" customHeight="1">
      <c r="A302" s="318"/>
      <c r="B302" s="319"/>
      <c r="C302" s="319"/>
      <c r="D302" s="449"/>
      <c r="E302" s="449"/>
      <c r="F302" s="319"/>
    </row>
    <row r="303" spans="1:6" ht="34.5">
      <c r="A303" s="290" t="s">
        <v>346</v>
      </c>
      <c r="B303" s="436" t="s">
        <v>352</v>
      </c>
      <c r="C303" s="265"/>
      <c r="D303" s="448"/>
      <c r="E303" s="265"/>
      <c r="F303" s="265"/>
    </row>
    <row r="304" spans="1:6" ht="22.5" customHeight="1">
      <c r="A304" s="290"/>
      <c r="B304" s="271" t="s">
        <v>711</v>
      </c>
      <c r="C304" s="265"/>
      <c r="D304" s="448"/>
      <c r="E304" s="265"/>
      <c r="F304" s="265"/>
    </row>
    <row r="305" spans="1:6" ht="28.5" customHeight="1">
      <c r="A305" s="290"/>
      <c r="B305" s="265" t="s">
        <v>548</v>
      </c>
      <c r="C305" s="265"/>
      <c r="D305" s="448"/>
      <c r="E305" s="265"/>
      <c r="F305" s="265"/>
    </row>
    <row r="306" spans="1:6" ht="34.5" customHeight="1">
      <c r="A306" s="292" t="s">
        <v>634</v>
      </c>
      <c r="B306" s="275" t="s">
        <v>714</v>
      </c>
      <c r="C306" s="275" t="s">
        <v>16</v>
      </c>
      <c r="D306" s="424">
        <v>0.6</v>
      </c>
      <c r="E306" s="291">
        <v>19.53</v>
      </c>
      <c r="F306" s="275">
        <f>D306*E306</f>
        <v>11.718</v>
      </c>
    </row>
    <row r="307" spans="1:6" ht="28.5">
      <c r="A307" s="292" t="s">
        <v>636</v>
      </c>
      <c r="B307" s="275" t="s">
        <v>701</v>
      </c>
      <c r="C307" s="275" t="s">
        <v>16</v>
      </c>
      <c r="D307" s="424">
        <v>0.6</v>
      </c>
      <c r="E307" s="293">
        <v>15.19</v>
      </c>
      <c r="F307" s="275">
        <f>D307*E307</f>
        <v>9.113999999999999</v>
      </c>
    </row>
    <row r="308" spans="1:6" ht="15">
      <c r="A308" s="290"/>
      <c r="B308" s="265" t="s">
        <v>537</v>
      </c>
      <c r="C308" s="265"/>
      <c r="D308" s="448"/>
      <c r="E308" s="265"/>
      <c r="F308" s="265">
        <f>F306+F307</f>
        <v>20.832000000000001</v>
      </c>
    </row>
    <row r="309" spans="1:6" ht="42" customHeight="1">
      <c r="A309" s="290"/>
      <c r="B309" s="265" t="s">
        <v>535</v>
      </c>
      <c r="C309" s="265"/>
      <c r="D309" s="448"/>
      <c r="E309" s="265"/>
      <c r="F309" s="265"/>
    </row>
    <row r="310" spans="1:6" ht="42.75">
      <c r="A310" s="292"/>
      <c r="B310" s="275" t="s">
        <v>751</v>
      </c>
      <c r="C310" s="275" t="s">
        <v>25</v>
      </c>
      <c r="D310" s="424">
        <v>1</v>
      </c>
      <c r="E310" s="275">
        <v>171.22</v>
      </c>
      <c r="F310" s="275">
        <f>D310*E310</f>
        <v>171.22</v>
      </c>
    </row>
    <row r="311" spans="1:6" ht="15">
      <c r="A311" s="292"/>
      <c r="B311" s="265" t="s">
        <v>537</v>
      </c>
      <c r="C311" s="259"/>
      <c r="D311" s="463"/>
      <c r="E311" s="464"/>
      <c r="F311" s="464">
        <f>F310</f>
        <v>171.22</v>
      </c>
    </row>
    <row r="312" spans="1:6" ht="15">
      <c r="A312" s="292"/>
      <c r="B312" s="265" t="s">
        <v>538</v>
      </c>
      <c r="C312" s="259"/>
      <c r="D312" s="463"/>
      <c r="E312" s="464"/>
      <c r="F312" s="465">
        <f>F308+F311</f>
        <v>192.05199999999999</v>
      </c>
    </row>
    <row r="313" spans="1:6" ht="28.5">
      <c r="A313" s="292"/>
      <c r="B313" s="275" t="s">
        <v>750</v>
      </c>
      <c r="C313" s="259"/>
      <c r="D313" s="463"/>
      <c r="E313" s="464"/>
      <c r="F313" s="464"/>
    </row>
    <row r="314" spans="1:6" ht="15">
      <c r="A314" s="318"/>
      <c r="B314" s="319"/>
      <c r="C314" s="319"/>
      <c r="D314" s="449"/>
      <c r="E314" s="449"/>
      <c r="F314" s="319"/>
    </row>
    <row r="315" spans="1:6" ht="27.75" customHeight="1">
      <c r="A315" s="290" t="s">
        <v>348</v>
      </c>
      <c r="B315" s="436" t="s">
        <v>752</v>
      </c>
      <c r="C315" s="265"/>
      <c r="D315" s="448"/>
      <c r="E315" s="265"/>
      <c r="F315" s="265"/>
    </row>
    <row r="316" spans="1:6" ht="15">
      <c r="A316" s="290"/>
      <c r="B316" s="271" t="s">
        <v>711</v>
      </c>
      <c r="C316" s="265"/>
      <c r="D316" s="448"/>
      <c r="E316" s="265"/>
      <c r="F316" s="265"/>
    </row>
    <row r="317" spans="1:6" ht="59.25" customHeight="1">
      <c r="A317" s="290"/>
      <c r="B317" s="265" t="s">
        <v>548</v>
      </c>
      <c r="C317" s="265"/>
      <c r="D317" s="448"/>
      <c r="E317" s="265"/>
      <c r="F317" s="265"/>
    </row>
    <row r="318" spans="1:6" ht="28.5">
      <c r="A318" s="292" t="s">
        <v>634</v>
      </c>
      <c r="B318" s="275" t="s">
        <v>714</v>
      </c>
      <c r="C318" s="275" t="s">
        <v>16</v>
      </c>
      <c r="D318" s="424">
        <v>8.5000000000000006E-2</v>
      </c>
      <c r="E318" s="291">
        <v>19.53</v>
      </c>
      <c r="F318" s="275">
        <f>D318*E318</f>
        <v>1.6600500000000002</v>
      </c>
    </row>
    <row r="319" spans="1:6" ht="26.25" customHeight="1">
      <c r="A319" s="292" t="s">
        <v>636</v>
      </c>
      <c r="B319" s="275" t="s">
        <v>701</v>
      </c>
      <c r="C319" s="275" t="s">
        <v>16</v>
      </c>
      <c r="D319" s="424">
        <v>0</v>
      </c>
      <c r="E319" s="293">
        <v>15.19</v>
      </c>
      <c r="F319" s="275">
        <f>D319*E319</f>
        <v>0</v>
      </c>
    </row>
    <row r="320" spans="1:6" ht="27.75" customHeight="1">
      <c r="A320" s="290"/>
      <c r="B320" s="265" t="s">
        <v>537</v>
      </c>
      <c r="C320" s="265"/>
      <c r="D320" s="448"/>
      <c r="E320" s="265"/>
      <c r="F320" s="265">
        <f>F318+F319</f>
        <v>1.6600500000000002</v>
      </c>
    </row>
    <row r="321" spans="1:6" ht="33.75" customHeight="1">
      <c r="A321" s="290"/>
      <c r="B321" s="265" t="s">
        <v>535</v>
      </c>
      <c r="C321" s="265"/>
      <c r="D321" s="448"/>
      <c r="E321" s="265"/>
      <c r="F321" s="265"/>
    </row>
    <row r="322" spans="1:6" ht="28.5">
      <c r="A322" s="292" t="s">
        <v>753</v>
      </c>
      <c r="B322" s="275" t="s">
        <v>754</v>
      </c>
      <c r="C322" s="275" t="s">
        <v>25</v>
      </c>
      <c r="D322" s="424">
        <v>1</v>
      </c>
      <c r="E322" s="275">
        <v>14.33</v>
      </c>
      <c r="F322" s="275">
        <f>D322*E322</f>
        <v>14.33</v>
      </c>
    </row>
    <row r="323" spans="1:6" ht="15">
      <c r="A323" s="292"/>
      <c r="B323" s="265" t="s">
        <v>537</v>
      </c>
      <c r="C323" s="259"/>
      <c r="D323" s="463"/>
      <c r="E323" s="464"/>
      <c r="F323" s="464">
        <f>F322</f>
        <v>14.33</v>
      </c>
    </row>
    <row r="324" spans="1:6" ht="75" customHeight="1">
      <c r="A324" s="292"/>
      <c r="B324" s="265" t="s">
        <v>538</v>
      </c>
      <c r="C324" s="259"/>
      <c r="D324" s="463"/>
      <c r="E324" s="464"/>
      <c r="F324" s="465">
        <f>F320+F323</f>
        <v>15.99005</v>
      </c>
    </row>
    <row r="325" spans="1:6" ht="15">
      <c r="A325" s="318"/>
      <c r="B325" s="319"/>
      <c r="C325" s="319"/>
      <c r="D325" s="449"/>
      <c r="E325" s="449"/>
      <c r="F325" s="319"/>
    </row>
    <row r="326" spans="1:6" ht="23.25" customHeight="1">
      <c r="A326" s="290" t="s">
        <v>349</v>
      </c>
      <c r="B326" s="436" t="s">
        <v>755</v>
      </c>
      <c r="C326" s="265"/>
      <c r="D326" s="448"/>
      <c r="E326" s="265"/>
      <c r="F326" s="265"/>
    </row>
    <row r="327" spans="1:6" ht="15">
      <c r="A327" s="290"/>
      <c r="B327" s="271" t="s">
        <v>711</v>
      </c>
      <c r="C327" s="265"/>
      <c r="D327" s="448"/>
      <c r="E327" s="265"/>
      <c r="F327" s="265"/>
    </row>
    <row r="328" spans="1:6" ht="15">
      <c r="A328" s="290"/>
      <c r="B328" s="265" t="s">
        <v>548</v>
      </c>
      <c r="C328" s="265"/>
      <c r="D328" s="448"/>
      <c r="E328" s="265"/>
      <c r="F328" s="265"/>
    </row>
    <row r="329" spans="1:6" ht="28.5">
      <c r="A329" s="292" t="s">
        <v>634</v>
      </c>
      <c r="B329" s="275" t="s">
        <v>714</v>
      </c>
      <c r="C329" s="275" t="s">
        <v>16</v>
      </c>
      <c r="D329" s="424">
        <v>8.5000000000000006E-2</v>
      </c>
      <c r="E329" s="291">
        <v>18.3</v>
      </c>
      <c r="F329" s="275">
        <f>D329*E329</f>
        <v>1.5555000000000001</v>
      </c>
    </row>
    <row r="330" spans="1:6" ht="28.5">
      <c r="A330" s="292" t="s">
        <v>636</v>
      </c>
      <c r="B330" s="275" t="s">
        <v>701</v>
      </c>
      <c r="C330" s="275" t="s">
        <v>16</v>
      </c>
      <c r="D330" s="424">
        <v>0</v>
      </c>
      <c r="E330" s="293">
        <v>14</v>
      </c>
      <c r="F330" s="275">
        <f>D330*E330</f>
        <v>0</v>
      </c>
    </row>
    <row r="331" spans="1:6" ht="15">
      <c r="A331" s="290"/>
      <c r="B331" s="265" t="s">
        <v>537</v>
      </c>
      <c r="C331" s="265"/>
      <c r="D331" s="448"/>
      <c r="E331" s="265"/>
      <c r="F331" s="265">
        <f>F329+F330</f>
        <v>1.5555000000000001</v>
      </c>
    </row>
    <row r="332" spans="1:6" ht="15">
      <c r="A332" s="290"/>
      <c r="B332" s="265" t="s">
        <v>535</v>
      </c>
      <c r="C332" s="265"/>
      <c r="D332" s="448"/>
      <c r="E332" s="265"/>
      <c r="F332" s="265"/>
    </row>
    <row r="333" spans="1:6" ht="28.5">
      <c r="A333" s="292" t="s">
        <v>756</v>
      </c>
      <c r="B333" s="275" t="s">
        <v>757</v>
      </c>
      <c r="C333" s="275" t="s">
        <v>25</v>
      </c>
      <c r="D333" s="424">
        <v>1</v>
      </c>
      <c r="E333" s="275">
        <v>19.89</v>
      </c>
      <c r="F333" s="275">
        <f>D333*E333</f>
        <v>19.89</v>
      </c>
    </row>
    <row r="334" spans="1:6" ht="15">
      <c r="A334" s="292"/>
      <c r="B334" s="265" t="s">
        <v>537</v>
      </c>
      <c r="C334" s="259"/>
      <c r="D334" s="463"/>
      <c r="E334" s="464"/>
      <c r="F334" s="464">
        <f>F333</f>
        <v>19.89</v>
      </c>
    </row>
    <row r="335" spans="1:6" ht="15">
      <c r="A335" s="292"/>
      <c r="B335" s="265" t="s">
        <v>538</v>
      </c>
      <c r="C335" s="259"/>
      <c r="D335" s="463"/>
      <c r="E335" s="464"/>
      <c r="F335" s="465">
        <f>F331+F334</f>
        <v>21.445499999999999</v>
      </c>
    </row>
    <row r="336" spans="1:6" ht="15">
      <c r="A336" s="318"/>
      <c r="B336" s="319"/>
      <c r="C336" s="319"/>
      <c r="D336" s="449"/>
      <c r="E336" s="449"/>
      <c r="F336" s="319"/>
    </row>
    <row r="337" spans="1:6" ht="22.5">
      <c r="A337" s="290" t="s">
        <v>351</v>
      </c>
      <c r="B337" s="436" t="s">
        <v>358</v>
      </c>
      <c r="C337" s="259"/>
      <c r="D337" s="463"/>
      <c r="E337" s="464"/>
      <c r="F337" s="464"/>
    </row>
    <row r="338" spans="1:6">
      <c r="A338" s="292"/>
      <c r="B338" s="271" t="s">
        <v>534</v>
      </c>
      <c r="C338" s="259"/>
      <c r="D338" s="463"/>
      <c r="E338" s="464"/>
      <c r="F338" s="464"/>
    </row>
    <row r="339" spans="1:6" ht="15">
      <c r="A339" s="292"/>
      <c r="B339" s="265" t="s">
        <v>548</v>
      </c>
      <c r="C339" s="259"/>
      <c r="D339" s="463"/>
      <c r="E339" s="464"/>
      <c r="F339" s="464"/>
    </row>
    <row r="340" spans="1:6" ht="28.5">
      <c r="A340" s="292" t="s">
        <v>634</v>
      </c>
      <c r="B340" s="275" t="s">
        <v>714</v>
      </c>
      <c r="C340" s="275" t="s">
        <v>16</v>
      </c>
      <c r="D340" s="424">
        <v>0.15</v>
      </c>
      <c r="E340" s="275">
        <v>18.3</v>
      </c>
      <c r="F340" s="464">
        <f>D340*E340</f>
        <v>2.7450000000000001</v>
      </c>
    </row>
    <row r="341" spans="1:6" ht="15">
      <c r="A341" s="292"/>
      <c r="B341" s="265" t="s">
        <v>537</v>
      </c>
      <c r="C341" s="259"/>
      <c r="D341" s="463"/>
      <c r="E341" s="464"/>
      <c r="F341" s="465">
        <f>(F340)</f>
        <v>2.7450000000000001</v>
      </c>
    </row>
    <row r="342" spans="1:6" ht="15">
      <c r="A342" s="292"/>
      <c r="B342" s="265" t="s">
        <v>535</v>
      </c>
      <c r="C342" s="259"/>
      <c r="D342" s="463"/>
      <c r="E342" s="464"/>
      <c r="F342" s="464"/>
    </row>
    <row r="343" spans="1:6" ht="28.5">
      <c r="A343" s="292" t="s">
        <v>758</v>
      </c>
      <c r="B343" s="275" t="s">
        <v>759</v>
      </c>
      <c r="C343" s="259" t="s">
        <v>25</v>
      </c>
      <c r="D343" s="463">
        <v>1</v>
      </c>
      <c r="E343" s="464">
        <v>1.59</v>
      </c>
      <c r="F343" s="464">
        <v>1.66</v>
      </c>
    </row>
    <row r="344" spans="1:6" ht="15">
      <c r="A344" s="292"/>
      <c r="B344" s="265" t="s">
        <v>537</v>
      </c>
      <c r="C344" s="259"/>
      <c r="D344" s="463"/>
      <c r="E344" s="464"/>
      <c r="F344" s="464">
        <f>F343</f>
        <v>1.66</v>
      </c>
    </row>
    <row r="345" spans="1:6" ht="15">
      <c r="A345" s="292"/>
      <c r="B345" s="265" t="s">
        <v>538</v>
      </c>
      <c r="C345" s="259"/>
      <c r="D345" s="463"/>
      <c r="E345" s="464"/>
      <c r="F345" s="465">
        <f>F344+F341</f>
        <v>4.4050000000000002</v>
      </c>
    </row>
    <row r="346" spans="1:6" ht="15">
      <c r="A346" s="318"/>
      <c r="B346" s="319"/>
      <c r="C346" s="319"/>
      <c r="D346" s="449"/>
      <c r="E346" s="449"/>
      <c r="F346" s="319"/>
    </row>
    <row r="347" spans="1:6" ht="33.75">
      <c r="A347" s="290" t="s">
        <v>357</v>
      </c>
      <c r="B347" s="436" t="s">
        <v>361</v>
      </c>
      <c r="C347" s="259"/>
      <c r="D347" s="463"/>
      <c r="E347" s="464"/>
      <c r="F347" s="464"/>
    </row>
    <row r="348" spans="1:6">
      <c r="A348" s="292"/>
      <c r="B348" s="271" t="s">
        <v>534</v>
      </c>
      <c r="C348" s="259"/>
      <c r="D348" s="463"/>
      <c r="E348" s="464"/>
      <c r="F348" s="464"/>
    </row>
    <row r="349" spans="1:6" ht="15">
      <c r="A349" s="292"/>
      <c r="B349" s="265" t="s">
        <v>548</v>
      </c>
      <c r="C349" s="259"/>
      <c r="D349" s="463"/>
      <c r="E349" s="464"/>
      <c r="F349" s="464"/>
    </row>
    <row r="350" spans="1:6" ht="28.5">
      <c r="A350" s="292" t="s">
        <v>634</v>
      </c>
      <c r="B350" s="275" t="s">
        <v>714</v>
      </c>
      <c r="C350" s="275" t="s">
        <v>16</v>
      </c>
      <c r="D350" s="424">
        <v>0.1</v>
      </c>
      <c r="E350" s="291">
        <v>19.53</v>
      </c>
      <c r="F350" s="464">
        <f>D350*E350</f>
        <v>1.9530000000000003</v>
      </c>
    </row>
    <row r="351" spans="1:6" ht="28.5">
      <c r="A351" s="292" t="s">
        <v>636</v>
      </c>
      <c r="B351" s="275" t="s">
        <v>701</v>
      </c>
      <c r="C351" s="275" t="s">
        <v>16</v>
      </c>
      <c r="D351" s="424">
        <v>0.1</v>
      </c>
      <c r="E351" s="293">
        <v>15.19</v>
      </c>
      <c r="F351" s="424">
        <f>D351*E351</f>
        <v>1.5190000000000001</v>
      </c>
    </row>
    <row r="352" spans="1:6" ht="15">
      <c r="A352" s="292"/>
      <c r="B352" s="265" t="s">
        <v>537</v>
      </c>
      <c r="C352" s="259"/>
      <c r="D352" s="463"/>
      <c r="E352" s="464"/>
      <c r="F352" s="465">
        <f>SUM(F350:F351)</f>
        <v>3.4720000000000004</v>
      </c>
    </row>
    <row r="353" spans="1:6" ht="15">
      <c r="A353" s="292"/>
      <c r="B353" s="265" t="s">
        <v>535</v>
      </c>
      <c r="C353" s="259"/>
      <c r="D353" s="463"/>
      <c r="E353" s="464"/>
      <c r="F353" s="464"/>
    </row>
    <row r="354" spans="1:6" ht="33.75">
      <c r="A354" s="292" t="s">
        <v>760</v>
      </c>
      <c r="B354" s="436" t="s">
        <v>761</v>
      </c>
      <c r="C354" s="259" t="s">
        <v>101</v>
      </c>
      <c r="D354" s="463">
        <v>1</v>
      </c>
      <c r="E354" s="464">
        <v>2.37</v>
      </c>
      <c r="F354" s="464">
        <f>D354*E354</f>
        <v>2.37</v>
      </c>
    </row>
    <row r="355" spans="1:6">
      <c r="A355" s="292"/>
      <c r="B355" s="466"/>
      <c r="C355" s="259"/>
      <c r="D355" s="463"/>
      <c r="E355" s="464"/>
      <c r="F355" s="464">
        <f>F354</f>
        <v>2.37</v>
      </c>
    </row>
    <row r="356" spans="1:6" ht="15">
      <c r="A356" s="292"/>
      <c r="B356" s="265" t="s">
        <v>538</v>
      </c>
      <c r="C356" s="259"/>
      <c r="D356" s="463"/>
      <c r="E356" s="464"/>
      <c r="F356" s="465">
        <f>F355+F352</f>
        <v>5.8420000000000005</v>
      </c>
    </row>
    <row r="357" spans="1:6" ht="15">
      <c r="A357" s="318"/>
      <c r="B357" s="319"/>
      <c r="C357" s="319"/>
      <c r="D357" s="449"/>
      <c r="E357" s="449"/>
      <c r="F357" s="319"/>
    </row>
    <row r="358" spans="1:6" ht="33.75">
      <c r="A358" s="290" t="s">
        <v>359</v>
      </c>
      <c r="B358" s="436" t="s">
        <v>363</v>
      </c>
      <c r="C358" s="259"/>
      <c r="D358" s="463"/>
      <c r="E358" s="464"/>
      <c r="F358" s="464"/>
    </row>
    <row r="359" spans="1:6">
      <c r="A359" s="292"/>
      <c r="B359" s="271" t="s">
        <v>534</v>
      </c>
      <c r="C359" s="259"/>
      <c r="D359" s="463"/>
      <c r="E359" s="464"/>
      <c r="F359" s="464"/>
    </row>
    <row r="360" spans="1:6" ht="15">
      <c r="A360" s="292"/>
      <c r="B360" s="265" t="s">
        <v>548</v>
      </c>
      <c r="C360" s="259"/>
      <c r="D360" s="463"/>
      <c r="E360" s="464"/>
      <c r="F360" s="464"/>
    </row>
    <row r="361" spans="1:6" ht="28.5">
      <c r="A361" s="292" t="s">
        <v>634</v>
      </c>
      <c r="B361" s="275" t="s">
        <v>714</v>
      </c>
      <c r="C361" s="275" t="s">
        <v>16</v>
      </c>
      <c r="D361" s="424">
        <v>0.2</v>
      </c>
      <c r="E361" s="291">
        <v>19.53</v>
      </c>
      <c r="F361" s="464">
        <f>D361*E361</f>
        <v>3.9060000000000006</v>
      </c>
    </row>
    <row r="362" spans="1:6" ht="28.5">
      <c r="A362" s="292" t="s">
        <v>636</v>
      </c>
      <c r="B362" s="275" t="s">
        <v>701</v>
      </c>
      <c r="C362" s="275" t="s">
        <v>16</v>
      </c>
      <c r="D362" s="424">
        <v>0.18</v>
      </c>
      <c r="E362" s="293">
        <v>15.19</v>
      </c>
      <c r="F362" s="424">
        <f>D362*E362</f>
        <v>2.7342</v>
      </c>
    </row>
    <row r="363" spans="1:6" ht="15">
      <c r="A363" s="292"/>
      <c r="B363" s="265" t="s">
        <v>537</v>
      </c>
      <c r="C363" s="259"/>
      <c r="D363" s="463"/>
      <c r="E363" s="464"/>
      <c r="F363" s="465">
        <f>SUM(F361:F362)</f>
        <v>6.6402000000000001</v>
      </c>
    </row>
    <row r="364" spans="1:6" ht="15">
      <c r="A364" s="292"/>
      <c r="B364" s="265" t="s">
        <v>535</v>
      </c>
      <c r="C364" s="259"/>
      <c r="D364" s="463"/>
      <c r="E364" s="464"/>
      <c r="F364" s="464"/>
    </row>
    <row r="365" spans="1:6" ht="42.75">
      <c r="A365" s="292" t="s">
        <v>762</v>
      </c>
      <c r="B365" s="275" t="s">
        <v>763</v>
      </c>
      <c r="C365" s="259" t="s">
        <v>101</v>
      </c>
      <c r="D365" s="463">
        <f>(1/3)</f>
        <v>0.33333333333333331</v>
      </c>
      <c r="E365" s="464">
        <v>131.99</v>
      </c>
      <c r="F365" s="464">
        <f>D365*E365</f>
        <v>43.99666666666667</v>
      </c>
    </row>
    <row r="366" spans="1:6">
      <c r="A366" s="292"/>
      <c r="B366" s="466"/>
      <c r="C366" s="259"/>
      <c r="D366" s="463"/>
      <c r="E366" s="464"/>
      <c r="F366" s="464">
        <f>F365</f>
        <v>43.99666666666667</v>
      </c>
    </row>
    <row r="367" spans="1:6" ht="15">
      <c r="A367" s="292"/>
      <c r="B367" s="265" t="s">
        <v>538</v>
      </c>
      <c r="C367" s="259"/>
      <c r="D367" s="463"/>
      <c r="E367" s="464"/>
      <c r="F367" s="465">
        <f>F366+F363</f>
        <v>50.63686666666667</v>
      </c>
    </row>
    <row r="368" spans="1:6" ht="15">
      <c r="A368" s="319"/>
      <c r="B368" s="319"/>
      <c r="C368" s="319"/>
      <c r="D368" s="319"/>
      <c r="E368" s="319"/>
      <c r="F368" s="319"/>
    </row>
    <row r="369" spans="1:6" ht="24">
      <c r="A369" s="453">
        <v>44477</v>
      </c>
      <c r="B369" s="454" t="s">
        <v>764</v>
      </c>
      <c r="C369" s="455">
        <v>159.97</v>
      </c>
      <c r="D369" s="456" t="s">
        <v>765</v>
      </c>
      <c r="E369" s="457" t="s">
        <v>766</v>
      </c>
      <c r="F369" s="467" t="s">
        <v>767</v>
      </c>
    </row>
    <row r="370" spans="1:6" ht="24">
      <c r="A370" s="453">
        <v>44477</v>
      </c>
      <c r="B370" s="454" t="s">
        <v>768</v>
      </c>
      <c r="C370" s="455">
        <v>105</v>
      </c>
      <c r="D370" s="456" t="s">
        <v>769</v>
      </c>
      <c r="E370" s="458" t="s">
        <v>770</v>
      </c>
      <c r="F370" s="467" t="s">
        <v>771</v>
      </c>
    </row>
    <row r="371" spans="1:6" ht="15">
      <c r="A371" s="453">
        <v>44477</v>
      </c>
      <c r="B371" s="454" t="s">
        <v>772</v>
      </c>
      <c r="C371" s="455">
        <v>131</v>
      </c>
      <c r="D371" s="460" t="s">
        <v>773</v>
      </c>
      <c r="E371" s="461" t="s">
        <v>774</v>
      </c>
      <c r="F371" s="468" t="s">
        <v>775</v>
      </c>
    </row>
    <row r="372" spans="1:6" ht="15">
      <c r="C372" s="469">
        <f>SUM(C369:C371)/3</f>
        <v>131.99</v>
      </c>
    </row>
    <row r="373" spans="1:6" ht="15">
      <c r="A373" s="318"/>
      <c r="B373" s="319"/>
      <c r="C373" s="319"/>
      <c r="D373" s="449"/>
      <c r="E373" s="449"/>
      <c r="F373" s="319"/>
    </row>
    <row r="374" spans="1:6" ht="56.25">
      <c r="A374" s="290" t="s">
        <v>362</v>
      </c>
      <c r="B374" s="436" t="s">
        <v>364</v>
      </c>
      <c r="C374" s="259"/>
      <c r="D374" s="463"/>
      <c r="E374" s="464"/>
      <c r="F374" s="464"/>
    </row>
    <row r="375" spans="1:6">
      <c r="A375" s="292"/>
      <c r="B375" s="271" t="s">
        <v>534</v>
      </c>
      <c r="C375" s="259"/>
      <c r="D375" s="463"/>
      <c r="E375" s="464"/>
      <c r="F375" s="464"/>
    </row>
    <row r="376" spans="1:6" ht="15">
      <c r="A376" s="292"/>
      <c r="B376" s="265" t="s">
        <v>548</v>
      </c>
      <c r="C376" s="259"/>
      <c r="D376" s="463"/>
      <c r="E376" s="464"/>
      <c r="F376" s="464"/>
    </row>
    <row r="377" spans="1:6" ht="28.5">
      <c r="A377" s="292" t="s">
        <v>634</v>
      </c>
      <c r="B377" s="275" t="s">
        <v>714</v>
      </c>
      <c r="C377" s="275" t="s">
        <v>16</v>
      </c>
      <c r="D377" s="424">
        <v>0.12</v>
      </c>
      <c r="E377" s="291">
        <v>19.53</v>
      </c>
      <c r="F377" s="464">
        <f>D377*E377</f>
        <v>2.3435999999999999</v>
      </c>
    </row>
    <row r="378" spans="1:6" ht="28.5">
      <c r="A378" s="292" t="s">
        <v>636</v>
      </c>
      <c r="B378" s="275" t="s">
        <v>701</v>
      </c>
      <c r="C378" s="275" t="s">
        <v>16</v>
      </c>
      <c r="D378" s="424">
        <v>0.12</v>
      </c>
      <c r="E378" s="293">
        <v>15.19</v>
      </c>
      <c r="F378" s="424">
        <f>D378*E378</f>
        <v>1.8228</v>
      </c>
    </row>
    <row r="379" spans="1:6" ht="15">
      <c r="A379" s="292"/>
      <c r="B379" s="265" t="s">
        <v>537</v>
      </c>
      <c r="C379" s="259"/>
      <c r="D379" s="463"/>
      <c r="E379" s="464"/>
      <c r="F379" s="465">
        <f>SUM(F377:F378)</f>
        <v>4.1663999999999994</v>
      </c>
    </row>
    <row r="380" spans="1:6" ht="15">
      <c r="A380" s="292"/>
      <c r="B380" s="265" t="s">
        <v>535</v>
      </c>
      <c r="C380" s="259"/>
      <c r="D380" s="463"/>
      <c r="E380" s="464"/>
      <c r="F380" s="464"/>
    </row>
    <row r="381" spans="1:6" ht="71.25">
      <c r="A381" s="292" t="s">
        <v>776</v>
      </c>
      <c r="B381" s="275" t="s">
        <v>777</v>
      </c>
      <c r="C381" s="259" t="s">
        <v>101</v>
      </c>
      <c r="D381" s="463">
        <v>1</v>
      </c>
      <c r="E381" s="464">
        <v>16.09</v>
      </c>
      <c r="F381" s="464">
        <f>D381*E381</f>
        <v>16.09</v>
      </c>
    </row>
    <row r="382" spans="1:6">
      <c r="A382" s="292"/>
      <c r="B382" s="466"/>
      <c r="C382" s="259"/>
      <c r="D382" s="463"/>
      <c r="E382" s="464"/>
      <c r="F382" s="464">
        <f>F381</f>
        <v>16.09</v>
      </c>
    </row>
    <row r="383" spans="1:6" ht="15">
      <c r="A383" s="292"/>
      <c r="B383" s="265" t="s">
        <v>538</v>
      </c>
      <c r="C383" s="259"/>
      <c r="D383" s="463"/>
      <c r="E383" s="464"/>
      <c r="F383" s="465">
        <f>F382+F379</f>
        <v>20.256399999999999</v>
      </c>
    </row>
  </sheetData>
  <mergeCells count="3">
    <mergeCell ref="A2:F2"/>
    <mergeCell ref="A4:F4"/>
    <mergeCell ref="A261:F261"/>
  </mergeCells>
  <pageMargins left="0.511811024" right="0.511811024" top="0.78740157500000008" bottom="0.78740157500000008" header="0.31496062000000008" footer="0.31496062000000008"/>
  <pageSetup paperSize="9" fitToWidth="0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orcam</vt:lpstr>
      <vt:lpstr>conograma</vt:lpstr>
      <vt:lpstr>composições</vt:lpstr>
      <vt:lpstr>comp__eletrica</vt:lpstr>
      <vt:lpstr>composições!Area_de_impressao</vt:lpstr>
      <vt:lpstr>conograma!Area_de_impressao</vt:lpstr>
      <vt:lpstr>orcam!Area_de_impressao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Eduardo de Melo Martins</dc:creator>
  <cp:lastModifiedBy>Joao Vitor Caldas Cerqueira</cp:lastModifiedBy>
  <cp:revision>1</cp:revision>
  <cp:lastPrinted>2022-02-24T11:44:41Z</cp:lastPrinted>
  <dcterms:created xsi:type="dcterms:W3CDTF">2007-09-19T14:00:04Z</dcterms:created>
  <dcterms:modified xsi:type="dcterms:W3CDTF">2022-02-24T11:58:58Z</dcterms:modified>
</cp:coreProperties>
</file>