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c3de82b781d607ba/Área de Trabalho/"/>
    </mc:Choice>
  </mc:AlternateContent>
  <xr:revisionPtr revIDLastSave="9" documentId="8_{D889C081-D7F2-405E-8762-586C77F8CF62}" xr6:coauthVersionLast="47" xr6:coauthVersionMax="47" xr10:uidLastSave="{B66D729C-D21E-4FFD-9CA2-D1D5BDAB3384}"/>
  <bookViews>
    <workbookView xWindow="-108" yWindow="-108" windowWidth="23256" windowHeight="12576" activeTab="4" xr2:uid="{00000000-000D-0000-FFFF-FFFF00000000}"/>
  </bookViews>
  <sheets>
    <sheet name="orcam" sheetId="2" r:id="rId1"/>
    <sheet name="cronograma" sheetId="3" r:id="rId2"/>
    <sheet name="BDI" sheetId="6" r:id="rId3"/>
    <sheet name="ESCALA SALARIAL" sheetId="8" r:id="rId4"/>
    <sheet name="ENC. SOCIAIS" sheetId="7" r:id="rId5"/>
    <sheet name="CPU" sheetId="1" r:id="rId6"/>
    <sheet name="composições" sheetId="4" r:id="rId7"/>
    <sheet name="comp__eletrica" sheetId="5" r:id="rId8"/>
  </sheets>
  <externalReferences>
    <externalReference r:id="rId9"/>
  </externalReferences>
  <definedNames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 hidden="1">0</definedName>
    <definedName name="_Order2" hidden="1">0</definedName>
    <definedName name="_Sort" localSheetId="4" hidden="1">#REF!</definedName>
    <definedName name="_Sort" hidden="1">#REF!</definedName>
    <definedName name="A" hidden="1">#REF!</definedName>
    <definedName name="_xlnm.Print_Area" localSheetId="2">BDI!$A$1:$I$34</definedName>
    <definedName name="_xlnm.Print_Area" localSheetId="7">comp__eletrica!$A$1:$F$387</definedName>
    <definedName name="_xlnm.Print_Area" localSheetId="6">composições!$A$1:$F$198</definedName>
    <definedName name="_xlnm.Print_Area" localSheetId="1">cronograma!$A$1:$Q$49</definedName>
    <definedName name="_xlnm.Print_Area" localSheetId="3">'ESCALA SALARIAL'!$A$1:$D$35</definedName>
    <definedName name="_xlnm.Print_Area" localSheetId="0">orcam!$A$1:$H$323</definedName>
    <definedName name="AS">#REF!</definedName>
    <definedName name="CPUSINAPI">#REF!</definedName>
    <definedName name="ddddddddd" localSheetId="3" hidden="1">{"'1'!$A$2:$G$13"}</definedName>
    <definedName name="ddddddddd" hidden="1">{"'1'!$A$2:$G$13"}</definedName>
    <definedName name="ddddddddddddd" hidden="1">#REF!</definedName>
    <definedName name="dfs">#REF!</definedName>
    <definedName name="DSD" hidden="1">#REF!</definedName>
    <definedName name="DSDSD" hidden="1">#REF!</definedName>
    <definedName name="dsf" hidden="1">#REF!</definedName>
    <definedName name="fs" hidden="1">#REF!</definedName>
    <definedName name="HTML_CodePage" hidden="1">1252</definedName>
    <definedName name="HTML_Control" localSheetId="4" hidden="1">{"'1'!$A$2:$G$13"}</definedName>
    <definedName name="HTML_Control" localSheetId="3" hidden="1">{"'1'!$A$2:$G$13"}</definedName>
    <definedName name="HTML_Control" hidden="1">{"'1'!$A$2:$G$13"}</definedName>
    <definedName name="HTML_Description" hidden="1">""</definedName>
    <definedName name="HTML_Email" hidden="1">"marcos@highway.com.br"</definedName>
    <definedName name="HTML_Header" hidden="1">"1"</definedName>
    <definedName name="HTML_LastUpdate" hidden="1">"15/08/97"</definedName>
    <definedName name="HTML_LineAfter" hidden="1">TRUE</definedName>
    <definedName name="HTML_LineBefore" hidden="1">TRUE</definedName>
    <definedName name="HTML_Name" hidden="1">"PCRJ-SMO-CGC"</definedName>
    <definedName name="HTML_OBDlg2" hidden="1">TRUE</definedName>
    <definedName name="HTML_OBDlg4" hidden="1">TRUE</definedName>
    <definedName name="HTML_OS" hidden="1">0</definedName>
    <definedName name="HTML_PathFile" hidden="1">"C:\0marcos\MeuHTML.htm"</definedName>
    <definedName name="HTML_Title" hidden="1">"factoring"</definedName>
    <definedName name="INSUMOSINAPI">#REF!</definedName>
    <definedName name="PLANILHACOLIDER" hidden="1">#REF!</definedName>
    <definedName name="sd" hidden="1">#REF!</definedName>
    <definedName name="sdf" hidden="1">#REF!</definedName>
    <definedName name="sssssssssssssssss" hidden="1">#REF!</definedName>
    <definedName name="_xlnm.Print_Titles" localSheetId="5">CPU!$1:$8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63" i="1" l="1"/>
  <c r="D44" i="7"/>
  <c r="C44" i="7"/>
  <c r="D39" i="7"/>
  <c r="C39" i="7"/>
  <c r="D31" i="7"/>
  <c r="C31" i="7"/>
  <c r="D18" i="7"/>
  <c r="C18" i="7"/>
  <c r="D46" i="7" l="1"/>
  <c r="C46" i="7"/>
  <c r="A4" i="6" l="1"/>
  <c r="E19" i="6"/>
  <c r="E16" i="6"/>
  <c r="E25" i="6" s="1"/>
  <c r="E10" i="6"/>
  <c r="J968" i="1"/>
  <c r="I966" i="1" s="1"/>
  <c r="F276" i="2" s="1"/>
  <c r="G276" i="2" s="1"/>
  <c r="J967" i="1"/>
  <c r="J964" i="1"/>
  <c r="J962" i="1"/>
  <c r="J961" i="1"/>
  <c r="J960" i="1"/>
  <c r="I959" i="1" s="1"/>
  <c r="F313" i="2" s="1"/>
  <c r="G313" i="2" s="1"/>
  <c r="J958" i="1"/>
  <c r="J957" i="1"/>
  <c r="J956" i="1"/>
  <c r="J955" i="1"/>
  <c r="J953" i="1"/>
  <c r="J952" i="1"/>
  <c r="J951" i="1"/>
  <c r="J950" i="1"/>
  <c r="J948" i="1"/>
  <c r="J947" i="1"/>
  <c r="J946" i="1"/>
  <c r="J945" i="1"/>
  <c r="J944" i="1"/>
  <c r="J942" i="1"/>
  <c r="J941" i="1"/>
  <c r="J940" i="1"/>
  <c r="I939" i="1" s="1"/>
  <c r="F294" i="2" s="1"/>
  <c r="G294" i="2" s="1"/>
  <c r="J938" i="1"/>
  <c r="J937" i="1"/>
  <c r="J936" i="1"/>
  <c r="J935" i="1"/>
  <c r="J934" i="1"/>
  <c r="J932" i="1"/>
  <c r="J931" i="1"/>
  <c r="J930" i="1"/>
  <c r="J929" i="1"/>
  <c r="J927" i="1"/>
  <c r="J926" i="1"/>
  <c r="J925" i="1"/>
  <c r="J924" i="1"/>
  <c r="J923" i="1"/>
  <c r="J922" i="1"/>
  <c r="J921" i="1"/>
  <c r="J920" i="1"/>
  <c r="J919" i="1"/>
  <c r="J917" i="1"/>
  <c r="J916" i="1"/>
  <c r="J915" i="1"/>
  <c r="J914" i="1"/>
  <c r="J913" i="1"/>
  <c r="J912" i="1"/>
  <c r="J911" i="1"/>
  <c r="J910" i="1"/>
  <c r="I908" i="1" s="1"/>
  <c r="F277" i="2" s="1"/>
  <c r="G277" i="2" s="1"/>
  <c r="J909" i="1"/>
  <c r="J907" i="1"/>
  <c r="J906" i="1"/>
  <c r="J905" i="1"/>
  <c r="J904" i="1"/>
  <c r="J903" i="1"/>
  <c r="I902" i="1" s="1"/>
  <c r="F275" i="2" s="1"/>
  <c r="G275" i="2" s="1"/>
  <c r="J901" i="1"/>
  <c r="J900" i="1"/>
  <c r="J899" i="1"/>
  <c r="J898" i="1"/>
  <c r="J897" i="1"/>
  <c r="J896" i="1"/>
  <c r="J894" i="1"/>
  <c r="J893" i="1"/>
  <c r="J892" i="1"/>
  <c r="J891" i="1"/>
  <c r="J890" i="1"/>
  <c r="J888" i="1"/>
  <c r="J887" i="1"/>
  <c r="J886" i="1"/>
  <c r="J885" i="1"/>
  <c r="J884" i="1"/>
  <c r="I883" i="1" s="1"/>
  <c r="F272" i="2" s="1"/>
  <c r="G272" i="2" s="1"/>
  <c r="J882" i="1"/>
  <c r="J881" i="1"/>
  <c r="J880" i="1"/>
  <c r="J879" i="1"/>
  <c r="J878" i="1"/>
  <c r="J877" i="1"/>
  <c r="J875" i="1"/>
  <c r="J874" i="1"/>
  <c r="J873" i="1"/>
  <c r="J872" i="1"/>
  <c r="J871" i="1"/>
  <c r="J869" i="1"/>
  <c r="J868" i="1"/>
  <c r="J867" i="1"/>
  <c r="J866" i="1"/>
  <c r="J865" i="1"/>
  <c r="J863" i="1"/>
  <c r="J862" i="1"/>
  <c r="J861" i="1"/>
  <c r="J860" i="1"/>
  <c r="J859" i="1"/>
  <c r="J857" i="1"/>
  <c r="J856" i="1"/>
  <c r="J855" i="1"/>
  <c r="J854" i="1"/>
  <c r="J853" i="1"/>
  <c r="I851" i="1" s="1"/>
  <c r="F267" i="2" s="1"/>
  <c r="G267" i="2" s="1"/>
  <c r="J852" i="1"/>
  <c r="J850" i="1"/>
  <c r="J849" i="1"/>
  <c r="J848" i="1"/>
  <c r="J847" i="1"/>
  <c r="J846" i="1"/>
  <c r="J845" i="1"/>
  <c r="J843" i="1"/>
  <c r="I839" i="1" s="1"/>
  <c r="F265" i="2" s="1"/>
  <c r="G265" i="2" s="1"/>
  <c r="J842" i="1"/>
  <c r="J841" i="1"/>
  <c r="J840" i="1"/>
  <c r="J838" i="1"/>
  <c r="J837" i="1"/>
  <c r="J836" i="1"/>
  <c r="J835" i="1"/>
  <c r="J834" i="1"/>
  <c r="J833" i="1"/>
  <c r="J831" i="1"/>
  <c r="J830" i="1"/>
  <c r="J829" i="1"/>
  <c r="J827" i="1"/>
  <c r="J826" i="1"/>
  <c r="J825" i="1"/>
  <c r="J824" i="1"/>
  <c r="I819" i="1" s="1"/>
  <c r="F262" i="2" s="1"/>
  <c r="G262" i="2" s="1"/>
  <c r="J823" i="1"/>
  <c r="J822" i="1"/>
  <c r="J821" i="1"/>
  <c r="J820" i="1"/>
  <c r="J818" i="1"/>
  <c r="J817" i="1"/>
  <c r="J815" i="1"/>
  <c r="J814" i="1"/>
  <c r="I809" i="1" s="1"/>
  <c r="F260" i="2" s="1"/>
  <c r="G260" i="2" s="1"/>
  <c r="J813" i="1"/>
  <c r="J812" i="1"/>
  <c r="J811" i="1"/>
  <c r="J810" i="1"/>
  <c r="J808" i="1"/>
  <c r="J807" i="1"/>
  <c r="J806" i="1"/>
  <c r="J805" i="1"/>
  <c r="J804" i="1"/>
  <c r="J803" i="1"/>
  <c r="J802" i="1"/>
  <c r="J801" i="1"/>
  <c r="J800" i="1"/>
  <c r="J799" i="1"/>
  <c r="J797" i="1"/>
  <c r="J796" i="1"/>
  <c r="I794" i="1" s="1"/>
  <c r="F258" i="2" s="1"/>
  <c r="G258" i="2" s="1"/>
  <c r="J795" i="1"/>
  <c r="J793" i="1"/>
  <c r="J792" i="1"/>
  <c r="J791" i="1"/>
  <c r="J789" i="1"/>
  <c r="J788" i="1"/>
  <c r="J787" i="1"/>
  <c r="J785" i="1"/>
  <c r="I782" i="1" s="1"/>
  <c r="F254" i="2" s="1"/>
  <c r="G254" i="2" s="1"/>
  <c r="J784" i="1"/>
  <c r="J783" i="1"/>
  <c r="J781" i="1"/>
  <c r="J780" i="1"/>
  <c r="J779" i="1"/>
  <c r="J778" i="1"/>
  <c r="J776" i="1"/>
  <c r="J775" i="1"/>
  <c r="J774" i="1"/>
  <c r="J773" i="1"/>
  <c r="J772" i="1"/>
  <c r="J771" i="1"/>
  <c r="J769" i="1"/>
  <c r="J768" i="1"/>
  <c r="J767" i="1"/>
  <c r="J766" i="1"/>
  <c r="I763" i="1" s="1"/>
  <c r="F251" i="2" s="1"/>
  <c r="G251" i="2" s="1"/>
  <c r="J765" i="1"/>
  <c r="J764" i="1"/>
  <c r="J762" i="1"/>
  <c r="J761" i="1"/>
  <c r="J760" i="1"/>
  <c r="J759" i="1"/>
  <c r="J758" i="1"/>
  <c r="J757" i="1"/>
  <c r="J755" i="1"/>
  <c r="J754" i="1"/>
  <c r="J753" i="1"/>
  <c r="J752" i="1"/>
  <c r="J751" i="1"/>
  <c r="J750" i="1"/>
  <c r="J748" i="1"/>
  <c r="J747" i="1"/>
  <c r="J746" i="1"/>
  <c r="J745" i="1"/>
  <c r="J744" i="1"/>
  <c r="J743" i="1"/>
  <c r="J741" i="1"/>
  <c r="J740" i="1"/>
  <c r="J739" i="1"/>
  <c r="J738" i="1"/>
  <c r="I735" i="1" s="1"/>
  <c r="F247" i="2" s="1"/>
  <c r="G247" i="2" s="1"/>
  <c r="J737" i="1"/>
  <c r="J736" i="1"/>
  <c r="J734" i="1"/>
  <c r="J733" i="1"/>
  <c r="J732" i="1"/>
  <c r="J731" i="1"/>
  <c r="J730" i="1"/>
  <c r="J729" i="1"/>
  <c r="J727" i="1"/>
  <c r="J726" i="1"/>
  <c r="J725" i="1"/>
  <c r="J724" i="1"/>
  <c r="J723" i="1"/>
  <c r="J722" i="1"/>
  <c r="J720" i="1"/>
  <c r="J719" i="1"/>
  <c r="J718" i="1"/>
  <c r="J717" i="1"/>
  <c r="J716" i="1"/>
  <c r="J715" i="1"/>
  <c r="J713" i="1"/>
  <c r="J712" i="1"/>
  <c r="J711" i="1"/>
  <c r="J710" i="1"/>
  <c r="I707" i="1" s="1"/>
  <c r="F243" i="2" s="1"/>
  <c r="G243" i="2" s="1"/>
  <c r="J709" i="1"/>
  <c r="J708" i="1"/>
  <c r="J706" i="1"/>
  <c r="J705" i="1"/>
  <c r="J704" i="1"/>
  <c r="J703" i="1"/>
  <c r="J702" i="1"/>
  <c r="J700" i="1"/>
  <c r="J699" i="1"/>
  <c r="J698" i="1"/>
  <c r="J697" i="1"/>
  <c r="J695" i="1"/>
  <c r="J694" i="1"/>
  <c r="J693" i="1"/>
  <c r="J692" i="1"/>
  <c r="I691" i="1" s="1"/>
  <c r="F240" i="2" s="1"/>
  <c r="G240" i="2" s="1"/>
  <c r="J690" i="1"/>
  <c r="J689" i="1"/>
  <c r="J688" i="1"/>
  <c r="J686" i="1"/>
  <c r="J685" i="1"/>
  <c r="J684" i="1"/>
  <c r="J682" i="1"/>
  <c r="J681" i="1"/>
  <c r="J680" i="1"/>
  <c r="I678" i="1" s="1"/>
  <c r="F237" i="2" s="1"/>
  <c r="G237" i="2" s="1"/>
  <c r="J679" i="1"/>
  <c r="J677" i="1"/>
  <c r="J676" i="1"/>
  <c r="J675" i="1"/>
  <c r="J674" i="1"/>
  <c r="J672" i="1"/>
  <c r="J671" i="1"/>
  <c r="J670" i="1"/>
  <c r="I666" i="1" s="1"/>
  <c r="F235" i="2" s="1"/>
  <c r="G235" i="2" s="1"/>
  <c r="J669" i="1"/>
  <c r="J668" i="1"/>
  <c r="J667" i="1"/>
  <c r="J665" i="1"/>
  <c r="J664" i="1"/>
  <c r="J663" i="1"/>
  <c r="J662" i="1"/>
  <c r="J661" i="1"/>
  <c r="J660" i="1"/>
  <c r="J658" i="1"/>
  <c r="J657" i="1"/>
  <c r="J656" i="1"/>
  <c r="J655" i="1"/>
  <c r="J653" i="1"/>
  <c r="J652" i="1"/>
  <c r="J651" i="1"/>
  <c r="J650" i="1"/>
  <c r="J648" i="1"/>
  <c r="J647" i="1"/>
  <c r="J646" i="1"/>
  <c r="J645" i="1"/>
  <c r="J643" i="1"/>
  <c r="J642" i="1"/>
  <c r="J641" i="1"/>
  <c r="I639" i="1" s="1"/>
  <c r="F230" i="2" s="1"/>
  <c r="G230" i="2" s="1"/>
  <c r="J640" i="1"/>
  <c r="J638" i="1"/>
  <c r="J637" i="1"/>
  <c r="J636" i="1"/>
  <c r="J635" i="1"/>
  <c r="J633" i="1"/>
  <c r="J632" i="1"/>
  <c r="J631" i="1"/>
  <c r="J630" i="1"/>
  <c r="J629" i="1"/>
  <c r="J627" i="1"/>
  <c r="J626" i="1"/>
  <c r="J625" i="1"/>
  <c r="J624" i="1"/>
  <c r="I623" i="1" s="1"/>
  <c r="F226" i="2" s="1"/>
  <c r="G226" i="2" s="1"/>
  <c r="I949" i="1"/>
  <c r="F311" i="2" s="1"/>
  <c r="G311" i="2" s="1"/>
  <c r="I864" i="1"/>
  <c r="F269" i="2" s="1"/>
  <c r="G269" i="2" s="1"/>
  <c r="I654" i="1"/>
  <c r="F233" i="2" s="1"/>
  <c r="G233" i="2" s="1"/>
  <c r="I928" i="1" l="1"/>
  <c r="F280" i="2" s="1"/>
  <c r="G280" i="2" s="1"/>
  <c r="I786" i="1"/>
  <c r="F255" i="2" s="1"/>
  <c r="G255" i="2" s="1"/>
  <c r="I844" i="1"/>
  <c r="F266" i="2" s="1"/>
  <c r="G266" i="2" s="1"/>
  <c r="I918" i="1"/>
  <c r="F278" i="2" s="1"/>
  <c r="G278" i="2" s="1"/>
  <c r="I644" i="1"/>
  <c r="F231" i="2" s="1"/>
  <c r="G231" i="2" s="1"/>
  <c r="I673" i="1"/>
  <c r="F236" i="2" s="1"/>
  <c r="G236" i="2" s="1"/>
  <c r="I721" i="1"/>
  <c r="F245" i="2" s="1"/>
  <c r="G245" i="2" s="1"/>
  <c r="I749" i="1"/>
  <c r="F249" i="2" s="1"/>
  <c r="G249" i="2" s="1"/>
  <c r="I777" i="1"/>
  <c r="F253" i="2" s="1"/>
  <c r="G253" i="2" s="1"/>
  <c r="I798" i="1"/>
  <c r="F259" i="2" s="1"/>
  <c r="G259" i="2" s="1"/>
  <c r="I816" i="1"/>
  <c r="F261" i="2" s="1"/>
  <c r="G261" i="2" s="1"/>
  <c r="I696" i="1"/>
  <c r="F241" i="2" s="1"/>
  <c r="G241" i="2" s="1"/>
  <c r="I858" i="1"/>
  <c r="F268" i="2" s="1"/>
  <c r="G268" i="2" s="1"/>
  <c r="I895" i="1"/>
  <c r="F274" i="2" s="1"/>
  <c r="G274" i="2" s="1"/>
  <c r="I933" i="1"/>
  <c r="F290" i="2" s="1"/>
  <c r="G290" i="2" s="1"/>
  <c r="I943" i="1"/>
  <c r="F295" i="2" s="1"/>
  <c r="G295" i="2" s="1"/>
  <c r="I628" i="1"/>
  <c r="F227" i="2" s="1"/>
  <c r="G227" i="2" s="1"/>
  <c r="I659" i="1"/>
  <c r="F234" i="2" s="1"/>
  <c r="G234" i="2" s="1"/>
  <c r="I687" i="1"/>
  <c r="F239" i="2" s="1"/>
  <c r="G239" i="2" s="1"/>
  <c r="I832" i="1"/>
  <c r="F264" i="2" s="1"/>
  <c r="G264" i="2" s="1"/>
  <c r="I870" i="1"/>
  <c r="F270" i="2" s="1"/>
  <c r="G270" i="2" s="1"/>
  <c r="I954" i="1"/>
  <c r="F312" i="2" s="1"/>
  <c r="G312" i="2" s="1"/>
  <c r="I634" i="1"/>
  <c r="F229" i="2" s="1"/>
  <c r="G229" i="2" s="1"/>
  <c r="I683" i="1"/>
  <c r="F238" i="2" s="1"/>
  <c r="G238" i="2" s="1"/>
  <c r="I701" i="1"/>
  <c r="F242" i="2" s="1"/>
  <c r="G242" i="2" s="1"/>
  <c r="I714" i="1"/>
  <c r="F244" i="2" s="1"/>
  <c r="G244" i="2" s="1"/>
  <c r="I728" i="1"/>
  <c r="F246" i="2" s="1"/>
  <c r="G246" i="2" s="1"/>
  <c r="I742" i="1"/>
  <c r="F248" i="2" s="1"/>
  <c r="G248" i="2" s="1"/>
  <c r="I756" i="1"/>
  <c r="F250" i="2" s="1"/>
  <c r="G250" i="2" s="1"/>
  <c r="I770" i="1"/>
  <c r="F252" i="2" s="1"/>
  <c r="G252" i="2" s="1"/>
  <c r="I790" i="1"/>
  <c r="F257" i="2" s="1"/>
  <c r="G257" i="2" s="1"/>
  <c r="I828" i="1"/>
  <c r="F263" i="2" s="1"/>
  <c r="G263" i="2" s="1"/>
  <c r="I876" i="1"/>
  <c r="F271" i="2" s="1"/>
  <c r="G271" i="2" s="1"/>
  <c r="I889" i="1"/>
  <c r="F273" i="2" s="1"/>
  <c r="G273" i="2" s="1"/>
  <c r="I649" i="1"/>
  <c r="F232" i="2" s="1"/>
  <c r="G232" i="2" s="1"/>
  <c r="J622" i="1"/>
  <c r="J621" i="1"/>
  <c r="J620" i="1"/>
  <c r="J619" i="1"/>
  <c r="J618" i="1"/>
  <c r="J617" i="1"/>
  <c r="J616" i="1"/>
  <c r="J614" i="1"/>
  <c r="J613" i="1"/>
  <c r="J612" i="1"/>
  <c r="J611" i="1"/>
  <c r="J609" i="1"/>
  <c r="J608" i="1"/>
  <c r="J607" i="1"/>
  <c r="J606" i="1"/>
  <c r="J605" i="1"/>
  <c r="J604" i="1"/>
  <c r="J603" i="1"/>
  <c r="J601" i="1"/>
  <c r="J600" i="1"/>
  <c r="J599" i="1"/>
  <c r="J597" i="1"/>
  <c r="J596" i="1"/>
  <c r="J595" i="1"/>
  <c r="J593" i="1"/>
  <c r="J592" i="1"/>
  <c r="J591" i="1"/>
  <c r="J589" i="1"/>
  <c r="J588" i="1"/>
  <c r="J587" i="1"/>
  <c r="J585" i="1"/>
  <c r="J584" i="1"/>
  <c r="J583" i="1"/>
  <c r="J581" i="1"/>
  <c r="J580" i="1"/>
  <c r="J579" i="1"/>
  <c r="J577" i="1"/>
  <c r="J576" i="1"/>
  <c r="J575" i="1"/>
  <c r="J574" i="1"/>
  <c r="J572" i="1"/>
  <c r="J571" i="1"/>
  <c r="J570" i="1"/>
  <c r="J569" i="1"/>
  <c r="J568" i="1"/>
  <c r="J567" i="1"/>
  <c r="J566" i="1"/>
  <c r="J565" i="1"/>
  <c r="J564" i="1"/>
  <c r="J562" i="1"/>
  <c r="J561" i="1"/>
  <c r="J560" i="1"/>
  <c r="J559" i="1"/>
  <c r="J557" i="1"/>
  <c r="J556" i="1"/>
  <c r="J554" i="1"/>
  <c r="J553" i="1"/>
  <c r="J551" i="1"/>
  <c r="J550" i="1"/>
  <c r="J548" i="1"/>
  <c r="J547" i="1"/>
  <c r="J546" i="1"/>
  <c r="J545" i="1"/>
  <c r="J543" i="1"/>
  <c r="J542" i="1"/>
  <c r="J541" i="1"/>
  <c r="J539" i="1"/>
  <c r="J538" i="1"/>
  <c r="J537" i="1"/>
  <c r="J536" i="1"/>
  <c r="J534" i="1"/>
  <c r="J533" i="1"/>
  <c r="J532" i="1"/>
  <c r="J531" i="1"/>
  <c r="J529" i="1"/>
  <c r="J528" i="1"/>
  <c r="J527" i="1"/>
  <c r="J526" i="1"/>
  <c r="J524" i="1"/>
  <c r="J523" i="1"/>
  <c r="J522" i="1"/>
  <c r="J521" i="1"/>
  <c r="J519" i="1"/>
  <c r="J518" i="1"/>
  <c r="J517" i="1"/>
  <c r="J516" i="1"/>
  <c r="J514" i="1"/>
  <c r="J513" i="1"/>
  <c r="J512" i="1"/>
  <c r="J511" i="1"/>
  <c r="J509" i="1"/>
  <c r="J508" i="1"/>
  <c r="J507" i="1"/>
  <c r="J506" i="1"/>
  <c r="J504" i="1"/>
  <c r="J503" i="1"/>
  <c r="J502" i="1"/>
  <c r="J501" i="1"/>
  <c r="J500" i="1"/>
  <c r="J499" i="1"/>
  <c r="J498" i="1"/>
  <c r="J496" i="1"/>
  <c r="J495" i="1"/>
  <c r="J494" i="1"/>
  <c r="J492" i="1"/>
  <c r="J491" i="1"/>
  <c r="J490" i="1"/>
  <c r="J489" i="1"/>
  <c r="J487" i="1"/>
  <c r="J486" i="1"/>
  <c r="J485" i="1"/>
  <c r="J484" i="1"/>
  <c r="J482" i="1"/>
  <c r="J481" i="1"/>
  <c r="J480" i="1"/>
  <c r="J479" i="1"/>
  <c r="J477" i="1"/>
  <c r="J476" i="1"/>
  <c r="J475" i="1"/>
  <c r="J474" i="1"/>
  <c r="J472" i="1"/>
  <c r="J471" i="1"/>
  <c r="J470" i="1"/>
  <c r="J469" i="1"/>
  <c r="J467" i="1"/>
  <c r="J466" i="1"/>
  <c r="J465" i="1"/>
  <c r="J464" i="1"/>
  <c r="J462" i="1"/>
  <c r="J461" i="1"/>
  <c r="J460" i="1"/>
  <c r="J459" i="1"/>
  <c r="J457" i="1"/>
  <c r="J456" i="1"/>
  <c r="J455" i="1"/>
  <c r="J454" i="1"/>
  <c r="J452" i="1"/>
  <c r="J451" i="1"/>
  <c r="J450" i="1"/>
  <c r="J449" i="1"/>
  <c r="J447" i="1"/>
  <c r="J446" i="1"/>
  <c r="J445" i="1"/>
  <c r="J443" i="1"/>
  <c r="J442" i="1"/>
  <c r="J441" i="1"/>
  <c r="J439" i="1"/>
  <c r="J438" i="1"/>
  <c r="J436" i="1"/>
  <c r="J435" i="1"/>
  <c r="J433" i="1"/>
  <c r="J432" i="1"/>
  <c r="J430" i="1"/>
  <c r="J429" i="1"/>
  <c r="J427" i="1"/>
  <c r="J426" i="1"/>
  <c r="J424" i="1"/>
  <c r="J423" i="1"/>
  <c r="J421" i="1"/>
  <c r="J420" i="1"/>
  <c r="J418" i="1"/>
  <c r="J417" i="1"/>
  <c r="J416" i="1"/>
  <c r="J415" i="1"/>
  <c r="J413" i="1"/>
  <c r="J412" i="1"/>
  <c r="J411" i="1"/>
  <c r="J409" i="1"/>
  <c r="J408" i="1"/>
  <c r="J407" i="1"/>
  <c r="J405" i="1"/>
  <c r="J404" i="1"/>
  <c r="J403" i="1"/>
  <c r="J402" i="1"/>
  <c r="J401" i="1"/>
  <c r="J399" i="1"/>
  <c r="J398" i="1"/>
  <c r="J397" i="1"/>
  <c r="J396" i="1"/>
  <c r="J395" i="1"/>
  <c r="J393" i="1"/>
  <c r="J392" i="1"/>
  <c r="J390" i="1"/>
  <c r="J389" i="1"/>
  <c r="J388" i="1"/>
  <c r="J387" i="1"/>
  <c r="J385" i="1"/>
  <c r="J384" i="1"/>
  <c r="J383" i="1"/>
  <c r="J382" i="1"/>
  <c r="J380" i="1"/>
  <c r="J379" i="1"/>
  <c r="J378" i="1"/>
  <c r="J376" i="1"/>
  <c r="J375" i="1"/>
  <c r="J374" i="1"/>
  <c r="J373" i="1"/>
  <c r="F307" i="2" l="1"/>
  <c r="G307" i="2" s="1"/>
  <c r="I615" i="1"/>
  <c r="F225" i="2" s="1"/>
  <c r="G225" i="2" s="1"/>
  <c r="I610" i="1"/>
  <c r="F224" i="2" s="1"/>
  <c r="G224" i="2" s="1"/>
  <c r="I602" i="1"/>
  <c r="F217" i="2" s="1"/>
  <c r="G217" i="2" s="1"/>
  <c r="I598" i="1"/>
  <c r="F207" i="2" s="1"/>
  <c r="G207" i="2" s="1"/>
  <c r="I594" i="1"/>
  <c r="F206" i="2" s="1"/>
  <c r="G206" i="2" s="1"/>
  <c r="I590" i="1"/>
  <c r="F205" i="2" s="1"/>
  <c r="G205" i="2" s="1"/>
  <c r="I586" i="1"/>
  <c r="F204" i="2" s="1"/>
  <c r="G204" i="2" s="1"/>
  <c r="I582" i="1"/>
  <c r="F203" i="2" s="1"/>
  <c r="G203" i="2" s="1"/>
  <c r="I578" i="1"/>
  <c r="F201" i="2" s="1"/>
  <c r="G201" i="2" s="1"/>
  <c r="F196" i="2"/>
  <c r="G196" i="2" s="1"/>
  <c r="I535" i="1"/>
  <c r="F192" i="2" s="1"/>
  <c r="G192" i="2" s="1"/>
  <c r="I540" i="1"/>
  <c r="F180" i="2" s="1"/>
  <c r="G180" i="2" s="1"/>
  <c r="I544" i="1"/>
  <c r="F181" i="2" s="1"/>
  <c r="G181" i="2" s="1"/>
  <c r="I549" i="1"/>
  <c r="F182" i="2" s="1"/>
  <c r="G182" i="2" s="1"/>
  <c r="I552" i="1"/>
  <c r="F183" i="2" s="1"/>
  <c r="G183" i="2" s="1"/>
  <c r="I555" i="1"/>
  <c r="F184" i="2" s="1"/>
  <c r="G184" i="2" s="1"/>
  <c r="I558" i="1"/>
  <c r="F185" i="2" s="1"/>
  <c r="G185" i="2" s="1"/>
  <c r="I563" i="1"/>
  <c r="F186" i="2" s="1"/>
  <c r="G186" i="2" s="1"/>
  <c r="I530" i="1"/>
  <c r="F178" i="2" s="1"/>
  <c r="G178" i="2" s="1"/>
  <c r="I525" i="1"/>
  <c r="F177" i="2" s="1"/>
  <c r="G177" i="2" s="1"/>
  <c r="I520" i="1"/>
  <c r="F176" i="2" s="1"/>
  <c r="G176" i="2" s="1"/>
  <c r="I515" i="1"/>
  <c r="F175" i="2" s="1"/>
  <c r="G175" i="2" s="1"/>
  <c r="I510" i="1"/>
  <c r="F174" i="2" s="1"/>
  <c r="G174" i="2" s="1"/>
  <c r="I505" i="1"/>
  <c r="F173" i="2" s="1"/>
  <c r="G173" i="2" s="1"/>
  <c r="I497" i="1"/>
  <c r="B202" i="5"/>
  <c r="B195" i="5"/>
  <c r="F202" i="5"/>
  <c r="F203" i="5" s="1"/>
  <c r="F199" i="5"/>
  <c r="F198" i="5"/>
  <c r="I493" i="1"/>
  <c r="F167" i="2" s="1"/>
  <c r="G167" i="2" s="1"/>
  <c r="I488" i="1"/>
  <c r="F163" i="2" s="1"/>
  <c r="G163" i="2" s="1"/>
  <c r="I483" i="1"/>
  <c r="F162" i="2" s="1"/>
  <c r="G162" i="2" s="1"/>
  <c r="I478" i="1"/>
  <c r="F161" i="2" s="1"/>
  <c r="G161" i="2" s="1"/>
  <c r="I473" i="1"/>
  <c r="F160" i="2" s="1"/>
  <c r="I468" i="1"/>
  <c r="F159" i="2"/>
  <c r="G159" i="2" s="1"/>
  <c r="I463" i="1"/>
  <c r="F158" i="2" s="1"/>
  <c r="G158" i="2" s="1"/>
  <c r="I458" i="1"/>
  <c r="F157" i="2" s="1"/>
  <c r="G157" i="2" s="1"/>
  <c r="I453" i="1"/>
  <c r="F156" i="2" s="1"/>
  <c r="G156" i="2" s="1"/>
  <c r="I448" i="1"/>
  <c r="F154" i="2" s="1"/>
  <c r="G154" i="2" s="1"/>
  <c r="I444" i="1"/>
  <c r="F151" i="2" s="1"/>
  <c r="G151" i="2" s="1"/>
  <c r="I440" i="1"/>
  <c r="F150" i="2" s="1"/>
  <c r="G150" i="2" s="1"/>
  <c r="I437" i="1"/>
  <c r="F148" i="2" s="1"/>
  <c r="G148" i="2" s="1"/>
  <c r="I434" i="1"/>
  <c r="F147" i="2" s="1"/>
  <c r="G147" i="2" s="1"/>
  <c r="I431" i="1"/>
  <c r="F146" i="2" s="1"/>
  <c r="G146" i="2" s="1"/>
  <c r="I428" i="1"/>
  <c r="F145" i="2" s="1"/>
  <c r="G145" i="2" s="1"/>
  <c r="I425" i="1"/>
  <c r="F144" i="2" s="1"/>
  <c r="G144" i="2" s="1"/>
  <c r="I422" i="1"/>
  <c r="F143" i="2" s="1"/>
  <c r="G143" i="2" s="1"/>
  <c r="I419" i="1"/>
  <c r="I414" i="1"/>
  <c r="F140" i="2" s="1"/>
  <c r="G140" i="2" s="1"/>
  <c r="I410" i="1"/>
  <c r="F139" i="2" s="1"/>
  <c r="G139" i="2" s="1"/>
  <c r="I406" i="1"/>
  <c r="F138" i="2" s="1"/>
  <c r="G138" i="2" s="1"/>
  <c r="I400" i="1"/>
  <c r="F137" i="2" s="1"/>
  <c r="G137" i="2" s="1"/>
  <c r="I394" i="1"/>
  <c r="F136" i="2" s="1"/>
  <c r="G136" i="2" s="1"/>
  <c r="I372" i="1"/>
  <c r="F132" i="2" s="1"/>
  <c r="G132" i="2" s="1"/>
  <c r="I377" i="1"/>
  <c r="F133" i="2" s="1"/>
  <c r="G133" i="2" s="1"/>
  <c r="I381" i="1"/>
  <c r="F197" i="2" s="1"/>
  <c r="G197" i="2" s="1"/>
  <c r="I386" i="1"/>
  <c r="F125" i="2" s="1"/>
  <c r="G125" i="2" s="1"/>
  <c r="I391" i="1"/>
  <c r="J371" i="1"/>
  <c r="J370" i="1"/>
  <c r="J369" i="1"/>
  <c r="J368" i="1"/>
  <c r="J366" i="1"/>
  <c r="J365" i="1"/>
  <c r="J364" i="1"/>
  <c r="J363" i="1"/>
  <c r="J361" i="1"/>
  <c r="J360" i="1"/>
  <c r="J359" i="1"/>
  <c r="J358" i="1"/>
  <c r="J356" i="1"/>
  <c r="J355" i="1"/>
  <c r="J354" i="1"/>
  <c r="J353" i="1"/>
  <c r="J351" i="1"/>
  <c r="J350" i="1"/>
  <c r="J349" i="1"/>
  <c r="J348" i="1"/>
  <c r="J346" i="1"/>
  <c r="J345" i="1"/>
  <c r="J344" i="1"/>
  <c r="J343" i="1"/>
  <c r="J341" i="1"/>
  <c r="J340" i="1"/>
  <c r="I339" i="1" s="1"/>
  <c r="F120" i="2" s="1"/>
  <c r="G120" i="2" s="1"/>
  <c r="J338" i="1"/>
  <c r="J337" i="1"/>
  <c r="J336" i="1"/>
  <c r="J335" i="1"/>
  <c r="J333" i="1"/>
  <c r="J332" i="1"/>
  <c r="J331" i="1"/>
  <c r="J330" i="1"/>
  <c r="J329" i="1"/>
  <c r="J327" i="1"/>
  <c r="J326" i="1"/>
  <c r="J325" i="1"/>
  <c r="J323" i="1"/>
  <c r="J322" i="1"/>
  <c r="J321" i="1"/>
  <c r="J319" i="1"/>
  <c r="J318" i="1"/>
  <c r="J317" i="1"/>
  <c r="J315" i="1"/>
  <c r="J314" i="1"/>
  <c r="J313" i="1"/>
  <c r="J312" i="1"/>
  <c r="J310" i="1"/>
  <c r="J309" i="1"/>
  <c r="J308" i="1"/>
  <c r="J306" i="1"/>
  <c r="J305" i="1"/>
  <c r="J304" i="1"/>
  <c r="J302" i="1"/>
  <c r="J301" i="1"/>
  <c r="J300" i="1"/>
  <c r="J299" i="1"/>
  <c r="J298" i="1"/>
  <c r="J297" i="1"/>
  <c r="J296" i="1"/>
  <c r="J290" i="1"/>
  <c r="J294" i="1"/>
  <c r="J293" i="1"/>
  <c r="J292" i="1"/>
  <c r="J291" i="1"/>
  <c r="J288" i="1"/>
  <c r="J287" i="1"/>
  <c r="J285" i="1"/>
  <c r="J286" i="1"/>
  <c r="J284" i="1"/>
  <c r="J283" i="1"/>
  <c r="J281" i="1"/>
  <c r="J280" i="1"/>
  <c r="J279" i="1"/>
  <c r="J278" i="1"/>
  <c r="J277" i="1"/>
  <c r="J275" i="1"/>
  <c r="J274" i="1"/>
  <c r="J273" i="1"/>
  <c r="J272" i="1"/>
  <c r="J271" i="1"/>
  <c r="J270" i="1"/>
  <c r="J268" i="1"/>
  <c r="J267" i="1"/>
  <c r="J266" i="1"/>
  <c r="J265" i="1"/>
  <c r="J263" i="1"/>
  <c r="J262" i="1"/>
  <c r="J261" i="1"/>
  <c r="J260" i="1"/>
  <c r="J259" i="1"/>
  <c r="J258" i="1"/>
  <c r="J257" i="1"/>
  <c r="J255" i="1"/>
  <c r="J254" i="1"/>
  <c r="J253" i="1"/>
  <c r="J252" i="1"/>
  <c r="J251" i="1"/>
  <c r="J249" i="1"/>
  <c r="J248" i="1"/>
  <c r="J247" i="1"/>
  <c r="J246" i="1"/>
  <c r="J245" i="1"/>
  <c r="J243" i="1"/>
  <c r="J242" i="1"/>
  <c r="J241" i="1"/>
  <c r="J240" i="1"/>
  <c r="J239" i="1"/>
  <c r="J238" i="1"/>
  <c r="J237" i="1"/>
  <c r="J235" i="1"/>
  <c r="J234" i="1"/>
  <c r="J233" i="1"/>
  <c r="J232" i="1"/>
  <c r="J231" i="1"/>
  <c r="J229" i="1"/>
  <c r="J228" i="1"/>
  <c r="J227" i="1"/>
  <c r="J225" i="1"/>
  <c r="J224" i="1"/>
  <c r="J223" i="1"/>
  <c r="J221" i="1"/>
  <c r="J220" i="1"/>
  <c r="J219" i="1"/>
  <c r="J218" i="1"/>
  <c r="J217" i="1"/>
  <c r="J215" i="1"/>
  <c r="J214" i="1"/>
  <c r="J213" i="1"/>
  <c r="J212" i="1"/>
  <c r="J211" i="1"/>
  <c r="J209" i="1"/>
  <c r="J208" i="1"/>
  <c r="J207" i="1"/>
  <c r="J206" i="1"/>
  <c r="J205" i="1"/>
  <c r="J204" i="1"/>
  <c r="J202" i="1"/>
  <c r="J201" i="1"/>
  <c r="J200" i="1"/>
  <c r="J199" i="1"/>
  <c r="J198" i="1"/>
  <c r="J197" i="1"/>
  <c r="J195" i="1"/>
  <c r="J194" i="1"/>
  <c r="J193" i="1"/>
  <c r="J192" i="1"/>
  <c r="J190" i="1"/>
  <c r="J189" i="1"/>
  <c r="J188" i="1"/>
  <c r="J186" i="1"/>
  <c r="J185" i="1"/>
  <c r="J184" i="1"/>
  <c r="I183" i="1" s="1"/>
  <c r="F75" i="2" s="1"/>
  <c r="G75" i="2" s="1"/>
  <c r="J182" i="1"/>
  <c r="J181" i="1"/>
  <c r="J180" i="1"/>
  <c r="J178" i="1"/>
  <c r="J177" i="1"/>
  <c r="J176" i="1"/>
  <c r="I175" i="1" s="1"/>
  <c r="F73" i="2" s="1"/>
  <c r="G73" i="2" s="1"/>
  <c r="J174" i="1"/>
  <c r="J173" i="1"/>
  <c r="J172" i="1"/>
  <c r="J171" i="1"/>
  <c r="J170" i="1"/>
  <c r="J169" i="1"/>
  <c r="J168" i="1"/>
  <c r="J167" i="1"/>
  <c r="J165" i="1"/>
  <c r="J164" i="1"/>
  <c r="J163" i="1"/>
  <c r="J162" i="1"/>
  <c r="J161" i="1"/>
  <c r="J160" i="1"/>
  <c r="J159" i="1"/>
  <c r="J158" i="1"/>
  <c r="J157" i="1"/>
  <c r="J155" i="1"/>
  <c r="J154" i="1"/>
  <c r="J153" i="1"/>
  <c r="J152" i="1"/>
  <c r="J151" i="1"/>
  <c r="J150" i="1"/>
  <c r="I226" i="1"/>
  <c r="J148" i="1"/>
  <c r="J147" i="1"/>
  <c r="J146" i="1"/>
  <c r="J145" i="1"/>
  <c r="J144" i="1"/>
  <c r="J143" i="1"/>
  <c r="J141" i="1"/>
  <c r="J140" i="1"/>
  <c r="J139" i="1"/>
  <c r="J138" i="1"/>
  <c r="J137" i="1"/>
  <c r="J136" i="1"/>
  <c r="J135" i="1"/>
  <c r="J134" i="1"/>
  <c r="J132" i="1"/>
  <c r="J131" i="1"/>
  <c r="J130" i="1"/>
  <c r="J129" i="1"/>
  <c r="J128" i="1"/>
  <c r="J127" i="1"/>
  <c r="J125" i="1"/>
  <c r="J124" i="1"/>
  <c r="J123" i="1"/>
  <c r="J122" i="1"/>
  <c r="J121" i="1"/>
  <c r="J119" i="1"/>
  <c r="J118" i="1"/>
  <c r="J117" i="1"/>
  <c r="J116" i="1"/>
  <c r="J115" i="1"/>
  <c r="J113" i="1"/>
  <c r="J112" i="1"/>
  <c r="J111" i="1"/>
  <c r="J110" i="1"/>
  <c r="J109" i="1"/>
  <c r="J107" i="1"/>
  <c r="J106" i="1"/>
  <c r="J105" i="1"/>
  <c r="J104" i="1"/>
  <c r="J102" i="1"/>
  <c r="J101" i="1"/>
  <c r="J100" i="1"/>
  <c r="J99" i="1"/>
  <c r="J98" i="1"/>
  <c r="J96" i="1"/>
  <c r="J95" i="1"/>
  <c r="J94" i="1"/>
  <c r="J93" i="1"/>
  <c r="J92" i="1"/>
  <c r="J90" i="1"/>
  <c r="J89" i="1"/>
  <c r="J88" i="1"/>
  <c r="J87" i="1"/>
  <c r="J86" i="1"/>
  <c r="J85" i="1"/>
  <c r="J84" i="1"/>
  <c r="J83" i="1"/>
  <c r="J82" i="1"/>
  <c r="J81" i="1"/>
  <c r="J79" i="1"/>
  <c r="J78" i="1"/>
  <c r="J77" i="1"/>
  <c r="J76" i="1"/>
  <c r="J75" i="1"/>
  <c r="J73" i="1"/>
  <c r="J72" i="1"/>
  <c r="J71" i="1"/>
  <c r="J70" i="1"/>
  <c r="J69" i="1"/>
  <c r="J68" i="1"/>
  <c r="J67" i="1"/>
  <c r="J65" i="1"/>
  <c r="J64" i="1"/>
  <c r="J63" i="1"/>
  <c r="J62" i="1"/>
  <c r="J61" i="1"/>
  <c r="J60" i="1"/>
  <c r="J59" i="1"/>
  <c r="J57" i="1"/>
  <c r="I56" i="1" s="1"/>
  <c r="F36" i="2" s="1"/>
  <c r="G36" i="2" s="1"/>
  <c r="J55" i="1"/>
  <c r="I54" i="1" s="1"/>
  <c r="J53" i="1"/>
  <c r="J52" i="1"/>
  <c r="J50" i="1"/>
  <c r="J49" i="1"/>
  <c r="J47" i="1"/>
  <c r="J46" i="1"/>
  <c r="J44" i="1"/>
  <c r="J43" i="1"/>
  <c r="J41" i="1"/>
  <c r="J40" i="1"/>
  <c r="J38" i="1"/>
  <c r="J37" i="1"/>
  <c r="J36" i="1"/>
  <c r="J34" i="1"/>
  <c r="J33" i="1"/>
  <c r="J31" i="1"/>
  <c r="J30" i="1"/>
  <c r="J28" i="1"/>
  <c r="J27" i="1"/>
  <c r="J25" i="1"/>
  <c r="J24" i="1"/>
  <c r="J22" i="1"/>
  <c r="J21" i="1"/>
  <c r="J20" i="1"/>
  <c r="J19" i="1"/>
  <c r="J18" i="1"/>
  <c r="J17" i="1"/>
  <c r="I16" i="1" s="1"/>
  <c r="F13" i="2" s="1"/>
  <c r="G13" i="2" s="1"/>
  <c r="J15" i="1"/>
  <c r="J14" i="1"/>
  <c r="J13" i="1"/>
  <c r="J12" i="1"/>
  <c r="J11" i="1"/>
  <c r="J10" i="1"/>
  <c r="I9" i="1" s="1"/>
  <c r="F12" i="2" s="1"/>
  <c r="G12" i="2" s="1"/>
  <c r="F385" i="5"/>
  <c r="F386" i="5" s="1"/>
  <c r="F382" i="5"/>
  <c r="F381" i="5"/>
  <c r="C376" i="5"/>
  <c r="E369" i="5"/>
  <c r="D369" i="5"/>
  <c r="F369" i="5" s="1"/>
  <c r="F370" i="5" s="1"/>
  <c r="F366" i="5"/>
  <c r="F365" i="5"/>
  <c r="F358" i="5"/>
  <c r="F359" i="5" s="1"/>
  <c r="F355" i="5"/>
  <c r="F354" i="5"/>
  <c r="F347" i="5"/>
  <c r="F348" i="5" s="1"/>
  <c r="F344" i="5"/>
  <c r="F345" i="5" s="1"/>
  <c r="F337" i="5"/>
  <c r="F338" i="5" s="1"/>
  <c r="F334" i="5"/>
  <c r="F333" i="5"/>
  <c r="F326" i="5"/>
  <c r="F327" i="5" s="1"/>
  <c r="F323" i="5"/>
  <c r="F322" i="5"/>
  <c r="F314" i="5"/>
  <c r="F315" i="5" s="1"/>
  <c r="F311" i="5"/>
  <c r="F310" i="5"/>
  <c r="F302" i="5"/>
  <c r="F303" i="5" s="1"/>
  <c r="F299" i="5"/>
  <c r="F298" i="5"/>
  <c r="C293" i="5"/>
  <c r="E287" i="5" s="1"/>
  <c r="F287" i="5" s="1"/>
  <c r="F288" i="5" s="1"/>
  <c r="F284" i="5"/>
  <c r="F283" i="5"/>
  <c r="F275" i="5"/>
  <c r="F274" i="5"/>
  <c r="F271" i="5"/>
  <c r="F270" i="5"/>
  <c r="F260" i="5"/>
  <c r="F261" i="5" s="1"/>
  <c r="F257" i="5"/>
  <c r="F256" i="5"/>
  <c r="F255" i="5"/>
  <c r="F248" i="5"/>
  <c r="F249" i="5" s="1"/>
  <c r="F245" i="5"/>
  <c r="F244" i="5"/>
  <c r="F237" i="5"/>
  <c r="F238" i="5" s="1"/>
  <c r="F234" i="5"/>
  <c r="F233" i="5"/>
  <c r="F226" i="5"/>
  <c r="F227" i="5" s="1"/>
  <c r="F223" i="5"/>
  <c r="F222" i="5"/>
  <c r="F215" i="5"/>
  <c r="F216" i="5" s="1"/>
  <c r="F212" i="5"/>
  <c r="F211" i="5"/>
  <c r="F191" i="5"/>
  <c r="F192" i="5" s="1"/>
  <c r="F188" i="5"/>
  <c r="F187" i="5"/>
  <c r="F180" i="5"/>
  <c r="F179" i="5"/>
  <c r="F176" i="5"/>
  <c r="F175" i="5"/>
  <c r="F168" i="5"/>
  <c r="F167" i="5"/>
  <c r="F164" i="5"/>
  <c r="F163" i="5"/>
  <c r="F155" i="5"/>
  <c r="F156" i="5" s="1"/>
  <c r="F152" i="5"/>
  <c r="F151" i="5"/>
  <c r="F144" i="5"/>
  <c r="F143" i="5"/>
  <c r="F140" i="5"/>
  <c r="F139" i="5"/>
  <c r="F132" i="5"/>
  <c r="F131" i="5"/>
  <c r="F128" i="5"/>
  <c r="F127" i="5"/>
  <c r="F129" i="5" s="1"/>
  <c r="F120" i="5"/>
  <c r="F119" i="5"/>
  <c r="F118" i="5"/>
  <c r="F115" i="5"/>
  <c r="F114" i="5"/>
  <c r="F106" i="5"/>
  <c r="F105" i="5"/>
  <c r="F102" i="5"/>
  <c r="F101" i="5"/>
  <c r="F100" i="5"/>
  <c r="F99" i="5"/>
  <c r="F92" i="5"/>
  <c r="F91" i="5"/>
  <c r="F90" i="5"/>
  <c r="F89" i="5"/>
  <c r="F88" i="5"/>
  <c r="F85" i="5"/>
  <c r="F84" i="5"/>
  <c r="F83" i="5"/>
  <c r="F82" i="5"/>
  <c r="F74" i="5"/>
  <c r="F73" i="5"/>
  <c r="F72" i="5"/>
  <c r="F69" i="5"/>
  <c r="F68" i="5"/>
  <c r="F61" i="5"/>
  <c r="F60" i="5"/>
  <c r="F59" i="5"/>
  <c r="F56" i="5"/>
  <c r="F55" i="5"/>
  <c r="F48" i="5"/>
  <c r="F47" i="5"/>
  <c r="F46" i="5"/>
  <c r="F43" i="5"/>
  <c r="F42" i="5"/>
  <c r="F35" i="5"/>
  <c r="F34" i="5"/>
  <c r="F33" i="5"/>
  <c r="F32" i="5"/>
  <c r="F31" i="5"/>
  <c r="D30" i="5"/>
  <c r="F30" i="5" s="1"/>
  <c r="F29" i="5"/>
  <c r="F28" i="5"/>
  <c r="F27" i="5"/>
  <c r="F26" i="5"/>
  <c r="F25" i="5"/>
  <c r="F24" i="5"/>
  <c r="F23" i="5"/>
  <c r="F22" i="5"/>
  <c r="F21" i="5"/>
  <c r="F20" i="5"/>
  <c r="F19" i="5"/>
  <c r="F18" i="5"/>
  <c r="F14" i="5"/>
  <c r="F13" i="5"/>
  <c r="F12" i="5"/>
  <c r="F212" i="4"/>
  <c r="F211" i="4"/>
  <c r="F210" i="4"/>
  <c r="F209" i="4"/>
  <c r="K207" i="4"/>
  <c r="F206" i="4"/>
  <c r="F207" i="4" s="1"/>
  <c r="F205" i="4"/>
  <c r="F192" i="4"/>
  <c r="F191" i="4"/>
  <c r="F188" i="4"/>
  <c r="K187" i="4"/>
  <c r="F187" i="4"/>
  <c r="K186" i="4"/>
  <c r="F186" i="4"/>
  <c r="F189" i="4" s="1"/>
  <c r="F180" i="4"/>
  <c r="F179" i="4"/>
  <c r="F178" i="4"/>
  <c r="F177" i="4"/>
  <c r="F174" i="4"/>
  <c r="F173" i="4"/>
  <c r="J167" i="4"/>
  <c r="F167" i="4"/>
  <c r="F166" i="4"/>
  <c r="F163" i="4"/>
  <c r="F162" i="4"/>
  <c r="K161" i="4"/>
  <c r="G161" i="4"/>
  <c r="F161" i="4"/>
  <c r="F156" i="4"/>
  <c r="F155" i="4"/>
  <c r="F150" i="4"/>
  <c r="F149" i="4"/>
  <c r="F146" i="4"/>
  <c r="F145" i="4"/>
  <c r="F137" i="4"/>
  <c r="F138" i="4" s="1"/>
  <c r="F134" i="4"/>
  <c r="F133" i="4"/>
  <c r="F124" i="4"/>
  <c r="F123" i="4"/>
  <c r="F122" i="4"/>
  <c r="F120" i="4"/>
  <c r="F119" i="4"/>
  <c r="F113" i="4"/>
  <c r="F112" i="4"/>
  <c r="F106" i="4"/>
  <c r="F107" i="4" s="1"/>
  <c r="I105" i="4"/>
  <c r="F105" i="4"/>
  <c r="F104" i="4"/>
  <c r="F102" i="4"/>
  <c r="I97" i="4"/>
  <c r="F84" i="4"/>
  <c r="F83" i="4"/>
  <c r="F82" i="4"/>
  <c r="F81" i="4"/>
  <c r="K79" i="4"/>
  <c r="F78" i="4"/>
  <c r="F77" i="4"/>
  <c r="F68" i="4"/>
  <c r="F67" i="4"/>
  <c r="F66" i="4"/>
  <c r="F65" i="4"/>
  <c r="F64" i="4"/>
  <c r="F62" i="4"/>
  <c r="F61" i="4"/>
  <c r="F60" i="4"/>
  <c r="F59" i="4"/>
  <c r="F58" i="4"/>
  <c r="F57" i="4"/>
  <c r="F56" i="4"/>
  <c r="F55" i="4"/>
  <c r="G50" i="4"/>
  <c r="G49" i="4"/>
  <c r="N48" i="4"/>
  <c r="J48" i="4"/>
  <c r="H48" i="4"/>
  <c r="I46" i="4"/>
  <c r="O44" i="4"/>
  <c r="J44" i="4"/>
  <c r="I42" i="4"/>
  <c r="F41" i="4"/>
  <c r="F42" i="4" s="1"/>
  <c r="P39" i="4"/>
  <c r="F38" i="4"/>
  <c r="F37" i="4"/>
  <c r="F30" i="4"/>
  <c r="K29" i="4"/>
  <c r="F29" i="4"/>
  <c r="F20" i="4"/>
  <c r="F19" i="4"/>
  <c r="F21" i="4" s="1"/>
  <c r="F22" i="4" s="1"/>
  <c r="Q14" i="4"/>
  <c r="F13" i="4"/>
  <c r="F12" i="4"/>
  <c r="F11" i="4"/>
  <c r="F10" i="4"/>
  <c r="F9" i="4"/>
  <c r="F8" i="4"/>
  <c r="F7" i="4"/>
  <c r="B46" i="3"/>
  <c r="B44" i="3"/>
  <c r="B42" i="3"/>
  <c r="B40" i="3"/>
  <c r="B38" i="3"/>
  <c r="B36" i="3"/>
  <c r="B34" i="3"/>
  <c r="B32" i="3"/>
  <c r="B30" i="3"/>
  <c r="B28" i="3"/>
  <c r="B26" i="3"/>
  <c r="B24" i="3"/>
  <c r="B22" i="3"/>
  <c r="U20" i="3"/>
  <c r="B20" i="3"/>
  <c r="B18" i="3"/>
  <c r="B16" i="3"/>
  <c r="B14" i="3"/>
  <c r="B12" i="3"/>
  <c r="E318" i="2"/>
  <c r="E314" i="2"/>
  <c r="I313" i="2"/>
  <c r="E313" i="2"/>
  <c r="H313" i="2" s="1"/>
  <c r="E312" i="2"/>
  <c r="H312" i="2" s="1"/>
  <c r="E311" i="2"/>
  <c r="H311" i="2" s="1"/>
  <c r="E310" i="2"/>
  <c r="E309" i="2"/>
  <c r="I308" i="2"/>
  <c r="E308" i="2"/>
  <c r="I307" i="2"/>
  <c r="E307" i="2" s="1"/>
  <c r="H307" i="2"/>
  <c r="I306" i="2"/>
  <c r="E306" i="2" s="1"/>
  <c r="I305" i="2"/>
  <c r="E305" i="2" s="1"/>
  <c r="E304" i="2"/>
  <c r="I303" i="2"/>
  <c r="E303" i="2" s="1"/>
  <c r="I302" i="2"/>
  <c r="E302" i="2" s="1"/>
  <c r="E301" i="2"/>
  <c r="I296" i="2"/>
  <c r="E296" i="2" s="1"/>
  <c r="E295" i="2"/>
  <c r="H295" i="2" s="1"/>
  <c r="I294" i="2"/>
  <c r="E294" i="2"/>
  <c r="H294" i="2" s="1"/>
  <c r="E293" i="2"/>
  <c r="I287" i="2"/>
  <c r="I290" i="2" s="1"/>
  <c r="E290" i="2" s="1"/>
  <c r="H290" i="2" s="1"/>
  <c r="I286" i="2"/>
  <c r="E286" i="2" s="1"/>
  <c r="I285" i="2"/>
  <c r="E285" i="2" s="1"/>
  <c r="E280" i="2"/>
  <c r="H280" i="2" s="1"/>
  <c r="I279" i="2"/>
  <c r="E279" i="2" s="1"/>
  <c r="E278" i="2"/>
  <c r="H278" i="2" s="1"/>
  <c r="E277" i="2"/>
  <c r="H277" i="2" s="1"/>
  <c r="E276" i="2"/>
  <c r="H276" i="2" s="1"/>
  <c r="E275" i="2"/>
  <c r="H275" i="2" s="1"/>
  <c r="E274" i="2"/>
  <c r="H274" i="2" s="1"/>
  <c r="E273" i="2"/>
  <c r="H273" i="2" s="1"/>
  <c r="E272" i="2"/>
  <c r="H272" i="2" s="1"/>
  <c r="O271" i="2"/>
  <c r="E271" i="2"/>
  <c r="H271" i="2" s="1"/>
  <c r="O270" i="2"/>
  <c r="E270" i="2"/>
  <c r="H270" i="2" s="1"/>
  <c r="E269" i="2"/>
  <c r="H269" i="2" s="1"/>
  <c r="E268" i="2"/>
  <c r="H268" i="2" s="1"/>
  <c r="E267" i="2"/>
  <c r="H267" i="2" s="1"/>
  <c r="E266" i="2"/>
  <c r="H266" i="2" s="1"/>
  <c r="O265" i="2"/>
  <c r="E265" i="2"/>
  <c r="H265" i="2" s="1"/>
  <c r="O264" i="2"/>
  <c r="M264" i="2"/>
  <c r="E264" i="2"/>
  <c r="H263" i="2"/>
  <c r="E263" i="2"/>
  <c r="E262" i="2"/>
  <c r="H262" i="2" s="1"/>
  <c r="E261" i="2"/>
  <c r="H261" i="2" s="1"/>
  <c r="E260" i="2"/>
  <c r="H260" i="2" s="1"/>
  <c r="E259" i="2"/>
  <c r="H259" i="2" s="1"/>
  <c r="N258" i="2"/>
  <c r="E258" i="2"/>
  <c r="H258" i="2" s="1"/>
  <c r="N257" i="2"/>
  <c r="E257" i="2"/>
  <c r="H257" i="2" s="1"/>
  <c r="E255" i="2"/>
  <c r="H255" i="2" s="1"/>
  <c r="E254" i="2"/>
  <c r="H254" i="2" s="1"/>
  <c r="E253" i="2"/>
  <c r="H253" i="2" s="1"/>
  <c r="E252" i="2"/>
  <c r="H252" i="2" s="1"/>
  <c r="E251" i="2"/>
  <c r="H251" i="2" s="1"/>
  <c r="E250" i="2"/>
  <c r="H250" i="2" s="1"/>
  <c r="E249" i="2"/>
  <c r="H249" i="2" s="1"/>
  <c r="E248" i="2"/>
  <c r="H248" i="2" s="1"/>
  <c r="E247" i="2"/>
  <c r="H247" i="2" s="1"/>
  <c r="E246" i="2"/>
  <c r="H246" i="2" s="1"/>
  <c r="E245" i="2"/>
  <c r="H245" i="2" s="1"/>
  <c r="E244" i="2"/>
  <c r="H244" i="2" s="1"/>
  <c r="E243" i="2"/>
  <c r="H243" i="2" s="1"/>
  <c r="E242" i="2"/>
  <c r="H242" i="2" s="1"/>
  <c r="E241" i="2"/>
  <c r="H241" i="2" s="1"/>
  <c r="E240" i="2"/>
  <c r="H240" i="2" s="1"/>
  <c r="E239" i="2"/>
  <c r="H239" i="2" s="1"/>
  <c r="I238" i="2"/>
  <c r="E238" i="2" s="1"/>
  <c r="H238" i="2" s="1"/>
  <c r="E237" i="2"/>
  <c r="H237" i="2" s="1"/>
  <c r="E236" i="2"/>
  <c r="H236" i="2" s="1"/>
  <c r="E235" i="2"/>
  <c r="H235" i="2" s="1"/>
  <c r="E234" i="2"/>
  <c r="H234" i="2" s="1"/>
  <c r="E233" i="2"/>
  <c r="H233" i="2" s="1"/>
  <c r="E232" i="2"/>
  <c r="H232" i="2" s="1"/>
  <c r="E231" i="2"/>
  <c r="H231" i="2" s="1"/>
  <c r="E230" i="2"/>
  <c r="H230" i="2" s="1"/>
  <c r="E229" i="2"/>
  <c r="H229" i="2" s="1"/>
  <c r="E228" i="2"/>
  <c r="E227" i="2"/>
  <c r="H227" i="2" s="1"/>
  <c r="E226" i="2"/>
  <c r="H226" i="2" s="1"/>
  <c r="E225" i="2"/>
  <c r="H225" i="2" s="1"/>
  <c r="E224" i="2"/>
  <c r="E223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I205" i="2"/>
  <c r="E205" i="2" s="1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G160" i="2"/>
  <c r="E160" i="2"/>
  <c r="H160" i="2" s="1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F142" i="2"/>
  <c r="G142" i="2" s="1"/>
  <c r="E142" i="2"/>
  <c r="E141" i="2"/>
  <c r="E140" i="2"/>
  <c r="E139" i="2"/>
  <c r="E138" i="2"/>
  <c r="E137" i="2"/>
  <c r="E136" i="2"/>
  <c r="E135" i="2"/>
  <c r="E134" i="2"/>
  <c r="E133" i="2"/>
  <c r="I132" i="2"/>
  <c r="E132" i="2" s="1"/>
  <c r="I131" i="2"/>
  <c r="E131" i="2" s="1"/>
  <c r="F130" i="2"/>
  <c r="G130" i="2" s="1"/>
  <c r="E130" i="2"/>
  <c r="E129" i="2"/>
  <c r="E128" i="2"/>
  <c r="E127" i="2"/>
  <c r="E126" i="2"/>
  <c r="E125" i="2"/>
  <c r="E124" i="2"/>
  <c r="I120" i="2"/>
  <c r="E120" i="2" s="1"/>
  <c r="I119" i="2"/>
  <c r="E119" i="2" s="1"/>
  <c r="E118" i="2"/>
  <c r="I115" i="2"/>
  <c r="I116" i="2" s="1"/>
  <c r="E116" i="2" s="1"/>
  <c r="I113" i="2"/>
  <c r="I114" i="2" s="1"/>
  <c r="E114" i="2" s="1"/>
  <c r="I112" i="2"/>
  <c r="E112" i="2" s="1"/>
  <c r="I110" i="2"/>
  <c r="I111" i="2" s="1"/>
  <c r="E111" i="2" s="1"/>
  <c r="I106" i="2"/>
  <c r="E106" i="2" s="1"/>
  <c r="I105" i="2"/>
  <c r="E105" i="2" s="1"/>
  <c r="I104" i="2"/>
  <c r="E104" i="2" s="1"/>
  <c r="I100" i="2"/>
  <c r="E100" i="2" s="1"/>
  <c r="L99" i="2"/>
  <c r="I99" i="2"/>
  <c r="E99" i="2" s="1"/>
  <c r="I98" i="2"/>
  <c r="E98" i="2" s="1"/>
  <c r="E97" i="2"/>
  <c r="I96" i="2"/>
  <c r="E96" i="2" s="1"/>
  <c r="L95" i="2"/>
  <c r="I91" i="2"/>
  <c r="E91" i="2" s="1"/>
  <c r="I90" i="2"/>
  <c r="E90" i="2" s="1"/>
  <c r="I89" i="2"/>
  <c r="E89" i="2"/>
  <c r="I83" i="2"/>
  <c r="F83" i="2"/>
  <c r="G83" i="2" s="1"/>
  <c r="E83" i="2"/>
  <c r="I82" i="2"/>
  <c r="E82" i="2" s="1"/>
  <c r="I81" i="2"/>
  <c r="E81" i="2" s="1"/>
  <c r="I80" i="2"/>
  <c r="E80" i="2" s="1"/>
  <c r="I79" i="2"/>
  <c r="E79" i="2" s="1"/>
  <c r="I78" i="2"/>
  <c r="I117" i="2" s="1"/>
  <c r="E117" i="2" s="1"/>
  <c r="E76" i="2"/>
  <c r="E75" i="2"/>
  <c r="E74" i="2"/>
  <c r="O73" i="2"/>
  <c r="E73" i="2"/>
  <c r="L67" i="2"/>
  <c r="I67" i="2"/>
  <c r="E67" i="2" s="1"/>
  <c r="M66" i="2"/>
  <c r="L66" i="2"/>
  <c r="K66" i="2"/>
  <c r="I66" i="2"/>
  <c r="E66" i="2" s="1"/>
  <c r="O65" i="2"/>
  <c r="I65" i="2"/>
  <c r="E65" i="2" s="1"/>
  <c r="M64" i="2"/>
  <c r="E64" i="2"/>
  <c r="I60" i="2"/>
  <c r="E60" i="2"/>
  <c r="I59" i="2"/>
  <c r="E59" i="2" s="1"/>
  <c r="K58" i="2"/>
  <c r="I58" i="2"/>
  <c r="E58" i="2" s="1"/>
  <c r="I52" i="2"/>
  <c r="E52" i="2" s="1"/>
  <c r="I50" i="2"/>
  <c r="I46" i="2"/>
  <c r="E46" i="2" s="1"/>
  <c r="I43" i="2"/>
  <c r="E43" i="2"/>
  <c r="I41" i="2"/>
  <c r="I42" i="2" s="1"/>
  <c r="E42" i="2" s="1"/>
  <c r="I40" i="2"/>
  <c r="E40" i="2" s="1"/>
  <c r="I35" i="2"/>
  <c r="I31" i="2"/>
  <c r="E31" i="2" s="1"/>
  <c r="E30" i="2"/>
  <c r="E29" i="2"/>
  <c r="E28" i="2"/>
  <c r="M27" i="2"/>
  <c r="I27" i="2"/>
  <c r="E27" i="2" s="1"/>
  <c r="E26" i="2"/>
  <c r="I24" i="2"/>
  <c r="E24" i="2" s="1"/>
  <c r="I23" i="2"/>
  <c r="E23" i="2" s="1"/>
  <c r="I22" i="2"/>
  <c r="I25" i="2" s="1"/>
  <c r="E25" i="2" s="1"/>
  <c r="I21" i="2"/>
  <c r="I68" i="2" s="1"/>
  <c r="E68" i="2" s="1"/>
  <c r="I19" i="2"/>
  <c r="I20" i="2" s="1"/>
  <c r="E20" i="2" s="1"/>
  <c r="F15" i="2"/>
  <c r="G15" i="2" s="1"/>
  <c r="E15" i="2"/>
  <c r="I14" i="2"/>
  <c r="E14" i="2" s="1"/>
  <c r="I13" i="2"/>
  <c r="E13" i="2" s="1"/>
  <c r="I12" i="2"/>
  <c r="E12" i="2" s="1"/>
  <c r="I269" i="1" l="1"/>
  <c r="F99" i="2" s="1"/>
  <c r="G99" i="2" s="1"/>
  <c r="I307" i="1"/>
  <c r="F310" i="2" s="1"/>
  <c r="G310" i="2" s="1"/>
  <c r="I51" i="1"/>
  <c r="I23" i="1"/>
  <c r="F19" i="2" s="1"/>
  <c r="G19" i="2" s="1"/>
  <c r="E78" i="2"/>
  <c r="E110" i="2"/>
  <c r="E21" i="2"/>
  <c r="H83" i="2"/>
  <c r="I95" i="2"/>
  <c r="E95" i="2" s="1"/>
  <c r="H142" i="2"/>
  <c r="E287" i="2"/>
  <c r="F175" i="4"/>
  <c r="F182" i="4" s="1"/>
  <c r="F296" i="2" s="1"/>
  <c r="G296" i="2" s="1"/>
  <c r="H296" i="2" s="1"/>
  <c r="F214" i="4"/>
  <c r="F324" i="5"/>
  <c r="F328" i="5" s="1"/>
  <c r="F211" i="2" s="1"/>
  <c r="G211" i="2" s="1"/>
  <c r="H211" i="2" s="1"/>
  <c r="F383" i="5"/>
  <c r="H145" i="2"/>
  <c r="H157" i="2"/>
  <c r="H163" i="2"/>
  <c r="H173" i="2"/>
  <c r="H203" i="2"/>
  <c r="H137" i="2"/>
  <c r="H167" i="2"/>
  <c r="H183" i="2"/>
  <c r="E113" i="2"/>
  <c r="H130" i="2"/>
  <c r="I288" i="2"/>
  <c r="E288" i="2" s="1"/>
  <c r="F39" i="4"/>
  <c r="J37" i="4" s="1"/>
  <c r="F147" i="4"/>
  <c r="F151" i="4" s="1"/>
  <c r="F181" i="4"/>
  <c r="H147" i="2"/>
  <c r="H159" i="2"/>
  <c r="H175" i="2"/>
  <c r="H205" i="2"/>
  <c r="H15" i="2"/>
  <c r="I108" i="1"/>
  <c r="H73" i="2"/>
  <c r="I244" i="1"/>
  <c r="F95" i="2" s="1"/>
  <c r="G95" i="2" s="1"/>
  <c r="H139" i="2"/>
  <c r="H181" i="2"/>
  <c r="I289" i="2"/>
  <c r="E289" i="2" s="1"/>
  <c r="F79" i="4"/>
  <c r="F125" i="4"/>
  <c r="H125" i="2"/>
  <c r="H177" i="2"/>
  <c r="H207" i="2"/>
  <c r="E19" i="2"/>
  <c r="H19" i="2" s="1"/>
  <c r="E115" i="2"/>
  <c r="F168" i="4"/>
  <c r="I187" i="1"/>
  <c r="F76" i="2" s="1"/>
  <c r="G76" i="2" s="1"/>
  <c r="H76" i="2" s="1"/>
  <c r="I256" i="1"/>
  <c r="F97" i="2" s="1"/>
  <c r="G97" i="2" s="1"/>
  <c r="H97" i="2" s="1"/>
  <c r="I324" i="1"/>
  <c r="F117" i="2" s="1"/>
  <c r="G117" i="2" s="1"/>
  <c r="H117" i="2" s="1"/>
  <c r="H197" i="2"/>
  <c r="H151" i="2"/>
  <c r="H217" i="2"/>
  <c r="F63" i="4"/>
  <c r="F86" i="4"/>
  <c r="H133" i="2"/>
  <c r="H143" i="2"/>
  <c r="H161" i="2"/>
  <c r="I291" i="2"/>
  <c r="E291" i="2" s="1"/>
  <c r="I35" i="1"/>
  <c r="F23" i="2" s="1"/>
  <c r="G23" i="2" s="1"/>
  <c r="I191" i="1"/>
  <c r="F78" i="2" s="1"/>
  <c r="G78" i="2" s="1"/>
  <c r="H78" i="2" s="1"/>
  <c r="H201" i="2"/>
  <c r="I126" i="1"/>
  <c r="F302" i="2" s="1"/>
  <c r="G302" i="2" s="1"/>
  <c r="H302" i="2" s="1"/>
  <c r="I289" i="1"/>
  <c r="F105" i="2" s="1"/>
  <c r="G105" i="2" s="1"/>
  <c r="H105" i="2" s="1"/>
  <c r="I303" i="1"/>
  <c r="F111" i="2" s="1"/>
  <c r="G111" i="2" s="1"/>
  <c r="I352" i="1"/>
  <c r="F128" i="2" s="1"/>
  <c r="G128" i="2" s="1"/>
  <c r="H128" i="2" s="1"/>
  <c r="I357" i="1"/>
  <c r="F129" i="2" s="1"/>
  <c r="G129" i="2" s="1"/>
  <c r="H129" i="2" s="1"/>
  <c r="I362" i="1"/>
  <c r="I367" i="1"/>
  <c r="F131" i="2" s="1"/>
  <c r="G131" i="2" s="1"/>
  <c r="H131" i="2" s="1"/>
  <c r="H196" i="2"/>
  <c r="H224" i="2"/>
  <c r="I42" i="1"/>
  <c r="F25" i="2" s="1"/>
  <c r="G25" i="2" s="1"/>
  <c r="H25" i="2" s="1"/>
  <c r="I45" i="1"/>
  <c r="F26" i="2" s="1"/>
  <c r="G26" i="2" s="1"/>
  <c r="H26" i="2" s="1"/>
  <c r="I74" i="1"/>
  <c r="F305" i="2" s="1"/>
  <c r="G305" i="2" s="1"/>
  <c r="H305" i="2" s="1"/>
  <c r="I80" i="1"/>
  <c r="F43" i="2" s="1"/>
  <c r="G43" i="2" s="1"/>
  <c r="I166" i="1"/>
  <c r="F68" i="2" s="1"/>
  <c r="G68" i="2" s="1"/>
  <c r="I179" i="1"/>
  <c r="F74" i="2" s="1"/>
  <c r="G74" i="2" s="1"/>
  <c r="H74" i="2" s="1"/>
  <c r="I295" i="1"/>
  <c r="F106" i="2" s="1"/>
  <c r="G106" i="2" s="1"/>
  <c r="H106" i="2" s="1"/>
  <c r="I311" i="1"/>
  <c r="F114" i="2" s="1"/>
  <c r="G114" i="2" s="1"/>
  <c r="H114" i="2" s="1"/>
  <c r="I320" i="1"/>
  <c r="F116" i="2" s="1"/>
  <c r="G116" i="2" s="1"/>
  <c r="I334" i="1"/>
  <c r="F119" i="2" s="1"/>
  <c r="G119" i="2" s="1"/>
  <c r="H119" i="2" s="1"/>
  <c r="I342" i="1"/>
  <c r="F126" i="2" s="1"/>
  <c r="G126" i="2" s="1"/>
  <c r="H126" i="2" s="1"/>
  <c r="F164" i="4"/>
  <c r="F169" i="4" s="1"/>
  <c r="F293" i="2" s="1"/>
  <c r="G293" i="2" s="1"/>
  <c r="H293" i="2" s="1"/>
  <c r="F300" i="5"/>
  <c r="F356" i="5"/>
  <c r="F44" i="5"/>
  <c r="F157" i="4"/>
  <c r="F193" i="4"/>
  <c r="F194" i="4" s="1"/>
  <c r="F314" i="2" s="1"/>
  <c r="G314" i="2" s="1"/>
  <c r="H314" i="2" s="1"/>
  <c r="I316" i="1"/>
  <c r="F115" i="2" s="1"/>
  <c r="G115" i="2" s="1"/>
  <c r="I328" i="1"/>
  <c r="F118" i="2" s="1"/>
  <c r="G118" i="2" s="1"/>
  <c r="H118" i="2" s="1"/>
  <c r="I250" i="1"/>
  <c r="F96" i="2" s="1"/>
  <c r="G96" i="2" s="1"/>
  <c r="I236" i="1"/>
  <c r="F91" i="2" s="1"/>
  <c r="G91" i="2" s="1"/>
  <c r="I230" i="1"/>
  <c r="F89" i="2" s="1"/>
  <c r="G89" i="2" s="1"/>
  <c r="H89" i="2" s="1"/>
  <c r="I210" i="1"/>
  <c r="F81" i="2" s="1"/>
  <c r="G81" i="2" s="1"/>
  <c r="H81" i="2" s="1"/>
  <c r="I216" i="1"/>
  <c r="F82" i="2" s="1"/>
  <c r="G82" i="2" s="1"/>
  <c r="H82" i="2" s="1"/>
  <c r="I203" i="1"/>
  <c r="F80" i="2" s="1"/>
  <c r="G80" i="2" s="1"/>
  <c r="H80" i="2" s="1"/>
  <c r="I91" i="1"/>
  <c r="F44" i="2" s="1"/>
  <c r="G44" i="2" s="1"/>
  <c r="I48" i="1"/>
  <c r="F27" i="2" s="1"/>
  <c r="G27" i="2" s="1"/>
  <c r="H27" i="2" s="1"/>
  <c r="I39" i="1"/>
  <c r="F24" i="2" s="1"/>
  <c r="G24" i="2" s="1"/>
  <c r="H24" i="2" s="1"/>
  <c r="H12" i="2"/>
  <c r="F200" i="5"/>
  <c r="F204" i="5" s="1"/>
  <c r="F135" i="4"/>
  <c r="F139" i="4" s="1"/>
  <c r="F121" i="4"/>
  <c r="F126" i="4" s="1"/>
  <c r="F228" i="2" s="1"/>
  <c r="G228" i="2" s="1"/>
  <c r="H228" i="2" s="1"/>
  <c r="F114" i="4"/>
  <c r="F110" i="2" s="1"/>
  <c r="G110" i="2" s="1"/>
  <c r="H110" i="2" s="1"/>
  <c r="F108" i="4"/>
  <c r="F69" i="4"/>
  <c r="F70" i="4" s="1"/>
  <c r="F31" i="4"/>
  <c r="F31" i="2" s="1"/>
  <c r="G31" i="2" s="1"/>
  <c r="H31" i="2" s="1"/>
  <c r="F200" i="2"/>
  <c r="G200" i="2" s="1"/>
  <c r="H200" i="2" s="1"/>
  <c r="F195" i="2"/>
  <c r="G195" i="2" s="1"/>
  <c r="H195" i="2" s="1"/>
  <c r="F199" i="2"/>
  <c r="G199" i="2" s="1"/>
  <c r="H199" i="2" s="1"/>
  <c r="F135" i="2"/>
  <c r="G135" i="2" s="1"/>
  <c r="H135" i="2" s="1"/>
  <c r="F223" i="2"/>
  <c r="G223" i="2" s="1"/>
  <c r="H223" i="2" s="1"/>
  <c r="F134" i="2"/>
  <c r="G134" i="2" s="1"/>
  <c r="I347" i="1"/>
  <c r="F127" i="2" s="1"/>
  <c r="G127" i="2" s="1"/>
  <c r="H127" i="2" s="1"/>
  <c r="H310" i="2"/>
  <c r="F113" i="2"/>
  <c r="G113" i="2" s="1"/>
  <c r="H113" i="2" s="1"/>
  <c r="F112" i="2"/>
  <c r="G112" i="2" s="1"/>
  <c r="H112" i="2" s="1"/>
  <c r="I264" i="1"/>
  <c r="F98" i="2" s="1"/>
  <c r="G98" i="2" s="1"/>
  <c r="F88" i="2"/>
  <c r="G88" i="2" s="1"/>
  <c r="F309" i="2"/>
  <c r="G309" i="2" s="1"/>
  <c r="H309" i="2" s="1"/>
  <c r="F292" i="2"/>
  <c r="G292" i="2" s="1"/>
  <c r="I222" i="1"/>
  <c r="F87" i="2" s="1"/>
  <c r="G87" i="2" s="1"/>
  <c r="I156" i="1"/>
  <c r="F67" i="2" s="1"/>
  <c r="G67" i="2" s="1"/>
  <c r="H67" i="2" s="1"/>
  <c r="I149" i="1"/>
  <c r="F65" i="2" s="1"/>
  <c r="G65" i="2" s="1"/>
  <c r="H65" i="2" s="1"/>
  <c r="I142" i="1"/>
  <c r="F64" i="2" s="1"/>
  <c r="G64" i="2" s="1"/>
  <c r="H64" i="2" s="1"/>
  <c r="I133" i="1"/>
  <c r="F59" i="2" s="1"/>
  <c r="G59" i="2" s="1"/>
  <c r="H59" i="2" s="1"/>
  <c r="F285" i="2"/>
  <c r="G285" i="2" s="1"/>
  <c r="H285" i="2" s="1"/>
  <c r="I103" i="1"/>
  <c r="F46" i="2" s="1"/>
  <c r="G46" i="2" s="1"/>
  <c r="H46" i="2" s="1"/>
  <c r="I120" i="1"/>
  <c r="F54" i="2" s="1"/>
  <c r="G54" i="2" s="1"/>
  <c r="I114" i="1"/>
  <c r="F306" i="2" s="1"/>
  <c r="G306" i="2" s="1"/>
  <c r="H306" i="2" s="1"/>
  <c r="F303" i="2"/>
  <c r="G303" i="2" s="1"/>
  <c r="H303" i="2" s="1"/>
  <c r="F286" i="2"/>
  <c r="G286" i="2" s="1"/>
  <c r="H286" i="2" s="1"/>
  <c r="F52" i="2"/>
  <c r="G52" i="2" s="1"/>
  <c r="H52" i="2" s="1"/>
  <c r="I97" i="1"/>
  <c r="F45" i="2" s="1"/>
  <c r="G45" i="2" s="1"/>
  <c r="I66" i="1"/>
  <c r="F41" i="2" s="1"/>
  <c r="G41" i="2" s="1"/>
  <c r="I58" i="1"/>
  <c r="F40" i="2" s="1"/>
  <c r="G40" i="2" s="1"/>
  <c r="H40" i="2" s="1"/>
  <c r="F301" i="2"/>
  <c r="G301" i="2" s="1"/>
  <c r="H301" i="2" s="1"/>
  <c r="F279" i="2"/>
  <c r="G279" i="2" s="1"/>
  <c r="H279" i="2" s="1"/>
  <c r="F35" i="2"/>
  <c r="G35" i="2" s="1"/>
  <c r="F30" i="2"/>
  <c r="G30" i="2" s="1"/>
  <c r="H30" i="2" s="1"/>
  <c r="F29" i="2"/>
  <c r="G29" i="2" s="1"/>
  <c r="F28" i="2"/>
  <c r="G28" i="2" s="1"/>
  <c r="H28" i="2" s="1"/>
  <c r="I32" i="1"/>
  <c r="F22" i="2" s="1"/>
  <c r="G22" i="2" s="1"/>
  <c r="I29" i="1"/>
  <c r="F21" i="2" s="1"/>
  <c r="G21" i="2" s="1"/>
  <c r="I26" i="1"/>
  <c r="F20" i="2" s="1"/>
  <c r="G20" i="2" s="1"/>
  <c r="H20" i="2" s="1"/>
  <c r="H206" i="2"/>
  <c r="H204" i="2"/>
  <c r="H186" i="2"/>
  <c r="H185" i="2"/>
  <c r="H192" i="2"/>
  <c r="F179" i="2"/>
  <c r="G179" i="2" s="1"/>
  <c r="H179" i="2" s="1"/>
  <c r="H178" i="2"/>
  <c r="F194" i="2"/>
  <c r="G194" i="2" s="1"/>
  <c r="H194" i="2" s="1"/>
  <c r="F193" i="2"/>
  <c r="G193" i="2" s="1"/>
  <c r="H193" i="2" s="1"/>
  <c r="F172" i="2"/>
  <c r="G172" i="2" s="1"/>
  <c r="H172" i="2" s="1"/>
  <c r="F214" i="2"/>
  <c r="G214" i="2" s="1"/>
  <c r="H214" i="2" s="1"/>
  <c r="H158" i="2"/>
  <c r="H140" i="2"/>
  <c r="F202" i="2"/>
  <c r="G202" i="2" s="1"/>
  <c r="H202" i="2" s="1"/>
  <c r="F198" i="2"/>
  <c r="G198" i="2" s="1"/>
  <c r="H198" i="2" s="1"/>
  <c r="H180" i="2"/>
  <c r="H182" i="2"/>
  <c r="H184" i="2"/>
  <c r="H176" i="2"/>
  <c r="H174" i="2"/>
  <c r="F165" i="5"/>
  <c r="F189" i="5"/>
  <c r="F193" i="5" s="1"/>
  <c r="F164" i="2" s="1"/>
  <c r="G164" i="2" s="1"/>
  <c r="H164" i="2" s="1"/>
  <c r="F86" i="5"/>
  <c r="F121" i="5"/>
  <c r="F133" i="5"/>
  <c r="F134" i="5" s="1"/>
  <c r="F166" i="2" s="1"/>
  <c r="G166" i="2" s="1"/>
  <c r="H166" i="2" s="1"/>
  <c r="F285" i="5"/>
  <c r="F289" i="5" s="1"/>
  <c r="F208" i="2" s="1"/>
  <c r="G208" i="2" s="1"/>
  <c r="H208" i="2" s="1"/>
  <c r="F224" i="5"/>
  <c r="F228" i="5" s="1"/>
  <c r="F169" i="2" s="1"/>
  <c r="G169" i="2" s="1"/>
  <c r="H169" i="2" s="1"/>
  <c r="F15" i="5"/>
  <c r="F70" i="5"/>
  <c r="F145" i="5"/>
  <c r="F246" i="5"/>
  <c r="F250" i="5" s="1"/>
  <c r="F171" i="2" s="1"/>
  <c r="G171" i="2" s="1"/>
  <c r="H171" i="2" s="1"/>
  <c r="F153" i="5"/>
  <c r="F157" i="5" s="1"/>
  <c r="F191" i="2" s="1"/>
  <c r="G191" i="2" s="1"/>
  <c r="H191" i="2" s="1"/>
  <c r="F177" i="5"/>
  <c r="F276" i="5"/>
  <c r="F335" i="5"/>
  <c r="F339" i="5" s="1"/>
  <c r="F212" i="2" s="1"/>
  <c r="G212" i="2" s="1"/>
  <c r="H212" i="2" s="1"/>
  <c r="F57" i="5"/>
  <c r="F181" i="5"/>
  <c r="F103" i="5"/>
  <c r="F141" i="5"/>
  <c r="F49" i="5"/>
  <c r="F272" i="5"/>
  <c r="H154" i="2"/>
  <c r="F93" i="5"/>
  <c r="F94" i="5" s="1"/>
  <c r="F169" i="5"/>
  <c r="F75" i="5"/>
  <c r="F76" i="5" s="1"/>
  <c r="F153" i="2" s="1"/>
  <c r="G153" i="2" s="1"/>
  <c r="H153" i="2" s="1"/>
  <c r="F116" i="5"/>
  <c r="F122" i="5" s="1"/>
  <c r="F213" i="5"/>
  <c r="F217" i="5" s="1"/>
  <c r="F168" i="2" s="1"/>
  <c r="G168" i="2" s="1"/>
  <c r="H168" i="2" s="1"/>
  <c r="F235" i="5"/>
  <c r="F239" i="5" s="1"/>
  <c r="F170" i="2" s="1"/>
  <c r="G170" i="2" s="1"/>
  <c r="H170" i="2" s="1"/>
  <c r="F312" i="5"/>
  <c r="F316" i="5" s="1"/>
  <c r="F210" i="2" s="1"/>
  <c r="G210" i="2" s="1"/>
  <c r="H210" i="2" s="1"/>
  <c r="F367" i="5"/>
  <c r="F371" i="5" s="1"/>
  <c r="F216" i="2" s="1"/>
  <c r="G216" i="2" s="1"/>
  <c r="H216" i="2" s="1"/>
  <c r="F62" i="5"/>
  <c r="F107" i="5"/>
  <c r="F258" i="5"/>
  <c r="F262" i="5" s="1"/>
  <c r="H162" i="2"/>
  <c r="H156" i="2"/>
  <c r="H150" i="2"/>
  <c r="H148" i="2"/>
  <c r="H146" i="2"/>
  <c r="H144" i="2"/>
  <c r="H138" i="2"/>
  <c r="H134" i="2"/>
  <c r="H136" i="2"/>
  <c r="H132" i="2"/>
  <c r="H120" i="2"/>
  <c r="H116" i="2"/>
  <c r="H115" i="2"/>
  <c r="I282" i="1"/>
  <c r="F104" i="2" s="1"/>
  <c r="G104" i="2" s="1"/>
  <c r="H104" i="2" s="1"/>
  <c r="I276" i="1"/>
  <c r="F100" i="2" s="1"/>
  <c r="G100" i="2" s="1"/>
  <c r="H100" i="2" s="1"/>
  <c r="F90" i="2"/>
  <c r="G90" i="2" s="1"/>
  <c r="H90" i="2" s="1"/>
  <c r="I196" i="1"/>
  <c r="F79" i="2" s="1"/>
  <c r="G79" i="2" s="1"/>
  <c r="H79" i="2" s="1"/>
  <c r="H75" i="2"/>
  <c r="H99" i="2"/>
  <c r="H98" i="2"/>
  <c r="H96" i="2"/>
  <c r="H91" i="2"/>
  <c r="H68" i="2"/>
  <c r="H43" i="2"/>
  <c r="H23" i="2"/>
  <c r="H21" i="2"/>
  <c r="H13" i="2"/>
  <c r="F14" i="4"/>
  <c r="F14" i="2" s="1"/>
  <c r="G14" i="2" s="1"/>
  <c r="H14" i="2" s="1"/>
  <c r="F349" i="5"/>
  <c r="F213" i="2" s="1"/>
  <c r="G213" i="2" s="1"/>
  <c r="H213" i="2" s="1"/>
  <c r="F304" i="5"/>
  <c r="F209" i="2" s="1"/>
  <c r="G209" i="2" s="1"/>
  <c r="H209" i="2" s="1"/>
  <c r="F36" i="5"/>
  <c r="F360" i="5"/>
  <c r="F215" i="2" s="1"/>
  <c r="G215" i="2" s="1"/>
  <c r="H215" i="2" s="1"/>
  <c r="F387" i="5"/>
  <c r="F218" i="2" s="1"/>
  <c r="G218" i="2" s="1"/>
  <c r="H218" i="2" s="1"/>
  <c r="I211" i="4"/>
  <c r="K211" i="4" s="1"/>
  <c r="F215" i="4"/>
  <c r="F216" i="4" s="1"/>
  <c r="F43" i="4"/>
  <c r="F66" i="2" s="1"/>
  <c r="G66" i="2" s="1"/>
  <c r="H66" i="2" s="1"/>
  <c r="F87" i="4"/>
  <c r="F88" i="4" s="1"/>
  <c r="I83" i="4"/>
  <c r="K83" i="4" s="1"/>
  <c r="I292" i="2"/>
  <c r="E292" i="2" s="1"/>
  <c r="I36" i="2"/>
  <c r="E36" i="2" s="1"/>
  <c r="H36" i="2" s="1"/>
  <c r="E35" i="2"/>
  <c r="H35" i="2" s="1"/>
  <c r="H111" i="2"/>
  <c r="I44" i="2"/>
  <c r="E44" i="2" s="1"/>
  <c r="H44" i="2" s="1"/>
  <c r="I51" i="2"/>
  <c r="E51" i="2" s="1"/>
  <c r="I54" i="2"/>
  <c r="E54" i="2" s="1"/>
  <c r="E50" i="2"/>
  <c r="I87" i="2"/>
  <c r="L267" i="2"/>
  <c r="I53" i="2"/>
  <c r="E53" i="2" s="1"/>
  <c r="K89" i="2"/>
  <c r="E22" i="2"/>
  <c r="H29" i="2"/>
  <c r="E41" i="2"/>
  <c r="I45" i="2"/>
  <c r="E45" i="2" s="1"/>
  <c r="H264" i="2"/>
  <c r="F63" i="5" l="1"/>
  <c r="F152" i="2" s="1"/>
  <c r="G152" i="2" s="1"/>
  <c r="H152" i="2" s="1"/>
  <c r="F50" i="5"/>
  <c r="F149" i="2" s="1"/>
  <c r="G149" i="2" s="1"/>
  <c r="H149" i="2" s="1"/>
  <c r="F58" i="2"/>
  <c r="G58" i="2" s="1"/>
  <c r="H58" i="2" s="1"/>
  <c r="H95" i="2"/>
  <c r="H22" i="2"/>
  <c r="H32" i="2" s="1"/>
  <c r="D14" i="3" s="1"/>
  <c r="H45" i="2"/>
  <c r="H54" i="2"/>
  <c r="F42" i="2"/>
  <c r="G42" i="2" s="1"/>
  <c r="H42" i="2" s="1"/>
  <c r="F51" i="2"/>
  <c r="G51" i="2" s="1"/>
  <c r="H51" i="2" s="1"/>
  <c r="F288" i="2"/>
  <c r="G288" i="2" s="1"/>
  <c r="H288" i="2" s="1"/>
  <c r="H37" i="2"/>
  <c r="D16" i="3" s="1"/>
  <c r="F291" i="2"/>
  <c r="G291" i="2" s="1"/>
  <c r="H291" i="2" s="1"/>
  <c r="H292" i="2"/>
  <c r="F289" i="2"/>
  <c r="G289" i="2" s="1"/>
  <c r="H289" i="2" s="1"/>
  <c r="H16" i="2"/>
  <c r="D12" i="3" s="1"/>
  <c r="F170" i="5"/>
  <c r="F141" i="2" s="1"/>
  <c r="G141" i="2" s="1"/>
  <c r="H141" i="2" s="1"/>
  <c r="F308" i="2"/>
  <c r="G308" i="2" s="1"/>
  <c r="H308" i="2" s="1"/>
  <c r="F60" i="2"/>
  <c r="G60" i="2" s="1"/>
  <c r="H60" i="2" s="1"/>
  <c r="H61" i="2" s="1"/>
  <c r="D22" i="3" s="1"/>
  <c r="F53" i="2"/>
  <c r="G53" i="2" s="1"/>
  <c r="H53" i="2" s="1"/>
  <c r="F50" i="2"/>
  <c r="G50" i="2" s="1"/>
  <c r="H50" i="2" s="1"/>
  <c r="F287" i="2"/>
  <c r="G287" i="2" s="1"/>
  <c r="H287" i="2" s="1"/>
  <c r="H41" i="2"/>
  <c r="F304" i="2"/>
  <c r="G304" i="2" s="1"/>
  <c r="H304" i="2" s="1"/>
  <c r="H281" i="2"/>
  <c r="D40" i="3" s="1"/>
  <c r="F108" i="5"/>
  <c r="F146" i="5"/>
  <c r="F165" i="2" s="1"/>
  <c r="G165" i="2" s="1"/>
  <c r="H165" i="2" s="1"/>
  <c r="F277" i="5"/>
  <c r="F190" i="2" s="1"/>
  <c r="G190" i="2" s="1"/>
  <c r="H190" i="2" s="1"/>
  <c r="H219" i="2" s="1"/>
  <c r="F37" i="5"/>
  <c r="F124" i="2" s="1"/>
  <c r="G124" i="2" s="1"/>
  <c r="H124" i="2" s="1"/>
  <c r="F182" i="5"/>
  <c r="F155" i="2" s="1"/>
  <c r="G155" i="2" s="1"/>
  <c r="H155" i="2" s="1"/>
  <c r="H121" i="2"/>
  <c r="D34" i="3" s="1"/>
  <c r="H107" i="2"/>
  <c r="D32" i="3" s="1"/>
  <c r="H69" i="2"/>
  <c r="D24" i="3" s="1"/>
  <c r="H101" i="2"/>
  <c r="D30" i="3" s="1"/>
  <c r="H84" i="2"/>
  <c r="D26" i="3" s="1"/>
  <c r="E87" i="2"/>
  <c r="H87" i="2" s="1"/>
  <c r="I88" i="2"/>
  <c r="E88" i="2" s="1"/>
  <c r="H88" i="2" s="1"/>
  <c r="H47" i="2" l="1"/>
  <c r="D18" i="3" s="1"/>
  <c r="H297" i="2"/>
  <c r="D42" i="3" s="1"/>
  <c r="J42" i="3" s="1"/>
  <c r="H14" i="3"/>
  <c r="J14" i="3"/>
  <c r="F14" i="3"/>
  <c r="P14" i="3"/>
  <c r="L14" i="3"/>
  <c r="N14" i="3"/>
  <c r="P30" i="3"/>
  <c r="F30" i="3"/>
  <c r="L30" i="3"/>
  <c r="J30" i="3"/>
  <c r="H30" i="3"/>
  <c r="N30" i="3"/>
  <c r="N32" i="3"/>
  <c r="H32" i="3"/>
  <c r="J32" i="3"/>
  <c r="L32" i="3"/>
  <c r="P32" i="3"/>
  <c r="F32" i="3"/>
  <c r="L219" i="2"/>
  <c r="D38" i="3"/>
  <c r="N18" i="3"/>
  <c r="J18" i="3"/>
  <c r="P18" i="3"/>
  <c r="L18" i="3"/>
  <c r="H18" i="3"/>
  <c r="F18" i="3"/>
  <c r="P22" i="3"/>
  <c r="H22" i="3"/>
  <c r="J22" i="3"/>
  <c r="L22" i="3"/>
  <c r="F22" i="3"/>
  <c r="N22" i="3"/>
  <c r="P42" i="3"/>
  <c r="P12" i="3"/>
  <c r="L12" i="3"/>
  <c r="H12" i="3"/>
  <c r="J12" i="3"/>
  <c r="F12" i="3"/>
  <c r="N12" i="3"/>
  <c r="L26" i="3"/>
  <c r="H26" i="3"/>
  <c r="N26" i="3"/>
  <c r="J26" i="3"/>
  <c r="F26" i="3"/>
  <c r="P26" i="3"/>
  <c r="P24" i="3"/>
  <c r="L24" i="3"/>
  <c r="F24" i="3"/>
  <c r="N24" i="3"/>
  <c r="J24" i="3"/>
  <c r="H24" i="3"/>
  <c r="N34" i="3"/>
  <c r="J34" i="3"/>
  <c r="L34" i="3"/>
  <c r="H34" i="3"/>
  <c r="P34" i="3"/>
  <c r="F34" i="3"/>
  <c r="N40" i="3"/>
  <c r="H40" i="3"/>
  <c r="J40" i="3"/>
  <c r="P40" i="3"/>
  <c r="F40" i="3"/>
  <c r="L40" i="3"/>
  <c r="H55" i="2"/>
  <c r="D20" i="3" s="1"/>
  <c r="P16" i="3"/>
  <c r="N16" i="3"/>
  <c r="J16" i="3"/>
  <c r="F16" i="3"/>
  <c r="L16" i="3"/>
  <c r="H16" i="3"/>
  <c r="H187" i="2"/>
  <c r="H315" i="2"/>
  <c r="D44" i="3" s="1"/>
  <c r="H92" i="2"/>
  <c r="D28" i="3" s="1"/>
  <c r="F318" i="2"/>
  <c r="G318" i="2" s="1"/>
  <c r="H318" i="2" s="1"/>
  <c r="F42" i="3" l="1"/>
  <c r="H42" i="3"/>
  <c r="N42" i="3"/>
  <c r="L42" i="3"/>
  <c r="Q24" i="3"/>
  <c r="Q18" i="3"/>
  <c r="Q26" i="3"/>
  <c r="N28" i="3"/>
  <c r="H28" i="3"/>
  <c r="J28" i="3"/>
  <c r="F28" i="3"/>
  <c r="L28" i="3"/>
  <c r="P28" i="3"/>
  <c r="L187" i="2"/>
  <c r="D36" i="3"/>
  <c r="P20" i="3"/>
  <c r="L20" i="3"/>
  <c r="H20" i="3"/>
  <c r="N20" i="3"/>
  <c r="F20" i="3"/>
  <c r="J20" i="3"/>
  <c r="Q40" i="3"/>
  <c r="P38" i="3"/>
  <c r="H38" i="3"/>
  <c r="F38" i="3"/>
  <c r="L38" i="3"/>
  <c r="J38" i="3"/>
  <c r="N38" i="3"/>
  <c r="Q30" i="3"/>
  <c r="J44" i="3"/>
  <c r="F44" i="3"/>
  <c r="N44" i="3"/>
  <c r="H44" i="3"/>
  <c r="L44" i="3"/>
  <c r="P44" i="3"/>
  <c r="Q16" i="3"/>
  <c r="Q34" i="3"/>
  <c r="Q12" i="3"/>
  <c r="Q42" i="3"/>
  <c r="Q22" i="3"/>
  <c r="Q32" i="3"/>
  <c r="Q14" i="3"/>
  <c r="H319" i="2"/>
  <c r="H321" i="2" l="1"/>
  <c r="D46" i="3"/>
  <c r="Q38" i="3"/>
  <c r="P36" i="3"/>
  <c r="J36" i="3"/>
  <c r="F36" i="3"/>
  <c r="H36" i="3"/>
  <c r="N36" i="3"/>
  <c r="L36" i="3"/>
  <c r="Q28" i="3"/>
  <c r="D49" i="3"/>
  <c r="Q44" i="3"/>
  <c r="Q20" i="3"/>
  <c r="Q36" i="3" l="1"/>
  <c r="C28" i="3"/>
  <c r="C26" i="3"/>
  <c r="C40" i="3"/>
  <c r="C24" i="3"/>
  <c r="C34" i="3"/>
  <c r="C16" i="3"/>
  <c r="C32" i="3"/>
  <c r="C30" i="3"/>
  <c r="C22" i="3"/>
  <c r="C42" i="3"/>
  <c r="C14" i="3"/>
  <c r="C18" i="3"/>
  <c r="C12" i="3"/>
  <c r="C20" i="3"/>
  <c r="C38" i="3"/>
  <c r="C44" i="3"/>
  <c r="P46" i="3"/>
  <c r="P49" i="3" s="1"/>
  <c r="O49" i="3" s="1"/>
  <c r="F46" i="3"/>
  <c r="H46" i="3"/>
  <c r="H49" i="3" s="1"/>
  <c r="G49" i="3" s="1"/>
  <c r="L46" i="3"/>
  <c r="L49" i="3" s="1"/>
  <c r="K49" i="3" s="1"/>
  <c r="N46" i="3"/>
  <c r="N49" i="3" s="1"/>
  <c r="M49" i="3" s="1"/>
  <c r="J46" i="3"/>
  <c r="J49" i="3" s="1"/>
  <c r="I49" i="3" s="1"/>
  <c r="C46" i="3"/>
  <c r="C36" i="3"/>
  <c r="Q46" i="3" l="1"/>
  <c r="Q49" i="3" s="1"/>
  <c r="F49" i="3"/>
  <c r="E49" i="3" s="1"/>
  <c r="C49" i="3"/>
</calcChain>
</file>

<file path=xl/sharedStrings.xml><?xml version="1.0" encoding="utf-8"?>
<sst xmlns="http://schemas.openxmlformats.org/spreadsheetml/2006/main" count="4931" uniqueCount="1359">
  <si>
    <r>
      <rPr>
        <b/>
        <sz val="11"/>
        <color rgb="FF000000"/>
        <rFont val="Calibri"/>
      </rPr>
      <t xml:space="preserve">Valores: </t>
    </r>
    <r>
      <rPr>
        <sz val="11"/>
        <color rgb="FF000000"/>
        <rFont val="Calibri"/>
      </rPr>
      <t>Desonerado</t>
    </r>
  </si>
  <si>
    <r>
      <rPr>
        <b/>
        <sz val="11"/>
        <color rgb="FF000000"/>
        <rFont val="Calibri"/>
      </rPr>
      <t xml:space="preserve">Base: </t>
    </r>
    <r>
      <rPr>
        <sz val="11"/>
        <color rgb="FF000000"/>
        <rFont val="Calibri"/>
      </rPr>
      <t xml:space="preserve">Sinapi / </t>
    </r>
    <r>
      <rPr>
        <b/>
        <sz val="11"/>
        <color rgb="FF000000"/>
        <rFont val="Calibri"/>
      </rPr>
      <t xml:space="preserve">Ref: </t>
    </r>
    <r>
      <rPr>
        <sz val="11"/>
        <color rgb="FF000000"/>
        <rFont val="Calibri"/>
      </rPr>
      <t xml:space="preserve">03/2022 / </t>
    </r>
    <r>
      <rPr>
        <b/>
        <sz val="11"/>
        <color rgb="FF000000"/>
        <rFont val="Calibri"/>
      </rPr>
      <t xml:space="preserve">Estado: </t>
    </r>
    <r>
      <rPr>
        <sz val="11"/>
        <color rgb="FF000000"/>
        <rFont val="Calibri"/>
      </rPr>
      <t>Mato Grosso</t>
    </r>
  </si>
  <si>
    <r>
      <rPr>
        <b/>
        <sz val="11"/>
        <color rgb="FF000000"/>
        <rFont val="Calibri"/>
      </rPr>
      <t xml:space="preserve">BDI: </t>
    </r>
    <r>
      <rPr>
        <sz val="11"/>
        <color rgb="FF000000"/>
        <rFont val="Calibri"/>
      </rPr>
      <t>25%</t>
    </r>
  </si>
  <si>
    <r>
      <rPr>
        <b/>
        <sz val="11"/>
        <color rgb="FF000000"/>
        <rFont val="Calibri"/>
      </rPr>
      <t xml:space="preserve">Obra: </t>
    </r>
    <r>
      <rPr>
        <sz val="11"/>
        <color rgb="FF000000"/>
        <rFont val="Calibri"/>
      </rPr>
      <t>DETRAN - POCONÉ</t>
    </r>
  </si>
  <si>
    <t>Composição Sinapi Principal</t>
  </si>
  <si>
    <t>ENGENHEIRO CIVIL DE OBRA JUNIOR COM ENCARGOS COMPLEMENTARES</t>
  </si>
  <si>
    <t>H</t>
  </si>
  <si>
    <t>Insumo Sinapi</t>
  </si>
  <si>
    <t>ENGENHEIRO CIVIL DE OBRA JUNIOR</t>
  </si>
  <si>
    <t>EXAMES - HORISTA (COLETADO CAIXA)</t>
  </si>
  <si>
    <t>SEGURO - HORISTA (COLETADO CAIXA)</t>
  </si>
  <si>
    <t>FERRAMENTAS - FAMILIA ENGENHEIRO CIVIL - HORISTA (ENCARGOS COMPLEMENTARES - COLETADO CAIXA)</t>
  </si>
  <si>
    <t>EPI - FAMILIA ENGENHEIRO CIVIL - HORISTA (ENCARGOS COMPLEMENTARES - COLETADO CAIXA)</t>
  </si>
  <si>
    <t>Composição Sinapi</t>
  </si>
  <si>
    <t>CURSO DE CAPACITAÇÃO PARA ENGENHEIRO CIVIL DE OBRA JÚNIOR (ENCARGOS COMPLEMENTARES) - HORISTA</t>
  </si>
  <si>
    <t>ENCARREGADO GERAL COM ENCARGOS COMPLEMENTARES</t>
  </si>
  <si>
    <t>ENCARREGADO GERAL DE OBRAS</t>
  </si>
  <si>
    <t>FERRAMENTAS - FAMILIA ENCARREGADO GERAL - HORISTA (ENCARGOS COMPLEMENTARES - COLETADO CAIXA)</t>
  </si>
  <si>
    <t>EPI - FAMILIA ENCARREGADO GERAL - HORISTA (ENCARGOS COMPLEMENTARES - COLETADO CAIXA)</t>
  </si>
  <si>
    <t>CURSO DE CAPACITAÇÃO PARA ENCARREGADO GERAL (ENCARGOS COMPLEMENTARES) - HORISTA</t>
  </si>
  <si>
    <t>REMOÇÃO DE TELHAS, DE FIBROCIMENTO, METÁLICA E CERÂMICA, DE FORMA MANUAL, SEM REAPROVEITAMENTO. AF_12/2017</t>
  </si>
  <si>
    <t>M2</t>
  </si>
  <si>
    <t>SERVENTE COM ENCARGOS COMPLEMENTARES</t>
  </si>
  <si>
    <t>TELHADISTA COM ENCARGOS COMPLEMENTARES</t>
  </si>
  <si>
    <t>REMOÇÃO DE TRAMA DE MADEIRA PARA COBERTURA, DE FORMA MANUAL, SEM REAPROVEITAMENTO. AF_12/2017</t>
  </si>
  <si>
    <t>REMOÇÃO DE FORROS DE DRYWALL, PVC E FIBROMINERAL, DE FORMA MANUAL, SEM REAPROVEITAMENTO. AF_12/2017</t>
  </si>
  <si>
    <t>MONTADOR DE ESTRUTURA METÁLICA COM ENCARGOS COMPLEMENTARES</t>
  </si>
  <si>
    <t>DEMOLIÇÃO DE REVESTIMENTO CERÂMICO, DE FORMA MANUAL, SEM REAPROVEITAMENTO. AF_12/2017</t>
  </si>
  <si>
    <t>AZULEJISTA OU LADRILHISTA COM ENCARGOS COMPLEMENTARES</t>
  </si>
  <si>
    <t>REMOÇÃO DE JANELAS, DE FORMA MANUAL, SEM REAPROVEITAMENTO. AF_12/2017</t>
  </si>
  <si>
    <t>CABO DE ACO GALVANIZADO, DIAMETRO 9,53 MM (3/8"), COM ALMA DE FIBRA 6 X 25 F</t>
  </si>
  <si>
    <t>KG</t>
  </si>
  <si>
    <t>PEDREIRO COM ENCARGOS COMPLEMENTARES</t>
  </si>
  <si>
    <t>REMOÇÃO DE PORTAS, DE FORMA MANUAL, SEM REAPROVEITAMENTO. AF_12/2017</t>
  </si>
  <si>
    <t>DEMOLIÇÃO DE ARGAMASSAS, DE FORMA MANUAL, SEM REAPROVEITAMENTO. AF_12/2017</t>
  </si>
  <si>
    <t>REMOÇÃO DE METAIS SANITÁRIOS, DE FORMA MANUAL, SEM REAPROVEITAMENTO. AF_12/2017</t>
  </si>
  <si>
    <t>UN</t>
  </si>
  <si>
    <t>ENCANADOR OU BOMBEIRO HIDRÁULICO COM ENCARGOS COMPLEMENTARES</t>
  </si>
  <si>
    <t>DEMOLIÇÃO DE ALVENARIA DE BLOCO FURADO, DE FORMA MANUAL, SEM REAPROVEITAMENTO. AF_12/2017</t>
  </si>
  <si>
    <t>M3</t>
  </si>
  <si>
    <t>REMOÇÃO DE LOUÇAS, DE FORMA MANUAL, SEM REAPROVEITAMENTO. AF_12/2017</t>
  </si>
  <si>
    <t>ESCAVAÇÃO MANUAL DE VALA COM PROFUNDIDADE MENOR OU IGUAL A 1,30 M. AF_02/2021</t>
  </si>
  <si>
    <t>REATERRO MANUAL APILOADO COM SOQUETE. AF_10/2017</t>
  </si>
  <si>
    <t>CONCRETO MAGRO PARA LASTRO, TRAÇO 1:4,5:4,5 (EM MASSA SECA DE CIMENTO/ AREIA MÉDIA/ BRITA 1) - PREPARO MECÂNICO COM BETONEIRA 400 L. AF_05/2021</t>
  </si>
  <si>
    <t>AREIA MEDIA - POSTO JAZIDA/FORNECEDOR (RETIRADO NA JAZIDA, SEM TRANSPORTE)</t>
  </si>
  <si>
    <t>CIMENTO PORTLAND COMPOSTO CP II-32</t>
  </si>
  <si>
    <t>PEDRA BRITADA N. 1 (9,5 a 19 MM) POSTO PEDREIRA/FORNECEDOR, SEM FRETE</t>
  </si>
  <si>
    <t>OPERADOR DE BETONEIRA ESTACIONÁRIA/MISTURADOR COM ENCARGOS COMPLEMENTARES</t>
  </si>
  <si>
    <t>BETONEIRA CAPACIDADE NOMINAL DE 400 L, CAPACIDADE DE MISTURA 280 L, MOTOR ELÉTRICO TRIFÁSICO POTÊNCIA DE 2 CV, SEM CARREGADOR - CHP DIURNO. AF_10/2014</t>
  </si>
  <si>
    <t>CHP</t>
  </si>
  <si>
    <t>BETONEIRA CAPACIDADE NOMINAL DE 400 L, CAPACIDADE DE MISTURA 280 L, MOTOR ELÉTRICO TRIFÁSICO POTÊNCIA DE 2 CV, SEM CARREGADOR - CHI DIURNO. AF_10/2014</t>
  </si>
  <si>
    <t>CHI</t>
  </si>
  <si>
    <t>CONCRETO FCK = 25MPA, TRAÇO 1:2,3:2,7 (EM MASSA SECA DE CIMENTO/ AREIA MÉDIA/ BRITA 1) - PREPARO MECÂNICO COM BETONEIRA 600 L. AF_05/2021</t>
  </si>
  <si>
    <t>BETONEIRA CAPACIDADE NOMINAL DE 600 L, CAPACIDADE DE MISTURA 360 L, MOTOR ELÉTRICO TRIFÁSICO POTÊNCIA DE 4 CV, SEM CARREGADOR - CHP DIURNO. AF_11/2014</t>
  </si>
  <si>
    <t>BETONEIRA CAPACIDADE NOMINAL DE 600 L, CAPACIDADE DE MISTURA 360 L, MOTOR ELÉTRICO TRIFÁSICO POTÊNCIA DE 4 CV, SEM CARREGADOR - CHI DIURNO. AF_11/2014</t>
  </si>
  <si>
    <t>LANÇAMENTO COM USO DE BALDES, ADENSAMENTO E ACABAMENTO DE CONCRETO EM ESTRUTURAS. AF_02/2022</t>
  </si>
  <si>
    <t>CARPINTEIRO DE FORMAS COM ENCARGOS COMPLEMENTARES</t>
  </si>
  <si>
    <t>VIBRADOR DE IMERSÃO, DIÂMETRO DE PONTEIRA 45MM, MOTOR ELÉTRICO TRIFÁSICO POTÊNCIA DE 2 CV - CHP DIURNO. AF_06/2015</t>
  </si>
  <si>
    <t>VIBRADOR DE IMERSÃO, DIÂMETRO DE PONTEIRA 45MM, MOTOR ELÉTRICO TRIFÁSICO POTÊNCIA DE 2 CV - CHI DIURNO. AF_06/2015</t>
  </si>
  <si>
    <t>FABRICAÇÃO, MONTAGEM E DESMONTAGEM DE FÔRMA PARA VIGA BALDRAME, EM MADEIRA SERRADA, E=25 MM, 4 UTILIZAÇÕES. AF_06/2017</t>
  </si>
  <si>
    <t>DESMOLDANTE PROTETOR PARA FORMAS DE MADEIRA, DE BASE OLEOSA EMULSIONADA EM AGUA</t>
  </si>
  <si>
    <t>L</t>
  </si>
  <si>
    <t>PONTALETE *7,5 X 7,5* CM EM PINUS, MISTA OU EQUIVALENTE DA REGIAO - BRUTA</t>
  </si>
  <si>
    <t>M</t>
  </si>
  <si>
    <t>SARRAFO *2,5 X 7,5* CM EM PINUS, MISTA OU EQUIVALENTE DA REGIAO - BRUTA</t>
  </si>
  <si>
    <t>PREGO DE ACO POLIDO COM CABECA 17 X 24 (2 1/4 X 11)</t>
  </si>
  <si>
    <t>TABUA NAO APARELHADA *2,5 X 30* CM, EM MACARANDUBA, ANGELIM OU EQUIVALENTE DA REGIAO - BRUTA</t>
  </si>
  <si>
    <t>PREGO DE ACO POLIDO COM CABECA DUPLA 17 X 27 (2 1/2 X 11)</t>
  </si>
  <si>
    <t>AJUDANTE DE CARPINTEIRO COM ENCARGOS COMPLEMENTARES</t>
  </si>
  <si>
    <t>SERRA CIRCULAR DE BANCADA COM MOTOR ELÉTRICO POTÊNCIA DE 5HP, COM COIFA PARA DISCO 10" - CHP DIURNO. AF_08/2015</t>
  </si>
  <si>
    <t>SERRA CIRCULAR DE BANCADA COM MOTOR ELÉTRICO POTÊNCIA DE 5HP, COM COIFA PARA DISCO 10" - CHI DIURNO. AF_08/2015</t>
  </si>
  <si>
    <t>ARMAÇÃO DE ESTRUTURAS DE CONCRETO ARMADO, EXCETO VIGAS, PILARES, LAJES E FUNDAÇÕES, UTILIZANDO AÇO CA-50 DE 10,0 MM - MONTAGEM. AF_12/2015</t>
  </si>
  <si>
    <t>ESPACADOR / DISTANCIADOR CIRCULAR COM ENTRADA LATERAL, EM PLASTICO, PARA VERGALHAO *4,2 A 12,5* MM, COBRIMENTO 20 MM</t>
  </si>
  <si>
    <t>ARAME RECOZIDO 16 BWG, D = 1,65 MM (0,016 KG/M) OU 18 BWG, D = 1,25 MM (0,01 KG/M)</t>
  </si>
  <si>
    <t>AJUDANTE DE ARMADOR COM ENCARGOS COMPLEMENTARES</t>
  </si>
  <si>
    <t>ARMADOR COM ENCARGOS COMPLEMENTARES</t>
  </si>
  <si>
    <t>CORTE E DOBRA DE AÇO CA-50, DIÂMETRO DE 10,0 MM, UTILIZADO EM ESTRUTURAS DIVERSAS, EXCETO LAJES. AF_12/2015</t>
  </si>
  <si>
    <t>ARMAÇÃO DE ESTRUTURAS DE CONCRETO ARMADO, EXCETO VIGAS, PILARES, LAJES E FUNDAÇÕES, UTILIZANDO AÇO CA-50 DE 6,3 MM - MONTAGEM. AF_12/2015</t>
  </si>
  <si>
    <t>CORTE E DOBRA DE AÇO CA-50, DIÂMETRO DE 6,3 MM, UTILIZADO EM ESTRUTURAS DIVERSAS, EXCETO LAJES. AF_12/2015</t>
  </si>
  <si>
    <t>ALVENARIA DE EMBASAMENTO COM BLOCO ESTRUTURAL DE CONCRETO, DE 14X19X29CM E ARGAMASSA DE ASSENTAMENTO COM PREPARO EM BETONEIRA. AF_05/2020</t>
  </si>
  <si>
    <t>BLOCO DE CONCRETO ESTRUTURAL 14 X 19 X 29 CM, FBK 6 MPA (NBR 6136)</t>
  </si>
  <si>
    <t>ARGAMASSA TRAÇO 1:2:8 (EM VOLUME DE CIMENTO, CAL E AREIA MÉDIA ÚMIDA) PARA EMBOÇO/MASSA ÚNICA/ASSENTAMENTO DE ALVENARIA DE VEDAÇÃO, PREPARO MECÂNICO COM BETONEIRA 400 L. AF_08/2019</t>
  </si>
  <si>
    <t>MONTAGEM E DESMONTAGEM DE FÔRMA DE PILARES RETANGULARES E ESTRUTURAS SIMILARES, PÉ-DIREITO SIMPLES, EM MADEIRA SERRADA, 2 UTILIZAÇÕES. AF_09/2020</t>
  </si>
  <si>
    <t>FABRICAÇÃO DE FÔRMA PARA PILARES E ESTRUTURAS SIMILARES, EM MADEIRA SERRADA, E=25 MM. AF_09/2020</t>
  </si>
  <si>
    <t>ARMAÇÃO DE PILAR OU VIGA DE UMA ESTRUTURA CONVENCIONAL DE CONCRETO ARMADO EM UMA EDIFICAÇÃO TÉRREA OU SOBRADO UTILIZANDO AÇO CA-50 DE 10,0 MM - MONTAGEM. AF_12/2015</t>
  </si>
  <si>
    <t>ARMAÇÃO DE PILAR OU VIGA DE UMA ESTRUTURA CONVENCIONAL DE CONCRETO ARMADO EM UMA EDIFICAÇÃO TÉRREA OU SOBRADO UTILIZANDO AÇO CA-60 DE 5,0 MM - MONTAGEM. AF_12/2015</t>
  </si>
  <si>
    <t>CORTE E DOBRA DE AÇO CA-60, DIÂMETRO DE 5,0 MM, UTILIZADO EM ESTRUTURAS DIVERSAS, EXCETO LAJES. AF_12/2015</t>
  </si>
  <si>
    <t>ALVENARIA DE VEDAÇÃO DE BLOCOS CERÂMICOS FURADOS NA HORIZONTAL DE 9X19X19 CM (ESPESSURA 9 CM) E ARGAMASSA DE ASSENTAMENTO COM PREPARO EM BETONEIRA. AF_12/2021</t>
  </si>
  <si>
    <t>BLOCO CERAMICO / TIJOLO VAZADO PARA ALVENARIA DE VEDACAO, 8 FUROS NA HORIZONTAL, DE 9 X 19 X 19 CM (L XA X C)</t>
  </si>
  <si>
    <t>TELA DE ACO SOLDADA GALVANIZADA/ZINCADA PARA ALVENARIA, FIO D = *1,20 A 1,70* MM, MALHA 15 X 15 MM, (C X L) *50 X 7,5* CM</t>
  </si>
  <si>
    <t>PINO DE ACO COM FURO, HASTE = 27 MM (ACAO DIRETA)</t>
  </si>
  <si>
    <t>CENTO</t>
  </si>
  <si>
    <t>VERGA PRÉ-MOLDADA PARA JANELAS COM ATÉ 1,5 M DE VÃO. AF_03/2016</t>
  </si>
  <si>
    <t>ARGAMASSA TRAÇO 1:2:9 (EM VOLUME DE CIMENTO, CAL E AREIA MÉDIA ÚMIDA) PARA EMBOÇO/MASSA ÚNICA/ASSENTAMENTO DE ALVENARIA DE VEDAÇÃO, PREPARO MECÂNICO COM BETONEIRA 600 L. AF_08/2019</t>
  </si>
  <si>
    <t>FABRICAÇÃO DE FÔRMA PARA VIGAS, COM MADEIRA SERRADA, E = 25 MM. AF_09/2020</t>
  </si>
  <si>
    <t>CONCRETO FCK = 20MPA, TRAÇO 1:2,7:3 (EM MASSA SECA DE CIMENTO/ AREIA MÉDIA/ BRITA 1) - PREPARO MECÂNICO COM BETONEIRA 600 L. AF_05/2021</t>
  </si>
  <si>
    <t>FABRICAÇÃO E INSTALAÇÃO DE TESOURA INTEIRA EM AÇO, VÃO DE 11 M, PARA TELHA ONDULADA DE FIBROCIMENTO, METÁLICA, PLÁSTICA OU TERMOACÚSTICA, INCLUSO IÇAMENTO. AF_12/2015</t>
  </si>
  <si>
    <t>CANTONEIRA ACO ABAS IGUAIS (QUALQUER BITOLA), ESPESSURA ENTRE 1/8" E 1/4"</t>
  </si>
  <si>
    <t>ELETRODO REVESTIDO AWS - E7018, DIAMETRO IGUAL A 4,00 MM</t>
  </si>
  <si>
    <t>PERFIL UDC ("U" DOBRADO DE CHAPA) SIMPLES DE ACO LAMINADO, GALVANIZADO, ASTM A36, 127 X 50 MM, E= 3 MM</t>
  </si>
  <si>
    <t>INSTALAÇÃO DE TESOURA (INTEIRA OU MEIA), EM AÇO, PARA VÃOS MAIORES OU IGUAIS A 10,0 M E MENORES QUE 12,0 M, INCLUSO IÇAMENTO. AF_07/2019</t>
  </si>
  <si>
    <t>TELHAMENTO COM TELHA METÁLICA TERMOACÚSTICA E = 30 MM, COM ATÉ 2 ÁGUAS, INCLUSO IÇAMENTO. AF_07/2019</t>
  </si>
  <si>
    <t>HASTE RETA PARA GANCHO DE FERRO GALVANIZADO, COM ROSCA 1/4 " X 30 CM PARA FIXACAO DE TELHA METALICA, INCLUI PORCA E ARRUELAS DE VEDACAO</t>
  </si>
  <si>
    <t>CJ</t>
  </si>
  <si>
    <t>TELHA GALVALUME COM ISOLAMENTO TERMOACUSTICO EM ESPUMA RIGIDA DE POLIURETANO (PU) INJETADO, ESPESSURA DE 30 MM, DENSIDADE DE 35 KG/M3, REVESTIMENTO EM TELHA TRAPEZOIDAL NAS DUAS FACES COM ESPESSURA DE 0,50 MM CADA, ACABAMENTO NATURAL (NAO INCLUI ACESSORIOS DE FIXACAO)</t>
  </si>
  <si>
    <t>GUINCHO ELÉTRICO DE COLUNA, CAPACIDADE 400 KG, COM MOTO FREIO, MOTOR TRIFÁSICO DE 1,25 CV - CHP DIURNO. AF_03/2016</t>
  </si>
  <si>
    <t>GUINCHO ELÉTRICO DE COLUNA, CAPACIDADE 400 KG, COM MOTO FREIO, MOTOR TRIFÁSICO DE 1,25 CV - CHI DIURNO. AF_03/2016</t>
  </si>
  <si>
    <t>CALHA EM CHAPA DE AÇO GALVANIZADO NÚMERO 24, DESENVOLVIMENTO DE 33 CM, INCLUSO TRANSPORTE VERTICAL. AF_07/2019</t>
  </si>
  <si>
    <t>SELANTE ELASTICO MONOCOMPONENTE A BASE DE POLIURETANO (PU) PARA JUNTAS DIVERSAS</t>
  </si>
  <si>
    <t>310ML</t>
  </si>
  <si>
    <t>PREGO DE ACO POLIDO COM CABECA 18 X 27 (2 1/2 X 10)</t>
  </si>
  <si>
    <t>REBITE DE ALUMINIO VAZADO DE REPUXO, 3,2 X 8 MM (1KG = 1025 UNIDADES)</t>
  </si>
  <si>
    <t>SOLDA EM BARRA DE ESTANHO-CHUMBO 50/50</t>
  </si>
  <si>
    <t>CALHA QUADRADA DE CHAPA DE ACO GALVANIZADA NUM 24, CORTE 33 CM</t>
  </si>
  <si>
    <t>FORRO EM RÉGUAS DE PVC, FRISADO, PARA AMBIENTES COMERCIAIS, INCLUSIVE ESTRUTURA DE FIXAÇÃO. AF_05/2017_P</t>
  </si>
  <si>
    <t>FORRO DE PVC, FRISADO, BRANCO, REGUA DE 20 CM, ESPESSURA DE 8 MM A 10 MM E COMPRIMENTO 6 M (SEM COLOCACAO)</t>
  </si>
  <si>
    <t>PERFIL CANALETA, FORMATO C, EM ACO ZINCADO, PARA ESTRUTURA FORRO DRYWALL, E = 0,5 MM, *46 X 18* (L X H), COMPRIMENTO 3 M</t>
  </si>
  <si>
    <t>PENDURAL OU PRESILHA REGULADORA, EM ACO GALVANIZADO, COM CORPO, MOLA E REBITE, PARA PERFIL TIPO CANALETA DE ESTRUTURA EM FORROS DRYWALL</t>
  </si>
  <si>
    <t>PARAFUSO DRY WALL, EM ACO ZINCADO, CABECA LENTILHA E PONTA BROCA (LB), LARGURA 4,2 MM, COMPRIMENTO 13 MM</t>
  </si>
  <si>
    <t>PARAFUSO ZINCADO, AUTOBROCANTE, FLANGEADO, 4,2 MM X 19 MM</t>
  </si>
  <si>
    <t>PARAFUSO, AUTO ATARRACHANTE, CABECA CHATA, FENDA SIMPLES, 1/4" (6,35 MM) X 25 MM</t>
  </si>
  <si>
    <t>ARAME GALVANIZADO 6 BWG, D = 5,16 MM (0,157 KG/M), OU 8 BWG, D = 4,19 MM (0,101 KG/M), OU 10 BWG, D = 3,40 MM (0,0713 KG/M)</t>
  </si>
  <si>
    <t>KIT DE PORTA DE MADEIRA PARA VERNIZ, SEMI-OCA (LEVE OU MÉDIA), PADRÃO MÉDIO, 90X210CM, ESPESSURA DE 3,5CM, ITENS INCLUSOS: DOBRADIÇAS, MONTAGEM E INSTALAÇÃO DO BATENTE, SEM FECHADURA - FORNECIMENTO E INSTALAÇÃO. AF_12/2019</t>
  </si>
  <si>
    <t>BATENTE PARA PORTA DE MADEIRA, FIXAÇÃO COM ARGAMASSA, PADRÃO MÉDIO - FORNECIMENTO E INSTALAÇÃO. AF_12/2019_P</t>
  </si>
  <si>
    <t>PORTA DE MADEIRA PARA VERNIZ, SEMI-OCA (LEVE OU MÉDIA), 90X210CM, ESPESSURA DE 3,5CM, INCLUSO DOBRADIÇAS - FORNECIMENTO E INSTALAÇÃO. AF_12/2019</t>
  </si>
  <si>
    <t>ALIZAR DE 5X1,5CM PARA PORTA FIXADO COM PREGOS, PADRÃO MÉDIO - FORNECIMENTO E INSTALAÇÃO. AF_12/2019</t>
  </si>
  <si>
    <t>FECHADURA DE EMBUTIR PARA PORTAS INTERNAS, COMPLETA, ACABAMENTO PADRÃO MÉDIO, COM EXECUÇÃO DE FURO - FORNECIMENTO E INSTALAÇÃO. AF_12/2019</t>
  </si>
  <si>
    <t>FECHADURA ROSETA REDONDA PARA PORTA INTERNA, EM ACO INOX (MAQUINA, TESTA E CONTRA-TESTA) E EM ZAMAC (MACANETA, LINGUETA E TRINCOS) COM ACABAMENTO CROMADO, MAQUINA DE 55 MM, INCLUINDO CHAVE TIPO INTERNA</t>
  </si>
  <si>
    <t>CARPINTEIRO DE ESQUADRIA COM ENCARGOS COMPLEMENTARES</t>
  </si>
  <si>
    <t>KIT DE PORTA DE MADEIRA PARA VERNIZ, SEMI-OCA (LEVE OU MÉDIA), PADRÃO MÉDIO, 80X210CM, ESPESSURA DE 3,5CM, ITENS INCLUSOS: DOBRADIÇAS, MONTAGEM E INSTALAÇÃO DO BATENTE, SEM FECHADURA - FORNECIMENTO E INSTALAÇÃO. AF_12/2019</t>
  </si>
  <si>
    <t>PORTA DE MADEIRA PARA VERNIZ, SEMI-OCA (LEVE OU MÉDIA), 80X210CM, ESPESSURA DE 3,5CM, INCLUSO DOBRADIÇAS - FORNECIMENTO E INSTALAÇÃO. AF_12/2019</t>
  </si>
  <si>
    <t>KIT DE PORTA DE MADEIRA PARA VERNIZ, SEMI-OCA (LEVE OU MÉDIA), PADRÃO MÉDIO, 70X210CM, ESPESSURA DE 3,5CM, ITENS INCLUSOS: DOBRADIÇAS, MONTAGEM E INSTALAÇÃO DO BATENTE, SEM FECHADURA - FORNECIMENTO E INSTALAÇÃO. AF_12/2019</t>
  </si>
  <si>
    <t>PORTA DE MADEIRA PARA VERNIZ, SEMI-OCA (LEVE OU MÉDIA), 70X210CM, ESPESSURA DE 3,5CM, INCLUSO DOBRADIÇAS - FORNECIMENTO E INSTALAÇÃO. AF_12/2019</t>
  </si>
  <si>
    <t>PORTA DE FERRO, DE ABRIR, TIPO GRADE COM CHAPA, COM GUARNIÇÕES. AF_12/2019</t>
  </si>
  <si>
    <t>PORTA DE ABRIR / GIRO, EM GRADIL FERRO, COM BARRA CHATA 3 CM X 1/4", COM REQUADRO E GUARNICAO - COMPLETO - ACABAMENTO NATURAL</t>
  </si>
  <si>
    <t>ARGAMASSA TRAÇO 1:0,5:4,5 (EM VOLUME DE CIMENTO, CAL E AREIA MÉDIA ÚMIDA) PARA ASSENTAMENTO DE ALVENARIA, PREPARO MANUAL. AF_08/2019</t>
  </si>
  <si>
    <t>PORTA DE ALUMÍNIO DE ABRIR COM LAMBRI, COM GUARNIÇÃO, FIXAÇÃO COM PARAFUSOS - FORNECIMENTO E INSTALAÇÃO. AF_12/2019</t>
  </si>
  <si>
    <t>PORTA DE ABRIR EM ALUMINIO COM LAMBRI HORIZONTAL/LAMINADA, ACABAMENTO ANODIZADO NATURAL, SEM GUARNICAO/ALIZAR/VISTA</t>
  </si>
  <si>
    <t>BUCHA DE NYLON SEM ABA S10, COM PARAFUSO DE 6,10 X 65 MM EM ACO ZINCADO COM ROSCA SOBERBA, CABECA CHATA E FENDA PHILLIPS</t>
  </si>
  <si>
    <t>GUARNICAO / MOLDURA / ARREMATE DE ACABAMENTO PARA ESQUADRIA, EM ALUMINIO PERFIL 25, ACABAMENTO ANODIZADO BRANCO OU BRILHANTE, PARA 1 FACE</t>
  </si>
  <si>
    <t>GRADIL EM FERRO FIXADO EM VÃOS DE JANELAS, FORMADO POR BARRAS CHATAS DE 25X4,8 MM. AF_04/2019</t>
  </si>
  <si>
    <t>BARRA DE FERRO CHATO, RETANGULAR, 25,4 MM X 4,76 MM (L X E), 1,73 KG/M</t>
  </si>
  <si>
    <t>ELETRODO REVESTIDO AWS - E6013, DIAMETRO IGUAL A 2,50 MM</t>
  </si>
  <si>
    <t>AUXILIAR DE SERRALHEIRO COM ENCARGOS COMPLEMENTARES</t>
  </si>
  <si>
    <t>SERRALHEIRO COM ENCARGOS COMPLEMENTARES</t>
  </si>
  <si>
    <t>ARGAMASSA TRAÇO 1:3 (EM VOLUME DE CIMENTO E AREIA MÉDIA ÚMIDA), PREPARO MANUAL. AF_08/2019</t>
  </si>
  <si>
    <t>JANELA DE ALUMÍNIO DE CORRER COM 2 FOLHAS PARA VIDROS, COM VIDROS, BATENTE, ACABAMENTO COM ACETATO OU BRILHANTE E FERRAGENS. EXCLUSIVE ALIZAR E CONTRAMARCO. FORNECIMENTO E INSTALAÇÃO. AF_12/2019</t>
  </si>
  <si>
    <t>PARAFUSO DE ACO ZINCADO COM ROSCA SOBERBA, CABECA CHATA E FENDA SIMPLES, DIAMETRO 4,2 MM, COMPRIMENTO * 32 * MM</t>
  </si>
  <si>
    <t>JANELA DE CORRER, EM ALUMINIO PERFIL 25, 100 X 120 CM (A X L), 2 FLS MOVEIS,  SEM BANDEIRA, ACABAMENTO BRANCO OU BRILHANTE, BATENTE DE 6 A 7 CM, COM VIDRO, SEM GUARNICAO</t>
  </si>
  <si>
    <t>SILICONE ACETICO USO GERAL INCOLOR 280 G</t>
  </si>
  <si>
    <t>JANELA DE ALUMÍNIO TIPO MAXIM-AR, COM VIDROS, BATENTE E FERRAGENS. EXCLUSIVE ALIZAR, ACABAMENTO E CONTRAMARCO. FORNECIMENTO E INSTALAÇÃO. AF_12/2019</t>
  </si>
  <si>
    <t>JANELA MAXIM AR, EM ALUMINIO PERFIL 25, 60 X 80 CM (A X L), ACABAMENTO BRANCO OU BRILHANTE, BATENTE DE 4 A 5 CM, COM VIDRO, SEM GUARNICAO/ALIZAR</t>
  </si>
  <si>
    <t>CHAPISCO APLICADO EM ALVENARIAS E ESTRUTURAS DE CONCRETO INTERNAS, COM COLHER DE PEDREIRO.  ARGAMASSA TRAÇO 1:3 COM PREPARO EM BETONEIRA 400L. AF_06/2014</t>
  </si>
  <si>
    <t>ARGAMASSA TRAÇO 1:3 (EM VOLUME DE CIMENTO E AREIA GROSSA ÚMIDA) PARA CHAPISCO CONVENCIONAL, PREPARO MECÂNICO COM BETONEIRA 400 L. AF_08/2019</t>
  </si>
  <si>
    <t>MASSA ÚNICA, PARA RECEBIMENTO DE PINTURA, EM ARGAMASSA TRAÇO 1:2:8, PREPARO MECÂNICO COM BETONEIRA 400L, APLICADA MANUALMENTE EM FACES INTERNAS DE PAREDES, ESPESSURA DE 20MM, COM EXECUÇÃO DE TALISCAS. AF_06/2014</t>
  </si>
  <si>
    <t>REVESTIMENTO CERÂMICO PARA PAREDES INTERNAS COM PLACAS TIPO ESMALTADA EXTRA DE DIMENSÕES 33X45 CM APLICADAS EM AMBIENTES DE ÁREA MENOR QUE 5 M² A MEIA ALTURA DAS PAREDES. AF_06/2014</t>
  </si>
  <si>
    <t>REVESTIMENTO EM CERAMICA ESMALTADA EXTRA, PEI MENOR OU IGUAL A 3, FORMATO MENOR OU IGUAL A 2025 CM2</t>
  </si>
  <si>
    <t>ARGAMASSA COLANTE AC I PARA CERAMICAS</t>
  </si>
  <si>
    <t>REJUNTE CIMENTICIO, QUALQUER COR</t>
  </si>
  <si>
    <t>DIVISORIA SANITÁRIA, TIPO CABINE, EM GRANITO CINZA POLIDO, ESP = 3CM, ASSENTADO COM ARGAMASSA COLANTE AC III-E, EXCLUSIVE FERRAGENS. AF_01/2021</t>
  </si>
  <si>
    <t>ADESIVO ESTRUTURAL A BASE DE RESINA EPOXI, BICOMPONENTE, PASTOSO (TIXOTROPICO)</t>
  </si>
  <si>
    <t>ARGAMASSA COLANTE TIPO AC III E</t>
  </si>
  <si>
    <t>DIVISORIA EM GRANITO, COM DUAS FACES POLIDAS, TIPO ANDORINHA/ QUARTZ/ CASTELO/ CORUMBA OU OUTROS EQUIVALENTES DA REGIAO, E=  *3,0*  CM</t>
  </si>
  <si>
    <t>MARMORISTA/GRANITEIRO COM ENCARGOS COMPLEMENTARES</t>
  </si>
  <si>
    <t>REVESTIMENTO CERÂMICO PARA PISO COM PLACAS TIPO ESMALTADA EXTRA DE DIMENSÕES 45X45 CM APLICADA EM AMBIENTES DE ÁREA ENTRE 5 M2 E 10 M2. AF_06/2014</t>
  </si>
  <si>
    <t>PISO EM CERAMICA ESMALTADA EXTRA, PEI MAIOR OU IGUAL A 4, FORMATO MENOR OU IGUAL A 2025 CM2</t>
  </si>
  <si>
    <t>RODAPÉ CERÂMICO DE 7CM DE ALTURA COM PLACAS TIPO ESMALTADA EXTRA DE DIMENSÕES 45X45CM. AF_06/2014</t>
  </si>
  <si>
    <t>EXECUÇÃO DE RADIER, ESPESSURA DE 10 CM, FCK = 30 MPA, COM USO DE FORMAS EM MADEIRA SERRADA. AF_09/2021</t>
  </si>
  <si>
    <t>LASTRO COM MATERIAL GRANULAR (PEDRA BRITADA N.2), APLICADO EM PISOS OU LAJES SOBRE SOLO, ESPESSURA DE *10 CM*. AF_08/2017</t>
  </si>
  <si>
    <t>ESCAVAÇÃO MANUAL DE VIGA DE BORDA PARA RADIER. AF_09/2021</t>
  </si>
  <si>
    <t>COMPACTAÇÃO MECÂNICA DE SOLO PARA EXECUÇÃO DE RADIER, PISO DE CONCRETO OU LAJE SOBRE SOLO, COM COMPACTADOR DE SOLOS A PERCUSSÃO. AF_09/2021</t>
  </si>
  <si>
    <t>FABRICAÇÃO, MONTAGEM E DESMONTAGEM DE FORMA PARA RADIER, PISO DE CONCRETO OU LAJE SOBRE SOLO, EM MADEIRA SERRADA, 4 UTILIZAÇÕES. AF_09/2021</t>
  </si>
  <si>
    <t>CAMADA SEPARADORA PARA EXECUÇÃO DE RADIER, PISO DE CONCRETO OU LAJE SOBRE SOLO, EM LONA PLÁSTICA. AF_09/2021</t>
  </si>
  <si>
    <t>ARMAÇÃO PARA EXECUÇÃO DE RADIER, PISO DE CONCRETO OU LAJE SOBRE SOLO, COM USO DE TELA Q-113. AF_09/2021</t>
  </si>
  <si>
    <t>CONCRETAGEM DE RADIER, PISO DE CONCRETO OU LAJE SOBRE SOLO, FCK 30 MPA - LANÇAMENTO, ADENSAMENTO E ACABAMENTO. AF_09/2021</t>
  </si>
  <si>
    <t>SOLEIRA EM GRANITO, LARGURA 15 CM, ESPESSURA 2,0 CM. AF_09/2020</t>
  </si>
  <si>
    <t>SOLEIRA EM GRANITO, POLIDO, TIPO ANDORINHA/ QUARTZ/ CASTELO/ CORUMBA OU OUTROS EQUIVALENTES DA REGIAO, L= *15* CM, E=  *2,0* CM</t>
  </si>
  <si>
    <t>ARGAMASSA COLANTE TIPO AC III</t>
  </si>
  <si>
    <t>EXECUÇÃO DE PASSEIO (CALÇADA) OU PISO DE CONCRETO COM CONCRETO MOLDADO IN LOCO, FEITO EM OBRA, ACABAMENTO CONVENCIONAL, NÃO ARMADO. AF_07/2016</t>
  </si>
  <si>
    <t>SARRAFO NAO APARELHADO *2,5 X 10* CM, EM MACARANDUBA, ANGELIM OU EQUIVALENTE DA REGIAO -  BRUTA</t>
  </si>
  <si>
    <t>CONCRETO FCK = 20MPA, TRAÇO 1:2,7:3 (EM MASSA SECA DE CIMENTO/ AREIA MÉDIA/ BRITA 1) - PREPARO MECÂNICO COM BETONEIRA 400 L. AF_05/2021</t>
  </si>
  <si>
    <t>PISO PODOTÁTIL, DIRECIONAL OU ALERTA, ASSENTADO SOBRE ARGAMASSA. AF_05/2020</t>
  </si>
  <si>
    <t>PISO TATIL DE ALERTA OU DIRECIONAL, DE BORRACHA, COLORIDO, 25 X 25 CM, E = 12 MM, PARA ARGAMASSA</t>
  </si>
  <si>
    <t>PORTA DE CORRER DE ALUMÍNIO, COM DUAS FOLHAS PARA VIDRO, INCLUSO VIDRO LISO INCOLOR, FECHADURA E PUXADOR, SEM ALIZAR. AF_12/2019</t>
  </si>
  <si>
    <t>PORTA DE CORRER EM ALUMINIO, DUAS FOLHAS MOVEIS COM VIDRO, FECHADURA E PUXADOR EMBUTIDO, ACABAMENTO ANODIZADO NATURAL, SEM GUARNICAO/ALIZAR/VISTA</t>
  </si>
  <si>
    <t>INSTALAÇÃO DE VIDRO LISO INCOLOR, E = 4 MM, EM ESQUADRIA DE ALUMÍNIO OU PVC, FIXADO COM BAGUETE. AF_01/2021_P</t>
  </si>
  <si>
    <t>VIDRO LISO INCOLOR 4MM - SEM COLOCACAO</t>
  </si>
  <si>
    <t>PERFIL DE BORRACHA EPDM MACICO *12 X 15* MM PARA ESQUADRIAS</t>
  </si>
  <si>
    <t>FITA DE PAPEL REFORCADA COM LAMINA DE METAL PARA REFORCO DE CANTOS DE CHAPA DE GESSO PARA DRYWALL</t>
  </si>
  <si>
    <t>VIDRACEIRO COM ENCARGOS COMPLEMENTARES</t>
  </si>
  <si>
    <t>INSTALAÇÃO DE VIDRO TEMPERADO, E = 10 MM, ENCAIXADO EM PERFIL U. AF_01/2021_P</t>
  </si>
  <si>
    <t>VIDRO TEMPERADO INCOLOR E = 10 MM, SEM COLOCACAO</t>
  </si>
  <si>
    <t>BUCHA DE NYLON SEM ABA S6, COM PARAFUSO DE 4,20 X 40 MM EM ACO ZINCADO COM ROSCA SOBERBA, CABECA CHATA E FENDA PHILLIPS</t>
  </si>
  <si>
    <t>PERFIL DE ALUMINIO ANODIZADO</t>
  </si>
  <si>
    <t>APLICAÇÃO MANUAL DE PINTURA COM TINTA TEXTURIZADA ACRÍLICA EM PAREDES EXTERNAS DE CASAS, DUAS CORES. AF_06/2014</t>
  </si>
  <si>
    <t>MASSA PREMIUM PARA TEXTURA LISA DE BASE ACRILICA, USO INTERNO E EXTERNO</t>
  </si>
  <si>
    <t>PINTOR COM ENCARGOS COMPLEMENTARES</t>
  </si>
  <si>
    <t>APLICAÇÃO MANUAL DE PINTURA COM TINTA LÁTEX ACRÍLICA EM PAREDES, DUAS DEMÃOS. AF_06/2014</t>
  </si>
  <si>
    <t>TINTA LATEX ACRILICA PREMIUM, COR BRANCO FOSCO</t>
  </si>
  <si>
    <t>APLICAÇÃO E LIXAMENTO DE MASSA LÁTEX EM PAREDES, DUAS DEMÃOS. AF_06/2014</t>
  </si>
  <si>
    <t>LIXA EM FOLHA PARA PAREDE OU MADEIRA, NUMERO 120, COR VERMELHA</t>
  </si>
  <si>
    <t>MASSA CORRIDA PARA SUPERFICIES DE AMBIENTES INTERNOS</t>
  </si>
  <si>
    <t>APLICAÇÃO MASSA ALQUÍDICA PARA MADEIRA, PARA PINTURA COM TINTA DE ACABAMENTO (PIGMENTADA). AF_01/2021</t>
  </si>
  <si>
    <t>MASSA PARA MADEIRA - INTERIOR E EXTERIOR</t>
  </si>
  <si>
    <t>PINTURA TINTA DE ACABAMENTO (PIGMENTADA) ESMALTE SINTÉTICO ACETINADO EM MADEIRA, 2 DEMÃOS. AF_01/2021</t>
  </si>
  <si>
    <t>DILUENTE AGUARRAS</t>
  </si>
  <si>
    <t>TINTA ESMALTE SINTETICO PREMIUM ACETINADO</t>
  </si>
  <si>
    <t>PINTURA COM TINTA ALQUÍDICA DE ACABAMENTO (ESMALTE SINTÉTICO ACETINADO) APLICADA A ROLO OU PINCEL SOBRE SUPERFÍCIES METÁLICAS (EXCETO PERFIL) EXECUTADO EM OBRA (POR DEMÃO). AF_01/2020</t>
  </si>
  <si>
    <t>PINTURA DE PISO COM TINTA ACRÍLICA, APLICAÇÃO MANUAL, 2 DEMÃOS, INCLUSO FUNDO PREPARADOR. AF_05/2021</t>
  </si>
  <si>
    <t>SELADOR ACRILICO OPACO PREMIUM INTERIOR/EXTERIOR</t>
  </si>
  <si>
    <t>TINTA ACRILICA PREMIUM PARA PISO</t>
  </si>
  <si>
    <t>FITA CREPE ROLO DE 25 MM X 50 M</t>
  </si>
  <si>
    <t>PINTURA DE DEMARCAÇÃO DE VAGA COM TINTA ACRÍLICA, E = 10 CM, APLICAÇÃO MANUAL. AF_05/2021</t>
  </si>
  <si>
    <t>PINTURA COM TINTA ACRÍLICA DE ACABAMENTO APLICADA A ROLO OU PINCEL SOBRE SUPERFÍCIES METÁLICAS (EXCETO PERFIL) EXECUTADO EM OBRA (02 DEMÃOS). AF_01/2020</t>
  </si>
  <si>
    <t>TINTA ESMALTE BASE AGUA PREMIUM ACETINADO</t>
  </si>
  <si>
    <t>CABO DE COBRE FLEXÍVEL ISOLADO, 25 MM², ANTI-CHAMA 0,6/1,0 KV, PARA REDE ENTERRADA DE DISTRIBUIÇÃO DE ENERGIA ELÉTRICA - FORNECIMENTO E INSTALAÇÃO. AF_12/2021</t>
  </si>
  <si>
    <t>CABO DE COBRE, FLEXIVEL, CLASSE 4 OU 5, ISOLACAO EM PVC/A, ANTICHAMA BWF-B, COBERTURA PVC-ST1, ANTICHAMA BWF-B, 1 CONDUTOR, 0,6/1 KV, SECAO NOMINAL 25 MM2</t>
  </si>
  <si>
    <t>FITA ISOLANTE ADESIVA ANTICHAMA, USO ATE 750 V, EM ROLO DE 19 MM X 5 M</t>
  </si>
  <si>
    <t>AUXILIAR DE ELETRICISTA COM ENCARGOS COMPLEMENTARES</t>
  </si>
  <si>
    <t>ELETRICISTA COM ENCARGOS COMPLEMENTARES</t>
  </si>
  <si>
    <t>CABO DE COBRE FLEXÍVEL ISOLADO, 16 MM², ANTI-CHAMA 450/750 V, PARA DISTRIBUIÇÃO - FORNECIMENTO E INSTALAÇÃO. AF_12/2015</t>
  </si>
  <si>
    <t>CABO DE COBRE, FLEXIVEL, CLASSE 4 OU 5, ISOLACAO EM PVC/A, ANTICHAMA BWF-B, 1 CONDUTOR, 450/750 V, SECAO NOMINAL 16 MM2</t>
  </si>
  <si>
    <t>CABO DE COBRE FLEXÍVEL ISOLADO, 10 MM², ANTI-CHAMA 450/750 V, PARA DISTRIBUIÇÃO - FORNECIMENTO E INSTALAÇÃO. AF_12/2015</t>
  </si>
  <si>
    <t>CABO DE COBRE, FLEXIVEL, CLASSE 4 OU 5, ISOLACAO EM PVC/A, ANTICHAMA BWF-B, 1 CONDUTOR, 450/750 V, SECAO NOMINAL 10 MM2</t>
  </si>
  <si>
    <t>CABO DE COBRE FLEXÍVEL ISOLADO, 6 MM², ANTI-CHAMA 450/750 V, PARA CIRCUITOS TERMINAIS - FORNECIMENTO E INSTALAÇÃO. AF_12/2015</t>
  </si>
  <si>
    <t>CABO DE COBRE, FLEXIVEL, CLASSE 4 OU 5, ISOLACAO EM PVC/A, ANTICHAMA BWF-B, 1 CONDUTOR, 450/750 V, SECAO NOMINAL 6 MM2</t>
  </si>
  <si>
    <t>CABO DE COBRE FLEXÍVEL ISOLADO, 4 MM², ANTI-CHAMA 450/750 V, PARA CIRCUITOS TERMINAIS - FORNECIMENTO E INSTALAÇÃO. AF_12/2015</t>
  </si>
  <si>
    <t>CABO DE COBRE, FLEXIVEL, CLASSE 4 OU 5, ISOLACAO EM PVC/A, ANTICHAMA BWF-B, 1 CONDUTOR, 450/750 V, SECAO NOMINAL 4 MM2</t>
  </si>
  <si>
    <t>CABO DE COBRE FLEXÍVEL ISOLADO, 2,5 MM², ANTI-CHAMA 450/750 V, PARA CIRCUITOS TERMINAIS - FORNECIMENTO E INSTALAÇÃO. AF_12/2015</t>
  </si>
  <si>
    <t>CABO DE COBRE, FLEXIVEL, CLASSE 4 OU 5, ISOLACAO EM PVC/A, ANTICHAMA BWF-B, 1 CONDUTOR, 450/750 V, SECAO NOMINAL 2,5 MM2</t>
  </si>
  <si>
    <t>CABO DE COBRE FLEXÍVEL ISOLADO, 1,5 MM², ANTI-CHAMA 450/750 V, PARA CIRCUITOS TERMINAIS - FORNECIMENTO E INSTALAÇÃO. AF_12/2015</t>
  </si>
  <si>
    <t>CABO DE COBRE, FLEXIVEL, CLASSE 4 OU 5, ISOLACAO EM PVC/A, ANTICHAMA BWF-B, 1 CONDUTOR, 450/750 V, SECAO NOMINAL 1,5 MM2</t>
  </si>
  <si>
    <t>CORDOALHA DE COBRE NU 50 MM², ENTERRADA, SEM ISOLADOR - FORNECIMENTO E INSTALAÇÃO. AF_12/2017</t>
  </si>
  <si>
    <t>CABO DE COBRE NU 50 MM2 MEIO-DURO</t>
  </si>
  <si>
    <t>RASGO EM CONTRAPISO PARA RAMAIS/ DISTRIBUIÇÃO COM DIÂMETROS MENORES OU IGUAIS A 40 MM. AF_05/2015</t>
  </si>
  <si>
    <t>MARTELETE OU ROMPEDOR PNEUMÁTICO MANUAL, 28 KG, COM SILENCIADOR - CHP DIURNO. AF_07/2016</t>
  </si>
  <si>
    <t>MARTELETE OU ROMPEDOR PNEUMÁTICO MANUAL, 28 KG, COM SILENCIADOR - CHI DIURNO. AF_07/2016</t>
  </si>
  <si>
    <t>AUXILIAR DE ENCANADOR OU BOMBEIRO HIDRÁULICO COM ENCARGOS COMPLEMENTARES</t>
  </si>
  <si>
    <t>CABO DE COBRE FLEXÍVEL ISOLADO, 35 MM², ANTI-CHAMA 0,6/1,0 KV, PARA REDE ENTERRADA DE DISTRIBUIÇÃO DE ENERGIA ELÉTRICA - FORNECIMENTO E INSTALAÇÃO. AF_12/2021</t>
  </si>
  <si>
    <t>CABO DE COBRE, FLEXIVEL, CLASSE 4 OU 5, ISOLACAO EM PVC/A, ANTICHAMA BWF-B, COBERTURA PVC-ST1, ANTICHAMA BWF-B, 1 CONDUTOR, 0,6/1 KV, SECAO NOMINAL 35 MM2</t>
  </si>
  <si>
    <t>RASGO EM ALVENARIA PARA ELETRODUTOS COM DIAMETROS MENORES OU IGUAIS A 40 MM. AF_05/2015</t>
  </si>
  <si>
    <t>ELETRODUTO DE AÇO GALVANIZADO, CLASSE LEVE, DN 20 MM (3/4''), APARENTE, INSTALADO EM PAREDE - FORNECIMENTO E INSTALAÇÃO. AF_11/2016_P</t>
  </si>
  <si>
    <t>!EM PROCESSO DESATIVACAO! ELETRODUTO EM ACO GALVANIZADO ELETROLITICO, LEVE, DIAMETRO 3/4", PAREDE DE 0,90 MM</t>
  </si>
  <si>
    <t>FIXAÇÃO DE TUBOS VERTICAIS DE PPR DIÂMETROS MENORES OU IGUAIS A 40 MM COM ABRAÇADEIRA METÁLICA RÍGIDA TIPO D 1/2", FIXADA EM PERFILADO EM ALVENARIA. AF_05/2015</t>
  </si>
  <si>
    <t>LUVA DE EMENDA PARA ELETRODUTO, AÇO GALVANIZADO, DN 20 MM (3/4''), APARENTE, INSTALADA EM PAREDE - FORNECIMENTO E INSTALAÇÃO. AF_11/2016_P</t>
  </si>
  <si>
    <t>ELETRODUTO DE AÇO GALVANIZADO, CLASSE LEVE, DN 25 MM (1''), APARENTE, INSTALADO EM PAREDE - FORNECIMENTO E INSTALAÇÃO. AF_11/2016_P</t>
  </si>
  <si>
    <t>!EM PROCESSO DESATIVACAO! ELETRODUTO EM ACO GALVANIZADO ELETROLITICO, LEVE, DIAMETRO 1", PAREDE DE 0,90 MM</t>
  </si>
  <si>
    <t>LUVA DE EMENDA PARA ELETRODUTO, AÇO GALVANIZADO, DN 25 MM (1''), APARENTE, INSTALADA EM PAREDE - FORNECIMENTO E INSTALAÇÃO. AF_11/2016_P</t>
  </si>
  <si>
    <t>ELETRODUTO FLEXÍVEL CORRUGADO, PEAD, DN 63 (2"), PARA REDE ENTERRADA DE DISTRIBUIÇÃO DE ENERGIA ELÉTRICA - FORNECIMENTO E INSTALAÇÃO. AF_12/2021</t>
  </si>
  <si>
    <t>ELETRODUTO/DUTO PEAD FLEXIVEL PAREDE SIMPLES, CORRUGACAO HELICOIDAL, COR PRETA, SEM ROSCA, DE 2",  PARA CABEAMENTO SUBTERRANEO (NBR 15715)</t>
  </si>
  <si>
    <t>ELETRODUTO FLEXÍVEL CORRUGADO, PVC, DN 25 MM (3/4"), PARA CIRCUITOS TERMINAIS, INSTALADO EM PAREDE - FORNECIMENTO E INSTALAÇÃO. AF_12/2015</t>
  </si>
  <si>
    <t>ELETRODUTO PVC FLEXIVEL CORRUGADO, COR AMARELA, DE 25 MM</t>
  </si>
  <si>
    <t>CONDULETE DE ALUMÍNIO, TIPO C, PARA ELETRODUTO DE AÇO GALVANIZADO DN 20 MM (3/4''), APARENTE - FORNECIMENTO E INSTALAÇÃO. AF_11/2016_P</t>
  </si>
  <si>
    <t>CONDULETE DE ALUMINIO TIPO C, PARA ELETRODUTO ROSCAVEL DE 3/4", COM TAMPA CEGA</t>
  </si>
  <si>
    <t>TOMADA BAIXA DE EMBUTIR (2 MÓDULOS), 2P+T 10 A, INCLUINDO SUPORTE E PLACA - FORNECIMENTO E INSTALAÇÃO. AF_12/2015</t>
  </si>
  <si>
    <t>SUPORTE PARAFUSADO COM PLACA DE ENCAIXE 4" X 2" MÉDIO (1,30 M DO PISO) PARA PONTO ELÉTRICO - FORNECIMENTO E INSTALAÇÃO. AF_12/2015</t>
  </si>
  <si>
    <t>TOMADA BAIXA DE EMBUTIR (2 MÓDULOS), 2P+T 10 A, SEM SUPORTE E SEM PLACA - FORNECIMENTO E INSTALAÇÃO. AF_12/2015</t>
  </si>
  <si>
    <t>TOMADA MÉDIA DE EMBUTIR (2 MÓDULOS), 2P+T 10 A, INCLUINDO SUPORTE E PLACA - FORNECIMENTO E INSTALAÇÃO. AF_12/2015</t>
  </si>
  <si>
    <t>TOMADA MÉDIA DE EMBUTIR (2 MÓDULOS), 2P+T 10 A, SEM SUPORTE E SEM PLACA - FORNECIMENTO E INSTALAÇÃO. AF_12/2015</t>
  </si>
  <si>
    <t>TOMADA MÉDIA DE EMBUTIR (2 MÓDULOS), 2P+T 20 A, INCLUINDO SUPORTE E PLACA - FORNECIMENTO E INSTALAÇÃO. AF_12/2015</t>
  </si>
  <si>
    <t>TOMADA MÉDIA DE EMBUTIR (2 MÓDULOS), 2P+T 20 A, SEM SUPORTE E SEM PLACA - FORNECIMENTO E INSTALAÇÃO. AF_12/2015</t>
  </si>
  <si>
    <t>TOMADA ALTA DE EMBUTIR (1 MÓDULO), 2P+T 10 A, INCLUINDO SUPORTE E PLACA - FORNECIMENTO E INSTALAÇÃO. AF_12/2015</t>
  </si>
  <si>
    <t>TOMADA ALTA DE EMBUTIR (1 MÓDULO), 2P+T 10 A, SEM SUPORTE E SEM PLACA - FORNECIMENTO E INSTALAÇÃO. AF_12/2015</t>
  </si>
  <si>
    <t>INTERRUPTOR SIMPLES (1 MÓDULO), 10A/250V, INCLUINDO SUPORTE E PLACA - FORNECIMENTO E INSTALAÇÃO. AF_12/2015</t>
  </si>
  <si>
    <t>INTERRUPTOR SIMPLES (1 MÓDULO), 10A/250V, SEM SUPORTE E SEM PLACA - FORNECIMENTO E INSTALAÇÃO. AF_12/2015</t>
  </si>
  <si>
    <t>INTERRUPTOR PARALELO (2 MÓDULOS), 10A/250V, INCLUINDO SUPORTE E PLACA - FORNECIMENTO E INSTALAÇÃO. AF_12/2015</t>
  </si>
  <si>
    <t>INTERRUPTOR PARALELO (2 MÓDULOS), 10A/250V, SEM SUPORTE E SEM PLACA - FORNECIMENTO E INSTALAÇÃO. AF_12/2015</t>
  </si>
  <si>
    <t>INTERRUPTOR SIMPLES (2 MÓDULOS) COM INTERRUPTOR PARALELO (1 MÓDULO), 10A/250V, INCLUINDO SUPORTE E PLACA - FORNECIMENTO E INSTALAÇÃO. AF_12/2015</t>
  </si>
  <si>
    <t>INTERRUPTOR SIMPLES (2 MÓDULOS) COM INTERRUPTOR PARALELO (1 MÓDULO), 10A/250V, SEM SUPORTE E SEM PLACA - FORNECIMENTO E INSTALAÇÃO. AF_12/2015</t>
  </si>
  <si>
    <t>LUMINÁRIA DE EMERGÊNCIA, COM 30 LÂMPADAS LED DE 2 W, SEM REATOR - FORNECIMENTO E INSTALAÇÃO. AF_02/2020</t>
  </si>
  <si>
    <t>LUMINARIA DE EMERGENCIA 30 LEDS, POTENCIA 2 W, BATERIA DE LITIO, AUTONOMIA DE 6 HORAS</t>
  </si>
  <si>
    <t>LUMINÁRIA TIPO PLAFON CIRCULAR, DE SOBREPOR, COM LED DE 12/13 W - FORNECIMENTO E INSTALAÇÃO. AF_03/2022</t>
  </si>
  <si>
    <t>LUMINARIA LED PLAFON REDONDO DE SOBREPOR BIVOLT 12/13 W,  D = *17* CM</t>
  </si>
  <si>
    <t>DISJUNTOR TRIPOLAR TIPO NEMA, CORRENTE NOMINAL DE 60 ATÉ 100A - FORNECIMENTO E INSTALAÇÃO. AF_10/2020</t>
  </si>
  <si>
    <t>TERMINAL A COMPRESSAO EM COBRE ESTANHADO PARA CABO 25 MM2, 1 FURO E 1 COMPRESSAO, PARA PARAFUSO DE FIXACAO M8</t>
  </si>
  <si>
    <t>DISJUNTOR TIPO NEMA, TRIPOLAR 60 ATE 100 A, TENSAO MAXIMA DE 415 V</t>
  </si>
  <si>
    <t>DISJUNTOR TRIPOLAR TIPO DIN, CORRENTE NOMINAL DE 50A - FORNECIMENTO E INSTALAÇÃO. AF_10/2020</t>
  </si>
  <si>
    <t>TERMINAL A COMPRESSAO EM COBRE ESTANHADO PARA CABO 16 MM2, 1 FURO E 1 COMPRESSAO, PARA PARAFUSO DE FIXACAO M6</t>
  </si>
  <si>
    <t>DISJUNTOR TIPO DIN/IEC, TRIPOLAR DE 10 ATE 50A</t>
  </si>
  <si>
    <t>DISJUNTOR MONOPOLAR TIPO DIN, CORRENTE NOMINAL DE 10A - FORNECIMENTO E INSTALAÇÃO. AF_10/2020</t>
  </si>
  <si>
    <t>TERMINAL A COMPRESSAO EM COBRE ESTANHADO PARA CABO 2,5 MM2, 1 FURO E 1 COMPRESSAO, PARA PARAFUSO DE FIXACAO M5</t>
  </si>
  <si>
    <t>DISJUNTOR TIPO DIN/IEC, MONOPOLAR DE 6  ATE  32A</t>
  </si>
  <si>
    <t>DISJUNTOR MONOPOLAR TIPO DIN, CORRENTE NOMINAL DE 16A - FORNECIMENTO E INSTALAÇÃO. AF_10/2020</t>
  </si>
  <si>
    <t>DISJUNTOR MONOPOLAR TIPO DIN, CORRENTE NOMINAL DE 20A - FORNECIMENTO E INSTALAÇÃO. AF_10/2020</t>
  </si>
  <si>
    <t>TERMINAL A COMPRESSAO EM COBRE ESTANHADO PARA CABO 4 MM2, 1 FURO E 1 COMPRESSAO, PARA PARAFUSO DE FIXACAO M5</t>
  </si>
  <si>
    <t>DISJUNTOR MONOPOLAR TIPO DIN, CORRENTE NOMINAL DE 25A - FORNECIMENTO E INSTALAÇÃO. AF_10/2020</t>
  </si>
  <si>
    <t>DISJUNTOR BIPOLAR TIPO DIN, CORRENTE NOMINAL DE 16A - FORNECIMENTO E INSTALAÇÃO. AF_10/2020</t>
  </si>
  <si>
    <t>DISJUNTOR TIPO DIN/IEC, BIPOLAR DE 6 ATE 32A</t>
  </si>
  <si>
    <t>DISJUNTOR BIPOLAR TIPO DIN, CORRENTE NOMINAL DE 20A - FORNECIMENTO E INSTALAÇÃO. AF_10/2020</t>
  </si>
  <si>
    <t>DISJUNTOR BIPOLAR TIPO DIN, CORRENTE NOMINAL DE 25A - FORNECIMENTO E INSTALAÇÃO. AF_10/2020</t>
  </si>
  <si>
    <t>HASTE DE ATERRAMENTO 5/8  PARA SPDA - FORNECIMENTO E INSTALAÇÃO. AF_12/2017</t>
  </si>
  <si>
    <t>!EM PROCESSO DE DESATIVACAO! HASTE DE ATERRAMENTO EM ACO COM 3,00 M DE COMPRIMENTO E DN = 5/8", REVESTIDA COM BAIXA CAMADA DE COBRE, SEM CONECTOR</t>
  </si>
  <si>
    <t>CAIXA ENTERRADA ELÉTRICA RETANGULAR, EM CONCRETO PRÉ-MOLDADO, FUNDO COM BRITA, DIMENSÕES INTERNAS: 0,6X0,6X0,5 M. AF_12/2020</t>
  </si>
  <si>
    <t>RETROESCAVADEIRA SOBRE RODAS COM CARREGADEIRA, TRAÇÃO 4X4, POTÊNCIA LÍQ. 88 HP, CAÇAMBA CARREG. CAP. MÍN. 1 M3, CAÇAMBA RETRO CAP. 0,26 M3, PESO OPERACIONAL MÍN. 6.674 KG, PROFUNDIDADE ESCAVAÇÃO MÁX. 4,37 M - CHP DIURNO. AF_06/2014</t>
  </si>
  <si>
    <t>RETROESCAVADEIRA SOBRE RODAS COM CARREGADEIRA, TRAÇÃO 4X4, POTÊNCIA LÍQ. 88 HP, CAÇAMBA CARREG. CAP. MÍN. 1 M3, CAÇAMBA RETRO CAP. 0,26 M3, PESO OPERACIONAL MÍN. 6.674 KG, PROFUNDIDADE ESCAVAÇÃO MÁX. 4,37 M - CHI DIURNO. AF_06/2014</t>
  </si>
  <si>
    <t>CAIXA DE CONCRETO ARMADO PRE-MOLDADO, SEM FUNDO, QUADRADA, DIMENSOES DE 0,60 X 0,60 X 0,50 M</t>
  </si>
  <si>
    <t>PEÇA RETANGULAR PRÉ-MOLDADA, VOLUME DE CONCRETO DE 30 A 100 LITROS, TAXA DE AÇO APROXIMADA DE 30KG/M³. AF_01/2018</t>
  </si>
  <si>
    <t>PREPARO DE FUNDO DE VALA COM LARGURA MENOR QUE 1,5 M, COM CAMADA DE BRITA, LANÇAMENTO MECANIZADO. AF_08/2020</t>
  </si>
  <si>
    <t>QUADRO DE DISTRIBUIÇÃO DE ENERGIA EM CHAPA DE AÇO GALVANIZADO, DE EMBUTIR, COM BARRAMENTO TRIFÁSICO, PARA 40 DISJUNTORES DIN 100A - FORNECIMENTO E INSTALAÇÃO. AF_10/2020</t>
  </si>
  <si>
    <t>QUADRO DE DISTRIBUICAO COM BARRAMENTO TRIFASICO, DE EMBUTIR, EM CHAPA DE ACO GALVANIZADO, PARA 40 DISJUNTORES DIN, 100 A</t>
  </si>
  <si>
    <t>ARGAMASSA TRAÇO 1:1:6 (EM VOLUME DE CIMENTO, CAL E AREIA MÉDIA ÚMIDA) PARA EMBOÇO/MASSA ÚNICA/ASSENTAMENTO DE ALVENARIA DE VEDAÇÃO, PREPARO MANUAL. AF_08/2019</t>
  </si>
  <si>
    <t>QUADRO DE DISTRIBUIÇÃO DE ENERGIA EM CHAPA DE AÇO GALVANIZADO, DE EMBUTIR, COM BARRAMENTO TRIFÁSICO, PARA 30 DISJUNTORES DIN 150A - FORNECIMENTO E INSTALAÇÃO. AF_10/2020</t>
  </si>
  <si>
    <t>QUADRO DE DISTRIBUICAO COM BARRAMENTO TRIFASICO, DE EMBUTIR, EM CHAPA DE ACO GALVANIZADO, PARA 30 DISJUNTORES DIN, 150 A</t>
  </si>
  <si>
    <t>QUADRO DE DISTRIBUIÇÃO DE ENERGIA EM CHAPA DE AÇO GALVANIZADO, DE EMBUTIR, COM BARRAMENTO TRIFÁSICO, PARA 24 DISJUNTORES DIN 100A - FORNECIMENTO E INSTALAÇÃO. AF_10/2020</t>
  </si>
  <si>
    <t>QUADRO DE DISTRIBUICAO COM BARRAMENTO TRIFASICO, DE EMBUTIR, EM CHAPA DE ACO GALVANIZADO, PARA 24 DISJUNTORES DIN, 100 A</t>
  </si>
  <si>
    <t>CAIXA RETANGULAR 4" X 2" BAIXA (0,30 M DO PISO), PVC, INSTALADA EM PAREDE - FORNECIMENTO E INSTALAÇÃO. AF_12/2015</t>
  </si>
  <si>
    <t>CAIXA DE PASSAGEM, EM PVC, DE 4" X 2", PARA ELETRODUTO FLEXIVEL CORRUGADO</t>
  </si>
  <si>
    <t>CAIXA RETANGULAR 4" X 2" MÉDIA (1,30 M DO PISO), PVC, INSTALADA EM PAREDE - FORNECIMENTO E INSTALAÇÃO. AF_12/2015</t>
  </si>
  <si>
    <t>CAIXA RETANGULAR 4" X 2" ALTA (2,00 M DO PISO), PVC, INSTALADA EM PAREDE - FORNECIMENTO E INSTALAÇÃO. AF_12/2015</t>
  </si>
  <si>
    <t>CAIXA RETANGULAR 4" X 4" BAIXA (0,30 M DO PISO), PVC, INSTALADA EM PAREDE - FORNECIMENTO E INSTALAÇÃO. AF_12/2015</t>
  </si>
  <si>
    <t>CAIXA DE PASSAGEM, EM PVC, DE 4" X 4", PARA ELETRODUTO FLEXIVEL CORRUGADO</t>
  </si>
  <si>
    <t>CAIXA OCTOGONAL 4" X 4", PVC, INSTALADA EM LAJE - FORNECIMENTO E INSTALAÇÃO. AF_12/2015</t>
  </si>
  <si>
    <t>CAIXA OCTOGONAL DE FUNDO MOVEL, EM PVC, DE 4" X 4", PARA ELETRODUTO FLEXIVEL CORRUGADO</t>
  </si>
  <si>
    <t>RELÉ FOTOELÉTRICO PARA COMANDO DE ILUMINAÇÃO EXTERNA 1000 W - FORNECIMENTO E INSTALAÇÃO. AF_08/2020</t>
  </si>
  <si>
    <t>RELE FOTOELETRICO INTERNO E EXTERNO BIVOLT 1000 W, DE CONECTOR, SEM BASE</t>
  </si>
  <si>
    <t>REMOÇÃO DE INTERRUPTORES/TOMADAS ELÉTRICAS, DE FORMA MANUAL, SEM REAPROVEITAMENTO. AF_12/2017</t>
  </si>
  <si>
    <t>REMOÇÃO DE CABOS ELÉTRICOS, DE FORMA MANUAL, SEM REAPROVEITAMENTO. AF_12/2017</t>
  </si>
  <si>
    <t>REMOÇÃO DE LUMINÁRIAS, DE FORMA MANUAL, SEM REAPROVEITAMENTO. AF_12/2017</t>
  </si>
  <si>
    <t>ELETRODUTO FLEXÍVEL CORRUGADO REFORÇADO, PVC, DN 25 MM (3/4"), PARA CIRCUITOS TERMINAIS, INSTALADO EM FORRO - FORNECIMENTO E INSTALAÇÃO. AF_12/2015</t>
  </si>
  <si>
    <t>ELETRODUTO PVC FLEXIVEL CORRUGADO, REFORCADO, COR LARANJA, DE 25 MM, PARA LAJES E PISOS</t>
  </si>
  <si>
    <t>FIXAÇÃO DE TUBOS HORIZONTAIS DE PVC, CPVC OU COBRE DIÂMETROS MENORES OU IGUAIS A 40 MM OU ELETROCALHAS ATÉ 150MM DE LARGURA, COM ABRAÇADEIRA METÁLICA RÍGIDA TIPO D 1/2", FIXADA EM PERFILADO EM LAJE. AF_05/2015</t>
  </si>
  <si>
    <t>PONTO DE TOMADA RESIDENCIAL INCLUINDO TOMADA 10A/250V, CAIXA ELÉTRICA, ELETRODUTO, CABO, RASGO, QUEBRA E CHUMBAMENTO. AF_01/2016</t>
  </si>
  <si>
    <t>QUEBRA EM ALVENARIA PARA INSTALAÇÃO DE CAIXA DE TOMADA (4X4 OU 4X2). AF_05/2015</t>
  </si>
  <si>
    <t>CHUMBAMENTO LINEAR EM ALVENARIA PARA RAMAIS/DISTRIBUIÇÃO COM DIÂMETROS MENORES OU IGUAIS A 40 MM. AF_05/2015</t>
  </si>
  <si>
    <t>ELETRODUTO FLEXÍVEL CORRUGADO, PVC, DN 20 MM (1/2"), PARA CIRCUITOS TERMINAIS, INSTALADO EM LAJE - FORNECIMENTO E INSTALAÇÃO. AF_12/2015</t>
  </si>
  <si>
    <t>ELETRODUTO FLEXÍVEL CORRUGADO, PVC, DN 20 MM (1/2"), PARA CIRCUITOS TERMINAIS, INSTALADO EM PAREDE - FORNECIMENTO E INSTALAÇÃO. AF_12/2015</t>
  </si>
  <si>
    <t>CAIXA OCTOGONAL 3" X 3", PVC, INSTALADA EM LAJE - FORNECIMENTO E INSTALAÇÃO. AF_12/2015</t>
  </si>
  <si>
    <t>TOMADA MÉDIA DE EMBUTIR (1 MÓDULO), 2P+T 10 A, INCLUINDO SUPORTE E PLACA - FORNECIMENTO E INSTALAÇÃO. AF_12/2015</t>
  </si>
  <si>
    <t>CONDULETE DE ALUMÍNIO, TIPO C, PARA ELETRODUTO DE AÇO GALVANIZADO DN 25 MM (1''), APARENTE - FORNECIMENTO E INSTALAÇÃO. AF_11/2016_P</t>
  </si>
  <si>
    <t>CONDULETE DE ALUMINIO TIPO C, PARA ELETRODUTO ROSCAVEL DE 1", COM TAMPA CEGA</t>
  </si>
  <si>
    <t>ELETRODUTO FLEXÍVEL CORRUGADO REFORÇADO, PVC, DN 32 MM (1"), PARA CIRCUITOS TERMINAIS, INSTALADO EM PAREDE - FORNECIMENTO E INSTALAÇÃO. AF_12/2015</t>
  </si>
  <si>
    <t>ELETRODUTO PVC FLEXIVEL CORRUGADO, REFORCADO, COR LARANJA, DE 32 MM, PARA LAJES E PISOS</t>
  </si>
  <si>
    <t>TOMADA DE REDE RJ45 - FORNECIMENTO E INSTALAÇÃO. AF_11/2019</t>
  </si>
  <si>
    <t>TOMADA RJ45, 8 FIOS, CAT 5E, CONJUNTO MONTADO PARA EMBUTIR 4" X 2" (PLACA + SUPORTE + MODULO)</t>
  </si>
  <si>
    <t>TOMADA PARA TELEFONE RJ11 - FORNECIMENTO E INSTALAÇÃO. AF_11/2019</t>
  </si>
  <si>
    <t>TOMADA RJ11, 2 FIOS, CONJUNTO MONTADO PARA EMBUTIR 4" X 2" (PLACA + SUPORTE + MODULO)</t>
  </si>
  <si>
    <t>CABO ELETRÔNICO CATEGORIA 5E, INSTALADO EM EDIFICAÇÃO INSTITUCIONAL - FORNECIMENTO E INSTALAÇÃO. AF_11/2019</t>
  </si>
  <si>
    <t>CABO DE PAR TRANCADO UTP, 4 PARES, CATEGORIA 5E</t>
  </si>
  <si>
    <t>CABO ELETRÔNICO CATEGORIA 6, INSTALADO EM EDIFICAÇÃO INSTITUCIONAL - FORNECIMENTO E INSTALAÇÃO. AF_11/2019</t>
  </si>
  <si>
    <t>CABO DE PAR TRANCADO UTP, 4 PARES, CATEGORIA 6</t>
  </si>
  <si>
    <t>PATCH PANEL 24 PORTAS, CATEGORIA 5E - FORNECIMENTO E INSTALAÇÃO. AF_11/2019</t>
  </si>
  <si>
    <t>PATCH PANEL, 24 PORTAS, CATEGORIA 5E, COM RACKS DE 19" E 1 U DE ALTURA</t>
  </si>
  <si>
    <t>SUPORTE PARA ELETROCALHA LISA OU PERFURADA EM AÇO GALVANIZADO, LARGURA 500 OU 800 MM E ALTURA 50 MM, ESPAÇADO A CADA 1,5 M, EM PERFILADO DE SEÇÃO 38X76 MM, POR METRO DE ELETROCALHA FIXADA. AF_07/2017</t>
  </si>
  <si>
    <t>ARRUELA LISA, REDONDA, DE LATAO POLIDO, DIAMETRO NOMINAL 5/8", DIAMETRO EXTERNO = 34 MM, DIAMETRO DO FURO = 17 MM, ESPESSURA = *2,5* MM</t>
  </si>
  <si>
    <t>CHUMBADOR, DIAMETRO 1/4" COM PARAFUSO 1/4" X 40 MM</t>
  </si>
  <si>
    <t>PERFILADO PERFURADO DUPLO 38 X 76 MM, CHAPA 22</t>
  </si>
  <si>
    <t>VERGALHAO ZINCADO ROSCA TOTAL, 1/4 " (6,3 MM)</t>
  </si>
  <si>
    <t>PORCA ZINCADA, SEXTAVADA, DIAMETRO 1/4"</t>
  </si>
  <si>
    <t>VÁLVULA EM METAL CROMADO TIPO AMERICANA 3.1/2" X 1.1/2" PARA PIA - FORNECIMENTO E INSTALAÇÃO. AF_01/2020</t>
  </si>
  <si>
    <t>FITA VEDA ROSCA EM ROLOS DE 18 MM X 10 M (L X C)</t>
  </si>
  <si>
    <t>VALVULA EM METAL CROMADO PARA PIA AMERICANA 3.1/2 X 1.1/2 "</t>
  </si>
  <si>
    <t>BANCADA DE GRANITO CINZA POLIDO, DE 1,50 X 0,60 M, PARA PIA DE COZINHA - FORNECIMENTO E INSTALAÇÃO. AF_01/2020</t>
  </si>
  <si>
    <t>MASSA PLASTICA PARA MARMORE/GRANITO</t>
  </si>
  <si>
    <t>GRANITO PARA BANCADA, POLIDO, TIPO ANDORINHA/ QUARTZ/ CASTELO/ CORUMBA OU OUTROS EQUIVALENTES DA REGIAO, E=  *2,5* CM</t>
  </si>
  <si>
    <t>REJUNTE EPOXI, QUALQUER COR</t>
  </si>
  <si>
    <t>SUPORTE MAO-FRANCESA EM ACO, ABAS IGUAIS 40 CM, CAPACIDADE MINIMA 70 KG, BRANCO</t>
  </si>
  <si>
    <t>TORNEIRA CROMADA TUBO MÓVEL, DE MESA, 1/2" OU 3/4", PARA PIA DE COZINHA, PADRÃO ALTO - FORNECIMENTO E INSTALAÇÃO. AF_01/2020</t>
  </si>
  <si>
    <t>TORNEIRA METALICA CROMADA, DE MESA/BANCADA, PARA COZINHA, BICA MOVEL, COM AREJADOR, 1/2 " OU 3/4 " (REF 1167 / 1168)</t>
  </si>
  <si>
    <t>LAVATÓRIO LOUÇA BRANCA COM COLUNA, 45 X 55CM OU EQUIVALENTE, PADRÃO MÉDIO - FORNECIMENTO E INSTALAÇÃO. AF_01/2020</t>
  </si>
  <si>
    <t>PARAFUSO NIQUELADO 3 1/2" COM ACABAMENTO CROMADO PARA FIXAR PECA SANITARIA, INCLUI PORCA CEGA, ARRUELA E BUCHA DE NYLON TAMANHO S-8</t>
  </si>
  <si>
    <t>LAVATORIO DE LOUCA BRANCA, COM COLUNA, DIMENSOES *54 X 44* CM (L X C)</t>
  </si>
  <si>
    <t>TORNEIRA CROMADA DE MESA, 1/2" OU 3/4", PARA LAVATÓRIO, PADRÃO POPULAR - FORNECIMENTO E INSTALAÇÃO. AF_01/2020</t>
  </si>
  <si>
    <t>TORNEIRA DE MESA/BANCADA, PARA LAVATORIO, FIXA, METALICA CROMADA, PADRAO POPULAR, 1/2 " OU 3/4 " (REF 1193)</t>
  </si>
  <si>
    <t>TORNEIRA CROMADA DE MESA, 1/2" OU 3/4", PARA LAVATÓRIO, PADRÃO MÉDIO - FORNECIMENTO E INSTALAÇÃO. AF_01/2020</t>
  </si>
  <si>
    <t>TORNEIRA METALICA CROMADA DE MESA PARA LAVATORIO, BICA ALTA, COM AREJADOR (REF 1195)</t>
  </si>
  <si>
    <t>CUBA DE EMBUTIR RETANGULAR DE AÇO INOXIDÁVEL, 46 X 30 X 12 CM - FORNECIMENTO E INSTALAÇÃO. AF_01/2020</t>
  </si>
  <si>
    <t>CUBA ACO INOX (AISI 304) DE EMBUTIR COM VALVULA 3 1/2 ", DE *46 X 30 X 12* CM</t>
  </si>
  <si>
    <t>TORNEIRA CROMADA 1/2" OU 3/4" PARA TANQUE, PADRÃO MÉDIO - FORNECIMENTO E INSTALAÇÃO. AF_01/2020</t>
  </si>
  <si>
    <t>TORNEIRA METALICA CROMADA CANO CURTO, SEM BICO, SEM AREJADOR, DE PAREDE, PARA TANQUE E USO GERAL, 1/2 " OU 3/4 " (REF 1143)</t>
  </si>
  <si>
    <t>VÁLVULA DE DESCARGA METÁLICA, BASE 1 1/2", ACABAMENTO METALICO CROMADO - FORNECIMENTO E INSTALAÇÃO. AF_08/2021</t>
  </si>
  <si>
    <t>FITA VEDA ROSCA EM ROLOS DE 18 MM X 50 M (L X C)</t>
  </si>
  <si>
    <t>VALVULA DE DESCARGA METALICA, BASE 1 1/2 " E ACABAMENTO METALICO CROMADO</t>
  </si>
  <si>
    <t>ADAPTADOR COM FLANGE E ANEL DE VEDAÇÃO, PVC, SOLDÁVEL, DN 50 MM X 1 1/2 , INSTALADO EM RESERVAÇÃO DE ÁGUA DE EDIFICAÇÃO QUE POSSUA RESERVATÓRIO DE FIBRA/FIBROCIMENTO   FORNECIMENTO E INSTALAÇÃO. AF_06/2016</t>
  </si>
  <si>
    <t>ADAPTADOR PVC SOLDAVEL, COM FLANGE E ANEL DE VEDACAO, 50 MM X 1 1/2", PARA CAIXA D'AGUA</t>
  </si>
  <si>
    <t>ADESIVO PLASTICO PARA PVC, FRASCO COM 175 GR</t>
  </si>
  <si>
    <t>SOLUCAO PREPARADORA / LIMPADORA PARA PVC, FRASCO COM 1000 CM3</t>
  </si>
  <si>
    <t>LIXA D'AGUA EM FOLHA, GRAO 100</t>
  </si>
  <si>
    <t>ADAPTADOR COM FLANGE E ANEL DE VEDAÇÃO, PVC, SOLDÁVEL, DN 32 MM X 1 , INSTALADO EM RESERVAÇÃO DE ÁGUA DE EDIFICAÇÃO QUE POSSUA RESERVATÓRIO DE FIBRA/FIBROCIMENTO   FORNECIMENTO E INSTALAÇÃO. AF_06/2016</t>
  </si>
  <si>
    <t>ADAPTADOR PVC SOLDAVEL, COM FLANGE E ANEL DE VEDACAO, 32 MM X 1", PARA CAIXA D'AGUA</t>
  </si>
  <si>
    <t>REGISTRO DE GAVETA BRUTO, LATÃO, ROSCÁVEL, 1 1/2" - FORNECIMENTO E INSTALAÇÃO. AF_08/2021</t>
  </si>
  <si>
    <t>REGISTRO GAVETA BRUTO EM LATAO FORJADO, BITOLA 1 1/2 " (REF 1509)</t>
  </si>
  <si>
    <t>REGISTRO DE GAVETA BRUTO, LATÃO, ROSCÁVEL, 3/4", COM ACABAMENTO E CANOPLA CROMADOS - FORNECIMENTO E INSTALAÇÃO. AF_08/2021</t>
  </si>
  <si>
    <t>REGISTRO GAVETA COM ACABAMENTO E CANOPLA CROMADOS, SIMPLES, BITOLA 3/4 " (REF 1509)</t>
  </si>
  <si>
    <t>TUBO, PVC, SOLDÁVEL, DN 25MM, INSTALADO EM PRUMADA DE ÁGUA - FORNECIMENTO E INSTALAÇÃO. AF_12/2014</t>
  </si>
  <si>
    <t>TUBO PVC, SOLDAVEL, DN 25 MM, AGUA FRIA (NBR-5648)</t>
  </si>
  <si>
    <t>TUBO, PVC, SOLDÁVEL, DN 32MM, INSTALADO EM PRUMADA DE ÁGUA - FORNECIMENTO E INSTALAÇÃO. AF_12/2014</t>
  </si>
  <si>
    <t>TUBO PVC, SOLDAVEL, DN 32 MM, AGUA FRIA (NBR-5648)</t>
  </si>
  <si>
    <t>TUBO, PVC, SOLDÁVEL, DN 50MM, INSTALADO EM PRUMADA DE ÁGUA - FORNECIMENTO E INSTALAÇÃO. AF_12/2014</t>
  </si>
  <si>
    <t>TUBO PVC, SOLDAVEL, DN 50 MM, PARA AGUA FRIA (NBR-5648)</t>
  </si>
  <si>
    <t>TUBO, PVC, SOLDÁVEL, DN 60MM, INSTALADO EM PRUMADA DE ÁGUA - FORNECIMENTO E INSTALAÇÃO. AF_12/2014</t>
  </si>
  <si>
    <t>TUBO PVC, SOLDAVEL, DN 60 MM, AGUA FRIA (NBR-5648)</t>
  </si>
  <si>
    <t>BUCHA DE REDUÇÃO LONGA, PVC, SERIE R, ÁGUA PLUVIAL, DN 50 X 40 MM, JUNTA ELÁSTICA, FORNECIDO E INSTALADO EM RAMAL DE ENCAMINHAMENTO. AF_12/2014</t>
  </si>
  <si>
    <t>PASTA LUBRIFICANTE PARA TUBOS E CONEXOES COM JUNTA ELASTICA, EMBALAGEM DE *400* GR (USO EM PVC, ACO, POLIETILENO E OUTROS)</t>
  </si>
  <si>
    <t>ANEL BORRACHA, DN 50 MM, PARA TUBO SERIE REFORCADA ESGOTO PREDIAL</t>
  </si>
  <si>
    <t>BUCHA DE REDUCAO, PVC, LONGA, SERIE R, DN 50 X 40 MM, PARA ESGOTO OU AGUAS PLUVIAIS PREDIAIS</t>
  </si>
  <si>
    <t>JOELHO 45 GRAUS, PVC, SOLDÁVEL, DN 25MM, INSTALADO EM RAMAL OU SUB-RAMAL DE ÁGUA - FORNECIMENTO E INSTALAÇÃO. AF_12/2014</t>
  </si>
  <si>
    <t>ADESIVO PLASTICO PARA PVC, FRASCO COM *850* GR</t>
  </si>
  <si>
    <t>JOELHO, PVC SOLDAVEL, 45 GRAUS, 25 MM, PARA AGUA FRIA PREDIAL</t>
  </si>
  <si>
    <t>JOELHO 90 GRAUS, PVC, SOLDÁVEL, DN 32MM, INSTALADO EM RAMAL OU SUB-RAMAL DE ÁGUA - FORNECIMENTO E INSTALAÇÃO. AF_12/2014</t>
  </si>
  <si>
    <t>JOELHO PVC, SOLDAVEL, 90 GRAUS, 32 MM, PARA AGUA FRIA PREDIAL</t>
  </si>
  <si>
    <t>JOELHO 90 GRAUS, PVC, SOLDÁVEL, DN 50MM, INSTALADO EM PRUMADA DE ÁGUA - FORNECIMENTO E INSTALAÇÃO. AF_12/2014</t>
  </si>
  <si>
    <t>JOELHO PVC, SOLDAVEL, 90 GRAUS, 50 MM, PARA AGUA FRIA PREDIAL</t>
  </si>
  <si>
    <t>JOELHO 45 GRAUS, PVC, SOLDÁVEL, DN 50MM, INSTALADO EM PRUMADA DE ÁGUA - FORNECIMENTO E INSTALAÇÃO. AF_12/2014</t>
  </si>
  <si>
    <t>JOELHO, PVC SOLDAVEL, 45 GRAUS, 50 MM, PARA AGUA FRIA PREDIAL</t>
  </si>
  <si>
    <t>JOELHO 90 GRAUS COM BUCHA DE LATÃO, PVC, SOLDÁVEL, DN  25 MM, X 3/4" INSTALADO EM RESERVAÇÃO DE ÁGUA DE EDIFICAÇÃO QUE POSSUA RESERVATÓRIO DE FIBRA/FIBROCIMENTO   FORNECIMENTO E INSTALAÇÃO. AF_06/2016</t>
  </si>
  <si>
    <t>JOELHO PVC,  SOLDAVEL COM ROSCA, 90 GRAUS, 25 MM X 3/4", PARA AGUA FRIA PREDIAL</t>
  </si>
  <si>
    <t>TÊ DE REDUÇÃO, PVC, SOLDÁVEL, DN 32MM X 25MM, INSTALADO EM RAMAL DE DISTRIBUIÇÃO DE ÁGUA - FORNECIMENTO E INSTALAÇÃO. AF_12/2014</t>
  </si>
  <si>
    <t>TE DE REDUCAO, PVC, SOLDAVEL, 90 GRAUS, 32 MM X 25 MM, PARA AGUA FRIA PREDIAL</t>
  </si>
  <si>
    <t>TÊ DE REDUÇÃO, PVC, SOLDÁVEL, DN 50MM X 25MM, INSTALADO EM PRUMADA DE ÁGUA - FORNECIMENTO E INSTALAÇÃO. AF_12/2014</t>
  </si>
  <si>
    <t>TE DE REDUCAO, PVC, SOLDAVEL, 90 GRAUS, 50 MM X 25 MM, PARA AGUA FRIA PREDIAL</t>
  </si>
  <si>
    <t>TÊ, PVC, SOLDÁVEL, DN 32 MM INSTALADO EM RESERVAÇÃO DE ÁGUA DE EDIFICAÇÃO QUE POSSUA RESERVATÓRIO DE FIBRA/FIBROCIMENTO   FORNECIMENTO E INSTALAÇÃO. AF_06/2016</t>
  </si>
  <si>
    <t>TE SOLDAVEL, PVC, 90 GRAUS, 32 MM, PARA AGUA FRIA PREDIAL (NBR 5648)</t>
  </si>
  <si>
    <t>TÊ, PVC, SOLDÁVEL, DN 50 MM INSTALADO EM RESERVAÇÃO DE ÁGUA DE EDIFICAÇÃO QUE POSSUA RESERVATÓRIO DE FIBRA/FIBROCIMENTO   FORNECIMENTO E INSTALAÇÃO. AF_06/2016</t>
  </si>
  <si>
    <t>TE SOLDAVEL, PVC, 90 GRAUS,50 MM, PARA AGUA FRIA PREDIAL (NBR 5648)</t>
  </si>
  <si>
    <t>LUVA COM BUCHA DE LATÃO, PVC, SOLDÁVEL, DN 20MM X 1/2", INSTALADO EM RAMAL DE DISTRIBUIÇÃO DE ÁGUA - FORNECIMENTO E INSTALAÇÃO. AF_12/2014</t>
  </si>
  <si>
    <t>LUVA SOLDAVEL COM BUCHA DE LATAO, PVC, 20 MM X 1/2"</t>
  </si>
  <si>
    <t>TORNEIRA DE BOIA PARA CAIXA D'ÁGUA, ROSCÁVEL, 1/2" - FORNECIMENTO E INSTALAÇÃO. AF_08/2021</t>
  </si>
  <si>
    <t>TORNEIRA DE BOIA CONVENCIONAL PARA CAIXA D'AGUA, AGUA FRIA, 1/2", COM HASTE E TORNEIRA METALICOS E BALAO PLASTICO</t>
  </si>
  <si>
    <t>CAIXA D´ÁGUA EM POLIETILENO, 1500 LITROS - FORNECIMENTO E INSTALAÇÃO. AF_06/2021</t>
  </si>
  <si>
    <t>CAIXA D'AGUA EM POLIETILENO 1500 LITROS, COM TAMPA</t>
  </si>
  <si>
    <t>CAIXA D´ÁGUA EM POLIETILENO, 1000 LITROS - FORNECIMENTO E INSTALAÇÃO. AF_06/2021</t>
  </si>
  <si>
    <t>CAIXA D'AGUA EM POLIETILENO 1000 LITROS, COM TAMPA</t>
  </si>
  <si>
    <t>PAPELEIRA DE PAREDE EM METAL CROMADO SEM TAMPA, INCLUSO FIXAÇÃO. AF_01/2020</t>
  </si>
  <si>
    <t>PAPELEIRA DE PAREDE EM METAL CROMADO SEM TAMPA</t>
  </si>
  <si>
    <t>SABONETEIRA DE PAREDE EM METAL CROMADO, INCLUSO FIXAÇÃO. AF_01/2020</t>
  </si>
  <si>
    <t>SABONETEIRA DE PAREDE EM METAL CROMADO</t>
  </si>
  <si>
    <t>CAIXA ENTERRADA HIDRÁULICA RETANGULAR EM ALVENARIA COM TIJOLOS CERÂMICOS MACIÇOS, DIMENSÕES INTERNAS: 0,6X0,6X0,6 M PARA REDE DE DRENAGEM. AF_12/2020</t>
  </si>
  <si>
    <t>TIJOLO CERAMICO MACICO COMUM *5 X 10 X 20* CM (L X A X C)</t>
  </si>
  <si>
    <t>ARGAMASSA TRAÇO 1:4 (EM VOLUME DE CIMENTO E AREIA GROSSA ÚMIDA) PARA CHAPISCO CONVENCIONAL, PREPARO MECÂNICO COM BETONEIRA 400 L. AF_08/2019</t>
  </si>
  <si>
    <t>ARGAMASSA TRAÇO 1:3 (EM VOLUME DE CIMENTO E AREIA MÉDIA ÚMIDA), PREPARO MECÂNICO COM BETONEIRA 400 L. AF_08/2019</t>
  </si>
  <si>
    <t>PREPARO DE FUNDO DE VALA COM LARGURA MENOR QUE 1,5 M (ACERTO DO SOLO NATURAL). AF_08/2020</t>
  </si>
  <si>
    <t>VASO SANITARIO SIFONADO CONVENCIONAL COM  LOUÇA BRANCA - FORNECIMENTO E INSTALAÇÃO. AF_01/2020</t>
  </si>
  <si>
    <t>PARAFUSO NIQUELADO COM ACABAMENTO CROMADO PARA FIXAR PECA SANITARIA, INCLUI PORCA CEGA, ARRUELA E BUCHA DE NYLON TAMANHO S-10</t>
  </si>
  <si>
    <t>ANEL DE VEDACAO, PVC FLEXIVEL, 100 MM, PARA SAIDA DE BACIA / VASO SANITARIO</t>
  </si>
  <si>
    <t>BACIA SANITARIA (VASO) CONVENCIONAL, DE LOUCA BRANCA, SIFAO APARENTE, SAIDA VERTICAL (SEM ASSENTO)</t>
  </si>
  <si>
    <t>VASO SANITARIO SIFONADO CONVENCIONAL PARA PCD SEM FURO FRONTAL COM LOUÇA BRANCA SEM ASSENTO, INCLUSO CONJUNTO DE LIGAÇÃO PARA BACIA SANITÁRIA AJUSTÁVEL - FORNECIMENTO E INSTALAÇÃO. AF_01/2020</t>
  </si>
  <si>
    <t>CONJUNTO DE LIGACAO PARA BACIA SANITARIA AJUSTAVEL, EM PLASTICO BRANCO, COM TUBO, CANOPLA E ESPUDE</t>
  </si>
  <si>
    <t>VASO SANITARIO SIFONADO CONVENCIONAL PARA PCD SEM FURO FRONTAL COM  LOUÇA BRANCA SEM ASSENTO -  FORNECIMENTO E INSTALAÇÃO. AF_01/2020</t>
  </si>
  <si>
    <t>CAIXA SIFONADA, PVC, DN 100 X 100 X 50 MM, JUNTA ELÁSTICA, FORNECIDA E INSTALADA EM RAMAL DE DESCARGA OU EM RAMAL DE ESGOTO SANITÁRIO. AF_12/2014</t>
  </si>
  <si>
    <t>ANEL BORRACHA PARA TUBO ESGOTO PREDIAL, DN 50 MM (NBR 5688)</t>
  </si>
  <si>
    <t>CAIXA SIFONADA PVC, 100 X 100 X 50 MM, COM GRELHA REDONDA, BRANCA</t>
  </si>
  <si>
    <t>ASSENTO SANITÁRIO CONVENCIONAL - FORNECIMENTO E INSTALACAO. AF_01/2020</t>
  </si>
  <si>
    <t>ASSENTO SANITARIO DE PLASTICO, TIPO CONVENCIONAL</t>
  </si>
  <si>
    <t>TUBO PVC, SERIE NORMAL, ESGOTO PREDIAL, DN 100 MM, FORNECIDO E INSTALADO EM RAMAL DE DESCARGA OU RAMAL DE ESGOTO SANITÁRIO. AF_12/2014</t>
  </si>
  <si>
    <t>TUBO PVC  SERIE NORMAL, DN 100 MM, PARA ESGOTO  PREDIAL (NBR 5688)</t>
  </si>
  <si>
    <t>TUBO PVC, SERIE NORMAL, ESGOTO PREDIAL, DN 40 MM, FORNECIDO E INSTALADO EM RAMAL DE DESCARGA OU RAMAL DE ESGOTO SANITÁRIO. AF_12/2014</t>
  </si>
  <si>
    <t>TUBO PVC  SERIE NORMAL, DN 40 MM, PARA ESGOTO  PREDIAL (NBR 5688)</t>
  </si>
  <si>
    <t>TUBO PVC, SERIE NORMAL, ESGOTO PREDIAL, DN 50 MM, FORNECIDO E INSTALADO EM RAMAL DE DESCARGA OU RAMAL DE ESGOTO SANITÁRIO. AF_12/2014</t>
  </si>
  <si>
    <t>TUBO PVC SERIE NORMAL, DN 50 MM, PARA ESGOTO PREDIAL (NBR 5688)</t>
  </si>
  <si>
    <t>JOELHO 90 GRAUS, PVC, SOLDÁVEL, DN 40 MM INSTALADO EM RESERVAÇÃO DE ÁGUA DE EDIFICAÇÃO QUE POSSUA RESERVATÓRIO DE FIBRA/FIBROCIMENTO   FORNECIMENTO E INSTALAÇÃO. AF_06/2016</t>
  </si>
  <si>
    <t>JOELHO PVC, SOLDAVEL, 90 GRAUS, 40 MM, PARA AGUA FRIA PREDIAL</t>
  </si>
  <si>
    <t>LUVA SIMPLES, PVC, SERIE NORMAL, ESGOTO PREDIAL, DN 50 MM, JUNTA ELÁSTICA, FORNECIDO E INSTALADO EM RAMAL DE DESCARGA OU RAMAL DE ESGOTO SANITÁRIO. AF_12/2014</t>
  </si>
  <si>
    <t>LUVA SIMPLES, PVC, SOLDAVEL, DN 50 MM, SERIE NORMAL, PARA ESGOTO PREDIAL</t>
  </si>
  <si>
    <t>LUVA SIMPLES, PVC, SERIE NORMAL, ESGOTO PREDIAL, DN 100 MM, JUNTA ELÁSTICA, FORNECIDO E INSTALADO EM RAMAL DE DESCARGA OU RAMAL DE ESGOTO SANITÁRIO. AF_12/2014</t>
  </si>
  <si>
    <t>ANEL BORRACHA PARA TUBO ESGOTO PREDIAL, DN 100 MM (NBR 5688)</t>
  </si>
  <si>
    <t>LUVA SIMPLES, PVC, SOLDAVEL, DN 100 MM, SERIE NORMAL, PARA ESGOTO PREDIAL</t>
  </si>
  <si>
    <t>JOELHO 90 GRAUS, PVC, SERIE NORMAL, ESGOTO PREDIAL, DN 100 MM, JUNTA ELÁSTICA, FORNECIDO E INSTALADO EM PRUMADA DE ESGOTO SANITÁRIO OU VENTILAÇÃO. AF_12/2014</t>
  </si>
  <si>
    <t>JOELHO PVC, SOLDAVEL, PB, 90 GRAUS, DN 100 MM, PARA ESGOTO PREDIAL</t>
  </si>
  <si>
    <t>JOELHO 90 GRAUS, PVC, SERIE NORMAL, ESGOTO PREDIAL, DN 40 MM, JUNTA SOLDÁVEL, FORNECIDO E INSTALADO EM RAMAL DE DESCARGA OU RAMAL DE ESGOTO SANITÁRIO. AF_12/2014</t>
  </si>
  <si>
    <t>JOELHO PVC, SOLDAVEL, BB, 90 GRAUS, DN 40 MM, PARA ESGOTO PREDIAL</t>
  </si>
  <si>
    <t>JUNÇÃO SIMPLES, PVC, SERIE R, ÁGUA PLUVIAL, DN 100 X 100 MM, JUNTA ELÁSTICA, FORNECIDO E INSTALADO EM RAMAL DE ENCAMINHAMENTO. AF_12/2014</t>
  </si>
  <si>
    <t>JUNCAO SIMPLES, PVC SERIE R, DN 100 X 100 MM, PARA ESGOTO OU AGUAS PLUVIAIS PREDIAIS</t>
  </si>
  <si>
    <t>TE, PVC, SERIE NORMAL, ESGOTO PREDIAL, DN 50 X 50 MM, JUNTA ELÁSTICA, FORNECIDO E INSTALADO EM PRUMADA DE ESGOTO SANITÁRIO OU VENTILAÇÃO. AF_12/2014</t>
  </si>
  <si>
    <t>TE SANITARIO, PVC, DN 50 X 50 MM, SERIE NORMAL, PARA ESGOTO PREDIAL</t>
  </si>
  <si>
    <t>JOELHO 90 GRAUS, PVC, SOLDÁVEL, DN 50 MM INSTALADO EM RESERVAÇÃO DE ÁGUA DE EDIFICAÇÃO QUE POSSUA RESERVATÓRIO DE FIBRA/FIBROCIMENTO   FORNECIMENTO E INSTALAÇÃO. AF_06/2016</t>
  </si>
  <si>
    <t>JOELHO 45 GRAUS, PVC, SERIE NORMAL, ESGOTO PREDIAL, DN 50 MM, JUNTA ELÁSTICA, FORNECIDO E INSTALADO EM PRUMADA DE ESGOTO SANITÁRIO OU VENTILAÇÃO. AF_12/2014</t>
  </si>
  <si>
    <t>JOELHO PVC, SOLDAVEL, PB, 45 GRAUS, DN 50 MM, PARA ESGOTO PREDIAL</t>
  </si>
  <si>
    <t>TANQUE SÉPTICO CIRCULAR, EM CONCRETO PRÉ-MOLDADO, DIÂMETRO INTERNO = 1,10 M, ALTURA INTERNA = 2,50 M, VOLUME ÚTIL: 2138,2 L (PARA 5 CONTRIBUINTES). AF_12/2020</t>
  </si>
  <si>
    <t>ANEL EM CONCRETO ARMADO, LISO, PARA POCOS DE VISITA, POCOS DE INSPECAO, FOSSAS SEPTICAS E SUMIDOUROS, SEM FUNDO, DIAMETRO INTERNO DE 1,20 M E ALTURA DE 0,50 M</t>
  </si>
  <si>
    <t>PEÇA CIRCULAR PRÉ-MOLDADA, VOLUME DE CONCRETO DE 10 A 30 LITROS, TAXA DE FIBRA DE POLIPROPILENO APROXIMADA DE 6 KG/M³. AF_01/2018_P</t>
  </si>
  <si>
    <t>PEÇA CIRCULAR PRÉ-MOLDADA, VOLUME DE CONCRETO DE 30 A 100 LITROS, TAXA DE AÇO APROXIMADA DE 30KG/M³. AF_01/2018</t>
  </si>
  <si>
    <t>ARGAMASSA TRAÇO 1:3 (EM VOLUME DE CIMENTO E AREIA MÉDIA ÚMIDA) COM ADIÇÃO DE IMPERMEABILIZANTE, PREPARO MECÂNICO COM BETONEIRA 400 L. AF_08/2019</t>
  </si>
  <si>
    <t>PREPARO DE FUNDO DE VALA COM LARGURA MAIOR OU IGUAL A 1,5 M E MENOR QUE 2,5 M, COM CAMADA DE AREIA, LANÇAMENTO MECANIZADO. AF_08/2020</t>
  </si>
  <si>
    <t>SUMIDOURO CIRCULAR, EM CONCRETO PRÉ-MOLDADO, DIÂMETRO INTERNO = 1,88 M, ALTURA INTERNA = 2,00 M, ÁREA DE INFILTRAÇÃO: 13,1 M² (PARA 5 CONTRIBUINTES). AF_12/2020</t>
  </si>
  <si>
    <t>ANEL EM CONCRETO ARMADO, PERFURADO, PARA FOSSAS SEPTICAS E SUMIDOUROS, SEM FUNDO, DIAMETRO INTERNO DE 2,00 M E ALTURA DE 0,50 M</t>
  </si>
  <si>
    <t>PEÇA CIRCULAR PRÉ-MOLDADA, VOLUME DE CONCRETO ACIMA DE 100 LITROS, TAXA DE AÇO APROXIMADA DE 30KG/M³. AF_01/2018</t>
  </si>
  <si>
    <t>TANQUE DE LOUÇA BRANCA COM COLUNA, 30L OU EQUIVALENTE, INCLUSO SIFÃO FLEXÍVEL EM PVC, VÁLVULA METÁLICA E TORNEIRA DE METAL CROMADO PADRÃO MÉDIO - FORNECIMENTO E INSTALAÇÃO. AF_01/2020</t>
  </si>
  <si>
    <t>TANQUE DE LOUÇA BRANCA COM COLUNA, 30L OU EQUIVALENTE - FORNECIMENTO E INSTALAÇÃO. AF_01/2020</t>
  </si>
  <si>
    <t>VÁLVULA EM METAL CROMADO 1.1/2" X 1.1/2" PARA TANQUE OU LAVATÓRIO, COM OU SEM LADRÃO - FORNECIMENTO E INSTALAÇÃO. AF_01/2020</t>
  </si>
  <si>
    <t>SIFÃO DO TIPO FLEXÍVEL EM PVC 1  X 1.1/2  - FORNECIMENTO E INSTALAÇÃO. AF_01/2020</t>
  </si>
  <si>
    <t>ARMAÇÃO DE PILAR OU VIGA DE UMA ESTRUTURA CONVENCIONAL DE CONCRETO ARMADO EM UMA EDIFICAÇÃO TÉRREA OU SOBRADO UTILIZANDO AÇO CA-50 DE 6,3 MM - MONTAGEM. AF_12/2015</t>
  </si>
  <si>
    <t>PLANTIO DE GRAMA EM PLACAS. AF_05/2018</t>
  </si>
  <si>
    <t>GRAMA BATATAIS EM PLACAS, SEM PLANTIO</t>
  </si>
  <si>
    <t>JARDINEIRO COM ENCARGOS COMPLEMENTARES</t>
  </si>
  <si>
    <t>ASSENTAMENTO DE GUIA (MEIO-FIO) EM TRECHO RETO, CONFECCIONADA EM CONCRETO PRÉ-FABRICADO, DIMENSÕES 100X15X13X30 CM (COMPRIMENTO X BASE INFERIOR X BASE SUPERIOR X ALTURA), PARA VIAS URBANAS (USO VIÁRIO). AF_06/2016</t>
  </si>
  <si>
    <t>MEIO-FIO OU GUIA DE CONCRETO, PRE-MOLDADO, COMP 1 M, *30 X 12/15* CM (H X L1/L2)</t>
  </si>
  <si>
    <t>PROTEÇÃO MECÂNICA DE SUPERFÍCIE HORIZONTAL COM ARGAMASSA DE CIMENTO E AREIA, TRAÇO 1:3, E=2CM. AF_06/2018</t>
  </si>
  <si>
    <t>CAMADA SEPARADORA DE FILME DE POLIETILENO 20 A 25 MICRA</t>
  </si>
  <si>
    <t>ARGAMASSA TRAÇO 1:3 (EM VOLUME DE CIMENTO E AREIA MÉDIA ÚMIDA) PARA CONTRAPISO, PREPARO MANUAL. AF_08/2019</t>
  </si>
  <si>
    <t>PROTEÇÃO MECÂNICA DE SUPERFÍCIE VERTICAL COM ARGAMASSA DE CIMENTO E AREIA, TRAÇO 1:3, E=2CM. AF_06/2018</t>
  </si>
  <si>
    <t>TELA DE ARAME GALVANIZADA, HEXAGONAL, FIO 0,56 MM (24 BWG), MALHA 1/2", H = 1 M</t>
  </si>
  <si>
    <t>IMPERMEABILIZAÇÃO DE SUPERFÍCIE COM MEMBRANA À BASE DE POLIURETANO, 2 DEMÃOS. AF_06/2018</t>
  </si>
  <si>
    <t>MEMBRANA IMPERMEABILIZANTE A BASE DE POLIURETANO</t>
  </si>
  <si>
    <t>AJUDANTE ESPECIALIZADO COM ENCARGOS COMPLEMENTARES</t>
  </si>
  <si>
    <t>IMPERMEABILIZADOR COM ENCARGOS COMPLEMENTARES</t>
  </si>
  <si>
    <t>LIMPEZA DE PISO CERÂMICO OU PORCELANATO COM PANO ÚMIDO. AF_04/2019</t>
  </si>
  <si>
    <t>PLANILHA DE REFORMA  DA  15ª  CIRETRAN POCONÉ</t>
  </si>
  <si>
    <t>Obra: REFORMA  DA  15ª CIRETRAN POCONÉ</t>
  </si>
  <si>
    <t>Local: POCONÉ/MT</t>
  </si>
  <si>
    <t>SINAPI  março 2022</t>
  </si>
  <si>
    <t>Data: Março 2022.</t>
  </si>
  <si>
    <t>BDI 25,00%</t>
  </si>
  <si>
    <t>ITEM</t>
  </si>
  <si>
    <t>CÓDIGO</t>
  </si>
  <si>
    <t>DESCRIÇÃO</t>
  </si>
  <si>
    <t>UNID</t>
  </si>
  <si>
    <t>QUANT</t>
  </si>
  <si>
    <t>V. UNIT</t>
  </si>
  <si>
    <t>V. TOTAL</t>
  </si>
  <si>
    <t>1.0</t>
  </si>
  <si>
    <t>SERVIÇOS PRELIMINARES</t>
  </si>
  <si>
    <t>SEM BDI</t>
  </si>
  <si>
    <t>COM BDI</t>
  </si>
  <si>
    <t>1.1</t>
  </si>
  <si>
    <t>ENGENHEIRO/ARQUITETO TRAINEE/JUNIOR/AUXILIAR 2 HORAS NA OBRA 2 VEZES POR SEMANA</t>
  </si>
  <si>
    <t>h</t>
  </si>
  <si>
    <t>1.2</t>
  </si>
  <si>
    <t>FEITOR OU ENCARREGADO GERAL DE OBRA</t>
  </si>
  <si>
    <t>1.3</t>
  </si>
  <si>
    <t>COMP. DETRAN</t>
  </si>
  <si>
    <t>PLACA DE OBRA EM CHAPA DE ACO GALVANIZADO</t>
  </si>
  <si>
    <t>m²</t>
  </si>
  <si>
    <t>1.4</t>
  </si>
  <si>
    <t>CAÇAMBA BOTA FORA 5,0 M³</t>
  </si>
  <si>
    <t>ud</t>
  </si>
  <si>
    <t>TOTAL DA ETAPA</t>
  </si>
  <si>
    <t>2.0</t>
  </si>
  <si>
    <t>RETIRADAS E DEMOLIÇÕES</t>
  </si>
  <si>
    <t>2.1</t>
  </si>
  <si>
    <t>2.2</t>
  </si>
  <si>
    <t>2.3</t>
  </si>
  <si>
    <t>2.4</t>
  </si>
  <si>
    <r>
      <t xml:space="preserve">de acordo com as normas da </t>
    </r>
    <r>
      <rPr>
        <b/>
        <sz val="12"/>
        <color rgb="FF000000"/>
        <rFont val="Arial"/>
        <family val="2"/>
      </rPr>
      <t>ABNT NBR 9050/2020</t>
    </r>
  </si>
  <si>
    <t>2.5</t>
  </si>
  <si>
    <t>2.6</t>
  </si>
  <si>
    <t>2.7</t>
  </si>
  <si>
    <t>DEMOLIÇÃO DE ARGAMASSAS, DE FORMA MANUAL, SEM REAPROVEITAMENTO. AF_12/2017 (REBOCO)</t>
  </si>
  <si>
    <t>3 pardes cozinha</t>
  </si>
  <si>
    <t>2.8</t>
  </si>
  <si>
    <t>2.9</t>
  </si>
  <si>
    <t>m³</t>
  </si>
  <si>
    <t>2.10</t>
  </si>
  <si>
    <t>RETIRADA DE PIA DE COZINHA E ACESSÓRIOS.</t>
  </si>
  <si>
    <t>2.11</t>
  </si>
  <si>
    <t>RETIRADA DE APARELHOS SANITARIOS (LAVATÓRIOS)</t>
  </si>
  <si>
    <t>2.12</t>
  </si>
  <si>
    <t>RETIRADA DE APARELHOS SANITARIOS (VASOS)</t>
  </si>
  <si>
    <t>2.13</t>
  </si>
  <si>
    <t>DEMOLIÇÃO DE CONCRETO SIMPLES</t>
  </si>
  <si>
    <t>CALÇADA EXTERNA E CONTRAPISO balcao atendimento</t>
  </si>
  <si>
    <t>3.0</t>
  </si>
  <si>
    <t>MOVIMENTO DE TERRA</t>
  </si>
  <si>
    <t>3.1</t>
  </si>
  <si>
    <t>ESCAVAÇÃO MANUAL DE VALA COM PROFUNDIDADE MENOR OU IGUAL A 1,30 M. AF_03/2016</t>
  </si>
  <si>
    <t>3.2</t>
  </si>
  <si>
    <t>4.0</t>
  </si>
  <si>
    <t>FUNDAÇÕES</t>
  </si>
  <si>
    <t>4.1</t>
  </si>
  <si>
    <t>CONCRETO MAGRO PARA LASTRO, TRAÇO 1:4,5:4,5 (CIMENTO/ AREIA MÉDIA/ BRITA 1) - PREPARO MECÂNICO COM BETONEIRA 400 L. AF_07/2016</t>
  </si>
  <si>
    <t>4.2</t>
  </si>
  <si>
    <t>CONCRETO FCK = 25MPA, TRAÇO 1:2,3:2,7 (CIMENTO/ AREIA MÉDIA/ BRITA 1)PREPARO MECÂNICO COM BETONEIRA 600 L. AF_07/2016</t>
  </si>
  <si>
    <t>4.3</t>
  </si>
  <si>
    <t>4.4</t>
  </si>
  <si>
    <t xml:space="preserve"> </t>
  </si>
  <si>
    <t>4.5</t>
  </si>
  <si>
    <t>ARMAÇÃO DE FUNDAÇÕES E ESTRUTURAS DE CONCRETO ARMADO, EXCETO VIGAS, PILARES E LAJES (DE EDIFÍCIOS DE MÚLTIPLOS PAVIMENTOS, EDIFICAÇÃO TÉRREAOU SOBRADO), UTILIZANDO AÇO CA-50 DE 10,0 MM - MONTAGEM. AF_12/2015</t>
  </si>
  <si>
    <t>kg</t>
  </si>
  <si>
    <t>4.6</t>
  </si>
  <si>
    <t>ARMAÇÃO DE FUNDAÇÕES E ESTRUTURAS DE CONCRETO ARMADO, EXCETO VIGAS, PILARES E LAJES (DE EDIFÍCIOS DE MÚLTIPLOS PAVIMENTOS, EDIFICAÇÃO TÉRREAOU SOBRADO), UTILIZANDO AÇO CA-50 DE 6.3 MM - MONTAGEM. AF_12/2015</t>
  </si>
  <si>
    <t>4.7</t>
  </si>
  <si>
    <t>ALVENARIA DE EMBASAMENTO COM BLOCO ESTRUTURAL DE CONCRETO, DE 14X19X29 CM E ARGAMASSA DE ASSENTAMENTO COM PREPARO EM BETONEIRA. AF_05/2020</t>
  </si>
  <si>
    <t>5.0</t>
  </si>
  <si>
    <t>ESTRUTURA</t>
  </si>
  <si>
    <t>5.1</t>
  </si>
  <si>
    <t>5.2</t>
  </si>
  <si>
    <t>5.3</t>
  </si>
  <si>
    <t>5.4</t>
  </si>
  <si>
    <t>5.5</t>
  </si>
  <si>
    <t>6.0</t>
  </si>
  <si>
    <t>ALVENARIA</t>
  </si>
  <si>
    <t>6.1</t>
  </si>
  <si>
    <t>ALVENARIA DE VEDAÇÃO DE BLOCOS CERÂMICOS FURADOS NA HORIZONTAL DE 9X19X19CM (ESPESSURA 9CM) DE PAREDES COM ÁREA LÍQUIDA MAIOR OU IGUAL A 6M² COM VÃOS E ARGAMASSA DE ASSENTAMENTO COM PREPARO EM BETONEIRA. AF_06/2014</t>
  </si>
  <si>
    <t>aumentar dml</t>
  </si>
  <si>
    <t>6.2</t>
  </si>
  <si>
    <t>m</t>
  </si>
  <si>
    <t>6.3</t>
  </si>
  <si>
    <t>CONTRA VERGA PRÉ-MOLDADA PARA JANELAS COM ATÉ 1,5 M DE VÃO. AF_03/2016</t>
  </si>
  <si>
    <t>7.0</t>
  </si>
  <si>
    <t>COBERTURA</t>
  </si>
  <si>
    <t>7.1</t>
  </si>
  <si>
    <t>7.2</t>
  </si>
  <si>
    <t>TELHAMENTO COM TELHA METÁLICA TERMOACÚSTICA E = 30 MM, COM ATÉ 2 ÁGUAS , INCLUSO IÇAMENTO. AF_07/2019</t>
  </si>
  <si>
    <t>7.3</t>
  </si>
  <si>
    <t>ESTRUTURA  DE AÇO PARA COBERTURA EM PERFIL C 100mmx50mmx15mm na # 11 ASSENTADOS COMO TERÇA A CADA 1,20 M (09 linhas de 12,40 DE COMPRIMENTO )</t>
  </si>
  <si>
    <t>7.4</t>
  </si>
  <si>
    <t>CALHA/RUFO/PINGADEIRA EM CHAPA DE ACO GALVANIZADO NUMERO 24, DESENVOLVIMENTO DE 33CM (RUFO)</t>
  </si>
  <si>
    <t>7.5</t>
  </si>
  <si>
    <t>FORRO EM RÉGUAS DE PVC, FRISADO, PARA AMBIENTES COMERCIAIS, INCLUSIVE ESTRUTURA DE FIXAÇÃO. AF_05/2017_P(FIXAR FORRO COM PARAFUSO AUTO BROCANTE)</t>
  </si>
  <si>
    <t>8.0</t>
  </si>
  <si>
    <t>ESQUDRIAS</t>
  </si>
  <si>
    <t>8.1</t>
  </si>
  <si>
    <t>ESQUADRIAS MADEIRA</t>
  </si>
  <si>
    <t>8.1.1</t>
  </si>
  <si>
    <t>KIT DE PORTA DE MADEIRA PARA VERNIZ, SEMI-OCA (LEVE OU MÉDIA), PADRÃO MÉDIO, 90X210CM, ESPESSURA DE 3,5CM, ITENS INCLUSOS: DOBRADIÇAS, MONTAGEM E INSTALAÇÃO DO BATENTE, SEM FECHADURA FORNECIMENTO E INSTALAÇÃO AF_08/2015</t>
  </si>
  <si>
    <t>8.1.2</t>
  </si>
  <si>
    <t>8.1.3</t>
  </si>
  <si>
    <t>KIT DE PORTA DE MADEIRA PARA VERNIZ, SEMI-OCA (LEVE OU MÉDIA), PADRÃO MÉDIO, 80X210CM, ESPESSURA DE 3,5CM, ITENS INCLUSOS: DOBRADIÇAS, MONTAGEM E INSTALAÇÃO DO BATENTE, SEM FECHADURA FORNECIMENTO E INSTALAÇÃO AF_08/2015</t>
  </si>
  <si>
    <t>8.1.4</t>
  </si>
  <si>
    <t>KIT DE PORTA DE MADEIRA PARA VERNIZ, SEMI-OCA (LEVE OU MÉDIA), PADRÃO MÉDIO, 70X210CM, ESPESSURA DE 3,5CM, ITENS INCLUSOS: DOBRADIÇAS, MONTAGEM E INSTALAÇÃO DO BATENTE, SEM FECHADURA - FORNECIMENTO E INSTALAÇÃO . AF_12/2019</t>
  </si>
  <si>
    <t>8.2</t>
  </si>
  <si>
    <t>ESQUADRIAS METÁLICAS</t>
  </si>
  <si>
    <t>8.2.1</t>
  </si>
  <si>
    <t>8.2.2</t>
  </si>
  <si>
    <t>PORTA DE ALUMÍNIO DE ABRIR COM LAMBRI, COM GUARNIÇÃO, FIXAÇÃO COM PARA FUSOS - FORNECIMENTO E INSTALAÇÃO. AF_12/2019</t>
  </si>
  <si>
    <t>8.2.3</t>
  </si>
  <si>
    <t>GRADIL EM ALUMÍNIO FIXADO EM VÃOS DE JANELAS, FORMADO POR TUBOS DE 3/4  ". AF_04/2019</t>
  </si>
  <si>
    <t>obs 0,20 cm maior que o vao luz para cada lado</t>
  </si>
  <si>
    <t>8.2.4</t>
  </si>
  <si>
    <t>8.2.5</t>
  </si>
  <si>
    <t>JANELA DE ALUMÍNIO TIPO MAXIM-AR, COM VIDROS, BATENTE E FERRAGENS. EXCLUSIVE ALIZAR, ACABAMENTO E CONTRAMARCO. FORNECIMENTO E INSTALAÇÃO. AF12/2019</t>
  </si>
  <si>
    <t>8.2.6</t>
  </si>
  <si>
    <t>FORNECIMENTO E INSTTALAÇÃO  DE PORTÃO DE FERRO, DE ABRIR, TIPO CHAPA CANALETA, COM GUARNICOES</t>
  </si>
  <si>
    <t>9.0</t>
  </si>
  <si>
    <t>REVESTIMENTO</t>
  </si>
  <si>
    <t>9.1</t>
  </si>
  <si>
    <t>CHAPISCO APLICADO TANTO EM PILARES E VIGAS DE CONCRETO COMO EM ALVENARIAS DE PAREDES INTERNAS, COM COLHER DE PEDREIRO. ARGAMASSA TRAÇO 1:3 COM PREPARO EM BETONEIRA 400L. AF_06/2014</t>
  </si>
  <si>
    <t xml:space="preserve">INCLUSIVE RASGOS </t>
  </si>
  <si>
    <t>9.2</t>
  </si>
  <si>
    <t>87529</t>
  </si>
  <si>
    <t>MASSA ÚNICA, PARA RECEBIMENTO DE PINTURA, EM ARGAMASSA TRAÇO 1:2:8, PREPARO MECÂNICO COM BETONEIRA 400L, APLICADA MANUALMENTE EM FACES INTERNAS DE PAREDES DE AMBIENTES COM ÁREA MENOR QUE 10M2, ESPESSURA DE 20MM , COM EXECUÇÃO DE TALISCAS. AF_06/2014</t>
  </si>
  <si>
    <t>9.3</t>
  </si>
  <si>
    <t>REVESTIMENTO CERÂMICO PARA PAREDES INTERNAS COM PLACAS TIPO ESMALTADA EXTRA DE DIMENSÕES 33X45 CM APLICADAS EM AMBIENTES DE ÁREA MENOR QUE 5M² A MEIA ALTURA DAS PAREDES. AF_06/2014</t>
  </si>
  <si>
    <t>9.4</t>
  </si>
  <si>
    <t>9.5</t>
  </si>
  <si>
    <t>BANCADA DE GRANITO CINZA POLIDO PARA ATENDIMENTO - FORNECIMENTO E INSTALAÇÃO. AF_12/2013_P</t>
  </si>
  <si>
    <t>10.0</t>
  </si>
  <si>
    <t>PISOS E RODAPES</t>
  </si>
  <si>
    <t>10.1</t>
  </si>
  <si>
    <t>REVESTIMENTO CERÂMICO PARA PISO COM PLACAS TIPO ESMALTADA EXTRA DE DIMENSÕES 45X45 CM APLICADA EM AMBIENTES DE ÁREA  ENTRE 5 M² E 10 M². AF_06/2014</t>
  </si>
  <si>
    <t>10.2</t>
  </si>
  <si>
    <t>88649</t>
  </si>
  <si>
    <t>RODAPÉ CERÂMICO DE 7CM DE ALTURA COM PLACAS TIPO GRÊS DE DIMENSÕES 45X45CM. AF_06/201</t>
  </si>
  <si>
    <t>10.3</t>
  </si>
  <si>
    <t>EXECUÇÃO DE RADIER, ESPESSURA DE 10 CM, FCK = 30 MPA, COM USO DE FORMAS EM MADEIRA SERRADA. AF_09/2017</t>
  </si>
  <si>
    <t>10.4</t>
  </si>
  <si>
    <t>10.5</t>
  </si>
  <si>
    <t>EXECUÇÃO DE PASSEIO (CALÇADA) OU PISO DE CONCRETO COM CONCRETO MOLDADO IN LOCO, FEITO EM OBRA, ACABAMENTO CONVENCIONAL, NÃO ARMADO. AF_07/2016 (CALÇADA FRONTAL À CIRETRAN E=7 CM)</t>
  </si>
  <si>
    <t>contrapiso incluso</t>
  </si>
  <si>
    <t>10.6</t>
  </si>
  <si>
    <t>11.0</t>
  </si>
  <si>
    <t>VIDROS</t>
  </si>
  <si>
    <t>11.1</t>
  </si>
  <si>
    <t>cj</t>
  </si>
  <si>
    <t>11.2</t>
  </si>
  <si>
    <t>11.3</t>
  </si>
  <si>
    <t>ENTRADA</t>
  </si>
  <si>
    <t>12.0</t>
  </si>
  <si>
    <t>PINTURA</t>
  </si>
  <si>
    <t>12.1</t>
  </si>
  <si>
    <t>COMP..DETRAN</t>
  </si>
  <si>
    <t>REMOÇÃO DE TEXTURA EM PAREDES</t>
  </si>
  <si>
    <t>12.2</t>
  </si>
  <si>
    <t>88431</t>
  </si>
  <si>
    <t>12.3</t>
  </si>
  <si>
    <t>REVESTIMENTO TEXTURIZADO (GRAFIATO) EM PAREDE INTERNA OU EXTERNA DE ALTA CAMADA, APLICADO COM DESEMPENADEIRA NOS PILARES DO PORTICO DA FACHADA</t>
  </si>
  <si>
    <t>12.4</t>
  </si>
  <si>
    <t>88489</t>
  </si>
  <si>
    <t>12.5</t>
  </si>
  <si>
    <t>88497</t>
  </si>
  <si>
    <t>12.6</t>
  </si>
  <si>
    <t>12.7</t>
  </si>
  <si>
    <t>PINTURA TINTA DE ACABAMENTO (PIGMENTADA) ESMALTE SINTÉTICO ACETINADO E M MADEIRA, 2 DEMÃOS. AF_01/2021</t>
  </si>
  <si>
    <t>12.8</t>
  </si>
  <si>
    <t>PINTURA COM TINTA ALQUÍDICA DE ACABAMENTO (ESMALTE SINTÉTICO ACETINADO ) APLICADA A ROLO OU PINCEL SOBRE SUPERFÍCIES METÁLICAS (EXCETO PERFIL ) EXECUTADO EM OBRA (POR DEMÃO). AF_01/2020</t>
  </si>
  <si>
    <t>12.9</t>
  </si>
  <si>
    <t>12.10</t>
  </si>
  <si>
    <t>12.11</t>
  </si>
  <si>
    <t>PINTURA COM TINTA ACRÍLICA DE ACABAMENTO APLICADA A ROLO OU PINCEL SOBRE SUPERFÍCIES METÁLICAS (EXCETO PERFIL) EXECUTADO EM OBRA (02 DEMÃOS). AF_01/2020 (LOGOTIPO FRONTAL)</t>
  </si>
  <si>
    <t>13.0</t>
  </si>
  <si>
    <t>INSTALAÇÕES ELÉTRICAS</t>
  </si>
  <si>
    <t>13.1</t>
  </si>
  <si>
    <t>COMP DETRAN</t>
  </si>
  <si>
    <t>PADRÃO DE ENTRADA T4 35,05KW INCLUSO POSTE 9M – CONFORME EXIGÊNCIA DA CONCESSIONÁRIA DE ENERGIA – FORNECIMENTO E INSTALAÇÃO</t>
  </si>
  <si>
    <t>13.2</t>
  </si>
  <si>
    <t>CABO DE COBRE FLEXÍVEL ISOLADO, 35 MM², ANTI-CHAMA 0,6/1,0 KV, PARA DISTRIBUIÇÃO - FORNECIMENTO E INSTALAÇÃO. AF_12/2015</t>
  </si>
  <si>
    <t>13.3</t>
  </si>
  <si>
    <t>CABO DE COBRE FLEXÍVEL ISOLADO, 25 MM², ANTI-CHAMA 0,6/1,0 KV, PARA DISTRIBUIÇÃO - FORNECIMENTO E INSTALAÇÃO. AF_12/2015</t>
  </si>
  <si>
    <t>13.4</t>
  </si>
  <si>
    <t>CABO DE COBRE FLEXÍVEL ISOLADO, 16 MM², ANTI-CHAMA, 450/750 V, PARA CIRCUITOS TERMINAIS - FORNECIMENTO E INSTALAÇÃO. AF_12/2015</t>
  </si>
  <si>
    <t>13.5</t>
  </si>
  <si>
    <t>13.6</t>
  </si>
  <si>
    <t>CABO DE COBRE FLEXÍVEL ISOLADO, 6 MM², ANTI-CHAMA, 450/750 V, PARA CIRCUITOS TERMINAIS - FORNECIMENTO E INSTALAÇÃO. AF_12/2015</t>
  </si>
  <si>
    <t>13.7</t>
  </si>
  <si>
    <t>CABO DE COBRE FLEXÍVEL ISOLADO, 4 MM², ANTI-CHAMA, 450/750 V, PARA CIRCUITOS TERMINAIS - FORNECIMENTO E INSTALAÇÃO. AF_12/2015</t>
  </si>
  <si>
    <t>13.8</t>
  </si>
  <si>
    <t>CABO DE COBRE FLEXÍVEL ISOLADO, 2,5 MM², ANTI-CHAMA, 450/750 V, PARA CIRCUITOS TERMINAIS - FORNECIMENTO E INSTALAÇÃO. AF_12/2015</t>
  </si>
  <si>
    <t>13.9</t>
  </si>
  <si>
    <t>CABO DE COBRE FLEXÍVEL ISOLADO, 1,5 MM², ANTI-CHAMA, 450/750 V, PARA CIRCUITOS TERMINAIS - FORNECIMENTO E INSTALAÇÃO. AF_12/2015</t>
  </si>
  <si>
    <t>13.10</t>
  </si>
  <si>
    <t>13.11</t>
  </si>
  <si>
    <t>13.12</t>
  </si>
  <si>
    <t>13.13</t>
  </si>
  <si>
    <t>ELETRODUTO DE FERRO GALVANIZADO, CLASSE LEVE, DN 20 MM (3/4''), APARENTE INSTALADO EM PAREDE - FORNECIMENTO E INSTALAÇÃO. AF_11/2016</t>
  </si>
  <si>
    <t>13.14</t>
  </si>
  <si>
    <t>ELETRODUTO DE FERRO GALVANIZADO, CLASSE LEVE, DN 25 MM (1''), APARENTE INSTALADO EM PAREDE - FORNECIMENTO E INSTALAÇÃO. AF_11/2016</t>
  </si>
  <si>
    <t>13.15</t>
  </si>
  <si>
    <t>ELETRODUTO FLEXÍVEL CORRUGADO, PEAD, DN 63 (2") - FORNECIMENTO E INST ALAÇÃO. AF_04/2016</t>
  </si>
  <si>
    <t>13.16</t>
  </si>
  <si>
    <t>13.17</t>
  </si>
  <si>
    <t>CONDULETE DE ALUMÍNIO, TIPO C, PARA ELETRODUTO DE FERRO GALVANIZADO DN25 MM (3/4''), APARENTE - FORNECIMENTO E INSTALAÇÃO. AF_11/2016_P</t>
  </si>
  <si>
    <t>13.18</t>
  </si>
  <si>
    <t>CAIXA DE SOBREPOR 15X15X10CM COM TAMPA INSTALADO EM PAREDE-FORNECIMENTO E INSTALAÇÃO</t>
  </si>
  <si>
    <t>13.19</t>
  </si>
  <si>
    <t>13.20</t>
  </si>
  <si>
    <t>13.21</t>
  </si>
  <si>
    <t>13.22</t>
  </si>
  <si>
    <t>13.23</t>
  </si>
  <si>
    <t>INTERRUPTOR SIMPLES (1 MÓDULO), 10A/250V, INCLUINDO SUPORTE E PLACA -FORNECIMENTO E INSTALAÇÃO. AF_12/2015</t>
  </si>
  <si>
    <t>13.24</t>
  </si>
  <si>
    <t xml:space="preserve"> INTERRUPTOR PARALELO (2 MÓDULO), 10A/250V, INCLUINDO SUPORTE E PLACA - FORNECIMENTO E INSTALAÇÃO. AF_12/2015</t>
  </si>
  <si>
    <t>13.25</t>
  </si>
  <si>
    <t>13.26</t>
  </si>
  <si>
    <t>LUMINARIA DE SOBREPOR EM CHAPA DE ACO PARA 2 LAMPADAS LED DE *18* W, PERFIL COMERCIAL (NAO INCLUI REATOR E LAMPADAS)-FORNECIMENTO E INSTALAÇÃO</t>
  </si>
  <si>
    <t>13.27</t>
  </si>
  <si>
    <t>13.28</t>
  </si>
  <si>
    <t>13.29</t>
  </si>
  <si>
    <t>REFLETOR LED 100W PARA ILUMINAÇÃO EM AMBIENTES EXTERNOS-FORNECIMENTO E INSTALAÇÃO 127/220V</t>
  </si>
  <si>
    <t>13.30</t>
  </si>
  <si>
    <t>REFLETOR LED 50W PARA ILUMINAÇÃO EM AMBIENTES EXTERNOS-FORNECIMENTO E INSTALAÇÃO 127/220V</t>
  </si>
  <si>
    <t>13.31</t>
  </si>
  <si>
    <t>DISJUNTOR TRIPOLAR TIPO NEMA, CORRENTE NOMINAL DE 60 ATÉ 100A - FORNEC IMENTO E INSTALAÇÃO. AF_10/2020</t>
  </si>
  <si>
    <t>13.32</t>
  </si>
  <si>
    <t>DISJUNTOR TRIPOLAR TIPO DIN, CORRENTE NOMINAL DE 63A - FORNECIMENTO E INSTALAÇÃO. AF_10/2020</t>
  </si>
  <si>
    <t>13.33</t>
  </si>
  <si>
    <t>DISJUNTOR TRIPOLAR TIPO DIN, CORRENTE NOMINAL DE 50A - FORNECIMENTO EINSTALAÇÃO. AF_10/2020</t>
  </si>
  <si>
    <t>13.34</t>
  </si>
  <si>
    <t>13.35</t>
  </si>
  <si>
    <t>13.36</t>
  </si>
  <si>
    <t>13.37</t>
  </si>
  <si>
    <t>13.38</t>
  </si>
  <si>
    <t>13.39</t>
  </si>
  <si>
    <t>13.40</t>
  </si>
  <si>
    <t>13.41</t>
  </si>
  <si>
    <t>DISPOSITIVO DR, 2 POLOS, SENSIBILIDADE DE 30 MA, CORRENTE DE 25 A, TIPO AC - FORNECIMENTO E INSTALAÇÃO.</t>
  </si>
  <si>
    <t>13.42</t>
  </si>
  <si>
    <t>DISPOSITIVO DR, 4 POLOS, SENSIBILIDADE DE 300 MA, CORRENTE DE 63 A, TIPO AC – FORNECIMENTO E INSTALAÇÃO</t>
  </si>
  <si>
    <t>13.43</t>
  </si>
  <si>
    <t>DISPOSITIVO DPS CLASSE II, 1 POLO, TENSAO MAXIMA DE 175 V, CORRENTE MAXIMA DE *45* KA (TIPO AC) - FORNECIMENTO E INSTALAÇÃO</t>
  </si>
  <si>
    <t>13.44</t>
  </si>
  <si>
    <t>HASTE DE ATERRAMENTO 5/8 PARA SPDA - FORNECIMENTO E INSTALAÇÃO. AF_12/2017</t>
  </si>
  <si>
    <t>13.45</t>
  </si>
  <si>
    <t>CONECTOR METALICO TIPO PARAFUSO FENDIDO (SPLIT BOLT), PARA CABOS ATE 50 MM2 - FORNECIMENTO E INSTALAÇÃO</t>
  </si>
  <si>
    <t>13.46</t>
  </si>
  <si>
    <t>TERMINAL A COMPRESSAO EM COBRE ESTANHADO PARA CABO 35 MM2, 1 FURO E 1 COMPRESSAO, PARA PARAFUSO DE FIXACAO M8 - FORNECIMENTO E INSTALAÇÃO</t>
  </si>
  <si>
    <t>13.47</t>
  </si>
  <si>
    <t>TERMINAL A COMPRESSAO EM COBRE ESTANHADO PARA CABO 16 MM2, 1 FURO E 1 COMPRESSAO, PARA PARAFUSO DE FIXACAO M6 - FORNECIMENTO E INSTALAÇÃO</t>
  </si>
  <si>
    <t>13.48</t>
  </si>
  <si>
    <t>TERMINAL A COMPRESSAO EM COBRE ESTANHADO PARA CABO 4 MM2, 1 FURO E 1 COMPRESSAO, PARA PARAFUSO DE FIXACAO M5 - FORNECIMENTO E INSTALAÇÃO</t>
  </si>
  <si>
    <t>13.49</t>
  </si>
  <si>
    <t>13.50</t>
  </si>
  <si>
    <t>QUADRO DE DISTRIBUIÇÃO DE ENERGIA EM CHAPA DE AÇO GALVANIZADO, DE EMBU TIR, COM BARRAMENTO TRIFÁSICO, PARA 40 DISJUNTORES DIN 100A - FORNECIMENTO E INSTALAÇÃO. AF_10/2020</t>
  </si>
  <si>
    <t>13.51</t>
  </si>
  <si>
    <t>13.52</t>
  </si>
  <si>
    <t>QUADRO DE DISTRIBUIÇÃO DE ENERGIA EM CHAPA DE AÇO GALVANIZADO, DE EMBUIR, COM BARRAMENTO TRIFÁSICO, PARA 24 DISJUNTORES DIN 100A - FORNECIMENTO E INSTALAÇÃO. AF_10/2020</t>
  </si>
  <si>
    <t>13.53</t>
  </si>
  <si>
    <t>13.54</t>
  </si>
  <si>
    <t>13.55</t>
  </si>
  <si>
    <t>13.56</t>
  </si>
  <si>
    <t>13.57</t>
  </si>
  <si>
    <t>ug</t>
  </si>
  <si>
    <t>13.58</t>
  </si>
  <si>
    <t>13.59</t>
  </si>
  <si>
    <t>13.60</t>
  </si>
  <si>
    <t>REMOÇÃO DE CABOS ELÉTRICOS, DE FORMA MANUAL, SEM REAPROVEITAMENTO. AF12/2017</t>
  </si>
  <si>
    <t>13.61</t>
  </si>
  <si>
    <t>13.62</t>
  </si>
  <si>
    <t xml:space="preserve"> ELETRODUTO FLEXÍVEL CORRUGADO REFORÇADO, PVC, DN 25 MM (3/4"), PARA CIRCUITOS TERMINAIS, INSTALADO EM FORRO - FORNECIMENTO E INSTALAÇÃO. AF12/2015</t>
  </si>
  <si>
    <t>13.63</t>
  </si>
  <si>
    <t>PONTO DE TOMADA RESIDENCIAL INCLUINDO TOMADA 10A/250V, CAIXA ELÉTRICA,ELETRODUTO, CABO, RASGO, QUEBRA E CHUMBAMENTO. AF_01/2016</t>
  </si>
  <si>
    <t>14.0</t>
  </si>
  <si>
    <t>INSTALAÇÃOES DE LÓGICA/TELEFONIA</t>
  </si>
  <si>
    <t>14.1</t>
  </si>
  <si>
    <t>14.2</t>
  </si>
  <si>
    <t>CAIXA DE PASSAGEM DE PAREDE, DE EMBUTIR, EM PVC, DIMENSOES *200 X 200 X 90* MM - FORNECIMENTO INSTALAÇÃO</t>
  </si>
  <si>
    <t>14.3</t>
  </si>
  <si>
    <t>14.4</t>
  </si>
  <si>
    <t>14.5</t>
  </si>
  <si>
    <t>14.6</t>
  </si>
  <si>
    <t>14.7</t>
  </si>
  <si>
    <t>CONDULETE DE ALUMÍNIO, TIPO C, PARA ELETRODUTO DE FERRO GALVANIZADO DN25 MM (1''), APARENTE - FORNECIMENTO E INSTALAÇÃO. AF_11/2016_P</t>
  </si>
  <si>
    <t>14.8</t>
  </si>
  <si>
    <t>14.9</t>
  </si>
  <si>
    <t>14.10</t>
  </si>
  <si>
    <t>14.11</t>
  </si>
  <si>
    <t>14.12</t>
  </si>
  <si>
    <t>14.13</t>
  </si>
  <si>
    <t>14.14</t>
  </si>
  <si>
    <t>14.15</t>
  </si>
  <si>
    <t>14.16</t>
  </si>
  <si>
    <t>14.17</t>
  </si>
  <si>
    <t>14.18</t>
  </si>
  <si>
    <t>14.19</t>
  </si>
  <si>
    <t>RACK FECHADO 12Ux19"x450mm, PORTA EM ACRÍLICO, SEGUNDO PLANO DE RECUO - FORNECIMENTO E INSTALAÇÃO</t>
  </si>
  <si>
    <t>14.20</t>
  </si>
  <si>
    <t>ORGANIZADOR DE CABOS HORIZONTAL COM TAMPA FRONTAL REMOVÍVEL 19" X 1U -FORNECIMENTO E INSTALAÇÃO</t>
  </si>
  <si>
    <t>14.21</t>
  </si>
  <si>
    <t>BANDEJA DUPLA FIXAÇÃO COM COMPRIMENTO DE  600mm PARA RACK 19" - FORNECIMENTO E INSTALAÇÃO</t>
  </si>
  <si>
    <t>14.22</t>
  </si>
  <si>
    <t xml:space="preserve"> PATCH CORD CORD 45 CAT 5E COM  1,50M - FORNECIMENTO E INSTALAÇÃO</t>
  </si>
  <si>
    <t>14.23</t>
  </si>
  <si>
    <t xml:space="preserve"> PATCH CORD CORD 45 CAT 5E COM  2,50M - FORNECIMENTO E INSTALAÇÃO</t>
  </si>
  <si>
    <t>14.24</t>
  </si>
  <si>
    <t>CONECTORES RJ45, 8 VIAS MACHO - FORNECIMENTO E INSTALAÇÃO</t>
  </si>
  <si>
    <t>14.25</t>
  </si>
  <si>
    <t>14.26</t>
  </si>
  <si>
    <t>LUVA PARA ELETRODUTO, EM ACO GALVANIZADO ELETROLITICO, DIAMETRO DE 25 MM - FORNECIMENTO E INSTALAÇÃO</t>
  </si>
  <si>
    <t>14.27</t>
  </si>
  <si>
    <t>ELETROCALHA PERFURADA GALVANIZADA DE 100 X 50 X 3000mm - FORNECIMENTO E INSTALAÇÃO</t>
  </si>
  <si>
    <t>14.28</t>
  </si>
  <si>
    <t>14.29</t>
  </si>
  <si>
    <t>ELETRODUTO FLEXIVEL, EM ACO GALVANIZADO, REVESTIDO EXTERNAMENTE COM PVC  PRETO, DIAMETRO EXTERNO DE 32 MM (1"), TIPO SEALTUBO - FORNECIMENTO E INSTALAÇÃO</t>
  </si>
  <si>
    <t>15.0</t>
  </si>
  <si>
    <t>INSTALAÇÃO HIDRÁULICA E SANITÁRIA</t>
  </si>
  <si>
    <t>15.1</t>
  </si>
  <si>
    <t xml:space="preserve">INSTALAÇÃO HIDRÁULICA  </t>
  </si>
  <si>
    <t>15.1.1</t>
  </si>
  <si>
    <t>15.1.2</t>
  </si>
  <si>
    <t>VÁLVULA EM METAL CROMADO TIPO AMERICANA 3.1/2 X 1.1/2 PARA PIA - FORNECIMENTO E INSTALAÇÃO. AF_01/2020</t>
  </si>
  <si>
    <t>15.1.3</t>
  </si>
  <si>
    <t>15.1.4</t>
  </si>
  <si>
    <t>TORNEIRA CROMADA TUBO MÓVEL, DE MESA, 1/2 OU 3/4, PARA PIA DE COZINHA, PADRÃO ALTO - FORNECIMENTO E INSTALAÇÃO. AF_01/2020</t>
  </si>
  <si>
    <t>15.1.5</t>
  </si>
  <si>
    <t>86903</t>
  </si>
  <si>
    <t>LAVATÓRIO LOUÇA BRANCA COM COLUNA, 45 X 55CM OU EQUIVALENTE, PADRÃO MÉDIO - FORNECIMENTO E INSTALAÇÃO. AF_12/2013_P</t>
  </si>
  <si>
    <t>15.1.6</t>
  </si>
  <si>
    <t>LAVATORIO DE LOUÇA BRANCO SUSPENSO DECA MASTER L76 CANTO 17 BRANCO E</t>
  </si>
  <si>
    <t>15.1.7</t>
  </si>
  <si>
    <t>TORNEIRA CROMADA DE MESA, 1/2" OU 3/4", PARA LAVATÓRIO,  FORNECIMENTO E INSTALAÇÃO. AF_12/2013</t>
  </si>
  <si>
    <t>15.1.8</t>
  </si>
  <si>
    <t>TORNEIRA CROMADA DE MESA, 1/2 OU 3/4, PARA LAVATÓRIO, PADRÃO MÉDIO -FORNECIMENTO E INSTALAÇÃO. AF_01/2020</t>
  </si>
  <si>
    <t>15.1.9</t>
  </si>
  <si>
    <t>CUBA DE EMBUTIR RETANGULAR DE AÇO INOXIDÁVEL, 46 X 30 X 12 CM - FORNEC IMENTO E INSTALAÇÃO. AF_01/2020</t>
  </si>
  <si>
    <t>15.1.10</t>
  </si>
  <si>
    <t>TORNEIRA CROMADA 1/2" OU 3/4" PARA TANQUE, PADRÃO MÉDIO - FORNECIMENTO E INSTALAÇÃO. AF_12/2013 USO GERAL</t>
  </si>
  <si>
    <t>15.1.11</t>
  </si>
  <si>
    <t>VÁLVULA DE DESCARGA METÁLICA, BASE 1 1/2 ", ACABAMENTO METALICO CROMADO - FORNECIMENTO E INSTALAÇÃO. AF_01/2019</t>
  </si>
  <si>
    <t>15.1.12</t>
  </si>
  <si>
    <t>ADAPTADOR COM FLANGE E ANEL DE VEDAÇÃO, PVC, SOLDÁVEL, DN 50 MM X 1 1/2 , INSTALADO EM RESERVAÇÃO DE ÁGUA DE EDIFICAÇÃO QUE POSSUA RESERVATÓRIO DE FIBRA/FIBROCIMENTO FORNECIMENTO E INSTALAÇÃO. AF_06/2016</t>
  </si>
  <si>
    <t>15.1.13</t>
  </si>
  <si>
    <t>ADAPTADOR COM FLANGE E ANEL DE VEDAÇÃO, PVC, SOLDÁVEL, DN 32 MM X 1 , INSTALADO EM RESERVAÇÃO DE ÁGUA DE EDIFICAÇÃO QUE POSSUA RESERVATÓRIO DE FIBRA/FIBROCIMENTO FORNECIMENTO E INSTALAÇÃO. AF_06/2016</t>
  </si>
  <si>
    <t>15.1.14</t>
  </si>
  <si>
    <t>15.1.15</t>
  </si>
  <si>
    <t>15.1.16</t>
  </si>
  <si>
    <t>43,54+25(dreno)</t>
  </si>
  <si>
    <t>15.1.17</t>
  </si>
  <si>
    <t>15.1.18</t>
  </si>
  <si>
    <t>15.1.19</t>
  </si>
  <si>
    <t>15.1.20</t>
  </si>
  <si>
    <t>BUCHA DE REDUÇÃO LONGA, PVC, SERIE R, ÁGUA PLUVIAL, DN 50 X 40 MM, JUN TA ELÁSTICA, FORNECIDO E INSTALADO EM RAMAL DE ENCAMINHAMENTO. AF_12/2014</t>
  </si>
  <si>
    <t>15.1.21</t>
  </si>
  <si>
    <t>2+9(dreno)</t>
  </si>
  <si>
    <t>15.1.22</t>
  </si>
  <si>
    <t>JOELHO 90 GRAUS, PVC, SOLDÁVEL, DN 32MM, INSTALADO EM RAMAL OU SUB-RAMAL DE ÁGUA - FORNECIMENTO E INSTALAÇÃO. AF_12/201</t>
  </si>
  <si>
    <t>15.1.23</t>
  </si>
  <si>
    <t>us</t>
  </si>
  <si>
    <t>15.1.24</t>
  </si>
  <si>
    <t>JOELHO 45 GRAUS, PVC, SOLDÁVEL, DN 50MM, INSTALADO EM PRUMADA DE ÁGUA</t>
  </si>
  <si>
    <t>15.1.25</t>
  </si>
  <si>
    <t>JOELHO 90 GRAUS COM BUCHA DE LATÃO, PVC, SOLDÁVEL, DN 25 MM, X 3/4 INSTALADO EM RESERVAÇÃO DE ÁGUA DE EDIFICAÇÃO QUE POSSUA RESERVATÓRIO DE FIBRA/FIBROCIMENTO FORNECIMENTO E INSTALAÇÃO. AF_06/2016</t>
  </si>
  <si>
    <t>15.1.26</t>
  </si>
  <si>
    <t>15.1.27</t>
  </si>
  <si>
    <t>15.1.28</t>
  </si>
  <si>
    <t>TÊ, PVC, SOLDÁVEL, DN 32 MM INSTALADO EM RESERVAÇÃO DE ÁGUA DE EDIFICAÇÃO QUE POSSUA RESERVATÓRIO DE FIBRA/FIBROCIMENTO FORNECIMENTO E INSTALAÇÃO. AF_06/2016</t>
  </si>
  <si>
    <t>15.1.29</t>
  </si>
  <si>
    <t>TÊ, PVC, SOLDÁVEL, DN 50 MM INSTALADO EM RESERVAÇÃO DE ÁGUA DE EDIFICAÇÃO QUE POSSUA RESERVATÓRIO DE FIBRA/FIBROCIMENTO FORNECIMENTO E INSALAÇÃO. AF_06/2016</t>
  </si>
  <si>
    <t>15.1.30</t>
  </si>
  <si>
    <t xml:space="preserve">LUVA COM BUCHA DE LATÃO, PVC, SOLDÁVEL, DN 20MM X 1/2, INSTALADO EM RAMAL DE DISTRIBUIÇÃO DE ÁGUA - FORNECIMENTO E INSTALAÇÃO. AF_12/2014 </t>
  </si>
  <si>
    <t>15.1.31</t>
  </si>
  <si>
    <t>15.1.32</t>
  </si>
  <si>
    <t>15.1.33</t>
  </si>
  <si>
    <t>SANITÁRIA</t>
  </si>
  <si>
    <t>15.2.1</t>
  </si>
  <si>
    <t>15.2.2</t>
  </si>
  <si>
    <t>15.2.3</t>
  </si>
  <si>
    <t>15.2.4</t>
  </si>
  <si>
    <t>VASO SANITARIO SIFONADO CONVENCIONAL COM LOUÇA BRANCA - FORNECIMENTO E INSTALAÇÃO. AF_10/2016</t>
  </si>
  <si>
    <t>15.2.6</t>
  </si>
  <si>
    <t>15.2.7</t>
  </si>
  <si>
    <t>89707</t>
  </si>
  <si>
    <t>CAIXA SIFONADA, PVC, DN 100 X 100 X 50 MM, JUNTA ELÁSTICA, FORNECIDA E INSTALADA EM RAMAL DE DESCARGA OU EM RAMAL DE ESGOTO SANITÁRIO. AF_12/2014_P</t>
  </si>
  <si>
    <t>15.2.8</t>
  </si>
  <si>
    <t>15..2.9</t>
  </si>
  <si>
    <t>89714</t>
  </si>
  <si>
    <t>TUBO PVC, SERIE NORMAL, ESGOTO PREDIAL, DN 100 MM, FORNECIDO E INSTALADO EM RAMAL DE DESCARGA OU RAMAL DE ESGOTO SANITÁRIO. AF_12/2014_P</t>
  </si>
  <si>
    <t>15..2.10</t>
  </si>
  <si>
    <t>89711</t>
  </si>
  <si>
    <t>TUBO PVC, SERIE NORMAL, ESGOTO PREDIAL, DN 40 MM, FORNECIDO E INSTALADO EM RAMAL DE DESCARGA OU RAMAL DE ESGOTO SANITÁRIO. AF_12/2014_P</t>
  </si>
  <si>
    <t>15..2.11</t>
  </si>
  <si>
    <t>15..2.12</t>
  </si>
  <si>
    <t>JOELHO 90 GRAUS, PVC, SOLDÁVEL, DN 40 MM INSTALADO EM RESERVAÇÃO DE ÁG UA DE EDIFICAÇÃO QUE POSSUA RESERVATÓRIO DE FIBRA/FIBROCIMENTO FORNECIMENTO E INSTALAÇÃO. AF_06/2016</t>
  </si>
  <si>
    <t>15..2.13</t>
  </si>
  <si>
    <t>15..2.14</t>
  </si>
  <si>
    <t>LUVA SIMPLES, PVC, SERIE NORMAL, ESGOTO PREDIAL, DN 100 MM, JUNTA ELÁSTICA, FORNECIDO E INSTALADO EM RAMAL DE DESCARGA OU RAMAL DE ESGOTO ASNITÁRIO. AF_12/2014</t>
  </si>
  <si>
    <t>15..2.15</t>
  </si>
  <si>
    <t>89809</t>
  </si>
  <si>
    <t>15..2.16</t>
  </si>
  <si>
    <t>89724</t>
  </si>
  <si>
    <t>JOELHO 90 GRAUS, PVC, SERIE NORMAL, ESGOTO PREDIAL, DN 40 MM, JUNTA SOLDÁVEL, FORNECIDO E INSTALADO EM RAMAL DE DESCARGA OU RAMAL DE ESGOTO SANITÁRIO. AF_12/2014_P</t>
  </si>
  <si>
    <t>15..2.17</t>
  </si>
  <si>
    <t>JUNÇÃO SIMPLES, PVC, SERIE R, ÁGUA PLUVIAL, DN 100 X 100 MM, JUNTA ELÁST ICA, FORNECIDO E INSTALADO EM CONDUTORES VERTICAIS DE ÁGUAS PLUVIAIS.</t>
  </si>
  <si>
    <t>15..2.18</t>
  </si>
  <si>
    <t>TE, PVC, SERIE NORMAL, ESGOTO PREDIAL, DN 50 X 50 MM, JUNTA ELÁSTICA,  TE, PVC, SERIE NORMAL, ESGOTO PREDIAL, DN 50 X 50 MM, JUNTA ELÁSTICA, 12/2014</t>
  </si>
  <si>
    <t>15..2.19</t>
  </si>
  <si>
    <t>JOELHO 90 GRAUS, PVC, SOLDÁVEL, DN 50 MM INSTALADO EM RESERVAÇÃO DE ÁGUA DE EDIFICAÇÃO QUE POSSUA RESERVATÓRIO DE FIBRA/FIBROCIMENTO FORNECIMENTO E INSTALAÇÃO. AF_06/2016</t>
  </si>
  <si>
    <t>15..2.20</t>
  </si>
  <si>
    <t>15..2.21</t>
  </si>
  <si>
    <t>BARRA DE APOIO RETA, EM ACO INOX POLIDO, COMPRIMENTO 60CM, DIAMETRO MINIMO 3CM</t>
  </si>
  <si>
    <t>15..2.22</t>
  </si>
  <si>
    <t>15..2.23</t>
  </si>
  <si>
    <t>SUMIDOURO CIRCULAR, EM CONCRETO PRÉ-MOLDADO, DIÂMETRO INTERNO = 1,88 M , ALTURA INTERNA = 2,00 M, ÁREA DE INFILTRAÇÃO: 13,1 M² (PARA 5 CONTRIBUINTES). AF_12/2020</t>
  </si>
  <si>
    <t>15..2.24</t>
  </si>
  <si>
    <t>ESCAVAÇÃO MANUAL DE VALAS. AF_03/2016</t>
  </si>
  <si>
    <t>15..2.25</t>
  </si>
  <si>
    <t>TANQUE DE LOUÇA BRANCA COM COLUNA, 30L OU EQUIVALENTE, INCLUSO SIFÃO F LEXÍVEL EM PVC, VÁLVULA PLÁSTICA E TORNEIRA DE METAL CROMADO PADRÃO MEDIO - FORNECIMENTO E INSTALAÇÃO. AF_01/2020</t>
  </si>
  <si>
    <t>16.0</t>
  </si>
  <si>
    <t>IMPLANTAÇÃO/URBANIZAÇÃO</t>
  </si>
  <si>
    <t>16.1</t>
  </si>
  <si>
    <t>MURO FECHAMENTO</t>
  </si>
  <si>
    <t>16.1.1</t>
  </si>
  <si>
    <t>16.1.2</t>
  </si>
  <si>
    <t>16.1.3</t>
  </si>
  <si>
    <t>16.1.4</t>
  </si>
  <si>
    <t>16.1.5</t>
  </si>
  <si>
    <t>16.1.6</t>
  </si>
  <si>
    <t>ARMAÇÃO DE PILAR OU VIGA DE UMA ESTRUTURA CONVENCIONAL DE CONCRETO ARMADO EM UMA EDIFICAÇÃO TÉRREA OU SOBRADO UTILIZANDO AÇO CA-50 DE 6,3 MM MONTAGEM. AF_12/2015</t>
  </si>
  <si>
    <t>16.1.7</t>
  </si>
  <si>
    <t>16.1.8</t>
  </si>
  <si>
    <t>16.1.9</t>
  </si>
  <si>
    <t>PLACA DE SINALIZACAO EM CHAPA DE ACO NUM 16 COM PINTURA REFLETIVA</t>
  </si>
  <si>
    <t>16.1.10</t>
  </si>
  <si>
    <t xml:space="preserve">PLANTIO DE GRAMA EM PLACAS. AF_05/2018 </t>
  </si>
  <si>
    <t>16.1.11</t>
  </si>
  <si>
    <t>16.1.12</t>
  </si>
  <si>
    <t>CONCERTINA CLIPADA (DUPLA) EM AÇO GALVANIZADO DE ALTA RESISTENCIA, COM ESPIRAL M 27,02
DE 300 MM, D = 2,76 MM, COM SUPORTE (HASTE) A CADA 2 M  - FORNECIMENTO E INSTALAÇÃO</t>
  </si>
  <si>
    <t>17.0</t>
  </si>
  <si>
    <t>SERVIÇOS COMPLEMENTARES</t>
  </si>
  <si>
    <t>17.1.1</t>
  </si>
  <si>
    <t>FOSSO/URBANISMO</t>
  </si>
  <si>
    <t>17.1.2</t>
  </si>
  <si>
    <t>17.1.3</t>
  </si>
  <si>
    <t>17.1.4</t>
  </si>
  <si>
    <t>17.1.5</t>
  </si>
  <si>
    <t>17.1.6</t>
  </si>
  <si>
    <t>17.1.9</t>
  </si>
  <si>
    <t>17.1.10</t>
  </si>
  <si>
    <t>17.1.11</t>
  </si>
  <si>
    <t>17.1.12</t>
  </si>
  <si>
    <t>17.1.13</t>
  </si>
  <si>
    <t>17.1.14</t>
  </si>
  <si>
    <t>17.1.15</t>
  </si>
  <si>
    <t>17.1.16</t>
  </si>
  <si>
    <t>17.1.17</t>
  </si>
  <si>
    <t>CHAPA METÁLICA DOBRADA MEDINDO 100X160X100X6000 E 100X160X100X1200 NA CHAPA #11 (INSTALAR NA BORDA DO FOSSO) PINTADO EM ZEBRA AMARELO E PRETO</t>
  </si>
  <si>
    <t>18.0</t>
  </si>
  <si>
    <t>LIMPEZA FINAL DA OBRA</t>
  </si>
  <si>
    <t>18.1</t>
  </si>
  <si>
    <t>TOTAL GERAL DO ORÇAMENTO</t>
  </si>
  <si>
    <t>CRONOGRAMA FÍSICO FINANCEIRO</t>
  </si>
  <si>
    <t>Obra: Reforma 15ª  Ciretran Poconé MT</t>
  </si>
  <si>
    <t>Local: Poconé/MT</t>
  </si>
  <si>
    <t>SINAPI março 2022</t>
  </si>
  <si>
    <t>Data: Março 2.022</t>
  </si>
  <si>
    <t>ESPECIFICAÇÃO</t>
  </si>
  <si>
    <t>%</t>
  </si>
  <si>
    <t>TOTAL
DO ITEM</t>
  </si>
  <si>
    <t>DIAS</t>
  </si>
  <si>
    <t>TOTAL</t>
  </si>
  <si>
    <t>00-30</t>
  </si>
  <si>
    <t>31-60</t>
  </si>
  <si>
    <t>61-90</t>
  </si>
  <si>
    <t>90-120</t>
  </si>
  <si>
    <t>120-150</t>
  </si>
  <si>
    <t>150-180</t>
  </si>
  <si>
    <t>TOTAL MENSAL/ ACUMULADO</t>
  </si>
  <si>
    <t>REFORMA DA 15ª CIRETRAN POCONÉ/ MT</t>
  </si>
  <si>
    <t>item</t>
  </si>
  <si>
    <t>descrição</t>
  </si>
  <si>
    <t>unid</t>
  </si>
  <si>
    <t>quant.</t>
  </si>
  <si>
    <t>cust. Unit.</t>
  </si>
  <si>
    <t>cust. Total</t>
  </si>
  <si>
    <t>COMP. 1.3</t>
  </si>
  <si>
    <t>Descrição dos Serviços</t>
  </si>
  <si>
    <t>unidade</t>
  </si>
  <si>
    <t>quantidade</t>
  </si>
  <si>
    <t>valor unitário</t>
  </si>
  <si>
    <t>valor total</t>
  </si>
  <si>
    <t>COD:74209/1</t>
  </si>
  <si>
    <t>SARRAFO DE MADEIRA NAO APARELHADA *2,5 X 7* CM, MACARANDUBA, ANGELIM OU EQUIVALENTE DA REGIAO</t>
  </si>
  <si>
    <t>1,0000000</t>
  </si>
  <si>
    <t>PONTALETE DE MADEIRA NAO APARELHADA *7,5 X 7,5* CM (3 X 3 ") PINUS, MISTA OU EQUIVALENTE DA REGIAO</t>
  </si>
  <si>
    <t>4,0000000</t>
  </si>
  <si>
    <t>PLACA DE OBRA (PARA CONSTRUCAO CIVIL) EM CHAPA GALVANIZADA *N. 22*, DE *2,0 X 1,125* M</t>
  </si>
  <si>
    <t>PREGO DE ACO POLIDO COM CABECA 18 X 30 (2 3/4 X 10)</t>
  </si>
  <si>
    <t>0,1100000</t>
  </si>
  <si>
    <t>2,0000000</t>
  </si>
  <si>
    <t>CONCRETO MAGRO PARA LASTRO, TRAÇO 1:4,5:4,5 (CIMENTO/ AREIA MÉDIA/ BRITA 1)  - PREPARO MECÂNICO COM BETONEIRA 400 L. AF_07/2016</t>
  </si>
  <si>
    <t>0,0100000</t>
  </si>
  <si>
    <t>Composição referência para adoção de coeficientes de consumo: SINAP 01/2021</t>
  </si>
  <si>
    <t>Taxa de destinação final de resíduos sólidos da construção civil</t>
  </si>
  <si>
    <t>Caçamba bota fora  5,0 M³</t>
  </si>
  <si>
    <t>unid:ud</t>
  </si>
  <si>
    <t>materiais</t>
  </si>
  <si>
    <t>Caçambas bota fora 5,0 M³</t>
  </si>
  <si>
    <t>total</t>
  </si>
  <si>
    <t>preço de venda</t>
  </si>
  <si>
    <t>OBS preço cotado loca mix  construção R$220,00 tel 36233040</t>
  </si>
  <si>
    <t>2.14</t>
  </si>
  <si>
    <t>Demolição de concreto simples</t>
  </si>
  <si>
    <t>unid:m³</t>
  </si>
  <si>
    <t>pedreiro</t>
  </si>
  <si>
    <t>servente</t>
  </si>
  <si>
    <t>coeficientes retirados planilha secid</t>
  </si>
  <si>
    <t>Estrutura de aço para cobertura em perfil C 100mmx50mmx15mm na # 11 assentados como terça a cada 1,20 (10 linhas de 12,40 de comprimento e 10 linhas de 6,00)</t>
  </si>
  <si>
    <t>und: m</t>
  </si>
  <si>
    <t>mão de obra</t>
  </si>
  <si>
    <t>serralheiro</t>
  </si>
  <si>
    <t>ajudante se serralheiro</t>
  </si>
  <si>
    <t>perfil de aço carbono tipo "C" 100x50x15mm na chapa #11</t>
  </si>
  <si>
    <t>OBS: perfil cotado na Açofer R$ 404,40 barras de 6,00 m R$ 67,40/m</t>
  </si>
  <si>
    <t>PERFILADOS R$ 349,00 barras com 6,0 metros R$ 58,16/m</t>
  </si>
  <si>
    <t>FERMAT R$405,00 R$ 67,50</t>
  </si>
  <si>
    <t>9 linhas de  12,70</t>
  </si>
  <si>
    <t>portão chapa metálica #16 requadro metalon 50x30mm #16 MEDINDO 4,00X2,60</t>
  </si>
  <si>
    <t>ud:ud</t>
  </si>
  <si>
    <t>Metalon 50x30 chapa 16</t>
  </si>
  <si>
    <t>chapa de aço #16</t>
  </si>
  <si>
    <t>Cantoneira L 1"x3/16"</t>
  </si>
  <si>
    <t>Roldana com Caixa 3"</t>
  </si>
  <si>
    <t>Cantoneira U 40x40#14</t>
  </si>
  <si>
    <t>Perfil 100x100 #12</t>
  </si>
  <si>
    <t>trinco para portão</t>
  </si>
  <si>
    <t>eletrodo 2.1/2</t>
  </si>
  <si>
    <t>ajudante</t>
  </si>
  <si>
    <t>cotação vencedora fermat</t>
  </si>
  <si>
    <t>415,25/M²</t>
  </si>
  <si>
    <t>Portão em chapa corrugada #18 com requadro de metalon 60x60 na chapa 14 e reforço no lado dos pilares com cantoneira L 2.1/2"x3/16"</t>
  </si>
  <si>
    <t>unid:m²</t>
  </si>
  <si>
    <t>chapa corrugada nº 18</t>
  </si>
  <si>
    <t>metalon 60x60 chapa 14</t>
  </si>
  <si>
    <t>dobradiça tipo cachimbo 1.1/4"</t>
  </si>
  <si>
    <t>Cantoneira 2.1/2'x3/16"</t>
  </si>
  <si>
    <t>Preço por m²</t>
  </si>
  <si>
    <t>01 portão 6x3</t>
  </si>
  <si>
    <t>01 acrescimo de 4x1,30</t>
  </si>
  <si>
    <t>metalon 60x60 chapa 14 R$ 105,00</t>
  </si>
  <si>
    <t>chapa corrugada 0,90x3,00 nº 18 R$ 159,90</t>
  </si>
  <si>
    <t xml:space="preserve"> dobradiça tipo gonzo R$ 4,90</t>
  </si>
  <si>
    <t>cantoneira 2.1/2"x3/16" R$119,00</t>
  </si>
  <si>
    <t>cotado Perfilados  multiaço fone 36343050</t>
  </si>
  <si>
    <t>Ladrilho hidraulico para piso tatil para deficientes visuais</t>
  </si>
  <si>
    <t>unid: m²</t>
  </si>
  <si>
    <t>Cimento Portland CP IIE-32</t>
  </si>
  <si>
    <t>Ldrilho Hraudlico200,00x200,00MM na cor amarela (piso tatil direcional e alerta)</t>
  </si>
  <si>
    <t>Aragamnassa mista de cal hiddratada e areia sem peneirar ttraço 1:4 com adição de 100 kg de cimento</t>
  </si>
  <si>
    <t>material cotado Ladriart's tel 981337848   R$ 6,65/unid</t>
  </si>
  <si>
    <t>REMOÇÃO DE MASSA /PINTURA EM PAREDES</t>
  </si>
  <si>
    <t>LIXA EM FOLHA PARA PAREDE OU MADEIRA, NUMERO 120 (COR VERMELHA)</t>
  </si>
  <si>
    <t>UD</t>
  </si>
  <si>
    <t>TOTAL DE CUSTO</t>
  </si>
  <si>
    <t>Lavatorio de louça branco suspenso Deca master  L76 canto 17 branco E</t>
  </si>
  <si>
    <t>UD:m²</t>
  </si>
  <si>
    <t>Encanador ou bombeiro hidraulico com encargos complementares</t>
  </si>
  <si>
    <t>AUXILIAR DE ENCANADOR OU BOMBEIRO HIDRAULICO</t>
  </si>
  <si>
    <t>todimo</t>
  </si>
  <si>
    <t>parafuso niquelado 3 1/2" com acabamento cromado para fixar peça sanitária, inclui porca cega, arruela e bucha de naylon tamanho S8</t>
  </si>
  <si>
    <t>rejunte epoxi branco</t>
  </si>
  <si>
    <t>LAVATÓRIO COTADO NA INTERNET PADOVANI</t>
  </si>
  <si>
    <t>15.2.16</t>
  </si>
  <si>
    <t>Fornecimento e instalação de suporte para vaso sanitário de portadores de necessidades especiais , conforme determina a legislação</t>
  </si>
  <si>
    <t>36218</t>
  </si>
  <si>
    <t>suporte para deficiente 0,60</t>
  </si>
  <si>
    <t>OBS: suporte cotado na todimo jack Wall</t>
  </si>
  <si>
    <t>15.2.17</t>
  </si>
  <si>
    <t>Fornecimento e instalação de suporte para lavatórios de portadores de necessidades especiais , conforme determina a legislação</t>
  </si>
  <si>
    <t>36080</t>
  </si>
  <si>
    <t>suporte para deficiente 0,80</t>
  </si>
  <si>
    <t>RETIRADA DE ARAME FARPADO INCLUSIVE SUPORTE METÁLICO</t>
  </si>
  <si>
    <t>SERVENTE</t>
  </si>
  <si>
    <t>34723 insumo</t>
  </si>
  <si>
    <t>PLACA DE SINALIZACAO EM CHAPA DE ACO NUM 16 COM PINTURA REFLETIVA MEDINDO 0,50X0,75 M</t>
  </si>
  <si>
    <t>4491 insumo</t>
  </si>
  <si>
    <t>CONCRETO MAGRO PARA LASTRO, TRAÇO 1:4,5:4,5 (CIMENTO/ AREIA MÉDIA/ BRIA 1) - PREPARO MANUAL. AF_07/2016</t>
  </si>
  <si>
    <t>PEDREIRO</t>
  </si>
  <si>
    <t>Pedreiro com encargos complementares</t>
  </si>
  <si>
    <t>Servente com encargos complementares</t>
  </si>
  <si>
    <t>TOTAL MAO DE OBRA</t>
  </si>
  <si>
    <t>INSUMO 34348</t>
  </si>
  <si>
    <t>Concertina clipada (dupla) em aço galvanizado de alta resistencia, com espiral de 300 MM, D = 2,76 MM</t>
  </si>
  <si>
    <t>Haste de aço galvanizado para fixação de concertina 2 "/3 M</t>
  </si>
  <si>
    <t>Furo em alvenaria para diâmetros maiores que 40 MM e menores ou igual a 75 MM. AF_05/2015</t>
  </si>
  <si>
    <t>Concreto magro para lastro, traço 1:4,5:4,5 (cimento/ areia média/ brita 1) - preparo manual. AF_07/2016</t>
  </si>
  <si>
    <t>TOTAL DE MATERIAL</t>
  </si>
  <si>
    <t>TOTALA GERAL</t>
  </si>
  <si>
    <t>CHAPA METÁLICA DOBRADA MEDINDO 100X160X100X6000 E 100X160X100X1200 NA CHAPA #11 (INSTALAR NA BORDA DO FOSSO)</t>
  </si>
  <si>
    <t>chapa metálica dobrada medindo (100x160x100x6200)x2+(100x160x100x1000)x2</t>
  </si>
  <si>
    <t>parabolt 3/8x50mm</t>
  </si>
  <si>
    <t>Pintura esmalte sintetico fosco, duas demaos, sobre superficie metalica</t>
  </si>
  <si>
    <t>total do material</t>
  </si>
  <si>
    <t>'''''''''</t>
  </si>
  <si>
    <t xml:space="preserve">total geral </t>
  </si>
  <si>
    <t>AÇOFER 2X6000 MM R$ 812,00  6 METROS</t>
  </si>
  <si>
    <t>FERMAT  R$725,00 6 METROS</t>
  </si>
  <si>
    <t>MULTIAÇO R$ 740,00 6 METROS</t>
  </si>
  <si>
    <t>COMPOSIÇÕES INSTALAÇÕES ELÉTRICAS E REDE LÓGICA</t>
  </si>
  <si>
    <t xml:space="preserve">unid: </t>
  </si>
  <si>
    <t>88264</t>
  </si>
  <si>
    <t>eletricista</t>
  </si>
  <si>
    <t>88247</t>
  </si>
  <si>
    <t>ajudante de eletricista</t>
  </si>
  <si>
    <t>88309</t>
  </si>
  <si>
    <t>00001062</t>
  </si>
  <si>
    <t>CAIXA INTERNA/EXTERNA DE MEDICAO PARA 1 MEDIDOR TRIFASICO, COM VISOR, EM CHAPADE ACO 18 USG (PADRAO DA CONCESSIONARIA LOCAL)</t>
  </si>
  <si>
    <t>00039233</t>
  </si>
  <si>
    <t>CABO DE COBRE, FLEXIVEL, CLASSE 4 OU 5, ISOLACAO EM PVC/A, ANTICHAMA BWF-B, 1CONDUTOR, 450/750 V, SECAO NOMINAL 35 MM2</t>
  </si>
  <si>
    <t>POSTE DE CONCRETO ARMADO DE SECAO DUPLO T, EXTENSAO DE 8,00 M, RESISTENCIA DE 150 DAN, TIPO D</t>
  </si>
  <si>
    <t>ASSENTAMENTO DE POSTE DE CONCRETO COM COMPRIMENTO NOMINAL DE 9 M, CARGA NOMINAL MENOR OU IGUAL A 1000 DAN, ENGASTAMENTO SIMPLES COM 1,5 M DE SOLO (NÃO INCLUI FORNECIMENTO). AF_11/2019</t>
  </si>
  <si>
    <t>as</t>
  </si>
  <si>
    <t>00002681</t>
  </si>
  <si>
    <t>ELETRODUTO DE PVC RIGIDO ROSCAVEL DE 2 ", SEM LUVA</t>
  </si>
  <si>
    <t>00001100</t>
  </si>
  <si>
    <t>CABECOTE PARA ENTRADA DE LINHA DE ALIMENTACAO PARA ELETRODUTO, EM LIGA DEALUMINIO COM ACABAMENTO ANTI CORROSIVO, COM FIXACAO POR ENCAIXE LISO DE 360 GRAUS, DE 2"</t>
  </si>
  <si>
    <t>00039132</t>
  </si>
  <si>
    <t>ABRACADEIRA EM ACO PARA AMARRACAO DE ELETRODUTOS, TIPO D, COM 2" E CUNHA DE FIXACAO</t>
  </si>
  <si>
    <t>1094</t>
  </si>
  <si>
    <t>ARMACAO VERTICAL COM HASTE E CONTRA-PINO, EM CHAPA DE ACO GALVANIZADO 3/16",COM 1 ESTRIBO, SEM ISOLADOR</t>
  </si>
  <si>
    <t>00003398</t>
  </si>
  <si>
    <t>ISOLADOR DE PORCELANA, TIPO ROLDANA, DIMENSOES DE *72* X *72* MM, PARA USO EMBAIXA TENSAO</t>
  </si>
  <si>
    <t>4346</t>
  </si>
  <si>
    <t>PARAFUSO DE FERRO POLIDO, SEXTAVADO, COM ROSCA PARCIAL, DIAMETRO 5/8", COMPRIMENTO 6", COM PORCA E ARRUELA DE PRESSAO MEDIA</t>
  </si>
  <si>
    <t>11267</t>
  </si>
  <si>
    <t>00002373</t>
  </si>
  <si>
    <t>96985</t>
  </si>
  <si>
    <t>96977</t>
  </si>
  <si>
    <t>00000425</t>
  </si>
  <si>
    <t>GRAMPO METALICO TIPO OLHAL PARA HASTE DE ATERRAMENTO DE 5/8'', CONDUTOR DE *10* A 50 MM2</t>
  </si>
  <si>
    <t>00000404</t>
  </si>
  <si>
    <t>FITA ISOLANTE DE BORRACHA AUTOFUSAO, USO ATE 69 KV (ALTA TENSAO)</t>
  </si>
  <si>
    <t>00041628</t>
  </si>
  <si>
    <t>CAIXA DE CONCRETO ARMADO PRE-MOLDADO, COM FUNDO E TAMPA, DIMENSOES DE 0,40 X0,40 X 0,40 M</t>
  </si>
  <si>
    <t>00034643</t>
  </si>
  <si>
    <t>CAIXA INSPECAO EM POLIETILENO PARA ATERRAMENTO E PARA RAIOS DIAMETRO = 300 MM</t>
  </si>
  <si>
    <t>94975</t>
  </si>
  <si>
    <t>CONCRETO FCK = 15MPA, TRAÇO 1:3,4:3,5 (CIMENTO/ AREIA MÉDIA/ BRITA 1)- PREPARO MANUAL. AF_07/2016</t>
  </si>
  <si>
    <t>unid: unitario</t>
  </si>
  <si>
    <t>00012239</t>
  </si>
  <si>
    <t>LUMINARIA DE SOBREPOR EM CHAPA DE ACO PARA 2 LAMPADAS FLUORESCENTES DE *36* W, PERFIL COMERCIAL (NAO INCLUI REATOR E LAMPADAS)</t>
  </si>
  <si>
    <t>00039387</t>
  </si>
  <si>
    <t>LAMPADA LED TUBULAR BIVOLT 18/20 W, BASE G13</t>
  </si>
  <si>
    <t>REFLETOR LED 100W PARA ILUMINAÇÃO EM AMBIENTES EXTERNOS 127/220V</t>
  </si>
  <si>
    <t>00039391</t>
  </si>
  <si>
    <t>LUMINARIA LED REFLETOR RETANGULAR BIVOLT, LUZ BRANCA, 50 W</t>
  </si>
  <si>
    <t>11950</t>
  </si>
  <si>
    <t>REFLETOR LED 50W PARA ILUMINAÇÃO EM AMBIENTES EXTERNOS 127/220V</t>
  </si>
  <si>
    <t>POSTE DE AÇO PARA ILUMINAÇÃO DE JARDIM 3,00 M DOIS BRAÇOS LUMINÁRIAS LED IP 65 - 40 W – FORNECIMENTO E INSTALAÇÃO</t>
  </si>
  <si>
    <t>unid:</t>
  </si>
  <si>
    <t>88242</t>
  </si>
  <si>
    <t>ajudante de pedreiro</t>
  </si>
  <si>
    <t>POSTE CONICO CONTINUO EM ACO GALVANIZADO, RETO, FLANGEADO, H = 3 M, DIAMETRO INFERIOR = *95* MM</t>
  </si>
  <si>
    <t>BRACO P/ LUMINARIA PUBLICA 1 X 1,50M ROMAGNOLE OU EQUIV</t>
  </si>
  <si>
    <t>LUMINARIA HERMETICA IP-65 PARA 2 DUAS LAMPADAS DE 14/16/18/20 W (NAO INCLUI REATOR E LAMPADAS)</t>
  </si>
  <si>
    <t>74104/001</t>
  </si>
  <si>
    <t>CAIXA DE INSPEÇÃO EM ALVENARIA DE TIJOLO MACIÇO 60X60X60CM, REVESTIDA 
INTERNAMENTO COM BARRA LISA (CIMENTO E AREIA, TRAÇO 1:4) E=2,0CM, COM
TAMPA PRÉ-MOLDADA DE CONCRETO E FUNDO DE CONCRETO 15MPA TIPO C - ESCAV
AÇÃO E CONFECÇÃO</t>
  </si>
  <si>
    <t>EXAUSTOR DE  50 CM VAZÃODE 5.000 m³/hora-  (EXAUSTÃO E VENTILAÇÃO) FORNECIMENTO E INSTALAÇÃO</t>
  </si>
  <si>
    <t>00002436</t>
  </si>
  <si>
    <t>0000247</t>
  </si>
  <si>
    <t>00004750</t>
  </si>
  <si>
    <t>EXAUSTOR 50 CM VAZÃO DE 5.000 m³/hora – 220V</t>
  </si>
  <si>
    <t>REFLETOR LED 50W PARA ILUMINAÇÃO EM MBIENTES EXTERNOS 127/220V</t>
  </si>
  <si>
    <t>00039467</t>
  </si>
  <si>
    <t>DISPOSITIVO DPS CLASSE II, 1 POLO, TENSAO MAXIMA DE 175 V, CORRENTE MAXIMA DE *45* KA (TIPO AC</t>
  </si>
  <si>
    <t>DISPOSITIVO DR, 4 POLOS, SENSIBILIDADE DE 30 MA, CORRENTE DE 100 A, TIPO AC – FORNECIMENTO E INSTALAÇÃO</t>
  </si>
  <si>
    <t>00039458</t>
  </si>
  <si>
    <t>DISPOSITIVO DR, 4 POLOS, SENSIBILIDADE DE 30 MA, CORRENTE DE 100 A, TIPO AC</t>
  </si>
  <si>
    <t>88316</t>
  </si>
  <si>
    <t>00039812</t>
  </si>
  <si>
    <t>CAIXA DE PASSAGEM DE PAREDE, DE EMBUTIR, EM PVC, DIMENSOES *200 X 200 X 90* MM</t>
  </si>
  <si>
    <t>unid: ud</t>
  </si>
  <si>
    <t>00043097</t>
  </si>
  <si>
    <t>CAIXA DE PASSAGEM ELETRICA DE PAREDE, DE SOBREPOR, EM TERMOPLASTICO / PVCCOM TAMPA APARAFUSADA, DIMENSOES, 150 X 150 X *100* MM</t>
  </si>
  <si>
    <t>DISJUNTOR TIPO DIN/IEC, TRIPOLAR 63 A</t>
  </si>
  <si>
    <t>00001576</t>
  </si>
  <si>
    <t>DISPOSITIVO DR, 2 POLOS, SENSIBILIDADE DE 30 MA, CORRENTE DE 25 A, TIPO AC - FORNECIMENTO E INSTALAÇÃO. AF_10/2020</t>
  </si>
  <si>
    <t>00039445</t>
  </si>
  <si>
    <t>DISPOSITIVO DR, 2 POLOS, SENSIBILIDADE DE 30 MA, CORRENTE DE 25 A, TIPO AC</t>
  </si>
  <si>
    <t>00011862</t>
  </si>
  <si>
    <t>CONECTOR METALICO TIPO PARAFUSO FENDIDO (SPLIT BOLT), PARA CABOS ATE 50 MM2</t>
  </si>
  <si>
    <t>00001577</t>
  </si>
  <si>
    <t>TERMINAL A COMPRESSAO EM COBRE ESTANHADO PARA CABO 35 MM2, 1 FURO E 1 COMPRESSAO, PARA PARAFUSO DE FIXACAO M8</t>
  </si>
  <si>
    <t>00001575</t>
  </si>
  <si>
    <t>00001571</t>
  </si>
  <si>
    <t>CAIXA DE CONCRETO ARMADO PRE-MOLDADO, COM FUNDO E TAMPA, DIMENSOES DE 0,60 X0,60 X 0,50 M - FORNECIMENTO E INSTALAÇÃO</t>
  </si>
  <si>
    <t>101618</t>
  </si>
  <si>
    <t>PREPARO DE FUNDO DE VALA COM LARGURA MENOR QUE 1,5 M, COM CAMADA DE AR EIA, LANÇAMENTO MANUAL. AF_08/2020</t>
  </si>
  <si>
    <t>CAIXA DE CONCRETO ARMADO PRE-MOLDADO, COM FUNDO E TAMPA, DIMENSOES DE 0,60 X0,60 X 0,50 M</t>
  </si>
  <si>
    <t>REDE LÓGICA</t>
  </si>
  <si>
    <t>14.01</t>
  </si>
  <si>
    <t>RACK FECHADO 12Ux19"x450mm, PORTA EM ACRÍLICO, SEGUNDO PLANO DE RECUO - FONECIMENTO E INSTALAÇÃO</t>
  </si>
  <si>
    <t>COTAÇÃO</t>
  </si>
  <si>
    <t>Fornecimento e instalação de rack fechado 12Ux19"x450mm, porta em acrilico, segundo plano de recuo, regua para 5 tomadas.</t>
  </si>
  <si>
    <t>STEEL TELECOM</t>
  </si>
  <si>
    <t>01.182.364/0001-00</t>
  </si>
  <si>
    <t>(11)3989-2842</t>
  </si>
  <si>
    <t>steeltelecom.com.br</t>
  </si>
  <si>
    <t>KADRI</t>
  </si>
  <si>
    <t>07.870.634/0001-44</t>
  </si>
  <si>
    <t>(65)3648-5600</t>
  </si>
  <si>
    <t>kadri.com.br</t>
  </si>
  <si>
    <t>Central Cabos</t>
  </si>
  <si>
    <t>08.626.431/0001-70</t>
  </si>
  <si>
    <t>(11) 3334-3720</t>
  </si>
  <si>
    <t>centralcabos.com.br</t>
  </si>
  <si>
    <t>ORANIZADOR DE CABOS HORIZONTAL COM TAMPA FRONTAL REMOVÍVEL 19" X 1U -FORNECIMENTO E INSTALAÇÃO</t>
  </si>
  <si>
    <t>Fornecimento e instalação de organizador de cabos horizontal com tampa frontal removível 19" X 1U</t>
  </si>
  <si>
    <t>material cotado Plug mais conection tel 36485700</t>
  </si>
  <si>
    <t>Fornecimento e instalação de bandeja dupla fixação com comprimento de 600mm para rack 19"</t>
  </si>
  <si>
    <t>PATCH CORD, CATEGORIA 5 E, EXTENSAO DE 1,50 M - FORNECIMENTO E INSTALAÇÃO</t>
  </si>
  <si>
    <t>39604</t>
  </si>
  <si>
    <t>PATCH CORD, CATEGORIA 5 E, EXTENSAO DE 1,50 M</t>
  </si>
  <si>
    <t>PATCH CORD, CATEGORIA 5 E, EXTENSAO DE 2,50 M - FORNECIMENTO E INSTALAÇÃO</t>
  </si>
  <si>
    <t>39605</t>
  </si>
  <si>
    <t>PATCH CORD, CATEGORIA 5 E, EXTENSAO DE 2,50 M</t>
  </si>
  <si>
    <t>00039602</t>
  </si>
  <si>
    <t>CONECTOR MACHO RJ - 45, CATEGORIA 5 E</t>
  </si>
  <si>
    <t>00002638</t>
  </si>
  <si>
    <t>LUVA PARA ELETRODUTO, EM ACO GALVANIZADO ELETROLITICO, DIAMETRO DE 25 MM</t>
  </si>
  <si>
    <t>orçamento</t>
  </si>
  <si>
    <t>ELETROCALHA PERFURADA GALVANIZADA DE 100 X 50 X 3000mm</t>
  </si>
  <si>
    <t xml:space="preserve">PETEL </t>
  </si>
  <si>
    <t>22.760.075/0001-03</t>
  </si>
  <si>
    <t>(65) 3634-5253</t>
  </si>
  <si>
    <t>DIRCEU</t>
  </si>
  <si>
    <t>BRANEL</t>
  </si>
  <si>
    <t>07.624.206/0001-31</t>
  </si>
  <si>
    <t>(65) 3027-9000</t>
  </si>
  <si>
    <t>CARLOS</t>
  </si>
  <si>
    <t xml:space="preserve">LUZ E CIA </t>
  </si>
  <si>
    <t>03.806.018/0001-73</t>
  </si>
  <si>
    <t>(65) 3388-0800</t>
  </si>
  <si>
    <t>THAYS</t>
  </si>
  <si>
    <t>00002501</t>
  </si>
  <si>
    <t>ELETRODUTO FLEXIVEL, EM ACO GALVANIZADO, REVESTIDO EXTERNAMENTE COM PVC  PRETO, DIAMETRO EXTERNO DE 32 MM (1"), TIPO SEALTUBO</t>
  </si>
  <si>
    <t>39462</t>
  </si>
  <si>
    <t>UM</t>
  </si>
  <si>
    <t>Importa o presente orçamento em R$ 421.221,99  (QUATROCENTOS E VINTE E UM MIL, DUZENTOS E VINTE E UM REAIS , NOVENTA E NOVE CENTAVOS)</t>
  </si>
  <si>
    <t>CNPJ 16.619.217/0001-63</t>
  </si>
  <si>
    <t xml:space="preserve">GMX CONSTRUTORA E INCORPORADORA </t>
  </si>
  <si>
    <t xml:space="preserve">De acordo com o ACÓRDÃO Nº 2622/2013 – TCU – Plenário </t>
  </si>
  <si>
    <t xml:space="preserve">BDI - BENEFICIOS E DESPESAS INDIRETAS </t>
  </si>
  <si>
    <t>DISCRIMINAÇÃO</t>
  </si>
  <si>
    <t>PERCENTUAL</t>
  </si>
  <si>
    <t>BDI</t>
  </si>
  <si>
    <t>CUSTO OBRA</t>
  </si>
  <si>
    <t>Outras Fontes</t>
  </si>
  <si>
    <t>VALOR DA OBRA</t>
  </si>
  <si>
    <t>( % )</t>
  </si>
  <si>
    <t>R$</t>
  </si>
  <si>
    <t>ADMINISTRAÇÃO DA OBRA</t>
  </si>
  <si>
    <t>Administração Central</t>
  </si>
  <si>
    <t>Seguro e Garantia</t>
  </si>
  <si>
    <t>Riscos</t>
  </si>
  <si>
    <t>Despesas Financeiras</t>
  </si>
  <si>
    <t>LUCRO</t>
  </si>
  <si>
    <t>Lucro Operacional</t>
  </si>
  <si>
    <t>TRIBUTOS</t>
  </si>
  <si>
    <t>PIS</t>
  </si>
  <si>
    <t>COFINS</t>
  </si>
  <si>
    <t>3.3</t>
  </si>
  <si>
    <t>ISSqn</t>
  </si>
  <si>
    <t>3.4</t>
  </si>
  <si>
    <t>CPRB</t>
  </si>
  <si>
    <t>Não incidem IRPJ e CSLL na composição de Tributos.</t>
  </si>
  <si>
    <t xml:space="preserve">TAXA DE BDI A SER APLICADA 
SOBRE O CUSTO DIRETO </t>
  </si>
  <si>
    <t>Formula para o calculo do BDI:</t>
  </si>
  <si>
    <t>(COM DESONERAÇÃO)</t>
  </si>
  <si>
    <t>RESUMO DOS ENCARGOS SOCIAIS TRABALHISTAS-HORISTAS E MENSALISTAS</t>
  </si>
  <si>
    <t>ÍTEM</t>
  </si>
  <si>
    <t>Porcentagem</t>
  </si>
  <si>
    <t>HORISTA</t>
  </si>
  <si>
    <t>MENSALISTA</t>
  </si>
  <si>
    <t>A</t>
  </si>
  <si>
    <t>GRUPO A - ENCARGOS SOCIAIS BÁSICOS</t>
  </si>
  <si>
    <t>A.1</t>
  </si>
  <si>
    <t>INSS</t>
  </si>
  <si>
    <t>A.2</t>
  </si>
  <si>
    <t>SERVIÇO SOCIAL DA INDÚSTRIA (SESI)</t>
  </si>
  <si>
    <t>A.3</t>
  </si>
  <si>
    <t>SERVIÇO NACIONAL DE APRENDIZAGEM INDUSTRIAL  (SENAI)</t>
  </si>
  <si>
    <t>A.4</t>
  </si>
  <si>
    <t>INCRA</t>
  </si>
  <si>
    <t>A.5</t>
  </si>
  <si>
    <t>SERVIÇO DE APOIO À PEQUENA E MÉDIA EMPRESA (SEBRAE)</t>
  </si>
  <si>
    <t>A.6</t>
  </si>
  <si>
    <t>SALÁRIO - EDUCAÇÃO</t>
  </si>
  <si>
    <t>A.7</t>
  </si>
  <si>
    <t>SEGURO CONTRA OS RISCOS DE ACIDENTES DO TRABALHO</t>
  </si>
  <si>
    <t>A.8</t>
  </si>
  <si>
    <t xml:space="preserve"> FUNDO DE GARANTIA POR TEMPO DE SERVIÇOS</t>
  </si>
  <si>
    <t>TOTAL DOS ENCARGOS SOCIAIS BÁSICOS</t>
  </si>
  <si>
    <t>B</t>
  </si>
  <si>
    <t>GRUPO B - ENCARGOS SOCIAIS QUE RECEM AS INCIDÊNCIAS DE A</t>
  </si>
  <si>
    <t>B.1</t>
  </si>
  <si>
    <t>REPOUSO SEMANAL REMUNERADO</t>
  </si>
  <si>
    <t>B.2</t>
  </si>
  <si>
    <t>FERIADOS</t>
  </si>
  <si>
    <t>B.3</t>
  </si>
  <si>
    <t>AUXÍLIO ENFERMIDADE</t>
  </si>
  <si>
    <t>B.4</t>
  </si>
  <si>
    <t>13º SALÁRIO</t>
  </si>
  <si>
    <t>B.5</t>
  </si>
  <si>
    <t>LICENÇA PATERNIDADE</t>
  </si>
  <si>
    <t>B.6</t>
  </si>
  <si>
    <t>FALTAS JUSTIFICADAS</t>
  </si>
  <si>
    <t>B.7</t>
  </si>
  <si>
    <t>DIAS DE CHUVA</t>
  </si>
  <si>
    <t>B.8</t>
  </si>
  <si>
    <t>AUXÍLIO ACIDENTE DE TRABALHO</t>
  </si>
  <si>
    <t>B.9</t>
  </si>
  <si>
    <t xml:space="preserve">FÉRIAS GOSADAS </t>
  </si>
  <si>
    <t>B.10</t>
  </si>
  <si>
    <t>SALÁRIO MATERNIDADE</t>
  </si>
  <si>
    <t>TOTAL DOS  ENCARGOS SOCIAIS QUE RECEM AS INCIDÊNCIAS DE A</t>
  </si>
  <si>
    <t>C</t>
  </si>
  <si>
    <t>GRUPO C - ENCARGOS SOCIAIS QUE NÃO RECEBEM AS INCIDÊNCIAS GLOBAIS DE A</t>
  </si>
  <si>
    <t>C.1</t>
  </si>
  <si>
    <t>AVISO PRÉVIO IDENIZADO</t>
  </si>
  <si>
    <t>C.2</t>
  </si>
  <si>
    <t>AVISO PRÉVIO TRABALHADO</t>
  </si>
  <si>
    <t>C.3</t>
  </si>
  <si>
    <t>FÉRIAS IDENIZADAS</t>
  </si>
  <si>
    <t>C.4</t>
  </si>
  <si>
    <t>DEPÓSITO RECISÃO SEM JUSTA CAUSA</t>
  </si>
  <si>
    <t>C.5</t>
  </si>
  <si>
    <t>IDENIZAÇÃO ADICIONAL</t>
  </si>
  <si>
    <t>TOTAL DOS  ENCARGOS SOCIAIS QUE NÃO RECEBEM AS INCIDÊNCIAS GLOBAIS DE A</t>
  </si>
  <si>
    <t>D</t>
  </si>
  <si>
    <t>GRUPO D - REINCIDÊNCIA DE UM GRUPO SOBRE O OUTRO</t>
  </si>
  <si>
    <t>D1</t>
  </si>
  <si>
    <t>REINCIDÊNCIA DO GRUPO A SOBRE O GRUPO B</t>
  </si>
  <si>
    <t>D2</t>
  </si>
  <si>
    <t>REINCIDÊNCIA DO GRUPO A SOBRE AVISO PRÉVIO TRABALHADO E REINSIDÊNCIA DO FGTS SOBRE AVISO PRÉVIO IDENIZADO</t>
  </si>
  <si>
    <t>TOTAL DE REINCIDÊNCIA DE UM GRUPO SOBRE O OUTRO</t>
  </si>
  <si>
    <t>TOTAL GLOBAL(A+B+C+D)</t>
  </si>
  <si>
    <t>ESCALA SALARIAL</t>
  </si>
  <si>
    <t>Código</t>
  </si>
  <si>
    <t>Descrição</t>
  </si>
  <si>
    <t>Und</t>
  </si>
  <si>
    <t>Valor Unit Horista</t>
  </si>
  <si>
    <t>COMPOSIÇÃO DE PREÇO UNITÁRIO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</si>
</sst>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\R\$\ #,##0.00_-"/>
    <numFmt numFmtId="165" formatCode="&quot; &quot;#,##0.00&quot; &quot;;&quot; (&quot;#,##0.00&quot;)&quot;;&quot; -&quot;#&quot; &quot;;&quot; &quot;@&quot; &quot;"/>
    <numFmt numFmtId="166" formatCode="&quot; R$ &quot;#,##0.00&quot; &quot;;&quot;-R$ &quot;#,##0.00&quot; &quot;;&quot; R$ -&quot;#&quot; &quot;;&quot; &quot;@&quot; &quot;"/>
    <numFmt numFmtId="167" formatCode="&quot;R$ &quot;#,##0.00&quot; &quot;;[Red]&quot;(R$ &quot;#,##0.00&quot;)&quot;"/>
    <numFmt numFmtId="168" formatCode="&quot; &quot;#,##0.00&quot; &quot;;&quot; (&quot;#,##0.00&quot;)&quot;;&quot; -&quot;00&quot; &quot;;&quot; &quot;@&quot; &quot;"/>
    <numFmt numFmtId="169" formatCode="&quot; &quot;#,##0.00&quot; &quot;;&quot;-&quot;#,##0.00&quot; &quot;;&quot; -&quot;00&quot; &quot;;&quot; &quot;@&quot; &quot;"/>
    <numFmt numFmtId="170" formatCode="_(* #,##0.00_);_(* \(#,##0.00\);_(* &quot;-&quot;??_);_(@_)"/>
    <numFmt numFmtId="171" formatCode="_(&quot;R$ &quot;* #,##0.00_);_(&quot;R$ &quot;* \(#,##0.00\);_(&quot;R$ &quot;* &quot;-&quot;??_);_(@_)"/>
  </numFmts>
  <fonts count="61">
    <font>
      <sz val="11"/>
      <color rgb="FF000000"/>
      <name val="Calibri"/>
    </font>
    <font>
      <b/>
      <sz val="13"/>
      <color rgb="FF000000"/>
      <name val="Calibri"/>
    </font>
    <font>
      <b/>
      <sz val="11"/>
      <color rgb="FF000000"/>
      <name val="Calibri"/>
    </font>
    <font>
      <sz val="11"/>
      <color rgb="FFFFFFFF"/>
      <name val="Calibri"/>
    </font>
    <font>
      <sz val="11"/>
      <color rgb="FF000000"/>
      <name val="Arial1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548235"/>
      <name val="Arial"/>
      <family val="2"/>
    </font>
    <font>
      <sz val="10"/>
      <color rgb="FF000000"/>
      <name val="Arial1"/>
    </font>
    <font>
      <sz val="8"/>
      <color rgb="FF003300"/>
      <name val="Arial"/>
      <family val="2"/>
    </font>
    <font>
      <b/>
      <sz val="11"/>
      <color rgb="FF000000"/>
      <name val="Arial"/>
      <family val="2"/>
    </font>
    <font>
      <b/>
      <sz val="14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7"/>
      <color rgb="FF0000FF"/>
      <name val="Arial"/>
      <family val="2"/>
    </font>
    <font>
      <b/>
      <sz val="11"/>
      <color rgb="FF000000"/>
      <name val="Arial1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0"/>
      <name val="Arial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00000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1"/>
    </font>
    <font>
      <b/>
      <u/>
      <sz val="11"/>
      <name val="Arial"/>
      <family val="1"/>
    </font>
    <font>
      <b/>
      <u/>
      <sz val="11"/>
      <name val="Arial"/>
      <family val="2"/>
    </font>
    <font>
      <b/>
      <sz val="11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b/>
      <sz val="10"/>
      <name val="Arial"/>
      <family val="1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215967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CCCCFF"/>
        <bgColor rgb="FFCCCCFF"/>
      </patternFill>
    </fill>
    <fill>
      <patternFill patternType="solid">
        <fgColor rgb="FFC0C0C0"/>
        <bgColor rgb="FFC0C0C0"/>
      </patternFill>
    </fill>
    <fill>
      <patternFill patternType="solid">
        <fgColor rgb="FFFF0000"/>
        <bgColor rgb="FFFF0000"/>
      </patternFill>
    </fill>
    <fill>
      <patternFill patternType="solid">
        <fgColor rgb="FF808080"/>
        <bgColor rgb="FF808080"/>
      </patternFill>
    </fill>
    <fill>
      <patternFill patternType="solid">
        <fgColor rgb="FF3366FF"/>
        <bgColor rgb="FF3366FF"/>
      </patternFill>
    </fill>
    <fill>
      <patternFill patternType="solid">
        <fgColor rgb="FF00B0F0"/>
        <bgColor rgb="FFFFFFFF"/>
      </patternFill>
    </fill>
    <fill>
      <patternFill patternType="solid">
        <fgColor theme="8"/>
        <bgColor rgb="FFFFFFFF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rgb="FFFFFFFF"/>
      </patternFill>
    </fill>
  </fills>
  <borders count="99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</borders>
  <cellStyleXfs count="16">
    <xf numFmtId="0" fontId="0" fillId="0" borderId="0"/>
    <xf numFmtId="0" fontId="4" fillId="0" borderId="0"/>
    <xf numFmtId="9" fontId="4" fillId="0" borderId="0" applyFont="0" applyFill="0" applyBorder="0" applyAlignment="0" applyProtection="0"/>
    <xf numFmtId="165" fontId="4" fillId="0" borderId="0" applyFont="0" applyBorder="0" applyProtection="0"/>
    <xf numFmtId="165" fontId="6" fillId="0" borderId="0" applyBorder="0" applyProtection="0"/>
    <xf numFmtId="166" fontId="4" fillId="0" borderId="0" applyFont="0" applyBorder="0" applyProtection="0"/>
    <xf numFmtId="165" fontId="4" fillId="0" borderId="0" applyFont="0" applyBorder="0" applyProtection="0"/>
    <xf numFmtId="168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169" fontId="4" fillId="0" borderId="0" applyFont="0" applyFill="0" applyBorder="0" applyAlignment="0" applyProtection="0"/>
    <xf numFmtId="0" fontId="30" fillId="0" borderId="0"/>
    <xf numFmtId="0" fontId="47" fillId="0" borderId="0"/>
    <xf numFmtId="0" fontId="47" fillId="0" borderId="0"/>
    <xf numFmtId="9" fontId="47" fillId="0" borderId="0" applyFont="0" applyFill="0" applyBorder="0" applyAlignment="0" applyProtection="0"/>
    <xf numFmtId="0" fontId="54" fillId="0" borderId="0"/>
  </cellStyleXfs>
  <cellXfs count="682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center" vertical="center"/>
    </xf>
    <xf numFmtId="164" fontId="3" fillId="3" borderId="0" xfId="0" applyNumberFormat="1" applyFont="1" applyFill="1" applyAlignment="1">
      <alignment vertical="center"/>
    </xf>
    <xf numFmtId="164" fontId="0" fillId="0" borderId="0" xfId="0" applyNumberFormat="1"/>
    <xf numFmtId="0" fontId="4" fillId="0" borderId="0" xfId="1" applyAlignment="1">
      <alignment vertical="center"/>
    </xf>
    <xf numFmtId="4" fontId="5" fillId="0" borderId="0" xfId="1" applyNumberFormat="1" applyFont="1" applyAlignment="1">
      <alignment vertical="center"/>
    </xf>
    <xf numFmtId="4" fontId="5" fillId="0" borderId="0" xfId="1" applyNumberFormat="1" applyFont="1" applyAlignment="1">
      <alignment wrapText="1"/>
    </xf>
    <xf numFmtId="4" fontId="6" fillId="0" borderId="0" xfId="1" applyNumberFormat="1" applyFont="1" applyAlignment="1">
      <alignment vertical="center"/>
    </xf>
    <xf numFmtId="4" fontId="6" fillId="0" borderId="0" xfId="1" applyNumberFormat="1" applyFont="1"/>
    <xf numFmtId="4" fontId="6" fillId="4" borderId="0" xfId="1" applyNumberFormat="1" applyFont="1" applyFill="1"/>
    <xf numFmtId="4" fontId="7" fillId="0" borderId="0" xfId="1" applyNumberFormat="1" applyFont="1" applyAlignment="1">
      <alignment horizontal="left"/>
    </xf>
    <xf numFmtId="4" fontId="9" fillId="0" borderId="0" xfId="1" applyNumberFormat="1" applyFont="1" applyAlignment="1">
      <alignment horizontal="center"/>
    </xf>
    <xf numFmtId="4" fontId="9" fillId="4" borderId="0" xfId="1" applyNumberFormat="1" applyFont="1" applyFill="1" applyAlignment="1">
      <alignment horizontal="center"/>
    </xf>
    <xf numFmtId="4" fontId="5" fillId="0" borderId="0" xfId="1" applyNumberFormat="1" applyFont="1" applyAlignment="1">
      <alignment horizontal="center" vertical="center"/>
    </xf>
    <xf numFmtId="4" fontId="5" fillId="0" borderId="0" xfId="1" applyNumberFormat="1" applyFont="1" applyAlignment="1">
      <alignment horizontal="center" wrapText="1"/>
    </xf>
    <xf numFmtId="4" fontId="6" fillId="0" borderId="0" xfId="1" applyNumberFormat="1" applyFont="1" applyAlignment="1">
      <alignment horizontal="center" vertical="center"/>
    </xf>
    <xf numFmtId="4" fontId="6" fillId="0" borderId="0" xfId="1" applyNumberFormat="1" applyFont="1" applyAlignment="1">
      <alignment horizontal="center"/>
    </xf>
    <xf numFmtId="4" fontId="6" fillId="4" borderId="0" xfId="1" applyNumberFormat="1" applyFont="1" applyFill="1" applyAlignment="1">
      <alignment horizontal="center"/>
    </xf>
    <xf numFmtId="2" fontId="6" fillId="4" borderId="0" xfId="2" applyNumberFormat="1" applyFont="1" applyFill="1" applyAlignment="1"/>
    <xf numFmtId="2" fontId="6" fillId="0" borderId="0" xfId="1" applyNumberFormat="1" applyFont="1"/>
    <xf numFmtId="4" fontId="4" fillId="0" borderId="0" xfId="1" applyNumberFormat="1"/>
    <xf numFmtId="0" fontId="4" fillId="0" borderId="0" xfId="1"/>
    <xf numFmtId="4" fontId="9" fillId="6" borderId="11" xfId="1" applyNumberFormat="1" applyFont="1" applyFill="1" applyBorder="1" applyAlignment="1">
      <alignment vertical="center"/>
    </xf>
    <xf numFmtId="4" fontId="9" fillId="6" borderId="12" xfId="1" applyNumberFormat="1" applyFont="1" applyFill="1" applyBorder="1" applyAlignment="1">
      <alignment vertical="center"/>
    </xf>
    <xf numFmtId="4" fontId="9" fillId="6" borderId="12" xfId="1" applyNumberFormat="1" applyFont="1" applyFill="1" applyBorder="1"/>
    <xf numFmtId="4" fontId="9" fillId="6" borderId="13" xfId="1" applyNumberFormat="1" applyFont="1" applyFill="1" applyBorder="1" applyAlignment="1">
      <alignment vertical="center"/>
    </xf>
    <xf numFmtId="4" fontId="9" fillId="0" borderId="0" xfId="1" applyNumberFormat="1" applyFont="1"/>
    <xf numFmtId="4" fontId="9" fillId="4" borderId="9" xfId="1" applyNumberFormat="1" applyFont="1" applyFill="1" applyBorder="1"/>
    <xf numFmtId="0" fontId="9" fillId="0" borderId="0" xfId="1" applyFont="1"/>
    <xf numFmtId="4" fontId="9" fillId="6" borderId="14" xfId="1" applyNumberFormat="1" applyFont="1" applyFill="1" applyBorder="1" applyAlignment="1">
      <alignment horizontal="right"/>
    </xf>
    <xf numFmtId="4" fontId="9" fillId="6" borderId="15" xfId="1" applyNumberFormat="1" applyFont="1" applyFill="1" applyBorder="1" applyAlignment="1">
      <alignment vertical="center"/>
    </xf>
    <xf numFmtId="4" fontId="9" fillId="6" borderId="15" xfId="1" applyNumberFormat="1" applyFont="1" applyFill="1" applyBorder="1"/>
    <xf numFmtId="4" fontId="9" fillId="6" borderId="16" xfId="1" applyNumberFormat="1" applyFont="1" applyFill="1" applyBorder="1" applyAlignment="1">
      <alignment vertical="center"/>
    </xf>
    <xf numFmtId="1" fontId="5" fillId="4" borderId="17" xfId="1" applyNumberFormat="1" applyFont="1" applyFill="1" applyBorder="1" applyAlignment="1">
      <alignment horizontal="right"/>
    </xf>
    <xf numFmtId="1" fontId="5" fillId="4" borderId="9" xfId="1" applyNumberFormat="1" applyFont="1" applyFill="1" applyBorder="1" applyAlignment="1">
      <alignment horizontal="right"/>
    </xf>
    <xf numFmtId="4" fontId="5" fillId="4" borderId="18" xfId="1" applyNumberFormat="1" applyFont="1" applyFill="1" applyBorder="1" applyAlignment="1">
      <alignment wrapText="1"/>
    </xf>
    <xf numFmtId="4" fontId="6" fillId="4" borderId="18" xfId="1" applyNumberFormat="1" applyFont="1" applyFill="1" applyBorder="1" applyAlignment="1">
      <alignment horizontal="right"/>
    </xf>
    <xf numFmtId="165" fontId="6" fillId="4" borderId="9" xfId="3" applyFont="1" applyFill="1" applyBorder="1"/>
    <xf numFmtId="4" fontId="6" fillId="4" borderId="19" xfId="1" applyNumberFormat="1" applyFont="1" applyFill="1" applyBorder="1" applyAlignment="1">
      <alignment horizontal="right"/>
    </xf>
    <xf numFmtId="165" fontId="6" fillId="0" borderId="20" xfId="3" applyFont="1" applyBorder="1" applyAlignment="1">
      <alignment vertical="top"/>
    </xf>
    <xf numFmtId="165" fontId="6" fillId="4" borderId="9" xfId="3" applyFont="1" applyFill="1" applyBorder="1" applyAlignment="1">
      <alignment vertical="top"/>
    </xf>
    <xf numFmtId="4" fontId="5" fillId="4" borderId="9" xfId="1" applyNumberFormat="1" applyFont="1" applyFill="1" applyBorder="1" applyAlignment="1">
      <alignment wrapText="1"/>
    </xf>
    <xf numFmtId="4" fontId="6" fillId="4" borderId="9" xfId="1" applyNumberFormat="1" applyFont="1" applyFill="1" applyBorder="1" applyAlignment="1">
      <alignment horizontal="right"/>
    </xf>
    <xf numFmtId="4" fontId="6" fillId="4" borderId="9" xfId="1" applyNumberFormat="1" applyFont="1" applyFill="1" applyBorder="1"/>
    <xf numFmtId="4" fontId="5" fillId="4" borderId="21" xfId="1" applyNumberFormat="1" applyFont="1" applyFill="1" applyBorder="1" applyAlignment="1">
      <alignment wrapText="1"/>
    </xf>
    <xf numFmtId="4" fontId="6" fillId="4" borderId="21" xfId="1" applyNumberFormat="1" applyFont="1" applyFill="1" applyBorder="1" applyAlignment="1">
      <alignment horizontal="right"/>
    </xf>
    <xf numFmtId="4" fontId="6" fillId="4" borderId="22" xfId="1" applyNumberFormat="1" applyFont="1" applyFill="1" applyBorder="1" applyAlignment="1">
      <alignment horizontal="right"/>
    </xf>
    <xf numFmtId="4" fontId="6" fillId="4" borderId="23" xfId="1" applyNumberFormat="1" applyFont="1" applyFill="1" applyBorder="1" applyAlignment="1">
      <alignment horizontal="right"/>
    </xf>
    <xf numFmtId="4" fontId="9" fillId="6" borderId="11" xfId="1" applyNumberFormat="1" applyFont="1" applyFill="1" applyBorder="1" applyAlignment="1">
      <alignment horizontal="right"/>
    </xf>
    <xf numFmtId="4" fontId="9" fillId="6" borderId="12" xfId="1" applyNumberFormat="1" applyFont="1" applyFill="1" applyBorder="1" applyAlignment="1">
      <alignment horizontal="right"/>
    </xf>
    <xf numFmtId="4" fontId="9" fillId="6" borderId="13" xfId="1" applyNumberFormat="1" applyFont="1" applyFill="1" applyBorder="1" applyAlignment="1">
      <alignment horizontal="right"/>
    </xf>
    <xf numFmtId="4" fontId="9" fillId="5" borderId="0" xfId="1" applyNumberFormat="1" applyFont="1" applyFill="1"/>
    <xf numFmtId="4" fontId="9" fillId="0" borderId="24" xfId="1" applyNumberFormat="1" applyFont="1" applyBorder="1" applyAlignment="1">
      <alignment horizontal="right"/>
    </xf>
    <xf numFmtId="4" fontId="10" fillId="0" borderId="22" xfId="1" applyNumberFormat="1" applyFont="1" applyBorder="1" applyAlignment="1">
      <alignment vertical="center"/>
    </xf>
    <xf numFmtId="4" fontId="10" fillId="0" borderId="22" xfId="1" applyNumberFormat="1" applyFont="1" applyBorder="1" applyAlignment="1">
      <alignment wrapText="1"/>
    </xf>
    <xf numFmtId="4" fontId="9" fillId="0" borderId="22" xfId="1" applyNumberFormat="1" applyFont="1" applyBorder="1" applyAlignment="1">
      <alignment vertical="center"/>
    </xf>
    <xf numFmtId="4" fontId="6" fillId="0" borderId="22" xfId="1" applyNumberFormat="1" applyFont="1" applyBorder="1"/>
    <xf numFmtId="4" fontId="6" fillId="0" borderId="22" xfId="1" applyNumberFormat="1" applyFont="1" applyBorder="1" applyAlignment="1">
      <alignment vertical="center"/>
    </xf>
    <xf numFmtId="4" fontId="9" fillId="0" borderId="23" xfId="1" applyNumberFormat="1" applyFont="1" applyBorder="1" applyAlignment="1">
      <alignment vertical="center"/>
    </xf>
    <xf numFmtId="4" fontId="6" fillId="4" borderId="25" xfId="1" applyNumberFormat="1" applyFont="1" applyFill="1" applyBorder="1" applyAlignment="1">
      <alignment horizontal="right"/>
    </xf>
    <xf numFmtId="1" fontId="5" fillId="4" borderId="18" xfId="1" applyNumberFormat="1" applyFont="1" applyFill="1" applyBorder="1" applyAlignment="1">
      <alignment horizontal="right"/>
    </xf>
    <xf numFmtId="0" fontId="6" fillId="0" borderId="0" xfId="1" applyFont="1"/>
    <xf numFmtId="1" fontId="5" fillId="4" borderId="8" xfId="1" applyNumberFormat="1" applyFont="1" applyFill="1" applyBorder="1" applyAlignment="1">
      <alignment horizontal="right"/>
    </xf>
    <xf numFmtId="0" fontId="6" fillId="4" borderId="9" xfId="1" applyFont="1" applyFill="1" applyBorder="1" applyAlignment="1">
      <alignment horizontal="right"/>
    </xf>
    <xf numFmtId="0" fontId="11" fillId="0" borderId="0" xfId="1" applyFont="1"/>
    <xf numFmtId="1" fontId="5" fillId="4" borderId="1" xfId="1" applyNumberFormat="1" applyFont="1" applyFill="1" applyBorder="1" applyAlignment="1">
      <alignment horizontal="right"/>
    </xf>
    <xf numFmtId="4" fontId="5" fillId="4" borderId="22" xfId="1" applyNumberFormat="1" applyFont="1" applyFill="1" applyBorder="1" applyAlignment="1">
      <alignment wrapText="1"/>
    </xf>
    <xf numFmtId="4" fontId="5" fillId="4" borderId="20" xfId="1" applyNumberFormat="1" applyFont="1" applyFill="1" applyBorder="1" applyAlignment="1">
      <alignment wrapText="1"/>
    </xf>
    <xf numFmtId="4" fontId="6" fillId="4" borderId="20" xfId="1" applyNumberFormat="1" applyFont="1" applyFill="1" applyBorder="1" applyAlignment="1">
      <alignment horizontal="right"/>
    </xf>
    <xf numFmtId="4" fontId="6" fillId="7" borderId="0" xfId="1" applyNumberFormat="1" applyFont="1" applyFill="1"/>
    <xf numFmtId="4" fontId="5" fillId="4" borderId="5" xfId="1" applyNumberFormat="1" applyFont="1" applyFill="1" applyBorder="1" applyAlignment="1">
      <alignment wrapText="1"/>
    </xf>
    <xf numFmtId="1" fontId="5" fillId="4" borderId="0" xfId="1" applyNumberFormat="1" applyFont="1" applyFill="1" applyAlignment="1">
      <alignment horizontal="right"/>
    </xf>
    <xf numFmtId="0" fontId="5" fillId="4" borderId="9" xfId="1" applyFont="1" applyFill="1" applyBorder="1" applyAlignment="1">
      <alignment wrapText="1"/>
    </xf>
    <xf numFmtId="1" fontId="5" fillId="4" borderId="26" xfId="1" applyNumberFormat="1" applyFont="1" applyFill="1" applyBorder="1" applyAlignment="1">
      <alignment horizontal="right"/>
    </xf>
    <xf numFmtId="0" fontId="5" fillId="4" borderId="21" xfId="1" applyFont="1" applyFill="1" applyBorder="1" applyAlignment="1">
      <alignment wrapText="1"/>
    </xf>
    <xf numFmtId="1" fontId="5" fillId="4" borderId="20" xfId="1" applyNumberFormat="1" applyFont="1" applyFill="1" applyBorder="1" applyAlignment="1">
      <alignment horizontal="right"/>
    </xf>
    <xf numFmtId="4" fontId="6" fillId="4" borderId="27" xfId="1" applyNumberFormat="1" applyFont="1" applyFill="1" applyBorder="1" applyAlignment="1">
      <alignment horizontal="right"/>
    </xf>
    <xf numFmtId="4" fontId="12" fillId="0" borderId="0" xfId="1" applyNumberFormat="1" applyFont="1"/>
    <xf numFmtId="4" fontId="12" fillId="4" borderId="9" xfId="1" applyNumberFormat="1" applyFont="1" applyFill="1" applyBorder="1"/>
    <xf numFmtId="4" fontId="13" fillId="0" borderId="0" xfId="1" applyNumberFormat="1" applyFont="1"/>
    <xf numFmtId="2" fontId="13" fillId="0" borderId="0" xfId="1" applyNumberFormat="1" applyFont="1"/>
    <xf numFmtId="0" fontId="12" fillId="0" borderId="0" xfId="1" applyFont="1"/>
    <xf numFmtId="4" fontId="10" fillId="0" borderId="22" xfId="1" applyNumberFormat="1" applyFont="1" applyBorder="1" applyAlignment="1">
      <alignment horizontal="right"/>
    </xf>
    <xf numFmtId="4" fontId="6" fillId="0" borderId="23" xfId="1" applyNumberFormat="1" applyFont="1" applyBorder="1" applyAlignment="1">
      <alignment vertical="center"/>
    </xf>
    <xf numFmtId="0" fontId="5" fillId="4" borderId="22" xfId="1" applyFont="1" applyFill="1" applyBorder="1" applyAlignment="1">
      <alignment wrapText="1"/>
    </xf>
    <xf numFmtId="165" fontId="6" fillId="4" borderId="18" xfId="3" applyFont="1" applyFill="1" applyBorder="1"/>
    <xf numFmtId="4" fontId="6" fillId="4" borderId="28" xfId="1" applyNumberFormat="1" applyFont="1" applyFill="1" applyBorder="1" applyAlignment="1">
      <alignment horizontal="right"/>
    </xf>
    <xf numFmtId="1" fontId="5" fillId="4" borderId="21" xfId="1" applyNumberFormat="1" applyFont="1" applyFill="1" applyBorder="1" applyAlignment="1">
      <alignment horizontal="right"/>
    </xf>
    <xf numFmtId="165" fontId="6" fillId="4" borderId="21" xfId="3" applyFont="1" applyFill="1" applyBorder="1"/>
    <xf numFmtId="4" fontId="4" fillId="4" borderId="25" xfId="1" applyNumberFormat="1" applyFill="1" applyBorder="1" applyAlignment="1">
      <alignment horizontal="right"/>
    </xf>
    <xf numFmtId="0" fontId="5" fillId="4" borderId="18" xfId="1" applyFont="1" applyFill="1" applyBorder="1" applyAlignment="1">
      <alignment wrapText="1"/>
    </xf>
    <xf numFmtId="4" fontId="14" fillId="4" borderId="0" xfId="1" applyNumberFormat="1" applyFont="1" applyFill="1"/>
    <xf numFmtId="4" fontId="14" fillId="0" borderId="0" xfId="1" applyNumberFormat="1" applyFont="1"/>
    <xf numFmtId="0" fontId="5" fillId="4" borderId="9" xfId="1" applyFont="1" applyFill="1" applyBorder="1" applyAlignment="1">
      <alignment horizontal="right" wrapText="1"/>
    </xf>
    <xf numFmtId="2" fontId="6" fillId="4" borderId="0" xfId="1" applyNumberFormat="1" applyFont="1" applyFill="1"/>
    <xf numFmtId="4" fontId="9" fillId="4" borderId="0" xfId="1" applyNumberFormat="1" applyFont="1" applyFill="1"/>
    <xf numFmtId="4" fontId="4" fillId="4" borderId="0" xfId="1" applyNumberFormat="1" applyFill="1"/>
    <xf numFmtId="0" fontId="9" fillId="4" borderId="0" xfId="1" applyFont="1" applyFill="1"/>
    <xf numFmtId="0" fontId="5" fillId="4" borderId="21" xfId="1" applyFont="1" applyFill="1" applyBorder="1" applyAlignment="1">
      <alignment horizontal="right" wrapText="1"/>
    </xf>
    <xf numFmtId="4" fontId="4" fillId="4" borderId="24" xfId="1" applyNumberFormat="1" applyFill="1" applyBorder="1" applyAlignment="1">
      <alignment horizontal="right"/>
    </xf>
    <xf numFmtId="165" fontId="6" fillId="0" borderId="9" xfId="3" applyFont="1" applyBorder="1"/>
    <xf numFmtId="4" fontId="4" fillId="0" borderId="24" xfId="1" applyNumberFormat="1" applyBorder="1" applyAlignment="1">
      <alignment horizontal="right"/>
    </xf>
    <xf numFmtId="4" fontId="5" fillId="0" borderId="22" xfId="1" applyNumberFormat="1" applyFont="1" applyBorder="1" applyAlignment="1">
      <alignment horizontal="right"/>
    </xf>
    <xf numFmtId="4" fontId="5" fillId="0" borderId="22" xfId="1" applyNumberFormat="1" applyFont="1" applyBorder="1" applyAlignment="1">
      <alignment wrapText="1"/>
    </xf>
    <xf numFmtId="4" fontId="9" fillId="0" borderId="22" xfId="1" applyNumberFormat="1" applyFont="1" applyBorder="1"/>
    <xf numFmtId="1" fontId="5" fillId="0" borderId="9" xfId="1" applyNumberFormat="1" applyFont="1" applyBorder="1" applyAlignment="1">
      <alignment horizontal="right"/>
    </xf>
    <xf numFmtId="165" fontId="6" fillId="0" borderId="18" xfId="3" applyFont="1" applyBorder="1"/>
    <xf numFmtId="2" fontId="5" fillId="4" borderId="9" xfId="1" applyNumberFormat="1" applyFont="1" applyFill="1" applyBorder="1" applyAlignment="1">
      <alignment horizontal="right"/>
    </xf>
    <xf numFmtId="4" fontId="4" fillId="4" borderId="17" xfId="1" applyNumberFormat="1" applyFill="1" applyBorder="1" applyAlignment="1">
      <alignment horizontal="right"/>
    </xf>
    <xf numFmtId="4" fontId="4" fillId="4" borderId="28" xfId="1" applyNumberFormat="1" applyFill="1" applyBorder="1" applyAlignment="1">
      <alignment horizontal="right"/>
    </xf>
    <xf numFmtId="4" fontId="5" fillId="4" borderId="18" xfId="1" applyNumberFormat="1" applyFont="1" applyFill="1" applyBorder="1" applyAlignment="1">
      <alignment horizontal="right"/>
    </xf>
    <xf numFmtId="4" fontId="9" fillId="6" borderId="29" xfId="1" applyNumberFormat="1" applyFont="1" applyFill="1" applyBorder="1" applyAlignment="1">
      <alignment horizontal="right"/>
    </xf>
    <xf numFmtId="4" fontId="9" fillId="6" borderId="30" xfId="1" applyNumberFormat="1" applyFont="1" applyFill="1" applyBorder="1" applyAlignment="1">
      <alignment horizontal="right"/>
    </xf>
    <xf numFmtId="4" fontId="9" fillId="6" borderId="30" xfId="1" applyNumberFormat="1" applyFont="1" applyFill="1" applyBorder="1" applyAlignment="1">
      <alignment vertical="center"/>
    </xf>
    <xf numFmtId="4" fontId="9" fillId="6" borderId="30" xfId="1" applyNumberFormat="1" applyFont="1" applyFill="1" applyBorder="1"/>
    <xf numFmtId="4" fontId="9" fillId="6" borderId="31" xfId="1" applyNumberFormat="1" applyFont="1" applyFill="1" applyBorder="1" applyAlignment="1">
      <alignment vertical="center"/>
    </xf>
    <xf numFmtId="4" fontId="9" fillId="6" borderId="12" xfId="1" applyNumberFormat="1" applyFont="1" applyFill="1" applyBorder="1" applyAlignment="1">
      <alignment horizontal="left"/>
    </xf>
    <xf numFmtId="1" fontId="5" fillId="4" borderId="3" xfId="1" applyNumberFormat="1" applyFont="1" applyFill="1" applyBorder="1" applyAlignment="1">
      <alignment horizontal="right"/>
    </xf>
    <xf numFmtId="4" fontId="6" fillId="4" borderId="6" xfId="1" applyNumberFormat="1" applyFont="1" applyFill="1" applyBorder="1" applyAlignment="1">
      <alignment horizontal="right"/>
    </xf>
    <xf numFmtId="4" fontId="6" fillId="4" borderId="21" xfId="1" applyNumberFormat="1" applyFont="1" applyFill="1" applyBorder="1"/>
    <xf numFmtId="4" fontId="4" fillId="4" borderId="32" xfId="1" applyNumberFormat="1" applyFill="1" applyBorder="1" applyAlignment="1">
      <alignment horizontal="right"/>
    </xf>
    <xf numFmtId="4" fontId="6" fillId="4" borderId="1" xfId="1" applyNumberFormat="1" applyFont="1" applyFill="1" applyBorder="1" applyAlignment="1">
      <alignment horizontal="right"/>
    </xf>
    <xf numFmtId="4" fontId="4" fillId="4" borderId="33" xfId="1" applyNumberFormat="1" applyFill="1" applyBorder="1" applyAlignment="1">
      <alignment horizontal="right"/>
    </xf>
    <xf numFmtId="0" fontId="5" fillId="4" borderId="1" xfId="1" applyFont="1" applyFill="1" applyBorder="1" applyAlignment="1">
      <alignment wrapText="1"/>
    </xf>
    <xf numFmtId="4" fontId="6" fillId="4" borderId="34" xfId="1" applyNumberFormat="1" applyFont="1" applyFill="1" applyBorder="1" applyAlignment="1">
      <alignment horizontal="right"/>
    </xf>
    <xf numFmtId="4" fontId="6" fillId="4" borderId="18" xfId="1" applyNumberFormat="1" applyFont="1" applyFill="1" applyBorder="1"/>
    <xf numFmtId="1" fontId="5" fillId="4" borderId="22" xfId="1" applyNumberFormat="1" applyFont="1" applyFill="1" applyBorder="1" applyAlignment="1">
      <alignment horizontal="right"/>
    </xf>
    <xf numFmtId="4" fontId="4" fillId="4" borderId="9" xfId="1" applyNumberFormat="1" applyFill="1" applyBorder="1" applyAlignment="1">
      <alignment horizontal="right"/>
    </xf>
    <xf numFmtId="4" fontId="6" fillId="4" borderId="8" xfId="1" applyNumberFormat="1" applyFont="1" applyFill="1" applyBorder="1" applyAlignment="1">
      <alignment horizontal="right"/>
    </xf>
    <xf numFmtId="1" fontId="5" fillId="4" borderId="2" xfId="1" applyNumberFormat="1" applyFont="1" applyFill="1" applyBorder="1" applyAlignment="1">
      <alignment horizontal="right"/>
    </xf>
    <xf numFmtId="165" fontId="6" fillId="4" borderId="22" xfId="3" applyFont="1" applyFill="1" applyBorder="1"/>
    <xf numFmtId="4" fontId="9" fillId="6" borderId="31" xfId="1" applyNumberFormat="1" applyFont="1" applyFill="1" applyBorder="1" applyAlignment="1">
      <alignment horizontal="right"/>
    </xf>
    <xf numFmtId="4" fontId="4" fillId="0" borderId="11" xfId="1" applyNumberFormat="1" applyBorder="1" applyAlignment="1">
      <alignment horizontal="right"/>
    </xf>
    <xf numFmtId="4" fontId="5" fillId="0" borderId="12" xfId="1" applyNumberFormat="1" applyFont="1" applyBorder="1" applyAlignment="1">
      <alignment horizontal="right"/>
    </xf>
    <xf numFmtId="4" fontId="10" fillId="0" borderId="12" xfId="1" applyNumberFormat="1" applyFont="1" applyBorder="1" applyAlignment="1">
      <alignment wrapText="1"/>
    </xf>
    <xf numFmtId="4" fontId="6" fillId="0" borderId="12" xfId="1" applyNumberFormat="1" applyFont="1" applyBorder="1" applyAlignment="1">
      <alignment vertical="center"/>
    </xf>
    <xf numFmtId="4" fontId="9" fillId="0" borderId="12" xfId="1" applyNumberFormat="1" applyFont="1" applyBorder="1" applyAlignment="1">
      <alignment vertical="center"/>
    </xf>
    <xf numFmtId="4" fontId="9" fillId="0" borderId="12" xfId="1" applyNumberFormat="1" applyFont="1" applyBorder="1"/>
    <xf numFmtId="4" fontId="6" fillId="0" borderId="13" xfId="1" applyNumberFormat="1" applyFont="1" applyBorder="1" applyAlignment="1">
      <alignment vertical="center"/>
    </xf>
    <xf numFmtId="4" fontId="9" fillId="6" borderId="15" xfId="1" applyNumberFormat="1" applyFont="1" applyFill="1" applyBorder="1" applyAlignment="1">
      <alignment horizontal="right"/>
    </xf>
    <xf numFmtId="4" fontId="12" fillId="0" borderId="24" xfId="1" applyNumberFormat="1" applyFont="1" applyBorder="1" applyAlignment="1">
      <alignment horizontal="right"/>
    </xf>
    <xf numFmtId="4" fontId="15" fillId="0" borderId="22" xfId="1" applyNumberFormat="1" applyFont="1" applyBorder="1" applyAlignment="1">
      <alignment horizontal="right"/>
    </xf>
    <xf numFmtId="4" fontId="6" fillId="4" borderId="24" xfId="1" applyNumberFormat="1" applyFont="1" applyFill="1" applyBorder="1" applyAlignment="1">
      <alignment horizontal="right"/>
    </xf>
    <xf numFmtId="0" fontId="6" fillId="4" borderId="1" xfId="1" applyFont="1" applyFill="1" applyBorder="1" applyAlignment="1">
      <alignment horizontal="right"/>
    </xf>
    <xf numFmtId="0" fontId="6" fillId="4" borderId="20" xfId="1" applyFont="1" applyFill="1" applyBorder="1" applyAlignment="1">
      <alignment horizontal="right"/>
    </xf>
    <xf numFmtId="4" fontId="5" fillId="4" borderId="8" xfId="1" applyNumberFormat="1" applyFont="1" applyFill="1" applyBorder="1" applyAlignment="1">
      <alignment wrapText="1"/>
    </xf>
    <xf numFmtId="2" fontId="6" fillId="0" borderId="20" xfId="1" applyNumberFormat="1" applyFont="1" applyBorder="1"/>
    <xf numFmtId="4" fontId="6" fillId="4" borderId="26" xfId="1" applyNumberFormat="1" applyFont="1" applyFill="1" applyBorder="1" applyAlignment="1">
      <alignment horizontal="right"/>
    </xf>
    <xf numFmtId="4" fontId="6" fillId="4" borderId="3" xfId="1" applyNumberFormat="1" applyFont="1" applyFill="1" applyBorder="1" applyAlignment="1">
      <alignment horizontal="right"/>
    </xf>
    <xf numFmtId="1" fontId="5" fillId="4" borderId="5" xfId="1" applyNumberFormat="1" applyFont="1" applyFill="1" applyBorder="1" applyAlignment="1">
      <alignment horizontal="right"/>
    </xf>
    <xf numFmtId="4" fontId="9" fillId="4" borderId="20" xfId="1" applyNumberFormat="1" applyFont="1" applyFill="1" applyBorder="1" applyAlignment="1">
      <alignment vertical="center"/>
    </xf>
    <xf numFmtId="4" fontId="9" fillId="4" borderId="9" xfId="1" applyNumberFormat="1" applyFont="1" applyFill="1" applyBorder="1" applyAlignment="1">
      <alignment vertical="center"/>
    </xf>
    <xf numFmtId="4" fontId="16" fillId="0" borderId="0" xfId="1" applyNumberFormat="1" applyFont="1"/>
    <xf numFmtId="4" fontId="17" fillId="0" borderId="0" xfId="1" applyNumberFormat="1" applyFont="1"/>
    <xf numFmtId="2" fontId="9" fillId="0" borderId="0" xfId="1" applyNumberFormat="1" applyFont="1"/>
    <xf numFmtId="0" fontId="5" fillId="4" borderId="9" xfId="1" applyFont="1" applyFill="1" applyBorder="1"/>
    <xf numFmtId="1" fontId="18" fillId="4" borderId="9" xfId="1" applyNumberFormat="1" applyFont="1" applyFill="1" applyBorder="1" applyAlignment="1">
      <alignment horizontal="right"/>
    </xf>
    <xf numFmtId="0" fontId="5" fillId="4" borderId="9" xfId="1" applyFont="1" applyFill="1" applyBorder="1" applyAlignment="1">
      <alignment vertical="top" wrapText="1"/>
    </xf>
    <xf numFmtId="4" fontId="9" fillId="0" borderId="22" xfId="1" applyNumberFormat="1" applyFont="1" applyBorder="1" applyAlignment="1">
      <alignment horizontal="right"/>
    </xf>
    <xf numFmtId="1" fontId="5" fillId="4" borderId="35" xfId="1" applyNumberFormat="1" applyFont="1" applyFill="1" applyBorder="1" applyAlignment="1">
      <alignment horizontal="right"/>
    </xf>
    <xf numFmtId="4" fontId="6" fillId="4" borderId="7" xfId="1" applyNumberFormat="1" applyFont="1" applyFill="1" applyBorder="1" applyAlignment="1">
      <alignment horizontal="right"/>
    </xf>
    <xf numFmtId="0" fontId="5" fillId="4" borderId="20" xfId="1" applyFont="1" applyFill="1" applyBorder="1" applyAlignment="1">
      <alignment wrapText="1"/>
    </xf>
    <xf numFmtId="4" fontId="5" fillId="4" borderId="6" xfId="1" applyNumberFormat="1" applyFont="1" applyFill="1" applyBorder="1" applyAlignment="1">
      <alignment horizontal="right"/>
    </xf>
    <xf numFmtId="4" fontId="6" fillId="4" borderId="20" xfId="1" applyNumberFormat="1" applyFont="1" applyFill="1" applyBorder="1"/>
    <xf numFmtId="4" fontId="4" fillId="4" borderId="21" xfId="1" applyNumberFormat="1" applyFill="1" applyBorder="1" applyAlignment="1">
      <alignment horizontal="right"/>
    </xf>
    <xf numFmtId="4" fontId="10" fillId="4" borderId="9" xfId="1" applyNumberFormat="1" applyFont="1" applyFill="1" applyBorder="1" applyAlignment="1">
      <alignment horizontal="right"/>
    </xf>
    <xf numFmtId="2" fontId="4" fillId="0" borderId="0" xfId="1" applyNumberFormat="1"/>
    <xf numFmtId="0" fontId="5" fillId="4" borderId="9" xfId="1" applyFont="1" applyFill="1" applyBorder="1" applyAlignment="1">
      <alignment horizontal="left" vertical="center" wrapText="1"/>
    </xf>
    <xf numFmtId="0" fontId="13" fillId="0" borderId="0" xfId="1" applyFont="1"/>
    <xf numFmtId="0" fontId="6" fillId="4" borderId="21" xfId="1" applyFont="1" applyFill="1" applyBorder="1" applyAlignment="1">
      <alignment horizontal="right"/>
    </xf>
    <xf numFmtId="4" fontId="9" fillId="4" borderId="18" xfId="1" applyNumberFormat="1" applyFont="1" applyFill="1" applyBorder="1"/>
    <xf numFmtId="4" fontId="6" fillId="0" borderId="22" xfId="1" applyNumberFormat="1" applyFont="1" applyBorder="1" applyAlignment="1">
      <alignment horizontal="right"/>
    </xf>
    <xf numFmtId="4" fontId="9" fillId="0" borderId="23" xfId="1" applyNumberFormat="1" applyFont="1" applyBorder="1" applyAlignment="1">
      <alignment horizontal="right"/>
    </xf>
    <xf numFmtId="4" fontId="6" fillId="0" borderId="0" xfId="1" applyNumberFormat="1" applyFont="1" applyAlignment="1">
      <alignment horizontal="right" vertical="top"/>
    </xf>
    <xf numFmtId="4" fontId="9" fillId="6" borderId="30" xfId="1" applyNumberFormat="1" applyFont="1" applyFill="1" applyBorder="1" applyAlignment="1">
      <alignment horizontal="left"/>
    </xf>
    <xf numFmtId="0" fontId="5" fillId="4" borderId="36" xfId="1" applyFont="1" applyFill="1" applyBorder="1" applyAlignment="1">
      <alignment wrapText="1"/>
    </xf>
    <xf numFmtId="4" fontId="6" fillId="4" borderId="37" xfId="1" applyNumberFormat="1" applyFont="1" applyFill="1" applyBorder="1" applyAlignment="1">
      <alignment horizontal="right"/>
    </xf>
    <xf numFmtId="165" fontId="6" fillId="4" borderId="30" xfId="3" applyFont="1" applyFill="1" applyBorder="1"/>
    <xf numFmtId="4" fontId="6" fillId="4" borderId="31" xfId="1" applyNumberFormat="1" applyFont="1" applyFill="1" applyBorder="1" applyAlignment="1">
      <alignment horizontal="right"/>
    </xf>
    <xf numFmtId="4" fontId="6" fillId="4" borderId="8" xfId="1" applyNumberFormat="1" applyFont="1" applyFill="1" applyBorder="1" applyAlignment="1">
      <alignment horizontal="center"/>
    </xf>
    <xf numFmtId="4" fontId="6" fillId="4" borderId="9" xfId="1" applyNumberFormat="1" applyFont="1" applyFill="1" applyBorder="1" applyAlignment="1">
      <alignment horizontal="center"/>
    </xf>
    <xf numFmtId="4" fontId="6" fillId="4" borderId="8" xfId="1" applyNumberFormat="1" applyFont="1" applyFill="1" applyBorder="1"/>
    <xf numFmtId="4" fontId="6" fillId="0" borderId="9" xfId="1" applyNumberFormat="1" applyFont="1" applyBorder="1"/>
    <xf numFmtId="4" fontId="6" fillId="4" borderId="21" xfId="1" applyNumberFormat="1" applyFont="1" applyFill="1" applyBorder="1" applyAlignment="1">
      <alignment horizontal="center"/>
    </xf>
    <xf numFmtId="0" fontId="5" fillId="4" borderId="26" xfId="1" applyFont="1" applyFill="1" applyBorder="1" applyAlignment="1">
      <alignment wrapText="1"/>
    </xf>
    <xf numFmtId="4" fontId="6" fillId="4" borderId="0" xfId="1" applyNumberFormat="1" applyFont="1" applyFill="1" applyAlignment="1">
      <alignment horizontal="right" vertical="top"/>
    </xf>
    <xf numFmtId="4" fontId="6" fillId="4" borderId="5" xfId="1" applyNumberFormat="1" applyFont="1" applyFill="1" applyBorder="1" applyAlignment="1">
      <alignment horizontal="center"/>
    </xf>
    <xf numFmtId="0" fontId="5" fillId="4" borderId="0" xfId="1" applyFont="1" applyFill="1" applyAlignment="1">
      <alignment horizontal="right" wrapText="1"/>
    </xf>
    <xf numFmtId="0" fontId="5" fillId="4" borderId="0" xfId="1" applyFont="1" applyFill="1" applyAlignment="1">
      <alignment wrapText="1"/>
    </xf>
    <xf numFmtId="4" fontId="6" fillId="4" borderId="0" xfId="1" applyNumberFormat="1" applyFont="1" applyFill="1" applyAlignment="1">
      <alignment horizontal="right"/>
    </xf>
    <xf numFmtId="0" fontId="5" fillId="4" borderId="5" xfId="1" applyFont="1" applyFill="1" applyBorder="1" applyAlignment="1">
      <alignment wrapText="1"/>
    </xf>
    <xf numFmtId="165" fontId="6" fillId="4" borderId="5" xfId="3" applyFont="1" applyFill="1" applyBorder="1"/>
    <xf numFmtId="4" fontId="13" fillId="0" borderId="0" xfId="1" applyNumberFormat="1" applyFont="1" applyAlignment="1">
      <alignment horizontal="right" vertical="top"/>
    </xf>
    <xf numFmtId="4" fontId="5" fillId="0" borderId="22" xfId="1" applyNumberFormat="1" applyFont="1" applyBorder="1"/>
    <xf numFmtId="4" fontId="9" fillId="6" borderId="11" xfId="1" applyNumberFormat="1" applyFont="1" applyFill="1" applyBorder="1" applyAlignment="1">
      <alignment horizontal="left"/>
    </xf>
    <xf numFmtId="4" fontId="9" fillId="6" borderId="13" xfId="1" applyNumberFormat="1" applyFont="1" applyFill="1" applyBorder="1" applyAlignment="1">
      <alignment horizontal="left"/>
    </xf>
    <xf numFmtId="0" fontId="4" fillId="4" borderId="0" xfId="1" applyFill="1"/>
    <xf numFmtId="4" fontId="6" fillId="4" borderId="20" xfId="1" applyNumberFormat="1" applyFont="1" applyFill="1" applyBorder="1" applyAlignment="1">
      <alignment vertical="center"/>
    </xf>
    <xf numFmtId="4" fontId="6" fillId="0" borderId="20" xfId="1" applyNumberFormat="1" applyFont="1" applyBorder="1"/>
    <xf numFmtId="0" fontId="5" fillId="0" borderId="22" xfId="1" applyFont="1" applyBorder="1" applyAlignment="1">
      <alignment wrapText="1"/>
    </xf>
    <xf numFmtId="4" fontId="6" fillId="4" borderId="23" xfId="1" applyNumberFormat="1" applyFont="1" applyFill="1" applyBorder="1" applyAlignment="1">
      <alignment vertical="center"/>
    </xf>
    <xf numFmtId="4" fontId="5" fillId="0" borderId="22" xfId="1" applyNumberFormat="1" applyFont="1" applyBorder="1" applyAlignment="1">
      <alignment vertical="center"/>
    </xf>
    <xf numFmtId="4" fontId="12" fillId="0" borderId="0" xfId="1" applyNumberFormat="1" applyFont="1" applyAlignment="1">
      <alignment horizontal="right" vertical="top"/>
    </xf>
    <xf numFmtId="2" fontId="12" fillId="0" borderId="0" xfId="1" applyNumberFormat="1" applyFont="1"/>
    <xf numFmtId="4" fontId="8" fillId="0" borderId="0" xfId="1" applyNumberFormat="1" applyFont="1" applyAlignment="1">
      <alignment horizontal="left" wrapText="1"/>
    </xf>
    <xf numFmtId="4" fontId="8" fillId="4" borderId="0" xfId="1" applyNumberFormat="1" applyFont="1" applyFill="1" applyAlignment="1">
      <alignment horizontal="left" wrapText="1"/>
    </xf>
    <xf numFmtId="0" fontId="17" fillId="0" borderId="0" xfId="1" applyFont="1"/>
    <xf numFmtId="10" fontId="4" fillId="0" borderId="0" xfId="1" applyNumberFormat="1"/>
    <xf numFmtId="10" fontId="6" fillId="0" borderId="0" xfId="1" applyNumberFormat="1" applyFont="1"/>
    <xf numFmtId="4" fontId="11" fillId="0" borderId="0" xfId="1" applyNumberFormat="1" applyFont="1"/>
    <xf numFmtId="10" fontId="11" fillId="0" borderId="0" xfId="1" applyNumberFormat="1" applyFont="1"/>
    <xf numFmtId="4" fontId="4" fillId="0" borderId="38" xfId="1" applyNumberFormat="1" applyBorder="1"/>
    <xf numFmtId="4" fontId="17" fillId="0" borderId="33" xfId="1" applyNumberFormat="1" applyFont="1" applyBorder="1"/>
    <xf numFmtId="10" fontId="21" fillId="6" borderId="39" xfId="1" applyNumberFormat="1" applyFont="1" applyFill="1" applyBorder="1"/>
    <xf numFmtId="0" fontId="21" fillId="0" borderId="0" xfId="1" applyFont="1"/>
    <xf numFmtId="10" fontId="21" fillId="0" borderId="0" xfId="1" applyNumberFormat="1" applyFont="1"/>
    <xf numFmtId="10" fontId="21" fillId="6" borderId="41" xfId="1" applyNumberFormat="1" applyFont="1" applyFill="1" applyBorder="1"/>
    <xf numFmtId="9" fontId="21" fillId="6" borderId="42" xfId="1" applyNumberFormat="1" applyFont="1" applyFill="1" applyBorder="1" applyAlignment="1">
      <alignment horizontal="center"/>
    </xf>
    <xf numFmtId="4" fontId="21" fillId="6" borderId="42" xfId="1" applyNumberFormat="1" applyFont="1" applyFill="1" applyBorder="1" applyAlignment="1">
      <alignment horizontal="center"/>
    </xf>
    <xf numFmtId="10" fontId="21" fillId="6" borderId="42" xfId="1" applyNumberFormat="1" applyFont="1" applyFill="1" applyBorder="1" applyAlignment="1">
      <alignment horizontal="center"/>
    </xf>
    <xf numFmtId="4" fontId="21" fillId="6" borderId="41" xfId="1" applyNumberFormat="1" applyFont="1" applyFill="1" applyBorder="1" applyAlignment="1">
      <alignment horizontal="center"/>
    </xf>
    <xf numFmtId="10" fontId="21" fillId="6" borderId="41" xfId="1" applyNumberFormat="1" applyFont="1" applyFill="1" applyBorder="1" applyAlignment="1">
      <alignment horizontal="center"/>
    </xf>
    <xf numFmtId="0" fontId="22" fillId="0" borderId="33" xfId="1" applyFont="1" applyBorder="1" applyAlignment="1">
      <alignment horizontal="center"/>
    </xf>
    <xf numFmtId="0" fontId="22" fillId="0" borderId="0" xfId="1" applyFont="1" applyAlignment="1">
      <alignment horizontal="center"/>
    </xf>
    <xf numFmtId="10" fontId="22" fillId="0" borderId="0" xfId="1" applyNumberFormat="1" applyFont="1"/>
    <xf numFmtId="4" fontId="22" fillId="0" borderId="18" xfId="1" applyNumberFormat="1" applyFont="1" applyBorder="1" applyAlignment="1">
      <alignment horizontal="center"/>
    </xf>
    <xf numFmtId="9" fontId="22" fillId="0" borderId="0" xfId="1" applyNumberFormat="1" applyFont="1"/>
    <xf numFmtId="4" fontId="22" fillId="0" borderId="0" xfId="1" applyNumberFormat="1" applyFont="1"/>
    <xf numFmtId="4" fontId="22" fillId="0" borderId="19" xfId="1" applyNumberFormat="1" applyFont="1" applyBorder="1"/>
    <xf numFmtId="0" fontId="22" fillId="0" borderId="0" xfId="1" applyFont="1"/>
    <xf numFmtId="4" fontId="22" fillId="0" borderId="17" xfId="1" applyNumberFormat="1" applyFont="1" applyBorder="1"/>
    <xf numFmtId="4" fontId="22" fillId="0" borderId="9" xfId="1" applyNumberFormat="1" applyFont="1" applyBorder="1"/>
    <xf numFmtId="10" fontId="22" fillId="0" borderId="9" xfId="1" applyNumberFormat="1" applyFont="1" applyBorder="1"/>
    <xf numFmtId="9" fontId="22" fillId="0" borderId="9" xfId="1" applyNumberFormat="1" applyFont="1" applyBorder="1"/>
    <xf numFmtId="4" fontId="22" fillId="0" borderId="27" xfId="1" applyNumberFormat="1" applyFont="1" applyBorder="1"/>
    <xf numFmtId="9" fontId="22" fillId="8" borderId="9" xfId="1" applyNumberFormat="1" applyFont="1" applyFill="1" applyBorder="1"/>
    <xf numFmtId="4" fontId="22" fillId="8" borderId="9" xfId="1" applyNumberFormat="1" applyFont="1" applyFill="1" applyBorder="1"/>
    <xf numFmtId="10" fontId="22" fillId="8" borderId="9" xfId="1" applyNumberFormat="1" applyFont="1" applyFill="1" applyBorder="1"/>
    <xf numFmtId="0" fontId="22" fillId="0" borderId="17" xfId="1" applyFont="1" applyBorder="1"/>
    <xf numFmtId="4" fontId="22" fillId="4" borderId="9" xfId="1" applyNumberFormat="1" applyFont="1" applyFill="1" applyBorder="1"/>
    <xf numFmtId="9" fontId="22" fillId="4" borderId="9" xfId="1" applyNumberFormat="1" applyFont="1" applyFill="1" applyBorder="1"/>
    <xf numFmtId="10" fontId="22" fillId="4" borderId="9" xfId="1" applyNumberFormat="1" applyFont="1" applyFill="1" applyBorder="1"/>
    <xf numFmtId="4" fontId="21" fillId="8" borderId="9" xfId="1" applyNumberFormat="1" applyFont="1" applyFill="1" applyBorder="1"/>
    <xf numFmtId="9" fontId="21" fillId="8" borderId="9" xfId="1" applyNumberFormat="1" applyFont="1" applyFill="1" applyBorder="1"/>
    <xf numFmtId="4" fontId="22" fillId="0" borderId="9" xfId="1" applyNumberFormat="1" applyFont="1" applyBorder="1" applyAlignment="1">
      <alignment wrapText="1"/>
    </xf>
    <xf numFmtId="10" fontId="22" fillId="6" borderId="42" xfId="1" applyNumberFormat="1" applyFont="1" applyFill="1" applyBorder="1"/>
    <xf numFmtId="4" fontId="22" fillId="6" borderId="42" xfId="1" applyNumberFormat="1" applyFont="1" applyFill="1" applyBorder="1"/>
    <xf numFmtId="4" fontId="22" fillId="6" borderId="44" xfId="1" applyNumberFormat="1" applyFont="1" applyFill="1" applyBorder="1"/>
    <xf numFmtId="9" fontId="4" fillId="0" borderId="0" xfId="1" applyNumberFormat="1"/>
    <xf numFmtId="0" fontId="6" fillId="4" borderId="20" xfId="1" applyFont="1" applyFill="1" applyBorder="1"/>
    <xf numFmtId="0" fontId="6" fillId="4" borderId="9" xfId="1" applyFont="1" applyFill="1" applyBorder="1"/>
    <xf numFmtId="0" fontId="6" fillId="9" borderId="9" xfId="1" applyFont="1" applyFill="1" applyBorder="1"/>
    <xf numFmtId="0" fontId="6" fillId="4" borderId="0" xfId="1" applyFont="1" applyFill="1"/>
    <xf numFmtId="0" fontId="6" fillId="9" borderId="0" xfId="1" applyFont="1" applyFill="1"/>
    <xf numFmtId="49" fontId="6" fillId="9" borderId="9" xfId="1" applyNumberFormat="1" applyFont="1" applyFill="1" applyBorder="1" applyAlignment="1">
      <alignment horizontal="center"/>
    </xf>
    <xf numFmtId="0" fontId="6" fillId="4" borderId="0" xfId="1" applyFont="1" applyFill="1" applyAlignment="1">
      <alignment vertical="top"/>
    </xf>
    <xf numFmtId="0" fontId="8" fillId="4" borderId="9" xfId="1" applyFont="1" applyFill="1" applyBorder="1" applyAlignment="1">
      <alignment horizontal="center" vertical="center" wrapText="1"/>
    </xf>
    <xf numFmtId="0" fontId="8" fillId="4" borderId="9" xfId="1" applyFont="1" applyFill="1" applyBorder="1" applyAlignment="1">
      <alignment horizontal="left" vertical="center" wrapText="1"/>
    </xf>
    <xf numFmtId="0" fontId="8" fillId="4" borderId="9" xfId="1" applyFont="1" applyFill="1" applyBorder="1" applyAlignment="1">
      <alignment vertical="center" wrapText="1"/>
    </xf>
    <xf numFmtId="165" fontId="8" fillId="4" borderId="9" xfId="4" applyFont="1" applyFill="1" applyBorder="1" applyAlignment="1">
      <alignment horizontal="center" vertical="center" wrapText="1"/>
    </xf>
    <xf numFmtId="166" fontId="8" fillId="4" borderId="9" xfId="5" applyFont="1" applyFill="1" applyBorder="1" applyAlignment="1">
      <alignment horizontal="center" vertical="center" wrapText="1"/>
    </xf>
    <xf numFmtId="0" fontId="11" fillId="4" borderId="9" xfId="1" applyFont="1" applyFill="1" applyBorder="1" applyAlignment="1">
      <alignment horizontal="center" vertical="center" wrapText="1"/>
    </xf>
    <xf numFmtId="0" fontId="11" fillId="4" borderId="9" xfId="1" applyFont="1" applyFill="1" applyBorder="1" applyAlignment="1">
      <alignment vertical="center" wrapText="1"/>
    </xf>
    <xf numFmtId="0" fontId="11" fillId="4" borderId="9" xfId="1" applyFont="1" applyFill="1" applyBorder="1" applyAlignment="1">
      <alignment horizontal="right" vertical="center" wrapText="1"/>
    </xf>
    <xf numFmtId="166" fontId="11" fillId="4" borderId="9" xfId="5" applyFont="1" applyFill="1" applyBorder="1" applyAlignment="1">
      <alignment vertical="center" wrapText="1"/>
    </xf>
    <xf numFmtId="167" fontId="7" fillId="0" borderId="21" xfId="1" applyNumberFormat="1" applyFont="1" applyBorder="1" applyAlignment="1">
      <alignment horizontal="left" wrapText="1"/>
    </xf>
    <xf numFmtId="0" fontId="6" fillId="4" borderId="9" xfId="1" applyFont="1" applyFill="1" applyBorder="1" applyAlignment="1">
      <alignment horizontal="center" vertical="top"/>
    </xf>
    <xf numFmtId="165" fontId="6" fillId="4" borderId="9" xfId="6" applyFont="1" applyFill="1" applyBorder="1" applyAlignment="1">
      <alignment vertical="top"/>
    </xf>
    <xf numFmtId="49" fontId="9" fillId="9" borderId="9" xfId="1" applyNumberFormat="1" applyFont="1" applyFill="1" applyBorder="1" applyAlignment="1">
      <alignment horizontal="center" vertical="center"/>
    </xf>
    <xf numFmtId="0" fontId="9" fillId="9" borderId="9" xfId="1" applyFont="1" applyFill="1" applyBorder="1" applyAlignment="1">
      <alignment horizontal="center" vertical="center"/>
    </xf>
    <xf numFmtId="165" fontId="9" fillId="9" borderId="9" xfId="3" applyFont="1" applyFill="1" applyBorder="1" applyAlignment="1">
      <alignment horizontal="center" vertical="center"/>
    </xf>
    <xf numFmtId="49" fontId="9" fillId="4" borderId="9" xfId="1" applyNumberFormat="1" applyFont="1" applyFill="1" applyBorder="1" applyAlignment="1">
      <alignment horizontal="right"/>
    </xf>
    <xf numFmtId="0" fontId="19" fillId="4" borderId="9" xfId="1" applyFont="1" applyFill="1" applyBorder="1" applyAlignment="1">
      <alignment wrapText="1"/>
    </xf>
    <xf numFmtId="2" fontId="6" fillId="4" borderId="9" xfId="6" applyNumberFormat="1" applyFont="1" applyFill="1" applyBorder="1" applyAlignment="1">
      <alignment horizontal="center" vertical="top"/>
    </xf>
    <xf numFmtId="0" fontId="9" fillId="4" borderId="9" xfId="1" applyFont="1" applyFill="1" applyBorder="1" applyAlignment="1">
      <alignment horizontal="right"/>
    </xf>
    <xf numFmtId="49" fontId="6" fillId="4" borderId="9" xfId="1" applyNumberFormat="1" applyFont="1" applyFill="1" applyBorder="1"/>
    <xf numFmtId="0" fontId="9" fillId="4" borderId="9" xfId="1" applyFont="1" applyFill="1" applyBorder="1" applyAlignment="1">
      <alignment horizontal="left" vertical="center"/>
    </xf>
    <xf numFmtId="165" fontId="6" fillId="4" borderId="9" xfId="1" applyNumberFormat="1" applyFont="1" applyFill="1" applyBorder="1" applyAlignment="1">
      <alignment horizontal="right"/>
    </xf>
    <xf numFmtId="0" fontId="7" fillId="4" borderId="9" xfId="1" applyFont="1" applyFill="1" applyBorder="1" applyAlignment="1">
      <alignment wrapText="1"/>
    </xf>
    <xf numFmtId="167" fontId="7" fillId="0" borderId="9" xfId="1" applyNumberFormat="1" applyFont="1" applyBorder="1" applyAlignment="1">
      <alignment horizontal="left" wrapText="1"/>
    </xf>
    <xf numFmtId="165" fontId="9" fillId="4" borderId="9" xfId="6" applyFont="1" applyFill="1" applyBorder="1" applyAlignment="1">
      <alignment vertical="top"/>
    </xf>
    <xf numFmtId="2" fontId="6" fillId="4" borderId="9" xfId="6" applyNumberFormat="1" applyFont="1" applyFill="1" applyBorder="1" applyAlignment="1">
      <alignment horizontal="right"/>
    </xf>
    <xf numFmtId="165" fontId="6" fillId="4" borderId="9" xfId="6" applyFont="1" applyFill="1" applyBorder="1" applyAlignment="1">
      <alignment horizontal="right"/>
    </xf>
    <xf numFmtId="165" fontId="9" fillId="4" borderId="9" xfId="1" applyNumberFormat="1" applyFont="1" applyFill="1" applyBorder="1" applyAlignment="1">
      <alignment horizontal="right"/>
    </xf>
    <xf numFmtId="0" fontId="6" fillId="4" borderId="9" xfId="1" applyFont="1" applyFill="1" applyBorder="1" applyAlignment="1">
      <alignment horizontal="center"/>
    </xf>
    <xf numFmtId="165" fontId="6" fillId="4" borderId="9" xfId="3" applyFont="1" applyFill="1" applyBorder="1" applyAlignment="1">
      <alignment horizontal="center"/>
    </xf>
    <xf numFmtId="0" fontId="19" fillId="0" borderId="9" xfId="1" applyFont="1" applyBorder="1" applyAlignment="1">
      <alignment wrapText="1"/>
    </xf>
    <xf numFmtId="0" fontId="9" fillId="0" borderId="9" xfId="1" applyFont="1" applyBorder="1"/>
    <xf numFmtId="0" fontId="4" fillId="0" borderId="9" xfId="1" applyBorder="1"/>
    <xf numFmtId="0" fontId="6" fillId="0" borderId="9" xfId="1" applyFont="1" applyBorder="1"/>
    <xf numFmtId="2" fontId="4" fillId="0" borderId="9" xfId="1" applyNumberFormat="1" applyBorder="1"/>
    <xf numFmtId="49" fontId="19" fillId="4" borderId="9" xfId="1" applyNumberFormat="1" applyFont="1" applyFill="1" applyBorder="1" applyAlignment="1">
      <alignment horizontal="center" vertical="top"/>
    </xf>
    <xf numFmtId="49" fontId="7" fillId="4" borderId="9" xfId="1" applyNumberFormat="1" applyFont="1" applyFill="1" applyBorder="1" applyAlignment="1">
      <alignment horizontal="center" vertical="top"/>
    </xf>
    <xf numFmtId="2" fontId="6" fillId="4" borderId="9" xfId="1" applyNumberFormat="1" applyFont="1" applyFill="1" applyBorder="1"/>
    <xf numFmtId="4" fontId="6" fillId="4" borderId="0" xfId="1" applyNumberFormat="1" applyFont="1" applyFill="1" applyAlignment="1">
      <alignment vertical="top"/>
    </xf>
    <xf numFmtId="49" fontId="6" fillId="0" borderId="9" xfId="1" applyNumberFormat="1" applyFont="1" applyBorder="1"/>
    <xf numFmtId="0" fontId="9" fillId="4" borderId="9" xfId="1" applyFont="1" applyFill="1" applyBorder="1" applyAlignment="1">
      <alignment wrapText="1"/>
    </xf>
    <xf numFmtId="0" fontId="9" fillId="4" borderId="9" xfId="1" applyFont="1" applyFill="1" applyBorder="1"/>
    <xf numFmtId="0" fontId="6" fillId="0" borderId="9" xfId="1" applyFont="1" applyBorder="1" applyAlignment="1">
      <alignment horizontal="center"/>
    </xf>
    <xf numFmtId="165" fontId="6" fillId="0" borderId="9" xfId="3" applyFont="1" applyBorder="1" applyAlignment="1">
      <alignment horizontal="center"/>
    </xf>
    <xf numFmtId="0" fontId="6" fillId="0" borderId="9" xfId="1" applyFont="1" applyBorder="1" applyAlignment="1">
      <alignment vertical="top"/>
    </xf>
    <xf numFmtId="0" fontId="6" fillId="0" borderId="0" xfId="1" applyFont="1" applyAlignment="1">
      <alignment vertical="top"/>
    </xf>
    <xf numFmtId="49" fontId="19" fillId="0" borderId="9" xfId="1" applyNumberFormat="1" applyFont="1" applyBorder="1" applyAlignment="1">
      <alignment horizontal="center" vertical="top"/>
    </xf>
    <xf numFmtId="165" fontId="6" fillId="0" borderId="9" xfId="1" applyNumberFormat="1" applyFont="1" applyBorder="1" applyAlignment="1">
      <alignment horizontal="right"/>
    </xf>
    <xf numFmtId="49" fontId="7" fillId="0" borderId="9" xfId="1" applyNumberFormat="1" applyFont="1" applyBorder="1" applyAlignment="1">
      <alignment horizontal="center" vertical="top"/>
    </xf>
    <xf numFmtId="0" fontId="7" fillId="0" borderId="9" xfId="1" applyFont="1" applyBorder="1" applyAlignment="1">
      <alignment wrapText="1"/>
    </xf>
    <xf numFmtId="2" fontId="6" fillId="0" borderId="9" xfId="1" applyNumberFormat="1" applyFont="1" applyBorder="1"/>
    <xf numFmtId="165" fontId="9" fillId="0" borderId="9" xfId="1" applyNumberFormat="1" applyFont="1" applyBorder="1" applyAlignment="1">
      <alignment horizontal="right"/>
    </xf>
    <xf numFmtId="165" fontId="6" fillId="0" borderId="0" xfId="1" applyNumberFormat="1" applyFont="1" applyAlignment="1">
      <alignment vertical="top"/>
    </xf>
    <xf numFmtId="49" fontId="19" fillId="9" borderId="9" xfId="1" applyNumberFormat="1" applyFont="1" applyFill="1" applyBorder="1" applyAlignment="1">
      <alignment horizontal="center" vertical="top"/>
    </xf>
    <xf numFmtId="0" fontId="19" fillId="9" borderId="9" xfId="1" applyFont="1" applyFill="1" applyBorder="1" applyAlignment="1">
      <alignment wrapText="1"/>
    </xf>
    <xf numFmtId="0" fontId="9" fillId="9" borderId="9" xfId="1" applyFont="1" applyFill="1" applyBorder="1"/>
    <xf numFmtId="165" fontId="9" fillId="9" borderId="9" xfId="1" applyNumberFormat="1" applyFont="1" applyFill="1" applyBorder="1" applyAlignment="1">
      <alignment horizontal="right"/>
    </xf>
    <xf numFmtId="0" fontId="6" fillId="4" borderId="20" xfId="1" applyFont="1" applyFill="1" applyBorder="1" applyAlignment="1">
      <alignment vertical="top"/>
    </xf>
    <xf numFmtId="0" fontId="6" fillId="4" borderId="9" xfId="1" applyFont="1" applyFill="1" applyBorder="1" applyAlignment="1">
      <alignment vertical="top"/>
    </xf>
    <xf numFmtId="0" fontId="6" fillId="9" borderId="9" xfId="1" applyFont="1" applyFill="1" applyBorder="1" applyAlignment="1">
      <alignment vertical="top"/>
    </xf>
    <xf numFmtId="1" fontId="10" fillId="4" borderId="9" xfId="1" applyNumberFormat="1" applyFont="1" applyFill="1" applyBorder="1" applyAlignment="1">
      <alignment horizontal="right"/>
    </xf>
    <xf numFmtId="0" fontId="9" fillId="0" borderId="9" xfId="1" applyFont="1" applyBorder="1" applyAlignment="1">
      <alignment wrapText="1"/>
    </xf>
    <xf numFmtId="168" fontId="6" fillId="4" borderId="9" xfId="7" applyFill="1" applyBorder="1" applyAlignment="1">
      <alignment horizontal="center"/>
    </xf>
    <xf numFmtId="168" fontId="6" fillId="4" borderId="9" xfId="7" applyFill="1" applyBorder="1" applyAlignment="1">
      <alignment horizontal="left" wrapText="1"/>
    </xf>
    <xf numFmtId="168" fontId="6" fillId="4" borderId="9" xfId="1" applyNumberFormat="1" applyFont="1" applyFill="1" applyBorder="1" applyAlignment="1">
      <alignment horizontal="right"/>
    </xf>
    <xf numFmtId="49" fontId="6" fillId="4" borderId="9" xfId="1" applyNumberFormat="1" applyFont="1" applyFill="1" applyBorder="1" applyAlignment="1">
      <alignment horizontal="center"/>
    </xf>
    <xf numFmtId="0" fontId="19" fillId="4" borderId="9" xfId="1" applyFont="1" applyFill="1" applyBorder="1" applyAlignment="1">
      <alignment horizontal="left" wrapText="1"/>
    </xf>
    <xf numFmtId="2" fontId="6" fillId="4" borderId="9" xfId="4" applyNumberFormat="1" applyFill="1" applyBorder="1" applyAlignment="1">
      <alignment horizontal="center" vertical="top"/>
    </xf>
    <xf numFmtId="165" fontId="6" fillId="4" borderId="9" xfId="4" applyFill="1" applyBorder="1" applyAlignment="1">
      <alignment vertical="top"/>
    </xf>
    <xf numFmtId="168" fontId="9" fillId="4" borderId="9" xfId="1" applyNumberFormat="1" applyFont="1" applyFill="1" applyBorder="1" applyAlignment="1">
      <alignment horizontal="right"/>
    </xf>
    <xf numFmtId="168" fontId="6" fillId="4" borderId="9" xfId="7" applyFill="1" applyBorder="1" applyAlignment="1">
      <alignment horizontal="left"/>
    </xf>
    <xf numFmtId="165" fontId="9" fillId="4" borderId="9" xfId="4" applyFont="1" applyFill="1" applyBorder="1" applyAlignment="1">
      <alignment vertical="top"/>
    </xf>
    <xf numFmtId="2" fontId="6" fillId="4" borderId="9" xfId="4" applyNumberFormat="1" applyFill="1" applyBorder="1" applyAlignment="1">
      <alignment horizontal="right"/>
    </xf>
    <xf numFmtId="165" fontId="6" fillId="4" borderId="9" xfId="4" applyFill="1" applyBorder="1" applyAlignment="1">
      <alignment horizontal="right"/>
    </xf>
    <xf numFmtId="0" fontId="4" fillId="4" borderId="9" xfId="1" applyFill="1" applyBorder="1"/>
    <xf numFmtId="4" fontId="5" fillId="4" borderId="9" xfId="1" applyNumberFormat="1" applyFont="1" applyFill="1" applyBorder="1" applyAlignment="1">
      <alignment vertical="center" wrapText="1"/>
    </xf>
    <xf numFmtId="0" fontId="6" fillId="0" borderId="22" xfId="1" applyFont="1" applyBorder="1" applyAlignment="1">
      <alignment vertical="top"/>
    </xf>
    <xf numFmtId="0" fontId="6" fillId="9" borderId="9" xfId="1" applyFont="1" applyFill="1" applyBorder="1" applyAlignment="1">
      <alignment horizontal="center" vertical="top"/>
    </xf>
    <xf numFmtId="2" fontId="6" fillId="9" borderId="9" xfId="3" applyNumberFormat="1" applyFont="1" applyFill="1" applyBorder="1" applyAlignment="1">
      <alignment horizontal="center" vertical="top"/>
    </xf>
    <xf numFmtId="165" fontId="6" fillId="9" borderId="9" xfId="3" applyFont="1" applyFill="1" applyBorder="1" applyAlignment="1">
      <alignment vertical="top"/>
    </xf>
    <xf numFmtId="0" fontId="9" fillId="9" borderId="9" xfId="1" applyFont="1" applyFill="1" applyBorder="1" applyAlignment="1">
      <alignment horizontal="right"/>
    </xf>
    <xf numFmtId="2" fontId="6" fillId="4" borderId="9" xfId="3" applyNumberFormat="1" applyFont="1" applyFill="1" applyBorder="1" applyAlignment="1">
      <alignment horizontal="center" vertical="top"/>
    </xf>
    <xf numFmtId="165" fontId="9" fillId="4" borderId="9" xfId="3" applyFont="1" applyFill="1" applyBorder="1" applyAlignment="1">
      <alignment vertical="top"/>
    </xf>
    <xf numFmtId="49" fontId="9" fillId="0" borderId="9" xfId="1" applyNumberFormat="1" applyFont="1" applyBorder="1"/>
    <xf numFmtId="0" fontId="10" fillId="4" borderId="9" xfId="1" applyFont="1" applyFill="1" applyBorder="1" applyAlignment="1">
      <alignment wrapText="1"/>
    </xf>
    <xf numFmtId="0" fontId="6" fillId="0" borderId="9" xfId="1" applyFont="1" applyBorder="1" applyAlignment="1">
      <alignment horizontal="left" vertical="top" wrapText="1"/>
    </xf>
    <xf numFmtId="0" fontId="6" fillId="4" borderId="9" xfId="1" applyFont="1" applyFill="1" applyBorder="1" applyAlignment="1">
      <alignment horizontal="right" vertical="top"/>
    </xf>
    <xf numFmtId="0" fontId="6" fillId="4" borderId="9" xfId="1" applyFont="1" applyFill="1" applyBorder="1" applyAlignment="1">
      <alignment horizontal="right" vertical="top" wrapText="1"/>
    </xf>
    <xf numFmtId="49" fontId="6" fillId="4" borderId="9" xfId="1" applyNumberFormat="1" applyFont="1" applyFill="1" applyBorder="1" applyAlignment="1">
      <alignment horizontal="left"/>
    </xf>
    <xf numFmtId="0" fontId="6" fillId="0" borderId="9" xfId="1" applyFont="1" applyBorder="1" applyAlignment="1">
      <alignment wrapText="1"/>
    </xf>
    <xf numFmtId="49" fontId="6" fillId="0" borderId="18" xfId="1" applyNumberFormat="1" applyFont="1" applyBorder="1"/>
    <xf numFmtId="0" fontId="6" fillId="0" borderId="18" xfId="1" applyFont="1" applyBorder="1"/>
    <xf numFmtId="0" fontId="6" fillId="0" borderId="18" xfId="1" applyFont="1" applyBorder="1" applyAlignment="1">
      <alignment horizontal="center"/>
    </xf>
    <xf numFmtId="165" fontId="6" fillId="0" borderId="18" xfId="3" applyFont="1" applyBorder="1" applyAlignment="1">
      <alignment horizontal="center"/>
    </xf>
    <xf numFmtId="2" fontId="9" fillId="4" borderId="9" xfId="1" applyNumberFormat="1" applyFont="1" applyFill="1" applyBorder="1"/>
    <xf numFmtId="49" fontId="6" fillId="0" borderId="18" xfId="1" applyNumberFormat="1" applyFont="1" applyBorder="1" applyAlignment="1">
      <alignment horizontal="center"/>
    </xf>
    <xf numFmtId="0" fontId="19" fillId="0" borderId="18" xfId="1" applyFont="1" applyBorder="1" applyAlignment="1">
      <alignment wrapText="1"/>
    </xf>
    <xf numFmtId="0" fontId="6" fillId="0" borderId="18" xfId="1" applyFont="1" applyBorder="1" applyAlignment="1">
      <alignment horizontal="center" vertical="top"/>
    </xf>
    <xf numFmtId="2" fontId="6" fillId="0" borderId="18" xfId="3" applyNumberFormat="1" applyFont="1" applyBorder="1" applyAlignment="1">
      <alignment horizontal="center" vertical="top"/>
    </xf>
    <xf numFmtId="165" fontId="6" fillId="0" borderId="18" xfId="3" applyFont="1" applyBorder="1" applyAlignment="1">
      <alignment vertical="top"/>
    </xf>
    <xf numFmtId="0" fontId="9" fillId="0" borderId="18" xfId="1" applyFont="1" applyBorder="1" applyAlignment="1">
      <alignment horizontal="right"/>
    </xf>
    <xf numFmtId="49" fontId="6" fillId="0" borderId="9" xfId="1" applyNumberFormat="1" applyFont="1" applyBorder="1" applyAlignment="1">
      <alignment horizontal="center"/>
    </xf>
    <xf numFmtId="0" fontId="6" fillId="0" borderId="9" xfId="1" applyFont="1" applyBorder="1" applyAlignment="1">
      <alignment horizontal="center" vertical="top"/>
    </xf>
    <xf numFmtId="2" fontId="6" fillId="0" borderId="9" xfId="3" applyNumberFormat="1" applyFont="1" applyBorder="1" applyAlignment="1">
      <alignment horizontal="center" vertical="top"/>
    </xf>
    <xf numFmtId="165" fontId="6" fillId="0" borderId="9" xfId="3" applyFont="1" applyBorder="1" applyAlignment="1">
      <alignment vertical="top"/>
    </xf>
    <xf numFmtId="0" fontId="9" fillId="0" borderId="9" xfId="1" applyFont="1" applyBorder="1" applyAlignment="1">
      <alignment horizontal="right"/>
    </xf>
    <xf numFmtId="49" fontId="19" fillId="4" borderId="0" xfId="1" applyNumberFormat="1" applyFont="1" applyFill="1" applyAlignment="1">
      <alignment horizontal="center" vertical="top"/>
    </xf>
    <xf numFmtId="49" fontId="6" fillId="9" borderId="11" xfId="1" applyNumberFormat="1" applyFont="1" applyFill="1" applyBorder="1" applyAlignment="1">
      <alignment horizontal="center"/>
    </xf>
    <xf numFmtId="49" fontId="9" fillId="4" borderId="9" xfId="1" applyNumberFormat="1" applyFont="1" applyFill="1" applyBorder="1"/>
    <xf numFmtId="49" fontId="5" fillId="4" borderId="18" xfId="1" applyNumberFormat="1" applyFont="1" applyFill="1" applyBorder="1" applyAlignment="1">
      <alignment horizontal="right"/>
    </xf>
    <xf numFmtId="2" fontId="7" fillId="4" borderId="9" xfId="1" applyNumberFormat="1" applyFont="1" applyFill="1" applyBorder="1" applyAlignment="1">
      <alignment wrapText="1"/>
    </xf>
    <xf numFmtId="0" fontId="19" fillId="4" borderId="18" xfId="1" applyFont="1" applyFill="1" applyBorder="1" applyAlignment="1">
      <alignment wrapText="1"/>
    </xf>
    <xf numFmtId="0" fontId="9" fillId="4" borderId="18" xfId="1" applyFont="1" applyFill="1" applyBorder="1"/>
    <xf numFmtId="168" fontId="9" fillId="4" borderId="18" xfId="1" applyNumberFormat="1" applyFont="1" applyFill="1" applyBorder="1" applyAlignment="1">
      <alignment horizontal="right"/>
    </xf>
    <xf numFmtId="168" fontId="6" fillId="0" borderId="9" xfId="7" applyFill="1" applyBorder="1" applyAlignment="1">
      <alignment horizontal="center"/>
    </xf>
    <xf numFmtId="168" fontId="6" fillId="4" borderId="9" xfId="7" applyFill="1" applyBorder="1" applyAlignment="1"/>
    <xf numFmtId="168" fontId="6" fillId="0" borderId="9" xfId="7" applyFill="1" applyBorder="1" applyAlignment="1"/>
    <xf numFmtId="49" fontId="7" fillId="9" borderId="9" xfId="1" applyNumberFormat="1" applyFont="1" applyFill="1" applyBorder="1" applyAlignment="1">
      <alignment horizontal="center" vertical="top"/>
    </xf>
    <xf numFmtId="0" fontId="7" fillId="9" borderId="9" xfId="1" applyFont="1" applyFill="1" applyBorder="1" applyAlignment="1">
      <alignment horizontal="left" wrapText="1"/>
    </xf>
    <xf numFmtId="2" fontId="6" fillId="9" borderId="9" xfId="7" applyNumberFormat="1" applyFill="1" applyBorder="1" applyAlignment="1">
      <alignment horizontal="center" vertical="top"/>
    </xf>
    <xf numFmtId="168" fontId="6" fillId="9" borderId="9" xfId="7" applyFill="1" applyBorder="1" applyAlignment="1">
      <alignment vertical="top"/>
    </xf>
    <xf numFmtId="4" fontId="10" fillId="0" borderId="9" xfId="1" applyNumberFormat="1" applyFont="1" applyBorder="1" applyAlignment="1">
      <alignment wrapText="1"/>
    </xf>
    <xf numFmtId="168" fontId="9" fillId="0" borderId="9" xfId="1" applyNumberFormat="1" applyFont="1" applyBorder="1" applyAlignment="1">
      <alignment horizontal="right"/>
    </xf>
    <xf numFmtId="0" fontId="9" fillId="0" borderId="9" xfId="1" applyFont="1" applyBorder="1" applyAlignment="1">
      <alignment horizontal="left" vertical="center"/>
    </xf>
    <xf numFmtId="168" fontId="6" fillId="0" borderId="9" xfId="1" applyNumberFormat="1" applyFont="1" applyBorder="1" applyAlignment="1">
      <alignment horizontal="right"/>
    </xf>
    <xf numFmtId="4" fontId="5" fillId="0" borderId="9" xfId="1" applyNumberFormat="1" applyFont="1" applyBorder="1" applyAlignment="1">
      <alignment wrapText="1"/>
    </xf>
    <xf numFmtId="0" fontId="6" fillId="4" borderId="18" xfId="1" applyFont="1" applyFill="1" applyBorder="1" applyAlignment="1">
      <alignment horizontal="center" vertical="top"/>
    </xf>
    <xf numFmtId="2" fontId="6" fillId="4" borderId="18" xfId="4" applyNumberFormat="1" applyFill="1" applyBorder="1" applyAlignment="1">
      <alignment horizontal="center" vertical="top"/>
    </xf>
    <xf numFmtId="165" fontId="6" fillId="4" borderId="18" xfId="4" applyFill="1" applyBorder="1" applyAlignment="1">
      <alignment vertical="top"/>
    </xf>
    <xf numFmtId="0" fontId="9" fillId="4" borderId="18" xfId="1" applyFont="1" applyFill="1" applyBorder="1" applyAlignment="1">
      <alignment horizontal="right"/>
    </xf>
    <xf numFmtId="2" fontId="19" fillId="4" borderId="9" xfId="1" applyNumberFormat="1" applyFont="1" applyFill="1" applyBorder="1" applyAlignment="1">
      <alignment wrapText="1"/>
    </xf>
    <xf numFmtId="2" fontId="19" fillId="9" borderId="9" xfId="1" applyNumberFormat="1" applyFont="1" applyFill="1" applyBorder="1" applyAlignment="1">
      <alignment wrapText="1"/>
    </xf>
    <xf numFmtId="0" fontId="19" fillId="4" borderId="0" xfId="1" applyFont="1" applyFill="1" applyAlignment="1">
      <alignment wrapText="1"/>
    </xf>
    <xf numFmtId="2" fontId="19" fillId="4" borderId="0" xfId="1" applyNumberFormat="1" applyFont="1" applyFill="1" applyAlignment="1">
      <alignment wrapText="1"/>
    </xf>
    <xf numFmtId="2" fontId="19" fillId="4" borderId="21" xfId="1" applyNumberFormat="1" applyFont="1" applyFill="1" applyBorder="1" applyAlignment="1">
      <alignment wrapText="1"/>
    </xf>
    <xf numFmtId="14" fontId="23" fillId="0" borderId="17" xfId="1" applyNumberFormat="1" applyFont="1" applyBorder="1" applyAlignment="1">
      <alignment horizontal="center" vertical="center"/>
    </xf>
    <xf numFmtId="0" fontId="24" fillId="0" borderId="9" xfId="1" applyFont="1" applyBorder="1" applyAlignment="1">
      <alignment horizontal="center" vertical="center"/>
    </xf>
    <xf numFmtId="4" fontId="23" fillId="0" borderId="9" xfId="1" applyNumberFormat="1" applyFont="1" applyBorder="1" applyAlignment="1">
      <alignment vertical="center" wrapText="1"/>
    </xf>
    <xf numFmtId="0" fontId="23" fillId="0" borderId="9" xfId="1" applyFont="1" applyBorder="1" applyAlignment="1">
      <alignment horizontal="center" vertical="center" wrapText="1"/>
    </xf>
    <xf numFmtId="10" fontId="23" fillId="4" borderId="26" xfId="8" applyNumberFormat="1" applyFont="1" applyFill="1" applyBorder="1" applyAlignment="1">
      <alignment vertical="center"/>
    </xf>
    <xf numFmtId="10" fontId="23" fillId="4" borderId="9" xfId="8" applyNumberFormat="1" applyFont="1" applyFill="1" applyBorder="1" applyAlignment="1">
      <alignment vertical="center"/>
    </xf>
    <xf numFmtId="4" fontId="23" fillId="0" borderId="19" xfId="1" applyNumberFormat="1" applyFont="1" applyBorder="1" applyAlignment="1">
      <alignment vertical="center"/>
    </xf>
    <xf numFmtId="4" fontId="23" fillId="0" borderId="9" xfId="1" applyNumberFormat="1" applyFont="1" applyBorder="1" applyAlignment="1">
      <alignment horizontal="center" vertical="center"/>
    </xf>
    <xf numFmtId="10" fontId="23" fillId="4" borderId="9" xfId="9" applyNumberFormat="1" applyFont="1" applyFill="1" applyBorder="1" applyAlignment="1">
      <alignment vertical="center"/>
    </xf>
    <xf numFmtId="4" fontId="23" fillId="0" borderId="27" xfId="1" applyNumberFormat="1" applyFont="1" applyBorder="1" applyAlignment="1">
      <alignment vertical="center" wrapText="1"/>
    </xf>
    <xf numFmtId="2" fontId="6" fillId="4" borderId="9" xfId="10" applyNumberFormat="1" applyFont="1" applyFill="1" applyBorder="1" applyAlignment="1">
      <alignment horizontal="center" vertical="top"/>
    </xf>
    <xf numFmtId="169" fontId="6" fillId="4" borderId="9" xfId="10" applyFont="1" applyFill="1" applyBorder="1" applyAlignment="1">
      <alignment vertical="top"/>
    </xf>
    <xf numFmtId="169" fontId="9" fillId="4" borderId="9" xfId="10" applyFont="1" applyFill="1" applyBorder="1" applyAlignment="1">
      <alignment vertical="top"/>
    </xf>
    <xf numFmtId="0" fontId="25" fillId="0" borderId="0" xfId="1" applyFont="1"/>
    <xf numFmtId="4" fontId="11" fillId="0" borderId="26" xfId="1" applyNumberFormat="1" applyFont="1" applyBorder="1" applyAlignment="1">
      <alignment vertical="center"/>
    </xf>
    <xf numFmtId="4" fontId="11" fillId="4" borderId="26" xfId="1" applyNumberFormat="1" applyFont="1" applyFill="1" applyBorder="1" applyAlignment="1">
      <alignment vertical="center"/>
    </xf>
    <xf numFmtId="0" fontId="26" fillId="0" borderId="0" xfId="1" applyFont="1"/>
    <xf numFmtId="49" fontId="19" fillId="10" borderId="9" xfId="1" applyNumberFormat="1" applyFont="1" applyFill="1" applyBorder="1" applyAlignment="1">
      <alignment horizontal="center" vertical="top"/>
    </xf>
    <xf numFmtId="0" fontId="19" fillId="10" borderId="9" xfId="1" applyFont="1" applyFill="1" applyBorder="1" applyAlignment="1">
      <alignment wrapText="1"/>
    </xf>
    <xf numFmtId="2" fontId="19" fillId="10" borderId="9" xfId="1" applyNumberFormat="1" applyFont="1" applyFill="1" applyBorder="1" applyAlignment="1">
      <alignment wrapText="1"/>
    </xf>
    <xf numFmtId="4" fontId="7" fillId="4" borderId="9" xfId="1" applyNumberFormat="1" applyFont="1" applyFill="1" applyBorder="1" applyAlignment="1">
      <alignment wrapText="1"/>
    </xf>
    <xf numFmtId="0" fontId="4" fillId="0" borderId="0" xfId="1"/>
    <xf numFmtId="0" fontId="0" fillId="0" borderId="0" xfId="0"/>
    <xf numFmtId="0" fontId="0" fillId="2" borderId="1" xfId="0" applyFill="1" applyBorder="1"/>
    <xf numFmtId="4" fontId="6" fillId="12" borderId="0" xfId="1" applyNumberFormat="1" applyFont="1" applyFill="1"/>
    <xf numFmtId="1" fontId="5" fillId="11" borderId="5" xfId="1" applyNumberFormat="1" applyFont="1" applyFill="1" applyBorder="1" applyAlignment="1">
      <alignment horizontal="right"/>
    </xf>
    <xf numFmtId="4" fontId="27" fillId="11" borderId="21" xfId="1" applyNumberFormat="1" applyFont="1" applyFill="1" applyBorder="1" applyAlignment="1">
      <alignment wrapText="1"/>
    </xf>
    <xf numFmtId="0" fontId="6" fillId="11" borderId="21" xfId="1" applyFont="1" applyFill="1" applyBorder="1" applyAlignment="1">
      <alignment horizontal="right"/>
    </xf>
    <xf numFmtId="4" fontId="6" fillId="11" borderId="22" xfId="1" applyNumberFormat="1" applyFont="1" applyFill="1" applyBorder="1" applyAlignment="1">
      <alignment horizontal="right"/>
    </xf>
    <xf numFmtId="165" fontId="6" fillId="11" borderId="21" xfId="3" applyFont="1" applyFill="1" applyBorder="1"/>
    <xf numFmtId="4" fontId="6" fillId="11" borderId="23" xfId="1" applyNumberFormat="1" applyFont="1" applyFill="1" applyBorder="1" applyAlignment="1">
      <alignment horizontal="right"/>
    </xf>
    <xf numFmtId="4" fontId="6" fillId="11" borderId="21" xfId="1" applyNumberFormat="1" applyFont="1" applyFill="1" applyBorder="1"/>
    <xf numFmtId="1" fontId="5" fillId="4" borderId="45" xfId="1" applyNumberFormat="1" applyFont="1" applyFill="1" applyBorder="1" applyAlignment="1">
      <alignment horizontal="right"/>
    </xf>
    <xf numFmtId="4" fontId="27" fillId="4" borderId="45" xfId="1" applyNumberFormat="1" applyFont="1" applyFill="1" applyBorder="1" applyAlignment="1">
      <alignment wrapText="1"/>
    </xf>
    <xf numFmtId="0" fontId="6" fillId="4" borderId="45" xfId="1" applyFont="1" applyFill="1" applyBorder="1" applyAlignment="1">
      <alignment horizontal="right"/>
    </xf>
    <xf numFmtId="4" fontId="6" fillId="4" borderId="45" xfId="1" applyNumberFormat="1" applyFont="1" applyFill="1" applyBorder="1" applyAlignment="1">
      <alignment horizontal="right"/>
    </xf>
    <xf numFmtId="165" fontId="6" fillId="4" borderId="45" xfId="3" applyFont="1" applyFill="1" applyBorder="1"/>
    <xf numFmtId="4" fontId="6" fillId="0" borderId="45" xfId="1" applyNumberFormat="1" applyFont="1" applyBorder="1"/>
    <xf numFmtId="164" fontId="28" fillId="0" borderId="0" xfId="0" applyNumberFormat="1" applyFont="1"/>
    <xf numFmtId="0" fontId="4" fillId="0" borderId="0" xfId="1"/>
    <xf numFmtId="4" fontId="20" fillId="0" borderId="0" xfId="1" applyNumberFormat="1" applyFont="1" applyAlignment="1">
      <alignment horizontal="center"/>
    </xf>
    <xf numFmtId="0" fontId="0" fillId="2" borderId="0" xfId="0" applyFill="1" applyBorder="1"/>
    <xf numFmtId="0" fontId="30" fillId="0" borderId="0" xfId="11"/>
    <xf numFmtId="1" fontId="32" fillId="13" borderId="49" xfId="11" applyNumberFormat="1" applyFont="1" applyFill="1" applyBorder="1" applyAlignment="1">
      <alignment vertical="center"/>
    </xf>
    <xf numFmtId="1" fontId="32" fillId="13" borderId="0" xfId="11" applyNumberFormat="1" applyFont="1" applyFill="1" applyAlignment="1">
      <alignment vertical="center"/>
    </xf>
    <xf numFmtId="0" fontId="36" fillId="0" borderId="57" xfId="11" applyFont="1" applyBorder="1" applyAlignment="1">
      <alignment horizontal="center"/>
    </xf>
    <xf numFmtId="0" fontId="36" fillId="0" borderId="58" xfId="11" applyFont="1" applyBorder="1"/>
    <xf numFmtId="0" fontId="36" fillId="0" borderId="62" xfId="11" applyFont="1" applyBorder="1" applyAlignment="1">
      <alignment horizontal="center"/>
    </xf>
    <xf numFmtId="0" fontId="36" fillId="0" borderId="63" xfId="11" applyFont="1" applyBorder="1" applyAlignment="1">
      <alignment horizontal="center"/>
    </xf>
    <xf numFmtId="0" fontId="37" fillId="0" borderId="64" xfId="11" applyFont="1" applyBorder="1" applyAlignment="1">
      <alignment horizontal="center"/>
    </xf>
    <xf numFmtId="4" fontId="37" fillId="0" borderId="18" xfId="11" applyNumberFormat="1" applyFont="1" applyBorder="1" applyAlignment="1">
      <alignment horizontal="center"/>
    </xf>
    <xf numFmtId="4" fontId="34" fillId="0" borderId="18" xfId="11" applyNumberFormat="1" applyFont="1" applyBorder="1" applyAlignment="1">
      <alignment horizontal="center"/>
    </xf>
    <xf numFmtId="0" fontId="34" fillId="0" borderId="18" xfId="11" applyFont="1" applyBorder="1" applyAlignment="1">
      <alignment horizontal="center"/>
    </xf>
    <xf numFmtId="0" fontId="38" fillId="0" borderId="65" xfId="11" applyFont="1" applyBorder="1" applyAlignment="1">
      <alignment horizontal="center"/>
    </xf>
    <xf numFmtId="0" fontId="34" fillId="0" borderId="66" xfId="11" applyFont="1" applyBorder="1" applyAlignment="1">
      <alignment horizontal="center"/>
    </xf>
    <xf numFmtId="4" fontId="34" fillId="0" borderId="9" xfId="11" applyNumberFormat="1" applyFont="1" applyBorder="1" applyAlignment="1">
      <alignment horizontal="center"/>
    </xf>
    <xf numFmtId="0" fontId="34" fillId="0" borderId="9" xfId="11" applyFont="1" applyBorder="1" applyAlignment="1">
      <alignment horizontal="center"/>
    </xf>
    <xf numFmtId="0" fontId="38" fillId="0" borderId="67" xfId="11" applyFont="1" applyBorder="1" applyAlignment="1">
      <alignment horizontal="center"/>
    </xf>
    <xf numFmtId="1" fontId="34" fillId="0" borderId="26" xfId="11" applyNumberFormat="1" applyFont="1" applyBorder="1" applyAlignment="1">
      <alignment horizontal="left"/>
    </xf>
    <xf numFmtId="0" fontId="34" fillId="0" borderId="35" xfId="11" applyFont="1" applyBorder="1"/>
    <xf numFmtId="0" fontId="34" fillId="0" borderId="20" xfId="11" applyFont="1" applyBorder="1"/>
    <xf numFmtId="0" fontId="34" fillId="14" borderId="66" xfId="11" applyFont="1" applyFill="1" applyBorder="1" applyAlignment="1">
      <alignment horizontal="center"/>
    </xf>
    <xf numFmtId="4" fontId="34" fillId="14" borderId="9" xfId="11" applyNumberFormat="1" applyFont="1" applyFill="1" applyBorder="1" applyAlignment="1">
      <alignment horizontal="center"/>
    </xf>
    <xf numFmtId="4" fontId="37" fillId="14" borderId="9" xfId="11" applyNumberFormat="1" applyFont="1" applyFill="1" applyBorder="1" applyAlignment="1">
      <alignment horizontal="center"/>
    </xf>
    <xf numFmtId="0" fontId="34" fillId="14" borderId="9" xfId="11" applyFont="1" applyFill="1" applyBorder="1" applyAlignment="1">
      <alignment horizontal="center"/>
    </xf>
    <xf numFmtId="0" fontId="38" fillId="14" borderId="67" xfId="11" applyFont="1" applyFill="1" applyBorder="1" applyAlignment="1">
      <alignment horizontal="center"/>
    </xf>
    <xf numFmtId="0" fontId="37" fillId="0" borderId="66" xfId="11" applyFont="1" applyBorder="1" applyAlignment="1">
      <alignment horizontal="center"/>
    </xf>
    <xf numFmtId="4" fontId="37" fillId="0" borderId="9" xfId="11" applyNumberFormat="1" applyFont="1" applyBorder="1" applyAlignment="1">
      <alignment horizontal="center"/>
    </xf>
    <xf numFmtId="0" fontId="39" fillId="14" borderId="66" xfId="11" applyFont="1" applyFill="1" applyBorder="1" applyAlignment="1">
      <alignment horizontal="center"/>
    </xf>
    <xf numFmtId="4" fontId="39" fillId="14" borderId="9" xfId="11" applyNumberFormat="1" applyFont="1" applyFill="1" applyBorder="1" applyAlignment="1">
      <alignment horizontal="center"/>
    </xf>
    <xf numFmtId="4" fontId="40" fillId="14" borderId="9" xfId="11" applyNumberFormat="1" applyFont="1" applyFill="1" applyBorder="1" applyAlignment="1">
      <alignment horizontal="center"/>
    </xf>
    <xf numFmtId="0" fontId="39" fillId="14" borderId="9" xfId="11" applyFont="1" applyFill="1" applyBorder="1" applyAlignment="1">
      <alignment horizontal="center"/>
    </xf>
    <xf numFmtId="0" fontId="29" fillId="14" borderId="67" xfId="11" applyFont="1" applyFill="1" applyBorder="1" applyAlignment="1">
      <alignment horizontal="center"/>
    </xf>
    <xf numFmtId="170" fontId="34" fillId="0" borderId="9" xfId="11" applyNumberFormat="1" applyFont="1" applyBorder="1" applyAlignment="1">
      <alignment horizontal="center"/>
    </xf>
    <xf numFmtId="4" fontId="34" fillId="15" borderId="9" xfId="11" applyNumberFormat="1" applyFont="1" applyFill="1" applyBorder="1" applyAlignment="1">
      <alignment horizontal="center"/>
    </xf>
    <xf numFmtId="4" fontId="34" fillId="0" borderId="9" xfId="11" applyNumberFormat="1" applyFont="1" applyBorder="1" applyAlignment="1">
      <alignment horizontal="right"/>
    </xf>
    <xf numFmtId="4" fontId="34" fillId="0" borderId="9" xfId="11" applyNumberFormat="1" applyFont="1" applyBorder="1"/>
    <xf numFmtId="0" fontId="34" fillId="0" borderId="9" xfId="11" applyFont="1" applyBorder="1"/>
    <xf numFmtId="0" fontId="34" fillId="0" borderId="67" xfId="11" applyFont="1" applyBorder="1"/>
    <xf numFmtId="0" fontId="30" fillId="13" borderId="46" xfId="11" applyFill="1" applyBorder="1"/>
    <xf numFmtId="0" fontId="34" fillId="13" borderId="47" xfId="11" applyFont="1" applyFill="1" applyBorder="1"/>
    <xf numFmtId="0" fontId="30" fillId="13" borderId="47" xfId="11" applyFill="1" applyBorder="1"/>
    <xf numFmtId="0" fontId="42" fillId="13" borderId="47" xfId="11" applyFont="1" applyFill="1" applyBorder="1"/>
    <xf numFmtId="0" fontId="43" fillId="13" borderId="47" xfId="11" applyFont="1" applyFill="1" applyBorder="1"/>
    <xf numFmtId="0" fontId="43" fillId="13" borderId="48" xfId="11" applyFont="1" applyFill="1" applyBorder="1"/>
    <xf numFmtId="0" fontId="30" fillId="13" borderId="49" xfId="11" applyFill="1" applyBorder="1"/>
    <xf numFmtId="0" fontId="41" fillId="13" borderId="0" xfId="11" applyFont="1" applyFill="1" applyAlignment="1">
      <alignment vertical="center" wrapText="1"/>
    </xf>
    <xf numFmtId="0" fontId="34" fillId="13" borderId="0" xfId="11" applyFont="1" applyFill="1"/>
    <xf numFmtId="0" fontId="42" fillId="13" borderId="0" xfId="11" applyFont="1" applyFill="1"/>
    <xf numFmtId="4" fontId="43" fillId="13" borderId="0" xfId="11" applyNumberFormat="1" applyFont="1" applyFill="1"/>
    <xf numFmtId="0" fontId="43" fillId="13" borderId="0" xfId="11" applyFont="1" applyFill="1"/>
    <xf numFmtId="0" fontId="43" fillId="13" borderId="50" xfId="11" applyFont="1" applyFill="1" applyBorder="1"/>
    <xf numFmtId="0" fontId="30" fillId="13" borderId="0" xfId="11" applyFill="1"/>
    <xf numFmtId="0" fontId="44" fillId="13" borderId="50" xfId="11" applyFont="1" applyFill="1" applyBorder="1"/>
    <xf numFmtId="40" fontId="43" fillId="13" borderId="0" xfId="11" applyNumberFormat="1" applyFont="1" applyFill="1"/>
    <xf numFmtId="0" fontId="30" fillId="13" borderId="51" xfId="11" applyFill="1" applyBorder="1"/>
    <xf numFmtId="0" fontId="42" fillId="13" borderId="52" xfId="11" applyFont="1" applyFill="1" applyBorder="1"/>
    <xf numFmtId="40" fontId="43" fillId="13" borderId="52" xfId="11" applyNumberFormat="1" applyFont="1" applyFill="1" applyBorder="1"/>
    <xf numFmtId="0" fontId="43" fillId="13" borderId="52" xfId="11" applyFont="1" applyFill="1" applyBorder="1"/>
    <xf numFmtId="0" fontId="43" fillId="13" borderId="53" xfId="11" applyFont="1" applyFill="1" applyBorder="1"/>
    <xf numFmtId="0" fontId="46" fillId="0" borderId="49" xfId="11" applyFont="1" applyBorder="1"/>
    <xf numFmtId="0" fontId="46" fillId="0" borderId="0" xfId="11" applyFont="1"/>
    <xf numFmtId="0" fontId="30" fillId="0" borderId="50" xfId="11" applyBorder="1"/>
    <xf numFmtId="0" fontId="30" fillId="0" borderId="51" xfId="11" applyBorder="1"/>
    <xf numFmtId="0" fontId="30" fillId="0" borderId="52" xfId="11" applyBorder="1"/>
    <xf numFmtId="0" fontId="30" fillId="0" borderId="53" xfId="11" applyBorder="1"/>
    <xf numFmtId="0" fontId="31" fillId="0" borderId="0" xfId="11" applyFont="1" applyFill="1" applyAlignment="1">
      <alignment vertical="center"/>
    </xf>
    <xf numFmtId="0" fontId="31" fillId="0" borderId="50" xfId="11" applyFont="1" applyFill="1" applyBorder="1" applyAlignment="1">
      <alignment vertical="center"/>
    </xf>
    <xf numFmtId="0" fontId="48" fillId="0" borderId="0" xfId="12" applyFont="1"/>
    <xf numFmtId="0" fontId="49" fillId="0" borderId="0" xfId="13" applyFont="1"/>
    <xf numFmtId="0" fontId="47" fillId="0" borderId="0" xfId="12"/>
    <xf numFmtId="0" fontId="48" fillId="0" borderId="0" xfId="13" applyFont="1"/>
    <xf numFmtId="0" fontId="50" fillId="0" borderId="0" xfId="12" applyFont="1" applyAlignment="1">
      <alignment horizontal="center"/>
    </xf>
    <xf numFmtId="0" fontId="47" fillId="0" borderId="0" xfId="12" applyAlignment="1">
      <alignment vertical="center"/>
    </xf>
    <xf numFmtId="0" fontId="46" fillId="0" borderId="73" xfId="12" applyFont="1" applyBorder="1" applyAlignment="1">
      <alignment horizontal="center" vertical="center"/>
    </xf>
    <xf numFmtId="0" fontId="46" fillId="0" borderId="75" xfId="12" applyFont="1" applyBorder="1" applyAlignment="1">
      <alignment horizontal="center" vertical="center"/>
    </xf>
    <xf numFmtId="0" fontId="46" fillId="0" borderId="76" xfId="12" applyFont="1" applyBorder="1" applyAlignment="1">
      <alignment horizontal="center" vertical="center"/>
    </xf>
    <xf numFmtId="0" fontId="46" fillId="0" borderId="76" xfId="12" applyFont="1" applyBorder="1" applyAlignment="1">
      <alignment vertical="center"/>
    </xf>
    <xf numFmtId="0" fontId="47" fillId="0" borderId="79" xfId="12" applyBorder="1" applyAlignment="1">
      <alignment horizontal="center"/>
    </xf>
    <xf numFmtId="0" fontId="47" fillId="0" borderId="77" xfId="12" applyBorder="1" applyAlignment="1">
      <alignment vertical="center"/>
    </xf>
    <xf numFmtId="10" fontId="47" fillId="0" borderId="76" xfId="12" applyNumberFormat="1" applyBorder="1" applyAlignment="1">
      <alignment horizontal="right"/>
    </xf>
    <xf numFmtId="0" fontId="51" fillId="0" borderId="79" xfId="12" applyFont="1" applyBorder="1"/>
    <xf numFmtId="10" fontId="47" fillId="0" borderId="79" xfId="12" applyNumberFormat="1" applyBorder="1" applyAlignment="1">
      <alignment horizontal="right"/>
    </xf>
    <xf numFmtId="0" fontId="47" fillId="0" borderId="77" xfId="12" applyBorder="1" applyAlignment="1">
      <alignment horizontal="center"/>
    </xf>
    <xf numFmtId="0" fontId="47" fillId="0" borderId="77" xfId="12" applyBorder="1"/>
    <xf numFmtId="0" fontId="46" fillId="0" borderId="79" xfId="12" applyFont="1" applyBorder="1" applyAlignment="1">
      <alignment horizontal="left"/>
    </xf>
    <xf numFmtId="10" fontId="46" fillId="0" borderId="79" xfId="12" applyNumberFormat="1" applyFont="1" applyBorder="1" applyAlignment="1">
      <alignment horizontal="right"/>
    </xf>
    <xf numFmtId="10" fontId="47" fillId="0" borderId="0" xfId="12" applyNumberFormat="1"/>
    <xf numFmtId="0" fontId="46" fillId="0" borderId="77" xfId="12" applyFont="1" applyBorder="1" applyAlignment="1">
      <alignment horizontal="center" vertical="center"/>
    </xf>
    <xf numFmtId="0" fontId="46" fillId="0" borderId="80" xfId="12" applyFont="1" applyBorder="1" applyAlignment="1">
      <alignment horizontal="justify" vertical="center"/>
    </xf>
    <xf numFmtId="10" fontId="47" fillId="0" borderId="79" xfId="12" applyNumberFormat="1" applyBorder="1" applyAlignment="1">
      <alignment horizontal="right" wrapText="1"/>
    </xf>
    <xf numFmtId="10" fontId="47" fillId="0" borderId="79" xfId="14" applyNumberFormat="1" applyFont="1" applyBorder="1" applyAlignment="1">
      <alignment horizontal="right" wrapText="1"/>
    </xf>
    <xf numFmtId="10" fontId="47" fillId="0" borderId="79" xfId="14" applyNumberFormat="1" applyFont="1" applyBorder="1" applyAlignment="1">
      <alignment horizontal="right"/>
    </xf>
    <xf numFmtId="10" fontId="46" fillId="0" borderId="79" xfId="14" applyNumberFormat="1" applyFont="1" applyBorder="1" applyAlignment="1">
      <alignment horizontal="right"/>
    </xf>
    <xf numFmtId="0" fontId="46" fillId="0" borderId="80" xfId="12" applyFont="1" applyBorder="1" applyAlignment="1">
      <alignment horizontal="left"/>
    </xf>
    <xf numFmtId="0" fontId="46" fillId="0" borderId="78" xfId="12" applyFont="1" applyBorder="1" applyAlignment="1">
      <alignment horizontal="right"/>
    </xf>
    <xf numFmtId="0" fontId="52" fillId="0" borderId="80" xfId="12" applyFont="1" applyBorder="1" applyAlignment="1">
      <alignment horizontal="justify" vertical="center"/>
    </xf>
    <xf numFmtId="0" fontId="51" fillId="0" borderId="79" xfId="12" applyFont="1" applyBorder="1" applyAlignment="1">
      <alignment wrapText="1"/>
    </xf>
    <xf numFmtId="0" fontId="46" fillId="0" borderId="77" xfId="12" applyFont="1" applyBorder="1" applyAlignment="1">
      <alignment horizontal="justify"/>
    </xf>
    <xf numFmtId="0" fontId="53" fillId="0" borderId="79" xfId="12" applyFont="1" applyBorder="1" applyAlignment="1">
      <alignment horizontal="left"/>
    </xf>
    <xf numFmtId="0" fontId="46" fillId="0" borderId="80" xfId="12" applyFont="1" applyBorder="1" applyAlignment="1">
      <alignment vertical="center"/>
    </xf>
    <xf numFmtId="0" fontId="47" fillId="0" borderId="77" xfId="12" applyBorder="1" applyAlignment="1">
      <alignment horizontal="justify" vertical="center"/>
    </xf>
    <xf numFmtId="0" fontId="46" fillId="0" borderId="77" xfId="12" applyFont="1" applyBorder="1" applyAlignment="1">
      <alignment vertical="center"/>
    </xf>
    <xf numFmtId="0" fontId="46" fillId="0" borderId="78" xfId="12" applyFont="1" applyBorder="1" applyAlignment="1">
      <alignment horizontal="center" vertical="center"/>
    </xf>
    <xf numFmtId="0" fontId="47" fillId="0" borderId="51" xfId="12" applyBorder="1"/>
    <xf numFmtId="0" fontId="46" fillId="0" borderId="81" xfId="12" applyFont="1" applyBorder="1" applyAlignment="1">
      <alignment vertical="center"/>
    </xf>
    <xf numFmtId="10" fontId="46" fillId="0" borderId="53" xfId="12" applyNumberFormat="1" applyFont="1" applyBorder="1"/>
    <xf numFmtId="0" fontId="54" fillId="0" borderId="0" xfId="15"/>
    <xf numFmtId="0" fontId="57" fillId="0" borderId="45" xfId="15" applyFont="1" applyBorder="1" applyAlignment="1">
      <alignment horizontal="center" vertical="center" wrapText="1"/>
    </xf>
    <xf numFmtId="0" fontId="58" fillId="0" borderId="83" xfId="15" applyFont="1" applyBorder="1" applyAlignment="1">
      <alignment horizontal="center" vertical="center" wrapText="1"/>
    </xf>
    <xf numFmtId="0" fontId="58" fillId="0" borderId="84" xfId="15" applyFont="1" applyBorder="1" applyAlignment="1">
      <alignment horizontal="left" vertical="center" wrapText="1"/>
    </xf>
    <xf numFmtId="0" fontId="58" fillId="0" borderId="84" xfId="15" applyFont="1" applyBorder="1" applyAlignment="1">
      <alignment horizontal="center" vertical="center" wrapText="1"/>
    </xf>
    <xf numFmtId="4" fontId="58" fillId="0" borderId="85" xfId="15" applyNumberFormat="1" applyFont="1" applyBorder="1" applyAlignment="1">
      <alignment horizontal="right" vertical="center" wrapText="1"/>
    </xf>
    <xf numFmtId="0" fontId="59" fillId="0" borderId="83" xfId="15" applyFont="1" applyBorder="1" applyAlignment="1">
      <alignment horizontal="center" vertical="center" wrapText="1"/>
    </xf>
    <xf numFmtId="0" fontId="59" fillId="0" borderId="84" xfId="15" applyFont="1" applyBorder="1" applyAlignment="1">
      <alignment horizontal="left" vertical="center" wrapText="1"/>
    </xf>
    <xf numFmtId="0" fontId="59" fillId="0" borderId="84" xfId="15" applyFont="1" applyBorder="1" applyAlignment="1">
      <alignment horizontal="center" vertical="center" wrapText="1"/>
    </xf>
    <xf numFmtId="4" fontId="59" fillId="0" borderId="85" xfId="15" applyNumberFormat="1" applyFont="1" applyBorder="1" applyAlignment="1">
      <alignment horizontal="right" vertical="center" wrapText="1"/>
    </xf>
    <xf numFmtId="0" fontId="59" fillId="0" borderId="86" xfId="15" applyFont="1" applyBorder="1" applyAlignment="1">
      <alignment horizontal="center" vertical="center" wrapText="1"/>
    </xf>
    <xf numFmtId="0" fontId="59" fillId="0" borderId="87" xfId="15" applyFont="1" applyBorder="1" applyAlignment="1">
      <alignment horizontal="left" vertical="center" wrapText="1"/>
    </xf>
    <xf numFmtId="0" fontId="59" fillId="0" borderId="87" xfId="15" applyFont="1" applyBorder="1" applyAlignment="1">
      <alignment horizontal="center" vertical="center" wrapText="1"/>
    </xf>
    <xf numFmtId="4" fontId="59" fillId="0" borderId="88" xfId="15" applyNumberFormat="1" applyFont="1" applyBorder="1" applyAlignment="1">
      <alignment horizontal="right" vertical="center" wrapText="1"/>
    </xf>
    <xf numFmtId="0" fontId="60" fillId="16" borderId="0" xfId="15" applyFont="1" applyFill="1" applyAlignment="1">
      <alignment horizontal="right" vertical="top" wrapText="1"/>
    </xf>
    <xf numFmtId="0" fontId="59" fillId="16" borderId="0" xfId="15" applyFont="1" applyFill="1" applyAlignment="1">
      <alignment horizontal="left" vertical="top" wrapText="1"/>
    </xf>
    <xf numFmtId="0" fontId="54" fillId="0" borderId="0" xfId="15" applyAlignment="1">
      <alignment horizontal="left"/>
    </xf>
    <xf numFmtId="0" fontId="54" fillId="0" borderId="0" xfId="15" applyAlignment="1">
      <alignment horizontal="center"/>
    </xf>
    <xf numFmtId="0" fontId="0" fillId="0" borderId="0" xfId="0" applyAlignment="1"/>
    <xf numFmtId="0" fontId="58" fillId="0" borderId="96" xfId="15" applyFont="1" applyBorder="1" applyAlignment="1">
      <alignment horizontal="center" vertical="center" wrapText="1"/>
    </xf>
    <xf numFmtId="0" fontId="58" fillId="0" borderId="97" xfId="15" applyFont="1" applyBorder="1" applyAlignment="1">
      <alignment horizontal="left" vertical="center" wrapText="1"/>
    </xf>
    <xf numFmtId="0" fontId="58" fillId="0" borderId="97" xfId="15" applyFont="1" applyBorder="1" applyAlignment="1">
      <alignment horizontal="center" vertical="center" wrapText="1"/>
    </xf>
    <xf numFmtId="4" fontId="58" fillId="0" borderId="98" xfId="15" applyNumberFormat="1" applyFont="1" applyBorder="1" applyAlignment="1">
      <alignment horizontal="right" vertical="center" wrapText="1"/>
    </xf>
    <xf numFmtId="0" fontId="0" fillId="0" borderId="45" xfId="0" applyBorder="1" applyAlignment="1">
      <alignment horizontal="center"/>
    </xf>
    <xf numFmtId="0" fontId="0" fillId="0" borderId="45" xfId="0" applyBorder="1" applyAlignment="1"/>
    <xf numFmtId="0" fontId="58" fillId="0" borderId="45" xfId="15" applyFont="1" applyBorder="1" applyAlignment="1">
      <alignment horizontal="center" vertical="center" wrapText="1"/>
    </xf>
    <xf numFmtId="0" fontId="0" fillId="0" borderId="45" xfId="0" applyFill="1" applyBorder="1" applyAlignment="1"/>
    <xf numFmtId="0" fontId="4" fillId="0" borderId="0" xfId="1"/>
    <xf numFmtId="4" fontId="6" fillId="0" borderId="10" xfId="1" applyNumberFormat="1" applyFont="1" applyBorder="1" applyAlignment="1">
      <alignment horizontal="center" vertical="center"/>
    </xf>
    <xf numFmtId="4" fontId="8" fillId="0" borderId="0" xfId="1" applyNumberFormat="1" applyFont="1" applyAlignment="1">
      <alignment horizontal="left" wrapText="1"/>
    </xf>
    <xf numFmtId="4" fontId="8" fillId="0" borderId="0" xfId="1" applyNumberFormat="1" applyFont="1" applyAlignment="1">
      <alignment horizontal="center" vertical="top"/>
    </xf>
    <xf numFmtId="4" fontId="9" fillId="0" borderId="0" xfId="1" applyNumberFormat="1" applyFont="1" applyAlignment="1">
      <alignment horizontal="left" vertical="center"/>
    </xf>
    <xf numFmtId="4" fontId="6" fillId="0" borderId="0" xfId="1" applyNumberFormat="1" applyFont="1" applyAlignment="1">
      <alignment horizontal="center" vertical="center"/>
    </xf>
    <xf numFmtId="4" fontId="21" fillId="6" borderId="13" xfId="1" applyNumberFormat="1" applyFont="1" applyFill="1" applyBorder="1" applyAlignment="1">
      <alignment horizontal="center"/>
    </xf>
    <xf numFmtId="4" fontId="22" fillId="6" borderId="43" xfId="1" applyNumberFormat="1" applyFont="1" applyFill="1" applyBorder="1" applyAlignment="1">
      <alignment horizontal="left"/>
    </xf>
    <xf numFmtId="4" fontId="20" fillId="0" borderId="0" xfId="1" applyNumberFormat="1" applyFont="1" applyAlignment="1">
      <alignment horizontal="center"/>
    </xf>
    <xf numFmtId="0" fontId="21" fillId="6" borderId="11" xfId="1" applyFont="1" applyFill="1" applyBorder="1" applyAlignment="1">
      <alignment horizontal="center"/>
    </xf>
    <xf numFmtId="0" fontId="21" fillId="6" borderId="12" xfId="1" applyFont="1" applyFill="1" applyBorder="1" applyAlignment="1">
      <alignment horizontal="center"/>
    </xf>
    <xf numFmtId="4" fontId="21" fillId="6" borderId="12" xfId="1" applyNumberFormat="1" applyFont="1" applyFill="1" applyBorder="1" applyAlignment="1">
      <alignment horizontal="center" wrapText="1"/>
    </xf>
    <xf numFmtId="0" fontId="21" fillId="6" borderId="40" xfId="1" applyFont="1" applyFill="1" applyBorder="1" applyAlignment="1">
      <alignment horizontal="center"/>
    </xf>
    <xf numFmtId="0" fontId="0" fillId="0" borderId="0" xfId="0"/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/>
    </xf>
    <xf numFmtId="0" fontId="0" fillId="0" borderId="45" xfId="0" applyBorder="1"/>
    <xf numFmtId="0" fontId="0" fillId="2" borderId="2" xfId="0" applyFill="1" applyBorder="1"/>
    <xf numFmtId="0" fontId="0" fillId="2" borderId="0" xfId="0" applyFill="1"/>
    <xf numFmtId="0" fontId="1" fillId="2" borderId="2" xfId="0" applyFont="1" applyFill="1" applyBorder="1" applyAlignment="1">
      <alignment horizontal="center"/>
    </xf>
    <xf numFmtId="0" fontId="0" fillId="2" borderId="1" xfId="0" applyFill="1" applyBorder="1"/>
    <xf numFmtId="0" fontId="45" fillId="13" borderId="0" xfId="11" applyFont="1" applyFill="1" applyAlignment="1">
      <alignment horizontal="center" vertical="center"/>
    </xf>
    <xf numFmtId="0" fontId="34" fillId="13" borderId="0" xfId="11" applyFont="1" applyFill="1"/>
    <xf numFmtId="10" fontId="44" fillId="13" borderId="0" xfId="11" applyNumberFormat="1" applyFont="1" applyFill="1" applyAlignment="1">
      <alignment horizontal="center" vertical="center"/>
    </xf>
    <xf numFmtId="0" fontId="43" fillId="13" borderId="0" xfId="11" applyFont="1" applyFill="1"/>
    <xf numFmtId="0" fontId="41" fillId="13" borderId="0" xfId="11" applyFont="1" applyFill="1" applyAlignment="1">
      <alignment horizontal="center" vertical="center"/>
    </xf>
    <xf numFmtId="0" fontId="34" fillId="13" borderId="52" xfId="11" applyFont="1" applyFill="1" applyBorder="1"/>
    <xf numFmtId="0" fontId="4" fillId="0" borderId="0" xfId="1" applyAlignment="1">
      <alignment horizontal="left" vertical="center"/>
    </xf>
    <xf numFmtId="0" fontId="4" fillId="0" borderId="50" xfId="1" applyBorder="1" applyAlignment="1">
      <alignment horizontal="left" vertical="center"/>
    </xf>
    <xf numFmtId="40" fontId="35" fillId="0" borderId="21" xfId="11" applyNumberFormat="1" applyFont="1" applyBorder="1" applyAlignment="1">
      <alignment horizontal="center" vertical="center"/>
    </xf>
    <xf numFmtId="0" fontId="34" fillId="0" borderId="22" xfId="11" applyFont="1" applyBorder="1"/>
    <xf numFmtId="171" fontId="35" fillId="0" borderId="69" xfId="11" applyNumberFormat="1" applyFont="1" applyBorder="1" applyAlignment="1">
      <alignment horizontal="center" vertical="center"/>
    </xf>
    <xf numFmtId="0" fontId="34" fillId="0" borderId="70" xfId="11" applyFont="1" applyBorder="1"/>
    <xf numFmtId="1" fontId="34" fillId="0" borderId="26" xfId="11" applyNumberFormat="1" applyFont="1" applyBorder="1" applyAlignment="1">
      <alignment horizontal="left"/>
    </xf>
    <xf numFmtId="0" fontId="34" fillId="0" borderId="35" xfId="11" applyFont="1" applyBorder="1"/>
    <xf numFmtId="0" fontId="34" fillId="0" borderId="20" xfId="11" applyFont="1" applyBorder="1"/>
    <xf numFmtId="1" fontId="34" fillId="0" borderId="35" xfId="11" applyNumberFormat="1" applyFont="1" applyBorder="1" applyAlignment="1">
      <alignment horizontal="left"/>
    </xf>
    <xf numFmtId="1" fontId="34" fillId="0" borderId="20" xfId="11" applyNumberFormat="1" applyFont="1" applyBorder="1" applyAlignment="1">
      <alignment horizontal="left"/>
    </xf>
    <xf numFmtId="1" fontId="37" fillId="0" borderId="26" xfId="11" applyNumberFormat="1" applyFont="1" applyBorder="1" applyAlignment="1">
      <alignment horizontal="left"/>
    </xf>
    <xf numFmtId="0" fontId="41" fillId="0" borderId="68" xfId="11" applyFont="1" applyBorder="1" applyAlignment="1">
      <alignment horizontal="center" vertical="center" wrapText="1"/>
    </xf>
    <xf numFmtId="0" fontId="34" fillId="0" borderId="4" xfId="11" applyFont="1" applyBorder="1"/>
    <xf numFmtId="0" fontId="34" fillId="0" borderId="5" xfId="11" applyFont="1" applyBorder="1"/>
    <xf numFmtId="0" fontId="34" fillId="0" borderId="49" xfId="11" applyFont="1" applyBorder="1"/>
    <xf numFmtId="0" fontId="34" fillId="0" borderId="0" xfId="11" applyFont="1"/>
    <xf numFmtId="0" fontId="34" fillId="0" borderId="1" xfId="11" applyFont="1" applyBorder="1"/>
    <xf numFmtId="10" fontId="35" fillId="0" borderId="21" xfId="11" applyNumberFormat="1" applyFont="1" applyBorder="1" applyAlignment="1">
      <alignment horizontal="center" vertical="center"/>
    </xf>
    <xf numFmtId="10" fontId="34" fillId="0" borderId="22" xfId="11" applyNumberFormat="1" applyFont="1" applyBorder="1"/>
    <xf numFmtId="1" fontId="34" fillId="14" borderId="26" xfId="11" applyNumberFormat="1" applyFont="1" applyFill="1" applyBorder="1" applyAlignment="1">
      <alignment horizontal="left"/>
    </xf>
    <xf numFmtId="0" fontId="34" fillId="14" borderId="35" xfId="11" applyFont="1" applyFill="1" applyBorder="1"/>
    <xf numFmtId="0" fontId="34" fillId="14" borderId="20" xfId="11" applyFont="1" applyFill="1" applyBorder="1"/>
    <xf numFmtId="1" fontId="39" fillId="14" borderId="26" xfId="11" applyNumberFormat="1" applyFont="1" applyFill="1" applyBorder="1" applyAlignment="1">
      <alignment horizontal="left"/>
    </xf>
    <xf numFmtId="0" fontId="39" fillId="14" borderId="35" xfId="11" applyFont="1" applyFill="1" applyBorder="1"/>
    <xf numFmtId="0" fontId="39" fillId="14" borderId="20" xfId="11" applyFont="1" applyFill="1" applyBorder="1"/>
    <xf numFmtId="0" fontId="36" fillId="0" borderId="54" xfId="11" applyFont="1" applyBorder="1" applyAlignment="1">
      <alignment horizontal="center" vertical="center"/>
    </xf>
    <xf numFmtId="0" fontId="34" fillId="0" borderId="59" xfId="11" applyFont="1" applyBorder="1"/>
    <xf numFmtId="0" fontId="36" fillId="0" borderId="55" xfId="11" applyFont="1" applyBorder="1" applyAlignment="1">
      <alignment horizontal="center" vertical="center"/>
    </xf>
    <xf numFmtId="0" fontId="34" fillId="0" borderId="47" xfId="11" applyFont="1" applyBorder="1"/>
    <xf numFmtId="0" fontId="34" fillId="0" borderId="56" xfId="11" applyFont="1" applyBorder="1"/>
    <xf numFmtId="0" fontId="34" fillId="0" borderId="60" xfId="11" applyFont="1" applyBorder="1"/>
    <xf numFmtId="0" fontId="34" fillId="0" borderId="52" xfId="11" applyFont="1" applyBorder="1"/>
    <xf numFmtId="0" fontId="34" fillId="0" borderId="61" xfId="11" applyFont="1" applyBorder="1"/>
    <xf numFmtId="1" fontId="37" fillId="0" borderId="6" xfId="11" applyNumberFormat="1" applyFont="1" applyBorder="1" applyAlignment="1">
      <alignment horizontal="left"/>
    </xf>
    <xf numFmtId="0" fontId="34" fillId="0" borderId="7" xfId="11" applyFont="1" applyBorder="1"/>
    <xf numFmtId="0" fontId="34" fillId="0" borderId="8" xfId="11" applyFont="1" applyBorder="1"/>
    <xf numFmtId="1" fontId="33" fillId="13" borderId="49" xfId="11" applyNumberFormat="1" applyFont="1" applyFill="1" applyBorder="1" applyAlignment="1">
      <alignment horizontal="left"/>
    </xf>
    <xf numFmtId="1" fontId="33" fillId="13" borderId="0" xfId="11" applyNumberFormat="1" applyFont="1" applyFill="1" applyAlignment="1">
      <alignment horizontal="left"/>
    </xf>
    <xf numFmtId="1" fontId="33" fillId="13" borderId="50" xfId="11" applyNumberFormat="1" applyFont="1" applyFill="1" applyBorder="1" applyAlignment="1">
      <alignment horizontal="left"/>
    </xf>
    <xf numFmtId="1" fontId="34" fillId="13" borderId="51" xfId="11" applyNumberFormat="1" applyFont="1" applyFill="1" applyBorder="1" applyAlignment="1">
      <alignment horizontal="left"/>
    </xf>
    <xf numFmtId="1" fontId="34" fillId="13" borderId="52" xfId="11" applyNumberFormat="1" applyFont="1" applyFill="1" applyBorder="1" applyAlignment="1">
      <alignment horizontal="left"/>
    </xf>
    <xf numFmtId="0" fontId="34" fillId="13" borderId="53" xfId="11" applyFont="1" applyFill="1" applyBorder="1"/>
    <xf numFmtId="0" fontId="35" fillId="13" borderId="49" xfId="11" applyFont="1" applyFill="1" applyBorder="1" applyAlignment="1">
      <alignment horizontal="center" vertical="center"/>
    </xf>
    <xf numFmtId="0" fontId="35" fillId="13" borderId="0" xfId="11" applyFont="1" applyFill="1" applyAlignment="1">
      <alignment horizontal="center" vertical="center"/>
    </xf>
    <xf numFmtId="0" fontId="35" fillId="13" borderId="50" xfId="11" applyFont="1" applyFill="1" applyBorder="1" applyAlignment="1">
      <alignment horizontal="center" vertical="center"/>
    </xf>
    <xf numFmtId="0" fontId="35" fillId="13" borderId="51" xfId="11" applyFont="1" applyFill="1" applyBorder="1" applyAlignment="1">
      <alignment horizontal="center" vertical="center"/>
    </xf>
    <xf numFmtId="0" fontId="35" fillId="13" borderId="52" xfId="11" applyFont="1" applyFill="1" applyBorder="1" applyAlignment="1">
      <alignment horizontal="center" vertical="center"/>
    </xf>
    <xf numFmtId="0" fontId="35" fillId="13" borderId="53" xfId="11" applyFont="1" applyFill="1" applyBorder="1" applyAlignment="1">
      <alignment horizontal="center" vertical="center"/>
    </xf>
    <xf numFmtId="0" fontId="11" fillId="4" borderId="9" xfId="1" applyFont="1" applyFill="1" applyBorder="1" applyAlignment="1">
      <alignment horizontal="center" vertical="center" wrapText="1"/>
    </xf>
    <xf numFmtId="49" fontId="6" fillId="9" borderId="9" xfId="1" applyNumberFormat="1" applyFont="1" applyFill="1" applyBorder="1" applyAlignment="1">
      <alignment horizontal="center"/>
    </xf>
    <xf numFmtId="49" fontId="9" fillId="9" borderId="9" xfId="1" applyNumberFormat="1" applyFont="1" applyFill="1" applyBorder="1" applyAlignment="1">
      <alignment horizontal="center" vertical="center"/>
    </xf>
    <xf numFmtId="0" fontId="9" fillId="9" borderId="9" xfId="1" applyFont="1" applyFill="1" applyBorder="1" applyAlignment="1">
      <alignment horizontal="center" vertical="center"/>
    </xf>
    <xf numFmtId="165" fontId="9" fillId="9" borderId="9" xfId="3" applyFont="1" applyFill="1" applyBorder="1" applyAlignment="1">
      <alignment horizontal="center" vertical="center"/>
    </xf>
    <xf numFmtId="49" fontId="19" fillId="4" borderId="0" xfId="1" applyNumberFormat="1" applyFont="1" applyFill="1" applyAlignment="1">
      <alignment horizontal="center" vertical="top"/>
    </xf>
    <xf numFmtId="49" fontId="19" fillId="4" borderId="7" xfId="1" applyNumberFormat="1" applyFont="1" applyFill="1" applyBorder="1" applyAlignment="1">
      <alignment horizontal="center" vertical="top"/>
    </xf>
    <xf numFmtId="0" fontId="55" fillId="16" borderId="89" xfId="15" applyFont="1" applyFill="1" applyBorder="1" applyAlignment="1">
      <alignment horizontal="center" vertical="center" wrapText="1"/>
    </xf>
    <xf numFmtId="0" fontId="55" fillId="16" borderId="90" xfId="15" applyFont="1" applyFill="1" applyBorder="1" applyAlignment="1">
      <alignment horizontal="center" vertical="center" wrapText="1"/>
    </xf>
    <xf numFmtId="0" fontId="55" fillId="16" borderId="91" xfId="15" applyFont="1" applyFill="1" applyBorder="1" applyAlignment="1">
      <alignment horizontal="center" vertical="center" wrapText="1"/>
    </xf>
    <xf numFmtId="0" fontId="55" fillId="16" borderId="92" xfId="15" applyFont="1" applyFill="1" applyBorder="1" applyAlignment="1">
      <alignment horizontal="center" vertical="center" wrapText="1"/>
    </xf>
    <xf numFmtId="0" fontId="55" fillId="16" borderId="0" xfId="15" applyFont="1" applyFill="1" applyBorder="1" applyAlignment="1">
      <alignment horizontal="center" vertical="center" wrapText="1"/>
    </xf>
    <xf numFmtId="0" fontId="55" fillId="16" borderId="93" xfId="15" applyFont="1" applyFill="1" applyBorder="1" applyAlignment="1">
      <alignment horizontal="center" vertical="center" wrapText="1"/>
    </xf>
    <xf numFmtId="0" fontId="56" fillId="0" borderId="94" xfId="15" applyFont="1" applyBorder="1" applyAlignment="1">
      <alignment horizontal="center" vertical="center"/>
    </xf>
    <xf numFmtId="0" fontId="56" fillId="0" borderId="82" xfId="15" applyFont="1" applyBorder="1" applyAlignment="1">
      <alignment horizontal="center" vertical="center"/>
    </xf>
    <xf numFmtId="0" fontId="56" fillId="0" borderId="95" xfId="15" applyFont="1" applyBorder="1" applyAlignment="1">
      <alignment horizontal="center" vertical="center"/>
    </xf>
    <xf numFmtId="0" fontId="46" fillId="0" borderId="77" xfId="12" applyFont="1" applyBorder="1" applyAlignment="1">
      <alignment horizontal="center" vertical="center"/>
    </xf>
    <xf numFmtId="0" fontId="46" fillId="0" borderId="78" xfId="12" applyFont="1" applyBorder="1" applyAlignment="1">
      <alignment horizontal="center" vertical="center"/>
    </xf>
    <xf numFmtId="0" fontId="48" fillId="0" borderId="0" xfId="12" applyFont="1" applyAlignment="1">
      <alignment horizontal="center"/>
    </xf>
    <xf numFmtId="0" fontId="50" fillId="0" borderId="0" xfId="12" applyFont="1" applyAlignment="1">
      <alignment horizontal="center"/>
    </xf>
    <xf numFmtId="0" fontId="46" fillId="0" borderId="71" xfId="12" applyFont="1" applyBorder="1" applyAlignment="1">
      <alignment horizontal="center" vertical="center"/>
    </xf>
    <xf numFmtId="0" fontId="46" fillId="0" borderId="74" xfId="12" applyFont="1" applyBorder="1" applyAlignment="1">
      <alignment horizontal="center" vertical="center"/>
    </xf>
    <xf numFmtId="0" fontId="46" fillId="0" borderId="72" xfId="12" applyFont="1" applyBorder="1" applyAlignment="1">
      <alignment horizontal="center" vertical="center"/>
    </xf>
    <xf numFmtId="0" fontId="46" fillId="0" borderId="73" xfId="12" applyFont="1" applyBorder="1" applyAlignment="1">
      <alignment horizontal="center" vertical="center"/>
    </xf>
    <xf numFmtId="4" fontId="11" fillId="0" borderId="0" xfId="1" applyNumberFormat="1" applyFont="1" applyBorder="1"/>
    <xf numFmtId="9" fontId="4" fillId="0" borderId="0" xfId="1" applyNumberFormat="1" applyBorder="1"/>
    <xf numFmtId="4" fontId="4" fillId="0" borderId="0" xfId="1" applyNumberFormat="1" applyBorder="1"/>
    <xf numFmtId="0" fontId="4" fillId="0" borderId="0" xfId="1" applyBorder="1"/>
    <xf numFmtId="10" fontId="6" fillId="0" borderId="0" xfId="1" applyNumberFormat="1" applyFont="1" applyBorder="1"/>
    <xf numFmtId="4" fontId="6" fillId="0" borderId="0" xfId="1" applyNumberFormat="1" applyFont="1" applyBorder="1"/>
    <xf numFmtId="10" fontId="11" fillId="0" borderId="0" xfId="1" applyNumberFormat="1" applyFont="1" applyBorder="1"/>
  </cellXfs>
  <cellStyles count="16">
    <cellStyle name="Excel_BuiltIn_Comma" xfId="3" xr:uid="{00000000-0005-0000-0000-000000000000}"/>
    <cellStyle name="Moeda 2" xfId="5" xr:uid="{00000000-0005-0000-0000-000001000000}"/>
    <cellStyle name="Normal" xfId="0" builtinId="0"/>
    <cellStyle name="Normal 2" xfId="1" xr:uid="{00000000-0005-0000-0000-000003000000}"/>
    <cellStyle name="Normal 3" xfId="11" xr:uid="{206913D2-29A8-4DFE-BF47-C01A0B581017}"/>
    <cellStyle name="Normal 44 2" xfId="12" xr:uid="{A2F7043D-E90B-4CDB-933F-BAE5FBA2A9DD}"/>
    <cellStyle name="Normal 5" xfId="15" xr:uid="{972E6942-87A4-40BF-BF7C-18279114837D}"/>
    <cellStyle name="Normal_Orçamento Padrão-03-2014" xfId="13" xr:uid="{5626C469-CFC1-4A35-AF66-E27EC6676A13}"/>
    <cellStyle name="Porcentagem 2" xfId="2" xr:uid="{00000000-0005-0000-0000-000004000000}"/>
    <cellStyle name="Porcentagem 2 10" xfId="9" xr:uid="{00000000-0005-0000-0000-000005000000}"/>
    <cellStyle name="Porcentagem 2 2 2 2" xfId="8" xr:uid="{00000000-0005-0000-0000-000006000000}"/>
    <cellStyle name="Porcentagem 32 4" xfId="14" xr:uid="{B619AB99-414E-430C-BCD0-C8E28EA662F7}"/>
    <cellStyle name="Separador de milhares 2" xfId="6" xr:uid="{00000000-0005-0000-0000-000007000000}"/>
    <cellStyle name="Separador de milhares 2 2" xfId="4" xr:uid="{00000000-0005-0000-0000-000008000000}"/>
    <cellStyle name="Vírgula 2" xfId="7" xr:uid="{00000000-0005-0000-0000-000009000000}"/>
    <cellStyle name="Vírgula 3" xfId="10" xr:uid="{00000000-0005-0000-0000-00000A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1325880</xdr:colOff>
      <xdr:row>27</xdr:row>
      <xdr:rowOff>53340</xdr:rowOff>
    </xdr:from>
    <xdr:to>
      <xdr:col>6</xdr:col>
      <xdr:colOff>228600</xdr:colOff>
      <xdr:row>33</xdr:row>
      <xdr:rowOff>91440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B0048C-0DAF-4596-ABF7-4EF119893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2160" y="5105400"/>
          <a:ext cx="3573780" cy="11658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0</xdr:rowOff>
    </xdr:from>
    <xdr:to>
      <xdr:col>1</xdr:col>
      <xdr:colOff>809625</xdr:colOff>
      <xdr:row>0</xdr:row>
      <xdr:rowOff>0</xdr:rowOff>
    </xdr:to>
    <xdr:pic>
      <xdr:nvPicPr>
        <xdr:cNvPr id="2" name="Picture 1" descr="BRASAO">
          <a:extLst>
            <a:ext uri="{FF2B5EF4-FFF2-40B4-BE49-F238E27FC236}">
              <a16:creationId xmlns:a16="http://schemas.microsoft.com/office/drawing/2014/main" id="{FCC0B68D-3169-4673-AE5B-D9C9D10D8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" y="0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eorg\Downloads\PLANILHA%2003-2022%20-%20atualizada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cam"/>
      <sheetName val="conograma"/>
      <sheetName val="composições"/>
      <sheetName val="comp__eletrica"/>
    </sheetNames>
    <sheetDataSet>
      <sheetData sheetId="0">
        <row r="21">
          <cell r="C21" t="str">
            <v>SERVIÇOS PRELIMINARES</v>
          </cell>
        </row>
        <row r="28">
          <cell r="C28" t="str">
            <v>RETIRADAS E DEMOLIÇÕES</v>
          </cell>
        </row>
        <row r="44">
          <cell r="C44" t="str">
            <v>MOVIMENTO DE TERRA</v>
          </cell>
        </row>
        <row r="49">
          <cell r="C49" t="str">
            <v>FUNDAÇÕES</v>
          </cell>
        </row>
        <row r="59">
          <cell r="C59" t="str">
            <v>ESTRUTURA</v>
          </cell>
        </row>
        <row r="67">
          <cell r="C67" t="str">
            <v>ALVENARIA</v>
          </cell>
        </row>
        <row r="73">
          <cell r="C73" t="str">
            <v>COBERTURA</v>
          </cell>
        </row>
        <row r="81">
          <cell r="C81" t="str">
            <v>ESQUDRIAS</v>
          </cell>
        </row>
        <row r="96">
          <cell r="C96" t="str">
            <v>REVESTIMENTO</v>
          </cell>
        </row>
        <row r="104">
          <cell r="C104" t="str">
            <v>PISOS E RODAPES</v>
          </cell>
        </row>
        <row r="113">
          <cell r="C113" t="str">
            <v>VIDROS</v>
          </cell>
        </row>
        <row r="119">
          <cell r="C119" t="str">
            <v>PINTURA</v>
          </cell>
        </row>
        <row r="133">
          <cell r="C133" t="str">
            <v>INSTALAÇÕES ELÉTRICAS</v>
          </cell>
        </row>
        <row r="199">
          <cell r="C199" t="str">
            <v>INSTALAÇÃOES DE LÓGICA/TELEFONIA</v>
          </cell>
        </row>
        <row r="231">
          <cell r="C231" t="str">
            <v>INSTALAÇÃO HIDRÁULICA E SANITÁRIA</v>
          </cell>
        </row>
        <row r="293">
          <cell r="C293" t="str">
            <v>IMPLANTAÇÃO/URBANIZAÇÃO</v>
          </cell>
        </row>
        <row r="309">
          <cell r="C309" t="str">
            <v>SERVIÇOS COMPLEMENTARES</v>
          </cell>
        </row>
        <row r="327">
          <cell r="C327" t="str">
            <v>LIMPEZA FINAL DA OBRA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23"/>
  <sheetViews>
    <sheetView view="pageBreakPreview" zoomScale="110" zoomScaleNormal="110" zoomScaleSheetLayoutView="110" workbookViewId="0">
      <selection sqref="A1:C2"/>
    </sheetView>
  </sheetViews>
  <sheetFormatPr defaultColWidth="10" defaultRowHeight="13.8"/>
  <cols>
    <col min="1" max="1" width="7.44140625" style="14" customWidth="1"/>
    <col min="2" max="2" width="13" style="15" customWidth="1"/>
    <col min="3" max="3" width="59.44140625" style="16" customWidth="1"/>
    <col min="4" max="4" width="5.6640625" style="17" customWidth="1"/>
    <col min="5" max="5" width="10.6640625" style="17" customWidth="1"/>
    <col min="6" max="6" width="10.5546875" style="18" customWidth="1"/>
    <col min="7" max="7" width="9.88671875" style="17" customWidth="1"/>
    <col min="8" max="8" width="13.6640625" style="17" customWidth="1"/>
    <col min="9" max="9" width="12.33203125" style="18" customWidth="1"/>
    <col min="10" max="10" width="12.88671875" style="19" customWidth="1"/>
    <col min="11" max="11" width="12.88671875" style="18" customWidth="1"/>
    <col min="12" max="12" width="21.33203125" style="18" customWidth="1"/>
    <col min="13" max="13" width="14.88671875" style="18" customWidth="1"/>
    <col min="14" max="14" width="10.109375" style="18" customWidth="1"/>
    <col min="15" max="15" width="10.5546875" style="18" customWidth="1"/>
    <col min="16" max="16" width="9.44140625" style="29" customWidth="1"/>
    <col min="17" max="17" width="9.44140625" style="30" customWidth="1"/>
    <col min="18" max="18" width="15.6640625" style="31" customWidth="1"/>
    <col min="19" max="1025" width="9.33203125" style="31" customWidth="1"/>
    <col min="1026" max="1026" width="10" style="31" customWidth="1"/>
    <col min="1027" max="16384" width="10" style="31"/>
  </cols>
  <sheetData>
    <row r="1" spans="1:17">
      <c r="A1" s="14" t="s">
        <v>1256</v>
      </c>
      <c r="N1" s="20"/>
    </row>
    <row r="2" spans="1:17">
      <c r="A2" s="14" t="s">
        <v>1255</v>
      </c>
      <c r="N2" s="20"/>
    </row>
    <row r="3" spans="1:17" ht="15.6">
      <c r="A3" s="578" t="s">
        <v>496</v>
      </c>
      <c r="B3" s="578"/>
      <c r="C3" s="578"/>
      <c r="D3" s="578"/>
      <c r="E3" s="578"/>
      <c r="F3" s="578"/>
      <c r="G3" s="578"/>
      <c r="H3" s="578"/>
      <c r="I3" s="21"/>
      <c r="J3" s="22"/>
      <c r="K3" s="21"/>
      <c r="L3" s="21"/>
    </row>
    <row r="4" spans="1:17">
      <c r="B4" s="23"/>
      <c r="C4" s="24"/>
      <c r="D4" s="25"/>
      <c r="E4" s="575"/>
      <c r="F4" s="575"/>
      <c r="G4" s="575"/>
      <c r="H4" s="575"/>
      <c r="I4" s="26"/>
      <c r="J4" s="27"/>
      <c r="K4" s="26"/>
      <c r="L4" s="26"/>
    </row>
    <row r="5" spans="1:17">
      <c r="A5" s="579" t="s">
        <v>497</v>
      </c>
      <c r="B5" s="579"/>
      <c r="C5" s="579"/>
      <c r="E5" s="25"/>
      <c r="F5" s="26"/>
      <c r="G5" s="25"/>
      <c r="H5" s="25"/>
    </row>
    <row r="6" spans="1:17">
      <c r="A6" s="579" t="s">
        <v>498</v>
      </c>
      <c r="B6" s="579"/>
      <c r="C6" s="579"/>
      <c r="E6" s="580" t="s">
        <v>499</v>
      </c>
      <c r="F6" s="580"/>
      <c r="G6" s="580"/>
      <c r="H6" s="580"/>
    </row>
    <row r="7" spans="1:17" ht="12.75" customHeight="1">
      <c r="A7" s="579" t="s">
        <v>500</v>
      </c>
      <c r="B7" s="579"/>
      <c r="C7" s="579"/>
      <c r="E7" s="575"/>
      <c r="F7" s="575"/>
      <c r="G7" s="575"/>
      <c r="H7" s="575"/>
      <c r="J7" s="28">
        <v>1.25</v>
      </c>
    </row>
    <row r="8" spans="1:17" ht="12.75" customHeight="1">
      <c r="B8" s="23"/>
      <c r="C8" s="24"/>
      <c r="D8" s="25"/>
      <c r="E8" s="575"/>
      <c r="F8" s="575"/>
      <c r="G8" s="575"/>
      <c r="H8" s="575"/>
      <c r="I8" s="26"/>
      <c r="J8" s="27"/>
      <c r="K8" s="26"/>
      <c r="L8" s="26"/>
    </row>
    <row r="9" spans="1:17" ht="13.5" customHeight="1" thickBot="1">
      <c r="B9" s="23"/>
      <c r="C9" s="24"/>
      <c r="D9" s="25"/>
      <c r="E9" s="576" t="s">
        <v>501</v>
      </c>
      <c r="F9" s="576"/>
      <c r="G9" s="576"/>
      <c r="H9" s="576"/>
      <c r="I9" s="26"/>
      <c r="J9" s="27"/>
      <c r="K9" s="26"/>
      <c r="L9" s="26"/>
    </row>
    <row r="10" spans="1:17" s="38" customFormat="1" ht="15.75" customHeight="1" thickBot="1">
      <c r="A10" s="32" t="s">
        <v>502</v>
      </c>
      <c r="B10" s="33" t="s">
        <v>503</v>
      </c>
      <c r="C10" s="33" t="s">
        <v>504</v>
      </c>
      <c r="D10" s="33" t="s">
        <v>505</v>
      </c>
      <c r="E10" s="33" t="s">
        <v>506</v>
      </c>
      <c r="F10" s="34" t="s">
        <v>507</v>
      </c>
      <c r="G10" s="33" t="s">
        <v>507</v>
      </c>
      <c r="H10" s="35" t="s">
        <v>508</v>
      </c>
      <c r="I10" s="36"/>
      <c r="J10" s="37"/>
      <c r="K10" s="36"/>
      <c r="L10" s="36"/>
      <c r="M10" s="18"/>
      <c r="N10" s="18"/>
      <c r="O10" s="18"/>
      <c r="P10" s="29"/>
      <c r="Q10" s="36"/>
    </row>
    <row r="11" spans="1:17" s="38" customFormat="1" ht="18" customHeight="1" thickBot="1">
      <c r="A11" s="39" t="s">
        <v>509</v>
      </c>
      <c r="B11" s="40"/>
      <c r="C11" s="40" t="s">
        <v>510</v>
      </c>
      <c r="D11" s="40"/>
      <c r="E11" s="40"/>
      <c r="F11" s="41" t="s">
        <v>511</v>
      </c>
      <c r="G11" s="40" t="s">
        <v>512</v>
      </c>
      <c r="H11" s="42"/>
      <c r="I11" s="36"/>
      <c r="J11" s="37"/>
      <c r="K11" s="36"/>
      <c r="L11" s="36"/>
      <c r="M11" s="18"/>
      <c r="N11" s="18"/>
      <c r="O11" s="18"/>
      <c r="P11" s="29"/>
      <c r="Q11" s="36"/>
    </row>
    <row r="12" spans="1:17" s="38" customFormat="1" ht="21">
      <c r="A12" s="43" t="s">
        <v>513</v>
      </c>
      <c r="B12" s="44">
        <v>90777</v>
      </c>
      <c r="C12" s="45" t="s">
        <v>514</v>
      </c>
      <c r="D12" s="46" t="s">
        <v>515</v>
      </c>
      <c r="E12" s="46">
        <f>TRUNC(I12,2)</f>
        <v>96</v>
      </c>
      <c r="F12" s="47">
        <f>CPU!I9</f>
        <v>64.169999999999987</v>
      </c>
      <c r="G12" s="46">
        <f>TRUNC(F12*J$7,2)</f>
        <v>80.209999999999994</v>
      </c>
      <c r="H12" s="48">
        <f>TRUNC(E12*G12,2)</f>
        <v>7700.16</v>
      </c>
      <c r="I12" s="49">
        <f>2*2*4*6</f>
        <v>96</v>
      </c>
      <c r="J12" s="50">
        <v>81.02</v>
      </c>
      <c r="K12" s="36"/>
      <c r="L12" s="36"/>
      <c r="M12" s="18"/>
      <c r="N12" s="18"/>
      <c r="O12" s="18"/>
      <c r="P12" s="29"/>
      <c r="Q12" s="36"/>
    </row>
    <row r="13" spans="1:17" s="38" customFormat="1" ht="13.2">
      <c r="A13" s="43" t="s">
        <v>516</v>
      </c>
      <c r="B13" s="44">
        <v>90776</v>
      </c>
      <c r="C13" s="51" t="s">
        <v>517</v>
      </c>
      <c r="D13" s="52" t="s">
        <v>515</v>
      </c>
      <c r="E13" s="46">
        <f>TRUNC(I13,2)</f>
        <v>660</v>
      </c>
      <c r="F13" s="47">
        <f>CPU!I16</f>
        <v>20.090000000000003</v>
      </c>
      <c r="G13" s="46">
        <f>TRUNC(F13*J$7,2)</f>
        <v>25.11</v>
      </c>
      <c r="H13" s="48">
        <f>TRUNC(E13*G13,2)</f>
        <v>16572.599999999999</v>
      </c>
      <c r="I13" s="18">
        <f>3*220</f>
        <v>660</v>
      </c>
      <c r="J13" s="50">
        <v>22.23</v>
      </c>
      <c r="K13" s="36"/>
      <c r="L13" s="36"/>
      <c r="M13" s="18"/>
      <c r="N13" s="18"/>
      <c r="O13" s="18"/>
      <c r="P13" s="29"/>
      <c r="Q13" s="36"/>
    </row>
    <row r="14" spans="1:17" s="38" customFormat="1" ht="13.2">
      <c r="A14" s="43" t="s">
        <v>518</v>
      </c>
      <c r="B14" s="44" t="s">
        <v>519</v>
      </c>
      <c r="C14" s="51" t="s">
        <v>520</v>
      </c>
      <c r="D14" s="52" t="s">
        <v>521</v>
      </c>
      <c r="E14" s="46">
        <f>TRUNC(I14,2)</f>
        <v>3.12</v>
      </c>
      <c r="F14" s="47">
        <f>composições!F14</f>
        <v>284</v>
      </c>
      <c r="G14" s="46">
        <f>TRUNC(F14*J$7,2)</f>
        <v>355</v>
      </c>
      <c r="H14" s="48">
        <f>TRUNC(E14*G14,2)</f>
        <v>1107.5999999999999</v>
      </c>
      <c r="I14" s="18">
        <f>2.5*1.25</f>
        <v>3.125</v>
      </c>
      <c r="J14" s="53">
        <v>322.13</v>
      </c>
      <c r="K14" s="36"/>
      <c r="L14" s="36"/>
      <c r="M14" s="18"/>
      <c r="N14" s="18"/>
      <c r="O14" s="18"/>
      <c r="P14" s="29"/>
      <c r="Q14" s="36"/>
    </row>
    <row r="15" spans="1:17" s="38" customFormat="1" thickBot="1">
      <c r="A15" s="43" t="s">
        <v>522</v>
      </c>
      <c r="B15" s="44" t="s">
        <v>519</v>
      </c>
      <c r="C15" s="54" t="s">
        <v>523</v>
      </c>
      <c r="D15" s="55" t="s">
        <v>524</v>
      </c>
      <c r="E15" s="56">
        <f>TRUNC(I15,2)</f>
        <v>6</v>
      </c>
      <c r="F15" s="47">
        <f>J15</f>
        <v>360</v>
      </c>
      <c r="G15" s="46">
        <f>TRUNC(F15*J$7,2)</f>
        <v>450</v>
      </c>
      <c r="H15" s="57">
        <f>TRUNC(E15*G15,2)</f>
        <v>2700</v>
      </c>
      <c r="I15" s="18">
        <v>6</v>
      </c>
      <c r="J15" s="53">
        <v>360</v>
      </c>
      <c r="K15" s="36"/>
      <c r="L15" s="36"/>
      <c r="M15" s="18"/>
      <c r="N15" s="18"/>
      <c r="O15" s="18"/>
      <c r="P15" s="29"/>
      <c r="Q15" s="36"/>
    </row>
    <row r="16" spans="1:17" s="38" customFormat="1" thickBot="1">
      <c r="A16" s="58"/>
      <c r="B16" s="33"/>
      <c r="C16" s="33" t="s">
        <v>525</v>
      </c>
      <c r="D16" s="59"/>
      <c r="E16" s="59"/>
      <c r="F16" s="59"/>
      <c r="G16" s="59"/>
      <c r="H16" s="60">
        <f>SUM(H12:H15)</f>
        <v>28080.359999999997</v>
      </c>
      <c r="I16" s="36"/>
      <c r="J16" s="37"/>
      <c r="K16" s="36"/>
      <c r="L16" s="61"/>
      <c r="M16" s="18"/>
      <c r="N16" s="18"/>
      <c r="O16" s="18"/>
      <c r="P16" s="29"/>
      <c r="Q16" s="36"/>
    </row>
    <row r="17" spans="1:18" s="38" customFormat="1" ht="5.25" customHeight="1" thickBot="1">
      <c r="A17" s="62"/>
      <c r="B17" s="63"/>
      <c r="C17" s="64"/>
      <c r="D17" s="65"/>
      <c r="E17" s="66"/>
      <c r="F17" s="66"/>
      <c r="G17" s="67"/>
      <c r="H17" s="68"/>
      <c r="I17" s="36"/>
      <c r="J17" s="37"/>
      <c r="K17" s="36"/>
      <c r="L17" s="36"/>
      <c r="M17" s="18"/>
      <c r="N17" s="18"/>
      <c r="O17" s="18"/>
      <c r="P17" s="29"/>
      <c r="Q17" s="36"/>
    </row>
    <row r="18" spans="1:18" s="38" customFormat="1" thickBot="1">
      <c r="A18" s="58" t="s">
        <v>526</v>
      </c>
      <c r="B18" s="33"/>
      <c r="C18" s="33" t="s">
        <v>527</v>
      </c>
      <c r="D18" s="33"/>
      <c r="E18" s="33"/>
      <c r="F18" s="34"/>
      <c r="G18" s="33"/>
      <c r="H18" s="35"/>
      <c r="I18" s="36"/>
      <c r="J18" s="37"/>
      <c r="K18" s="36"/>
      <c r="L18" s="36"/>
      <c r="M18" s="18"/>
      <c r="N18" s="18"/>
      <c r="O18" s="18"/>
      <c r="P18" s="29"/>
      <c r="Q18" s="36"/>
    </row>
    <row r="19" spans="1:18" s="71" customFormat="1" ht="24" customHeight="1">
      <c r="A19" s="69" t="s">
        <v>528</v>
      </c>
      <c r="B19" s="70">
        <v>97647</v>
      </c>
      <c r="C19" s="45" t="s">
        <v>20</v>
      </c>
      <c r="D19" s="46" t="s">
        <v>521</v>
      </c>
      <c r="E19" s="46">
        <f t="shared" ref="E19:E31" si="0">TRUNC(I19,2)</f>
        <v>163.25</v>
      </c>
      <c r="F19" s="47">
        <f>CPU!I23</f>
        <v>1.9899999999999998</v>
      </c>
      <c r="G19" s="46">
        <f t="shared" ref="G19:G31" si="1">TRUNC(F19*J$7,2)</f>
        <v>2.48</v>
      </c>
      <c r="H19" s="48">
        <f t="shared" ref="H19:H31" si="2">TRUNC(E19*G19,2)</f>
        <v>404.86</v>
      </c>
      <c r="I19" s="18">
        <f>11.83*13.8</f>
        <v>163.25400000000002</v>
      </c>
      <c r="J19" s="53">
        <v>2.5099999999999998</v>
      </c>
      <c r="K19" s="18"/>
      <c r="L19" s="18"/>
      <c r="M19" s="18"/>
      <c r="N19" s="18"/>
      <c r="O19" s="18"/>
      <c r="P19" s="29"/>
      <c r="Q19" s="18"/>
    </row>
    <row r="20" spans="1:18" s="71" customFormat="1" ht="24" customHeight="1">
      <c r="A20" s="69" t="s">
        <v>529</v>
      </c>
      <c r="B20" s="72">
        <v>97650</v>
      </c>
      <c r="C20" s="45" t="s">
        <v>24</v>
      </c>
      <c r="D20" s="52" t="s">
        <v>521</v>
      </c>
      <c r="E20" s="46">
        <f t="shared" si="0"/>
        <v>163.25</v>
      </c>
      <c r="F20" s="47">
        <f>CPU!I26</f>
        <v>4.3</v>
      </c>
      <c r="G20" s="46">
        <f t="shared" si="1"/>
        <v>5.37</v>
      </c>
      <c r="H20" s="48">
        <f t="shared" si="2"/>
        <v>876.65</v>
      </c>
      <c r="I20" s="18">
        <f>I19</f>
        <v>163.25400000000002</v>
      </c>
      <c r="J20" s="53">
        <v>5.41</v>
      </c>
      <c r="K20" s="18"/>
      <c r="L20" s="18"/>
      <c r="M20" s="18"/>
      <c r="N20" s="18"/>
      <c r="O20" s="18"/>
      <c r="P20" s="29"/>
      <c r="Q20" s="18"/>
    </row>
    <row r="21" spans="1:18" s="71" customFormat="1" ht="24" customHeight="1">
      <c r="A21" s="69" t="s">
        <v>530</v>
      </c>
      <c r="B21" s="72">
        <v>97640</v>
      </c>
      <c r="C21" s="45" t="s">
        <v>25</v>
      </c>
      <c r="D21" s="52" t="s">
        <v>521</v>
      </c>
      <c r="E21" s="46">
        <f t="shared" si="0"/>
        <v>175.47</v>
      </c>
      <c r="F21" s="47">
        <f>CPU!I29</f>
        <v>0.89999999999999991</v>
      </c>
      <c r="G21" s="46">
        <f t="shared" si="1"/>
        <v>1.1200000000000001</v>
      </c>
      <c r="H21" s="48">
        <f t="shared" si="2"/>
        <v>196.52</v>
      </c>
      <c r="I21" s="18">
        <f>16.4+27.51+16.4+21.75+3.42+16.2+10.95+3.6+16.2+3.05*3.75+1.9*1.1+4*4+11.43+2.09</f>
        <v>175.47750000000002</v>
      </c>
      <c r="J21" s="53">
        <v>1.18</v>
      </c>
      <c r="K21" s="18"/>
      <c r="L21" s="18"/>
      <c r="M21" s="18"/>
      <c r="N21" s="18"/>
      <c r="O21" s="18"/>
      <c r="P21" s="29"/>
      <c r="Q21" s="18"/>
    </row>
    <row r="22" spans="1:18" s="71" customFormat="1" ht="21.6">
      <c r="A22" s="69" t="s">
        <v>531</v>
      </c>
      <c r="B22" s="72">
        <v>97633</v>
      </c>
      <c r="C22" s="45" t="s">
        <v>27</v>
      </c>
      <c r="D22" s="73" t="s">
        <v>521</v>
      </c>
      <c r="E22" s="46">
        <f t="shared" si="0"/>
        <v>55.43</v>
      </c>
      <c r="F22" s="47">
        <f>CPU!I32</f>
        <v>12.97</v>
      </c>
      <c r="G22" s="46">
        <f t="shared" si="1"/>
        <v>16.21</v>
      </c>
      <c r="H22" s="48">
        <f t="shared" si="2"/>
        <v>898.52</v>
      </c>
      <c r="I22" s="18">
        <f>(2.65+2.65+3+3+3+3+1.2+1.2+1.9+1.9+1.8+1.8+1.1+1.1+1.9+1.9)*2-(1.5*1.2+0.8*2.1*2+1*0.6+0.7*2.1+0.7*2.1+1*0.6+0.7*2.1)</f>
        <v>55.430000000000007</v>
      </c>
      <c r="J22" s="53">
        <v>16.600000000000001</v>
      </c>
      <c r="K22" s="18"/>
      <c r="L22" s="74" t="s">
        <v>532</v>
      </c>
      <c r="M22" s="18"/>
      <c r="N22" s="18"/>
      <c r="O22" s="18"/>
      <c r="P22" s="29"/>
      <c r="Q22" s="18"/>
    </row>
    <row r="23" spans="1:18" s="71" customFormat="1" ht="21">
      <c r="A23" s="69" t="s">
        <v>533</v>
      </c>
      <c r="B23" s="72">
        <v>97645</v>
      </c>
      <c r="C23" s="45" t="s">
        <v>29</v>
      </c>
      <c r="D23" s="73" t="s">
        <v>521</v>
      </c>
      <c r="E23" s="46">
        <f t="shared" si="0"/>
        <v>15.48</v>
      </c>
      <c r="F23" s="47">
        <f>CPU!I35</f>
        <v>11.63</v>
      </c>
      <c r="G23" s="46">
        <f t="shared" si="1"/>
        <v>14.53</v>
      </c>
      <c r="H23" s="48">
        <f t="shared" si="2"/>
        <v>224.92</v>
      </c>
      <c r="I23" s="18">
        <f>5*2*1.2+2*1*0.6+0.8*0.6+1.5*1.2</f>
        <v>15.48</v>
      </c>
      <c r="J23" s="53">
        <v>24.95</v>
      </c>
      <c r="K23" s="18"/>
      <c r="L23" s="18"/>
      <c r="M23" s="18"/>
      <c r="N23" s="18"/>
      <c r="O23" s="18"/>
      <c r="P23" s="29"/>
      <c r="Q23" s="18"/>
    </row>
    <row r="24" spans="1:18" s="71" customFormat="1" ht="21">
      <c r="A24" s="69" t="s">
        <v>534</v>
      </c>
      <c r="B24" s="75">
        <v>97644</v>
      </c>
      <c r="C24" s="76" t="s">
        <v>33</v>
      </c>
      <c r="D24" s="52" t="s">
        <v>521</v>
      </c>
      <c r="E24" s="46">
        <f t="shared" si="0"/>
        <v>17.010000000000002</v>
      </c>
      <c r="F24" s="47">
        <f>CPU!I39</f>
        <v>5.32</v>
      </c>
      <c r="G24" s="46">
        <f t="shared" si="1"/>
        <v>6.65</v>
      </c>
      <c r="H24" s="48">
        <f t="shared" si="2"/>
        <v>113.11</v>
      </c>
      <c r="I24" s="18">
        <f>6*0.8*2.1+3*0.8*2.1+0.9*2.1</f>
        <v>17.010000000000002</v>
      </c>
      <c r="J24" s="53">
        <v>6.75</v>
      </c>
      <c r="K24" s="18"/>
      <c r="L24" s="18"/>
      <c r="M24" s="18"/>
      <c r="N24" s="18"/>
      <c r="O24" s="18"/>
      <c r="P24" s="29"/>
      <c r="Q24" s="18"/>
    </row>
    <row r="25" spans="1:18" s="71" customFormat="1" ht="21">
      <c r="A25" s="69" t="s">
        <v>535</v>
      </c>
      <c r="B25" s="44">
        <v>97631</v>
      </c>
      <c r="C25" s="77" t="s">
        <v>536</v>
      </c>
      <c r="D25" s="78" t="s">
        <v>521</v>
      </c>
      <c r="E25" s="46">
        <f t="shared" si="0"/>
        <v>55.43</v>
      </c>
      <c r="F25" s="47">
        <f>CPU!I42</f>
        <v>1.8900000000000001</v>
      </c>
      <c r="G25" s="46">
        <f t="shared" si="1"/>
        <v>2.36</v>
      </c>
      <c r="H25" s="48">
        <f t="shared" si="2"/>
        <v>130.81</v>
      </c>
      <c r="I25" s="19">
        <f>I22</f>
        <v>55.430000000000007</v>
      </c>
      <c r="J25" s="53">
        <v>2.42</v>
      </c>
      <c r="K25" s="79" t="s">
        <v>537</v>
      </c>
      <c r="L25" s="18"/>
      <c r="M25" s="18"/>
      <c r="N25" s="18"/>
      <c r="O25" s="18"/>
      <c r="P25" s="29"/>
      <c r="Q25" s="18"/>
    </row>
    <row r="26" spans="1:18" s="71" customFormat="1" ht="21">
      <c r="A26" s="69" t="s">
        <v>538</v>
      </c>
      <c r="B26" s="70">
        <v>97666</v>
      </c>
      <c r="C26" s="80" t="s">
        <v>35</v>
      </c>
      <c r="D26" s="52" t="s">
        <v>524</v>
      </c>
      <c r="E26" s="46">
        <f t="shared" si="0"/>
        <v>6</v>
      </c>
      <c r="F26" s="47">
        <f>CPU!I45</f>
        <v>5.18</v>
      </c>
      <c r="G26" s="46">
        <f t="shared" si="1"/>
        <v>6.47</v>
      </c>
      <c r="H26" s="48">
        <f t="shared" si="2"/>
        <v>38.82</v>
      </c>
      <c r="I26" s="18">
        <v>6</v>
      </c>
      <c r="J26" s="53">
        <v>6.56</v>
      </c>
      <c r="K26" s="18"/>
      <c r="L26" s="18"/>
      <c r="M26" s="18"/>
      <c r="N26" s="18"/>
      <c r="O26" s="18"/>
      <c r="P26" s="29"/>
      <c r="Q26" s="18"/>
    </row>
    <row r="27" spans="1:18" ht="23.25" customHeight="1">
      <c r="A27" s="69" t="s">
        <v>539</v>
      </c>
      <c r="B27" s="81">
        <v>97622</v>
      </c>
      <c r="C27" s="82" t="s">
        <v>38</v>
      </c>
      <c r="D27" s="78" t="s">
        <v>540</v>
      </c>
      <c r="E27" s="46">
        <f t="shared" si="0"/>
        <v>3.68</v>
      </c>
      <c r="F27" s="47">
        <f>CPU!I48</f>
        <v>31.71</v>
      </c>
      <c r="G27" s="46">
        <f t="shared" si="1"/>
        <v>39.630000000000003</v>
      </c>
      <c r="H27" s="48">
        <f t="shared" si="2"/>
        <v>145.83000000000001</v>
      </c>
      <c r="I27" s="18">
        <f>((4+2)*2.8+2*0.8*2.1+4*1.1)*0.15</f>
        <v>3.6839999999999993</v>
      </c>
      <c r="J27" s="53">
        <v>41.73</v>
      </c>
      <c r="M27" s="18">
        <f>11.7/2</f>
        <v>5.85</v>
      </c>
      <c r="R27" s="30"/>
    </row>
    <row r="28" spans="1:18" ht="12.75" customHeight="1">
      <c r="A28" s="69" t="s">
        <v>541</v>
      </c>
      <c r="B28" s="83">
        <v>97663</v>
      </c>
      <c r="C28" s="84" t="s">
        <v>542</v>
      </c>
      <c r="D28" s="78" t="s">
        <v>524</v>
      </c>
      <c r="E28" s="46">
        <f t="shared" si="0"/>
        <v>1</v>
      </c>
      <c r="F28" s="47">
        <f>CPU!I51</f>
        <v>7.1099999999999994</v>
      </c>
      <c r="G28" s="46">
        <f t="shared" si="1"/>
        <v>8.8800000000000008</v>
      </c>
      <c r="H28" s="48">
        <f t="shared" si="2"/>
        <v>8.8800000000000008</v>
      </c>
      <c r="I28" s="18">
        <v>1</v>
      </c>
      <c r="J28" s="53">
        <v>9</v>
      </c>
      <c r="R28" s="30"/>
    </row>
    <row r="29" spans="1:18" ht="12.75" customHeight="1">
      <c r="A29" s="69" t="s">
        <v>543</v>
      </c>
      <c r="B29" s="83">
        <v>97663</v>
      </c>
      <c r="C29" s="82" t="s">
        <v>544</v>
      </c>
      <c r="D29" s="78" t="s">
        <v>524</v>
      </c>
      <c r="E29" s="46">
        <f t="shared" si="0"/>
        <v>3</v>
      </c>
      <c r="F29" s="47">
        <f>CPU!I51</f>
        <v>7.1099999999999994</v>
      </c>
      <c r="G29" s="46">
        <f t="shared" si="1"/>
        <v>8.8800000000000008</v>
      </c>
      <c r="H29" s="48">
        <f t="shared" si="2"/>
        <v>26.64</v>
      </c>
      <c r="I29" s="18">
        <v>3</v>
      </c>
      <c r="J29" s="53">
        <v>9</v>
      </c>
      <c r="R29" s="30"/>
    </row>
    <row r="30" spans="1:18" ht="12.75" customHeight="1">
      <c r="A30" s="69" t="s">
        <v>545</v>
      </c>
      <c r="B30" s="44">
        <v>97663</v>
      </c>
      <c r="C30" s="84" t="s">
        <v>546</v>
      </c>
      <c r="D30" s="55" t="s">
        <v>524</v>
      </c>
      <c r="E30" s="56">
        <f t="shared" si="0"/>
        <v>3</v>
      </c>
      <c r="F30" s="47">
        <f>CPU!I51</f>
        <v>7.1099999999999994</v>
      </c>
      <c r="G30" s="46">
        <f t="shared" si="1"/>
        <v>8.8800000000000008</v>
      </c>
      <c r="H30" s="57">
        <f t="shared" si="2"/>
        <v>26.64</v>
      </c>
      <c r="I30" s="18">
        <v>3</v>
      </c>
      <c r="J30" s="53">
        <v>9</v>
      </c>
      <c r="R30" s="30"/>
    </row>
    <row r="31" spans="1:18" ht="12.75" customHeight="1" thickBot="1">
      <c r="A31" s="69" t="s">
        <v>547</v>
      </c>
      <c r="B31" s="85" t="s">
        <v>519</v>
      </c>
      <c r="C31" s="82" t="s">
        <v>548</v>
      </c>
      <c r="D31" s="52" t="s">
        <v>540</v>
      </c>
      <c r="E31" s="52">
        <f t="shared" si="0"/>
        <v>15.8</v>
      </c>
      <c r="F31" s="47">
        <f>composições!F31</f>
        <v>178.1</v>
      </c>
      <c r="G31" s="46">
        <f t="shared" si="1"/>
        <v>222.62</v>
      </c>
      <c r="H31" s="86">
        <f t="shared" si="2"/>
        <v>3517.39</v>
      </c>
      <c r="I31" s="18">
        <f>132.43*0.07+128.23*0.05+4*0.6*0.05</f>
        <v>15.801600000000001</v>
      </c>
      <c r="J31" s="53">
        <v>222.37</v>
      </c>
      <c r="L31" s="18" t="s">
        <v>549</v>
      </c>
      <c r="R31" s="30"/>
    </row>
    <row r="32" spans="1:18" s="91" customFormat="1" thickBot="1">
      <c r="A32" s="58"/>
      <c r="B32" s="59"/>
      <c r="C32" s="33" t="s">
        <v>525</v>
      </c>
      <c r="D32" s="59"/>
      <c r="E32" s="59"/>
      <c r="F32" s="59"/>
      <c r="G32" s="59"/>
      <c r="H32" s="60">
        <f>SUM(H19:H31)</f>
        <v>6609.59</v>
      </c>
      <c r="I32" s="87"/>
      <c r="J32" s="88"/>
      <c r="K32" s="87"/>
      <c r="L32" s="87"/>
      <c r="M32" s="89"/>
      <c r="N32" s="89"/>
      <c r="O32" s="89"/>
      <c r="P32" s="90"/>
      <c r="Q32" s="87"/>
      <c r="R32" s="89"/>
    </row>
    <row r="33" spans="1:18" s="38" customFormat="1" ht="5.25" customHeight="1" thickBot="1">
      <c r="A33" s="62"/>
      <c r="B33" s="92"/>
      <c r="C33" s="64"/>
      <c r="D33" s="65"/>
      <c r="E33" s="66"/>
      <c r="F33" s="66"/>
      <c r="G33" s="67"/>
      <c r="H33" s="93"/>
      <c r="I33" s="18"/>
      <c r="J33" s="53"/>
      <c r="K33" s="18"/>
      <c r="L33" s="18"/>
      <c r="M33" s="18"/>
      <c r="N33" s="18"/>
      <c r="O33" s="18"/>
      <c r="P33" s="29"/>
      <c r="Q33" s="36"/>
      <c r="R33" s="30"/>
    </row>
    <row r="34" spans="1:18" s="38" customFormat="1" ht="14.4" thickBot="1">
      <c r="A34" s="58" t="s">
        <v>550</v>
      </c>
      <c r="B34" s="59"/>
      <c r="C34" s="33" t="s">
        <v>551</v>
      </c>
      <c r="D34" s="33"/>
      <c r="E34" s="33"/>
      <c r="F34" s="34"/>
      <c r="G34" s="33"/>
      <c r="H34" s="35"/>
      <c r="I34" s="18"/>
      <c r="J34" s="53"/>
      <c r="K34" s="18"/>
      <c r="L34" s="18"/>
      <c r="M34" s="18"/>
      <c r="N34" s="18"/>
      <c r="O34" s="18"/>
      <c r="P34" s="29"/>
      <c r="Q34" s="36"/>
      <c r="R34" s="30"/>
    </row>
    <row r="35" spans="1:18" s="38" customFormat="1" ht="21">
      <c r="A35" s="69" t="s">
        <v>552</v>
      </c>
      <c r="B35" s="70">
        <v>93358</v>
      </c>
      <c r="C35" s="94" t="s">
        <v>553</v>
      </c>
      <c r="D35" s="46" t="s">
        <v>540</v>
      </c>
      <c r="E35" s="46">
        <f>TRUNC(I35,2)</f>
        <v>1.89</v>
      </c>
      <c r="F35" s="95">
        <f>CPU!I54</f>
        <v>47.47</v>
      </c>
      <c r="G35" s="46">
        <f>TRUNC(F35*J$7,2)</f>
        <v>59.33</v>
      </c>
      <c r="H35" s="48">
        <f>TRUNC(E35*G35,2)</f>
        <v>112.13</v>
      </c>
      <c r="I35" s="18">
        <f>0.6*0.6*0.7*4+(4+1.9)*0.3*0.5</f>
        <v>1.893</v>
      </c>
      <c r="J35" s="53">
        <v>63.37</v>
      </c>
      <c r="K35" s="18"/>
      <c r="L35" s="19"/>
      <c r="M35" s="18"/>
      <c r="N35" s="18"/>
      <c r="O35" s="18"/>
      <c r="P35" s="29"/>
      <c r="Q35" s="36"/>
      <c r="R35" s="30"/>
    </row>
    <row r="36" spans="1:18" s="38" customFormat="1" ht="14.4" thickBot="1">
      <c r="A36" s="96" t="s">
        <v>554</v>
      </c>
      <c r="B36" s="97">
        <v>96995</v>
      </c>
      <c r="C36" s="84" t="s">
        <v>42</v>
      </c>
      <c r="D36" s="55" t="s">
        <v>540</v>
      </c>
      <c r="E36" s="56">
        <f>TRUNC(I36,2)</f>
        <v>1.1299999999999999</v>
      </c>
      <c r="F36" s="98">
        <f>CPU!I56</f>
        <v>28.78</v>
      </c>
      <c r="G36" s="46">
        <f>TRUNC(F36*J$7,2)</f>
        <v>35.97</v>
      </c>
      <c r="H36" s="57">
        <f>TRUNC(E36*G36,2)</f>
        <v>40.64</v>
      </c>
      <c r="I36" s="18">
        <f>I35-I40-I41</f>
        <v>1.1365000000000001</v>
      </c>
      <c r="J36" s="53">
        <v>38.42</v>
      </c>
      <c r="K36" s="18"/>
      <c r="L36" s="18"/>
      <c r="M36" s="18"/>
      <c r="N36" s="18"/>
      <c r="O36" s="18"/>
      <c r="P36" s="29"/>
      <c r="Q36" s="36"/>
      <c r="R36" s="30"/>
    </row>
    <row r="37" spans="1:18" s="38" customFormat="1" ht="14.4" thickBot="1">
      <c r="A37" s="58"/>
      <c r="B37" s="59"/>
      <c r="C37" s="33" t="s">
        <v>525</v>
      </c>
      <c r="D37" s="59"/>
      <c r="E37" s="59"/>
      <c r="F37" s="59"/>
      <c r="G37" s="59"/>
      <c r="H37" s="60">
        <f>SUM(H35:H36)</f>
        <v>152.76999999999998</v>
      </c>
      <c r="I37" s="87"/>
      <c r="J37" s="88"/>
      <c r="K37" s="87"/>
      <c r="L37" s="87"/>
      <c r="M37" s="18"/>
      <c r="N37" s="18"/>
      <c r="O37" s="18"/>
      <c r="P37" s="29"/>
      <c r="Q37" s="36"/>
      <c r="R37" s="30"/>
    </row>
    <row r="38" spans="1:18" s="38" customFormat="1" ht="6" customHeight="1" thickBot="1">
      <c r="A38" s="62"/>
      <c r="B38" s="92"/>
      <c r="C38" s="64"/>
      <c r="D38" s="65"/>
      <c r="E38" s="66"/>
      <c r="F38" s="66"/>
      <c r="G38" s="67"/>
      <c r="H38" s="93"/>
      <c r="I38" s="18"/>
      <c r="J38" s="53"/>
      <c r="K38" s="18"/>
      <c r="L38" s="18"/>
      <c r="M38" s="18"/>
      <c r="N38" s="18"/>
      <c r="O38" s="18"/>
      <c r="P38" s="29"/>
      <c r="Q38" s="36"/>
      <c r="R38" s="30"/>
    </row>
    <row r="39" spans="1:18" s="38" customFormat="1" ht="14.4" thickBot="1">
      <c r="A39" s="58" t="s">
        <v>555</v>
      </c>
      <c r="B39" s="59"/>
      <c r="C39" s="33" t="s">
        <v>556</v>
      </c>
      <c r="D39" s="33"/>
      <c r="E39" s="33"/>
      <c r="F39" s="34"/>
      <c r="G39" s="33"/>
      <c r="H39" s="35"/>
      <c r="I39" s="18"/>
      <c r="J39" s="53"/>
      <c r="K39" s="18"/>
      <c r="L39" s="18"/>
      <c r="M39" s="18"/>
      <c r="N39" s="18"/>
      <c r="O39" s="18"/>
      <c r="P39" s="29"/>
      <c r="Q39" s="36"/>
      <c r="R39" s="30"/>
    </row>
    <row r="40" spans="1:18" s="38" customFormat="1" ht="36" customHeight="1">
      <c r="A40" s="99" t="s">
        <v>557</v>
      </c>
      <c r="B40" s="70">
        <v>94962</v>
      </c>
      <c r="C40" s="100" t="s">
        <v>558</v>
      </c>
      <c r="D40" s="46" t="s">
        <v>540</v>
      </c>
      <c r="E40" s="46">
        <f t="shared" ref="E40:E46" si="3">TRUNC(I40,2)</f>
        <v>0.13</v>
      </c>
      <c r="F40" s="95">
        <f>CPU!I58</f>
        <v>289.23</v>
      </c>
      <c r="G40" s="46">
        <f t="shared" ref="G40:G46" si="4">TRUNC(F40*J$7,2)</f>
        <v>361.53</v>
      </c>
      <c r="H40" s="48">
        <f t="shared" ref="H40:H46" si="5">TRUNC(E40*G40,2)</f>
        <v>46.99</v>
      </c>
      <c r="I40" s="18">
        <f>(4*0.6*0.6+5.9*0.2)*0.05</f>
        <v>0.13100000000000001</v>
      </c>
      <c r="J40" s="53">
        <v>340.2</v>
      </c>
      <c r="K40" s="18"/>
      <c r="L40" s="18"/>
      <c r="M40" s="19"/>
      <c r="N40" s="18"/>
      <c r="O40" s="18"/>
      <c r="P40" s="29"/>
      <c r="Q40" s="36"/>
      <c r="R40" s="30"/>
    </row>
    <row r="41" spans="1:18" s="38" customFormat="1" ht="27" customHeight="1">
      <c r="A41" s="99" t="s">
        <v>559</v>
      </c>
      <c r="B41" s="44">
        <v>94971</v>
      </c>
      <c r="C41" s="82" t="s">
        <v>560</v>
      </c>
      <c r="D41" s="52" t="s">
        <v>540</v>
      </c>
      <c r="E41" s="46">
        <f t="shared" si="3"/>
        <v>0.62</v>
      </c>
      <c r="F41" s="47">
        <f>CPU!I66</f>
        <v>374.14000000000004</v>
      </c>
      <c r="G41" s="46">
        <f t="shared" si="4"/>
        <v>467.67</v>
      </c>
      <c r="H41" s="48">
        <f t="shared" si="5"/>
        <v>289.95</v>
      </c>
      <c r="I41" s="18">
        <f>4*0.6*0.6*0.2+5.9*0.15*0.3+4*0.15*0.3*0.4</f>
        <v>0.62549999999999994</v>
      </c>
      <c r="J41" s="53">
        <v>435.92</v>
      </c>
      <c r="K41" s="18"/>
      <c r="L41" s="18"/>
      <c r="M41" s="19"/>
      <c r="N41" s="18"/>
      <c r="O41" s="18"/>
      <c r="P41" s="29"/>
      <c r="Q41" s="36"/>
      <c r="R41" s="30"/>
    </row>
    <row r="42" spans="1:18" s="38" customFormat="1" ht="21">
      <c r="A42" s="99" t="s">
        <v>561</v>
      </c>
      <c r="B42" s="44">
        <v>103670</v>
      </c>
      <c r="C42" s="82" t="s">
        <v>55</v>
      </c>
      <c r="D42" s="52" t="s">
        <v>540</v>
      </c>
      <c r="E42" s="46">
        <f t="shared" si="3"/>
        <v>0.62</v>
      </c>
      <c r="F42" s="47">
        <f>CPU!I74</f>
        <v>173.87</v>
      </c>
      <c r="G42" s="46">
        <f t="shared" si="4"/>
        <v>217.33</v>
      </c>
      <c r="H42" s="48">
        <f t="shared" si="5"/>
        <v>134.74</v>
      </c>
      <c r="I42" s="18">
        <f>I41</f>
        <v>0.62549999999999994</v>
      </c>
      <c r="J42" s="53">
        <v>217.85</v>
      </c>
      <c r="K42" s="101"/>
      <c r="L42" s="102"/>
      <c r="M42" s="19"/>
      <c r="N42" s="18"/>
      <c r="O42" s="18"/>
      <c r="P42" s="29"/>
      <c r="Q42" s="36"/>
      <c r="R42" s="30"/>
    </row>
    <row r="43" spans="1:18" s="38" customFormat="1" ht="21">
      <c r="A43" s="99" t="s">
        <v>562</v>
      </c>
      <c r="B43" s="44">
        <v>96536</v>
      </c>
      <c r="C43" s="82" t="s">
        <v>59</v>
      </c>
      <c r="D43" s="52" t="s">
        <v>521</v>
      </c>
      <c r="E43" s="46">
        <f t="shared" si="3"/>
        <v>5.46</v>
      </c>
      <c r="F43" s="47">
        <f>CPU!I80</f>
        <v>53.790000000000006</v>
      </c>
      <c r="G43" s="46">
        <f t="shared" si="4"/>
        <v>67.23</v>
      </c>
      <c r="H43" s="48">
        <f t="shared" si="5"/>
        <v>367.07</v>
      </c>
      <c r="I43" s="18">
        <f>4*2.4*0.2+5.9*0.6</f>
        <v>5.46</v>
      </c>
      <c r="J43" s="53">
        <v>63.36</v>
      </c>
      <c r="K43" s="18"/>
      <c r="L43" s="102"/>
      <c r="M43" s="19" t="s">
        <v>563</v>
      </c>
      <c r="N43" s="18"/>
      <c r="O43" s="18"/>
      <c r="P43" s="29"/>
      <c r="Q43" s="36"/>
      <c r="R43" s="30"/>
    </row>
    <row r="44" spans="1:18" s="107" customFormat="1" ht="41.4">
      <c r="A44" s="99" t="s">
        <v>564</v>
      </c>
      <c r="B44" s="103">
        <v>92919</v>
      </c>
      <c r="C44" s="82" t="s">
        <v>565</v>
      </c>
      <c r="D44" s="52" t="s">
        <v>566</v>
      </c>
      <c r="E44" s="46">
        <f t="shared" si="3"/>
        <v>35.020000000000003</v>
      </c>
      <c r="F44" s="47">
        <f>CPU!I91</f>
        <v>12.33</v>
      </c>
      <c r="G44" s="46">
        <f t="shared" si="4"/>
        <v>15.41</v>
      </c>
      <c r="H44" s="48">
        <f t="shared" si="5"/>
        <v>539.65</v>
      </c>
      <c r="I44" s="19">
        <f>I42*80*0.7</f>
        <v>35.027999999999992</v>
      </c>
      <c r="J44" s="53">
        <v>14.15</v>
      </c>
      <c r="K44" s="19"/>
      <c r="L44" s="19"/>
      <c r="M44" s="19"/>
      <c r="N44" s="19"/>
      <c r="O44" s="19"/>
      <c r="P44" s="104"/>
      <c r="Q44" s="105"/>
      <c r="R44" s="106"/>
    </row>
    <row r="45" spans="1:18" s="38" customFormat="1" ht="41.4">
      <c r="A45" s="99" t="s">
        <v>567</v>
      </c>
      <c r="B45" s="108">
        <v>92916</v>
      </c>
      <c r="C45" s="82" t="s">
        <v>568</v>
      </c>
      <c r="D45" s="52" t="s">
        <v>566</v>
      </c>
      <c r="E45" s="46">
        <f t="shared" si="3"/>
        <v>15.01</v>
      </c>
      <c r="F45" s="47">
        <f>CPU!I97</f>
        <v>14.280000000000001</v>
      </c>
      <c r="G45" s="46">
        <f t="shared" si="4"/>
        <v>17.850000000000001</v>
      </c>
      <c r="H45" s="48">
        <f t="shared" si="5"/>
        <v>267.92</v>
      </c>
      <c r="I45" s="18">
        <f>I41*80*0.3</f>
        <v>15.011999999999997</v>
      </c>
      <c r="J45" s="53">
        <v>16.43</v>
      </c>
      <c r="K45" s="18"/>
      <c r="L45" s="18"/>
      <c r="M45" s="19"/>
      <c r="N45" s="18"/>
      <c r="O45" s="18"/>
      <c r="P45" s="29"/>
      <c r="Q45" s="36"/>
      <c r="R45" s="30"/>
    </row>
    <row r="46" spans="1:18" s="38" customFormat="1" ht="31.8" thickBot="1">
      <c r="A46" s="109" t="s">
        <v>569</v>
      </c>
      <c r="B46" s="97">
        <v>101165</v>
      </c>
      <c r="C46" s="84" t="s">
        <v>570</v>
      </c>
      <c r="D46" s="55" t="s">
        <v>540</v>
      </c>
      <c r="E46" s="56">
        <f t="shared" si="3"/>
        <v>0.28999999999999998</v>
      </c>
      <c r="F46" s="98">
        <f>CPU!I103</f>
        <v>653.62</v>
      </c>
      <c r="G46" s="46">
        <f t="shared" si="4"/>
        <v>817.02</v>
      </c>
      <c r="H46" s="57">
        <f t="shared" si="5"/>
        <v>236.93</v>
      </c>
      <c r="I46" s="18">
        <f>(1.9+3)*0.2*0.3</f>
        <v>0.29400000000000004</v>
      </c>
      <c r="J46" s="53">
        <v>766.13</v>
      </c>
      <c r="K46" s="18"/>
      <c r="L46" s="18"/>
      <c r="M46" s="19"/>
      <c r="N46" s="18"/>
      <c r="O46" s="18"/>
      <c r="P46" s="29"/>
      <c r="Q46" s="36"/>
      <c r="R46" s="30"/>
    </row>
    <row r="47" spans="1:18" s="91" customFormat="1" thickBot="1">
      <c r="A47" s="58"/>
      <c r="B47" s="59"/>
      <c r="C47" s="33" t="s">
        <v>525</v>
      </c>
      <c r="D47" s="59"/>
      <c r="E47" s="59"/>
      <c r="F47" s="59"/>
      <c r="G47" s="59"/>
      <c r="H47" s="60">
        <f>SUM(H40:H46)</f>
        <v>1883.2500000000002</v>
      </c>
      <c r="I47" s="87"/>
      <c r="J47" s="88"/>
      <c r="K47" s="87"/>
      <c r="L47" s="87"/>
      <c r="M47" s="89"/>
      <c r="N47" s="89"/>
      <c r="O47" s="89"/>
      <c r="P47" s="90"/>
      <c r="Q47" s="87"/>
      <c r="R47" s="87"/>
    </row>
    <row r="48" spans="1:18" s="38" customFormat="1" ht="5.25" customHeight="1" thickBot="1">
      <c r="A48" s="62"/>
      <c r="B48" s="92"/>
      <c r="C48" s="64"/>
      <c r="D48" s="65"/>
      <c r="E48" s="66"/>
      <c r="F48" s="66"/>
      <c r="G48" s="67"/>
      <c r="H48" s="93"/>
      <c r="I48" s="18"/>
      <c r="J48" s="53"/>
      <c r="K48" s="18"/>
      <c r="L48" s="18"/>
      <c r="M48" s="18"/>
      <c r="N48" s="18"/>
      <c r="O48" s="18"/>
      <c r="P48" s="29"/>
      <c r="Q48" s="36"/>
      <c r="R48" s="30"/>
    </row>
    <row r="49" spans="1:18" s="38" customFormat="1" ht="14.4" thickBot="1">
      <c r="A49" s="58" t="s">
        <v>571</v>
      </c>
      <c r="B49" s="59"/>
      <c r="C49" s="33" t="s">
        <v>572</v>
      </c>
      <c r="D49" s="33"/>
      <c r="E49" s="33"/>
      <c r="F49" s="34"/>
      <c r="G49" s="33"/>
      <c r="H49" s="35"/>
      <c r="I49" s="18"/>
      <c r="J49" s="53"/>
      <c r="K49" s="18"/>
      <c r="L49" s="18"/>
      <c r="M49" s="18"/>
      <c r="N49" s="18"/>
      <c r="O49" s="18"/>
      <c r="P49" s="29"/>
      <c r="Q49" s="36"/>
      <c r="R49" s="30"/>
    </row>
    <row r="50" spans="1:18" s="38" customFormat="1" ht="25.5" customHeight="1">
      <c r="A50" s="99" t="s">
        <v>573</v>
      </c>
      <c r="B50" s="70">
        <v>94971</v>
      </c>
      <c r="C50" s="100" t="s">
        <v>560</v>
      </c>
      <c r="D50" s="46" t="s">
        <v>540</v>
      </c>
      <c r="E50" s="46">
        <f>TRUNC(I50,2)</f>
        <v>0.71</v>
      </c>
      <c r="F50" s="95">
        <f>CPU!I66</f>
        <v>374.14000000000004</v>
      </c>
      <c r="G50" s="46">
        <f>TRUNC(F50*J$7,2)</f>
        <v>467.67</v>
      </c>
      <c r="H50" s="48">
        <f>TRUNC(E50*G50,2)</f>
        <v>332.04</v>
      </c>
      <c r="I50" s="18">
        <f>4*0.15*0.3*3+3.9*0.15*0.3</f>
        <v>0.71550000000000002</v>
      </c>
      <c r="J50" s="53">
        <v>435.92</v>
      </c>
      <c r="K50" s="102"/>
      <c r="L50" s="102"/>
      <c r="M50" s="19"/>
      <c r="N50" s="18"/>
      <c r="O50" s="18"/>
      <c r="P50" s="29"/>
      <c r="Q50" s="36"/>
      <c r="R50" s="30"/>
    </row>
    <row r="51" spans="1:18" s="38" customFormat="1" ht="21.75" customHeight="1">
      <c r="A51" s="99" t="s">
        <v>574</v>
      </c>
      <c r="B51" s="44">
        <v>103670</v>
      </c>
      <c r="C51" s="82" t="s">
        <v>55</v>
      </c>
      <c r="D51" s="52" t="s">
        <v>540</v>
      </c>
      <c r="E51" s="46">
        <f>TRUNC(I51,2)</f>
        <v>0.71</v>
      </c>
      <c r="F51" s="47">
        <f>CPU!I74</f>
        <v>173.87</v>
      </c>
      <c r="G51" s="46">
        <f>TRUNC(F51*J$7,2)</f>
        <v>217.33</v>
      </c>
      <c r="H51" s="48">
        <f>TRUNC(E51*G51,2)</f>
        <v>154.30000000000001</v>
      </c>
      <c r="I51" s="18">
        <f>I50</f>
        <v>0.71550000000000002</v>
      </c>
      <c r="J51" s="53">
        <v>217.85</v>
      </c>
      <c r="K51" s="102"/>
      <c r="L51" s="102"/>
      <c r="M51" s="19"/>
      <c r="N51" s="18"/>
      <c r="O51" s="18"/>
      <c r="Q51" s="36"/>
      <c r="R51" s="30"/>
    </row>
    <row r="52" spans="1:18" s="38" customFormat="1" ht="22.5" customHeight="1">
      <c r="A52" s="99" t="s">
        <v>575</v>
      </c>
      <c r="B52" s="44">
        <v>92411</v>
      </c>
      <c r="C52" s="82" t="s">
        <v>82</v>
      </c>
      <c r="D52" s="52" t="s">
        <v>521</v>
      </c>
      <c r="E52" s="46">
        <f>TRUNC(I52,2)</f>
        <v>14.34</v>
      </c>
      <c r="F52" s="110">
        <f>CPU!I108</f>
        <v>138.06</v>
      </c>
      <c r="G52" s="46">
        <f>TRUNC(F52*J$7,2)</f>
        <v>172.57</v>
      </c>
      <c r="H52" s="48">
        <f>TRUNC(E52*G52,2)</f>
        <v>2474.65</v>
      </c>
      <c r="I52" s="18">
        <f>4*0.9*3+0.6*5.9</f>
        <v>14.34</v>
      </c>
      <c r="J52" s="53">
        <v>160.24</v>
      </c>
      <c r="K52" s="101"/>
      <c r="L52" s="102"/>
      <c r="M52" s="19"/>
      <c r="N52" s="18"/>
      <c r="O52" s="18"/>
      <c r="P52" s="29"/>
      <c r="Q52" s="36"/>
      <c r="R52" s="30"/>
    </row>
    <row r="53" spans="1:18" s="107" customFormat="1" ht="37.5" customHeight="1">
      <c r="A53" s="99" t="s">
        <v>576</v>
      </c>
      <c r="B53" s="44">
        <v>92778</v>
      </c>
      <c r="C53" s="100" t="s">
        <v>84</v>
      </c>
      <c r="D53" s="52" t="s">
        <v>566</v>
      </c>
      <c r="E53" s="46">
        <f>TRUNC(I53,2)</f>
        <v>40.06</v>
      </c>
      <c r="F53" s="47">
        <f>CPU!I114</f>
        <v>12.73</v>
      </c>
      <c r="G53" s="46">
        <f>TRUNC(F53*J$7,2)</f>
        <v>15.91</v>
      </c>
      <c r="H53" s="48">
        <f>TRUNC(E53*G53,2)</f>
        <v>637.35</v>
      </c>
      <c r="I53" s="19">
        <f>I50*80*0.7</f>
        <v>40.067999999999998</v>
      </c>
      <c r="J53" s="53">
        <v>14.63</v>
      </c>
      <c r="K53" s="19"/>
      <c r="L53" s="19"/>
      <c r="M53" s="19"/>
      <c r="N53" s="19"/>
      <c r="O53" s="19"/>
      <c r="P53" s="29"/>
      <c r="Q53" s="105"/>
      <c r="R53" s="106"/>
    </row>
    <row r="54" spans="1:18" s="38" customFormat="1" ht="36.75" customHeight="1" thickBot="1">
      <c r="A54" s="109" t="s">
        <v>577</v>
      </c>
      <c r="B54" s="97">
        <v>92775</v>
      </c>
      <c r="C54" s="94" t="s">
        <v>85</v>
      </c>
      <c r="D54" s="55" t="s">
        <v>566</v>
      </c>
      <c r="E54" s="56">
        <f>TRUNC(I54,2)</f>
        <v>17.170000000000002</v>
      </c>
      <c r="F54" s="98">
        <f>CPU!I120</f>
        <v>15.66</v>
      </c>
      <c r="G54" s="46">
        <f>TRUNC(F54*J$7,2)</f>
        <v>19.57</v>
      </c>
      <c r="H54" s="57">
        <f>TRUNC(E54*G54,2)</f>
        <v>336.01</v>
      </c>
      <c r="I54" s="18">
        <f>I50*80*0.3</f>
        <v>17.172000000000001</v>
      </c>
      <c r="J54" s="53">
        <v>18.079999999999998</v>
      </c>
      <c r="K54" s="102"/>
      <c r="L54" s="102"/>
      <c r="M54" s="19"/>
      <c r="N54" s="18"/>
      <c r="O54" s="18"/>
      <c r="P54" s="29"/>
      <c r="Q54" s="36"/>
      <c r="R54" s="30"/>
    </row>
    <row r="55" spans="1:18" s="91" customFormat="1" thickBot="1">
      <c r="A55" s="58"/>
      <c r="B55" s="59"/>
      <c r="C55" s="33" t="s">
        <v>525</v>
      </c>
      <c r="D55" s="59"/>
      <c r="E55" s="59"/>
      <c r="F55" s="59"/>
      <c r="G55" s="59"/>
      <c r="H55" s="60">
        <f>SUM(H50:H54)</f>
        <v>3934.3500000000004</v>
      </c>
      <c r="I55" s="87"/>
      <c r="J55" s="53"/>
      <c r="K55" s="87"/>
      <c r="L55" s="87"/>
      <c r="M55" s="89"/>
      <c r="N55" s="89"/>
      <c r="O55" s="89"/>
      <c r="P55" s="90"/>
      <c r="Q55" s="87"/>
      <c r="R55" s="87"/>
    </row>
    <row r="56" spans="1:18" s="38" customFormat="1" ht="5.25" customHeight="1" thickBot="1">
      <c r="A56" s="111"/>
      <c r="B56" s="112"/>
      <c r="C56" s="113"/>
      <c r="D56" s="67"/>
      <c r="E56" s="65"/>
      <c r="F56" s="114"/>
      <c r="G56" s="67"/>
      <c r="H56" s="93"/>
      <c r="I56" s="18"/>
      <c r="J56" s="53"/>
      <c r="K56" s="18"/>
      <c r="L56" s="18"/>
      <c r="M56" s="18"/>
      <c r="N56" s="18"/>
      <c r="O56" s="18"/>
      <c r="P56" s="29"/>
      <c r="Q56" s="36"/>
      <c r="R56" s="30"/>
    </row>
    <row r="57" spans="1:18" s="38" customFormat="1" ht="14.4" thickBot="1">
      <c r="A57" s="58" t="s">
        <v>578</v>
      </c>
      <c r="B57" s="59"/>
      <c r="C57" s="33" t="s">
        <v>579</v>
      </c>
      <c r="D57" s="33"/>
      <c r="E57" s="33"/>
      <c r="F57" s="34"/>
      <c r="G57" s="33"/>
      <c r="H57" s="35"/>
      <c r="I57" s="18"/>
      <c r="J57" s="53"/>
      <c r="K57" s="18"/>
      <c r="L57" s="18"/>
      <c r="M57" s="18"/>
      <c r="N57" s="18"/>
      <c r="O57" s="18"/>
      <c r="P57" s="29"/>
      <c r="Q57" s="36"/>
      <c r="R57" s="30"/>
    </row>
    <row r="58" spans="1:18" s="38" customFormat="1" ht="41.4">
      <c r="A58" s="99" t="s">
        <v>580</v>
      </c>
      <c r="B58" s="115">
        <v>103328</v>
      </c>
      <c r="C58" s="100" t="s">
        <v>581</v>
      </c>
      <c r="D58" s="46" t="s">
        <v>521</v>
      </c>
      <c r="E58" s="46">
        <f>TRUNC(I58,2)</f>
        <v>73.180000000000007</v>
      </c>
      <c r="F58" s="116">
        <f>CPU!I126</f>
        <v>64.3</v>
      </c>
      <c r="G58" s="46">
        <f>TRUNC(F58*J$7,2)</f>
        <v>80.37</v>
      </c>
      <c r="H58" s="48">
        <f>TRUNC(E58*G58,2)</f>
        <v>5881.47</v>
      </c>
      <c r="I58" s="18">
        <f>5.9*3+0.8*2.1*2+1.4*(10.55+10.55+12.7)+4*1.2</f>
        <v>73.179999999999993</v>
      </c>
      <c r="J58" s="117">
        <v>76.33</v>
      </c>
      <c r="K58" s="18">
        <f>8*3+2*0.8*2.1+2.52</f>
        <v>29.88</v>
      </c>
      <c r="L58" s="18"/>
      <c r="M58" s="79" t="s">
        <v>582</v>
      </c>
      <c r="N58" s="18"/>
      <c r="O58" s="102"/>
      <c r="P58" s="29"/>
      <c r="Q58" s="36"/>
      <c r="R58" s="30"/>
    </row>
    <row r="59" spans="1:18" s="38" customFormat="1" ht="16.5" customHeight="1">
      <c r="A59" s="118" t="s">
        <v>583</v>
      </c>
      <c r="B59" s="44">
        <v>93182</v>
      </c>
      <c r="C59" s="82" t="s">
        <v>92</v>
      </c>
      <c r="D59" s="52" t="s">
        <v>584</v>
      </c>
      <c r="E59" s="46">
        <f>TRUNC(I59,2)</f>
        <v>23.9</v>
      </c>
      <c r="F59" s="110">
        <f>CPU!I133</f>
        <v>37.71</v>
      </c>
      <c r="G59" s="46">
        <f>TRUNC(F59*J$7,2)</f>
        <v>47.13</v>
      </c>
      <c r="H59" s="48">
        <f>TRUNC(E59*G59,2)</f>
        <v>1126.4000000000001</v>
      </c>
      <c r="I59" s="18">
        <f>5*2.4+2*1.4+1.9+6*1.2</f>
        <v>23.9</v>
      </c>
      <c r="J59" s="53">
        <v>43.37</v>
      </c>
      <c r="K59" s="18"/>
      <c r="L59" s="18"/>
      <c r="M59" s="79" t="s">
        <v>582</v>
      </c>
      <c r="N59" s="18"/>
      <c r="O59" s="102"/>
      <c r="P59" s="29"/>
      <c r="Q59" s="36"/>
      <c r="R59" s="30"/>
    </row>
    <row r="60" spans="1:18" s="38" customFormat="1" ht="21.6" thickBot="1">
      <c r="A60" s="119" t="s">
        <v>585</v>
      </c>
      <c r="B60" s="97">
        <v>93182</v>
      </c>
      <c r="C60" s="84" t="s">
        <v>586</v>
      </c>
      <c r="D60" s="55" t="s">
        <v>584</v>
      </c>
      <c r="E60" s="56">
        <f>TRUNC(I60,2)</f>
        <v>16.7</v>
      </c>
      <c r="F60" s="98">
        <f>F59</f>
        <v>37.71</v>
      </c>
      <c r="G60" s="46">
        <f>TRUNC(F60*J$7,2)</f>
        <v>47.13</v>
      </c>
      <c r="H60" s="57">
        <f>TRUNC(E60*G60,2)</f>
        <v>787.07</v>
      </c>
      <c r="I60" s="18">
        <f>5*2.4+2*1.4+1.9</f>
        <v>16.7</v>
      </c>
      <c r="J60" s="53">
        <v>43.37</v>
      </c>
      <c r="K60" s="18"/>
      <c r="L60" s="18"/>
      <c r="M60" s="79" t="s">
        <v>582</v>
      </c>
      <c r="N60" s="18"/>
      <c r="O60" s="102"/>
      <c r="P60" s="29"/>
      <c r="Q60" s="36"/>
      <c r="R60" s="30"/>
    </row>
    <row r="61" spans="1:18" s="91" customFormat="1" thickBot="1">
      <c r="A61" s="58"/>
      <c r="B61" s="59"/>
      <c r="C61" s="33" t="s">
        <v>525</v>
      </c>
      <c r="D61" s="59"/>
      <c r="E61" s="59"/>
      <c r="F61" s="59"/>
      <c r="G61" s="59"/>
      <c r="H61" s="60">
        <f>SUM(H58:H60)</f>
        <v>7794.9400000000005</v>
      </c>
      <c r="I61" s="87"/>
      <c r="J61" s="53"/>
      <c r="K61" s="87"/>
      <c r="L61" s="87"/>
      <c r="M61" s="89"/>
      <c r="N61" s="89"/>
      <c r="O61" s="89"/>
      <c r="P61" s="90"/>
      <c r="Q61" s="87"/>
      <c r="R61" s="87"/>
    </row>
    <row r="62" spans="1:18" s="38" customFormat="1" ht="6" customHeight="1" thickBot="1">
      <c r="A62" s="111"/>
      <c r="B62" s="112"/>
      <c r="C62" s="113"/>
      <c r="D62" s="67"/>
      <c r="E62" s="66"/>
      <c r="F62" s="66"/>
      <c r="G62" s="67"/>
      <c r="H62" s="93"/>
      <c r="I62" s="18"/>
      <c r="J62" s="53"/>
      <c r="K62" s="18"/>
      <c r="L62" s="18"/>
      <c r="M62" s="18"/>
      <c r="N62" s="18"/>
      <c r="O62" s="18"/>
      <c r="P62" s="29"/>
      <c r="Q62" s="36"/>
      <c r="R62" s="30"/>
    </row>
    <row r="63" spans="1:18" s="38" customFormat="1" ht="14.4" thickBot="1">
      <c r="A63" s="58" t="s">
        <v>587</v>
      </c>
      <c r="B63" s="59"/>
      <c r="C63" s="33" t="s">
        <v>588</v>
      </c>
      <c r="D63" s="33"/>
      <c r="E63" s="33"/>
      <c r="F63" s="34"/>
      <c r="G63" s="33"/>
      <c r="H63" s="35"/>
      <c r="I63" s="18"/>
      <c r="J63" s="53"/>
      <c r="K63" s="18"/>
      <c r="L63" s="18"/>
      <c r="M63" s="18"/>
      <c r="N63" s="18"/>
      <c r="O63" s="18"/>
      <c r="P63" s="29"/>
      <c r="Q63" s="36"/>
      <c r="R63" s="30"/>
    </row>
    <row r="64" spans="1:18" s="38" customFormat="1" ht="33" customHeight="1">
      <c r="A64" s="99" t="s">
        <v>589</v>
      </c>
      <c r="B64" s="70">
        <v>92618</v>
      </c>
      <c r="C64" s="82" t="s">
        <v>96</v>
      </c>
      <c r="D64" s="46" t="s">
        <v>524</v>
      </c>
      <c r="E64" s="46">
        <f>TRUNC(I64,2)</f>
        <v>10</v>
      </c>
      <c r="F64" s="110">
        <f>CPU!I142</f>
        <v>1878.3399999999997</v>
      </c>
      <c r="G64" s="46">
        <f>TRUNC(F64*J$7,2)</f>
        <v>2347.92</v>
      </c>
      <c r="H64" s="48">
        <f>TRUNC(E64*G64,2)</f>
        <v>23479.200000000001</v>
      </c>
      <c r="I64" s="18">
        <v>10</v>
      </c>
      <c r="J64" s="53">
        <v>2152.0300000000002</v>
      </c>
      <c r="K64" s="18"/>
      <c r="L64" s="18"/>
      <c r="M64" s="18">
        <f>12.4/1.2</f>
        <v>10.333333333333334</v>
      </c>
      <c r="N64" s="18"/>
      <c r="O64" s="18"/>
      <c r="P64" s="29"/>
      <c r="Q64" s="36"/>
      <c r="R64" s="30"/>
    </row>
    <row r="65" spans="1:18" s="38" customFormat="1" ht="23.25" customHeight="1">
      <c r="A65" s="99" t="s">
        <v>590</v>
      </c>
      <c r="B65" s="70">
        <v>94216</v>
      </c>
      <c r="C65" s="82" t="s">
        <v>591</v>
      </c>
      <c r="D65" s="52" t="s">
        <v>521</v>
      </c>
      <c r="E65" s="46">
        <f>TRUNC(I65,2)</f>
        <v>147.43</v>
      </c>
      <c r="F65" s="47">
        <f>CPU!I149</f>
        <v>191.1</v>
      </c>
      <c r="G65" s="46">
        <f>TRUNC(F65*J$7,2)</f>
        <v>238.87</v>
      </c>
      <c r="H65" s="48">
        <f>TRUNC(E65*G65,2)</f>
        <v>35216.6</v>
      </c>
      <c r="I65" s="18">
        <f>12.4*11.18+4*2.2</f>
        <v>147.43200000000002</v>
      </c>
      <c r="J65" s="53">
        <v>224.64</v>
      </c>
      <c r="K65" s="18"/>
      <c r="L65" s="18"/>
      <c r="M65" s="18"/>
      <c r="N65" s="18"/>
      <c r="O65" s="18">
        <f>10*1.2</f>
        <v>12</v>
      </c>
      <c r="P65" s="29"/>
      <c r="Q65" s="36"/>
      <c r="R65" s="30"/>
    </row>
    <row r="66" spans="1:18" s="38" customFormat="1" ht="36" customHeight="1">
      <c r="A66" s="99" t="s">
        <v>592</v>
      </c>
      <c r="B66" s="120" t="s">
        <v>519</v>
      </c>
      <c r="C66" s="82" t="s">
        <v>593</v>
      </c>
      <c r="D66" s="52" t="s">
        <v>584</v>
      </c>
      <c r="E66" s="46">
        <f>TRUNC(I66,2)</f>
        <v>111.6</v>
      </c>
      <c r="F66" s="47">
        <f>composições!F43</f>
        <v>72.5</v>
      </c>
      <c r="G66" s="46">
        <f>TRUNC(F66*J$7,2)</f>
        <v>90.62</v>
      </c>
      <c r="H66" s="48">
        <f>TRUNC(E66*G66,2)</f>
        <v>10113.19</v>
      </c>
      <c r="I66" s="18">
        <f>9*12.4</f>
        <v>111.60000000000001</v>
      </c>
      <c r="J66" s="53">
        <v>77.569999999999993</v>
      </c>
      <c r="K66" s="18">
        <f>10.9/1.2</f>
        <v>9.0833333333333339</v>
      </c>
      <c r="L66" s="18">
        <f>6.9/1.2</f>
        <v>5.7500000000000009</v>
      </c>
      <c r="M66" s="18">
        <f>9*12.7</f>
        <v>114.3</v>
      </c>
      <c r="N66" s="18"/>
      <c r="O66" s="18"/>
      <c r="P66" s="29"/>
      <c r="Q66" s="36"/>
      <c r="R66" s="30"/>
    </row>
    <row r="67" spans="1:18" s="38" customFormat="1" ht="21">
      <c r="A67" s="99" t="s">
        <v>594</v>
      </c>
      <c r="B67" s="70">
        <v>94227</v>
      </c>
      <c r="C67" s="82" t="s">
        <v>595</v>
      </c>
      <c r="D67" s="52" t="s">
        <v>584</v>
      </c>
      <c r="E67" s="46">
        <f>TRUNC(I67,2)</f>
        <v>83.6</v>
      </c>
      <c r="F67" s="47">
        <f>CPU!I156</f>
        <v>64.550000000000011</v>
      </c>
      <c r="G67" s="46">
        <f>TRUNC(F67*J$7,2)</f>
        <v>80.680000000000007</v>
      </c>
      <c r="H67" s="48">
        <f>TRUNC(E67*G67,2)</f>
        <v>6744.84</v>
      </c>
      <c r="I67" s="18">
        <f>(10.55+10.55+12.7)*2+4+4+4+4</f>
        <v>83.6</v>
      </c>
      <c r="J67" s="53">
        <v>74.489999999999995</v>
      </c>
      <c r="K67" s="18"/>
      <c r="L67" s="18">
        <f>9*17.85+6*8.9</f>
        <v>214.05</v>
      </c>
      <c r="M67" s="18"/>
      <c r="O67" s="18"/>
      <c r="P67" s="29"/>
      <c r="Q67" s="36"/>
      <c r="R67" s="30"/>
    </row>
    <row r="68" spans="1:18" s="38" customFormat="1" ht="31.8" thickBot="1">
      <c r="A68" s="99" t="s">
        <v>596</v>
      </c>
      <c r="B68" s="97">
        <v>96116</v>
      </c>
      <c r="C68" s="84" t="s">
        <v>597</v>
      </c>
      <c r="D68" s="55" t="s">
        <v>521</v>
      </c>
      <c r="E68" s="56">
        <f>TRUNC(I68,2)</f>
        <v>175.47</v>
      </c>
      <c r="F68" s="98">
        <f>CPU!I166</f>
        <v>66.5</v>
      </c>
      <c r="G68" s="46">
        <f>TRUNC(F68*J$7,2)</f>
        <v>83.12</v>
      </c>
      <c r="H68" s="57">
        <f>TRUNC(E68*G68,2)</f>
        <v>14585.06</v>
      </c>
      <c r="I68" s="18">
        <f>I21</f>
        <v>175.47750000000002</v>
      </c>
      <c r="J68" s="53">
        <v>77.52</v>
      </c>
      <c r="K68" s="18"/>
      <c r="L68" s="18"/>
      <c r="M68" s="18"/>
      <c r="N68" s="18"/>
      <c r="O68" s="18"/>
      <c r="P68" s="29"/>
      <c r="Q68" s="36"/>
      <c r="R68" s="30"/>
    </row>
    <row r="69" spans="1:18" s="91" customFormat="1" thickBot="1">
      <c r="A69" s="58"/>
      <c r="B69" s="59"/>
      <c r="C69" s="33" t="s">
        <v>525</v>
      </c>
      <c r="D69" s="59"/>
      <c r="E69" s="59"/>
      <c r="F69" s="59"/>
      <c r="G69" s="59"/>
      <c r="H69" s="60">
        <f>SUM(H64:H68)</f>
        <v>90138.89</v>
      </c>
      <c r="I69" s="87"/>
      <c r="J69" s="53"/>
      <c r="K69" s="87"/>
      <c r="L69" s="87"/>
      <c r="M69" s="89"/>
      <c r="N69" s="89"/>
      <c r="O69" s="89"/>
      <c r="P69" s="90"/>
      <c r="Q69" s="87"/>
      <c r="R69" s="87"/>
    </row>
    <row r="70" spans="1:18" s="38" customFormat="1" ht="6" customHeight="1" thickBot="1">
      <c r="A70" s="111"/>
      <c r="B70" s="112"/>
      <c r="C70" s="64"/>
      <c r="D70" s="67"/>
      <c r="E70" s="66"/>
      <c r="F70" s="66"/>
      <c r="G70" s="67"/>
      <c r="H70" s="93"/>
      <c r="I70" s="18"/>
      <c r="J70" s="53"/>
      <c r="K70" s="18"/>
      <c r="L70" s="18"/>
      <c r="M70" s="18"/>
      <c r="N70" s="18"/>
      <c r="O70" s="18"/>
      <c r="P70" s="29"/>
      <c r="Q70" s="36"/>
      <c r="R70" s="30"/>
    </row>
    <row r="71" spans="1:18" s="38" customFormat="1" ht="14.4" thickBot="1">
      <c r="A71" s="121" t="s">
        <v>598</v>
      </c>
      <c r="B71" s="122"/>
      <c r="C71" s="123" t="s">
        <v>599</v>
      </c>
      <c r="D71" s="123"/>
      <c r="E71" s="123"/>
      <c r="F71" s="124"/>
      <c r="G71" s="123"/>
      <c r="H71" s="125"/>
      <c r="I71" s="18"/>
      <c r="J71" s="53"/>
      <c r="K71" s="18"/>
      <c r="L71" s="18"/>
      <c r="M71" s="18"/>
      <c r="N71" s="18"/>
      <c r="O71" s="18"/>
      <c r="P71" s="29"/>
      <c r="Q71" s="36"/>
      <c r="R71" s="30"/>
    </row>
    <row r="72" spans="1:18" s="38" customFormat="1" ht="14.4" thickBot="1">
      <c r="A72" s="58" t="s">
        <v>600</v>
      </c>
      <c r="B72" s="59"/>
      <c r="C72" s="126" t="s">
        <v>601</v>
      </c>
      <c r="D72" s="59"/>
      <c r="E72" s="59"/>
      <c r="F72" s="59"/>
      <c r="G72" s="59"/>
      <c r="H72" s="60"/>
      <c r="I72" s="18"/>
      <c r="J72" s="53"/>
      <c r="K72" s="18"/>
      <c r="L72" s="18"/>
      <c r="M72" s="18"/>
      <c r="N72" s="18"/>
      <c r="O72" s="18"/>
      <c r="P72" s="29"/>
      <c r="Q72" s="36"/>
      <c r="R72" s="30"/>
    </row>
    <row r="73" spans="1:18" s="38" customFormat="1" ht="41.4">
      <c r="A73" s="99" t="s">
        <v>602</v>
      </c>
      <c r="B73" s="70">
        <v>91016</v>
      </c>
      <c r="C73" s="100" t="s">
        <v>603</v>
      </c>
      <c r="D73" s="46" t="s">
        <v>524</v>
      </c>
      <c r="E73" s="46">
        <f>TRUNC(I73,2)</f>
        <v>2</v>
      </c>
      <c r="F73" s="95">
        <f>CPU!I175</f>
        <v>633.99</v>
      </c>
      <c r="G73" s="46">
        <f>TRUNC(F73*J$7,2)</f>
        <v>792.48</v>
      </c>
      <c r="H73" s="48">
        <f>TRUNC(E73*G73,2)</f>
        <v>1584.96</v>
      </c>
      <c r="I73" s="18">
        <v>2</v>
      </c>
      <c r="J73" s="53">
        <v>725.18</v>
      </c>
      <c r="K73" s="102"/>
      <c r="L73" s="102"/>
      <c r="M73" s="18"/>
      <c r="N73" s="18"/>
      <c r="O73" s="18" t="e">
        <f>L64:O67</f>
        <v>#VALUE!</v>
      </c>
      <c r="P73" s="29"/>
      <c r="Q73" s="36"/>
      <c r="R73" s="30"/>
    </row>
    <row r="74" spans="1:18" s="38" customFormat="1" ht="31.2">
      <c r="A74" s="118" t="s">
        <v>604</v>
      </c>
      <c r="B74" s="127">
        <v>91306</v>
      </c>
      <c r="C74" s="82" t="s">
        <v>126</v>
      </c>
      <c r="D74" s="52" t="s">
        <v>524</v>
      </c>
      <c r="E74" s="128">
        <f>TRUNC(I74,2)</f>
        <v>9</v>
      </c>
      <c r="F74" s="47">
        <f>CPU!I179</f>
        <v>127.33999999999999</v>
      </c>
      <c r="G74" s="46">
        <f>TRUNC(F74*J$7,2)</f>
        <v>159.16999999999999</v>
      </c>
      <c r="H74" s="48">
        <f>TRUNC(E74*G74,2)</f>
        <v>1432.53</v>
      </c>
      <c r="I74" s="18">
        <v>9</v>
      </c>
      <c r="J74" s="129">
        <v>146.13999999999999</v>
      </c>
      <c r="K74" s="102"/>
      <c r="L74" s="102"/>
      <c r="M74" s="18"/>
      <c r="N74" s="18"/>
      <c r="O74" s="18"/>
      <c r="P74" s="29"/>
      <c r="Q74" s="36"/>
      <c r="R74" s="30"/>
    </row>
    <row r="75" spans="1:18" s="38" customFormat="1" ht="41.4">
      <c r="A75" s="130" t="s">
        <v>605</v>
      </c>
      <c r="B75" s="127">
        <v>91015</v>
      </c>
      <c r="C75" s="82" t="s">
        <v>606</v>
      </c>
      <c r="D75" s="131" t="s">
        <v>524</v>
      </c>
      <c r="E75" s="56">
        <f>TRUNC(I75,2)</f>
        <v>5</v>
      </c>
      <c r="F75" s="98">
        <f>CPU!I183</f>
        <v>598.30999999999995</v>
      </c>
      <c r="G75" s="46">
        <f>TRUNC(F75*J$7,2)</f>
        <v>747.88</v>
      </c>
      <c r="H75" s="57">
        <f>TRUNC(E75*G75,2)</f>
        <v>3739.4</v>
      </c>
      <c r="I75" s="18">
        <v>5</v>
      </c>
      <c r="J75" s="53">
        <v>88.53</v>
      </c>
      <c r="K75" s="102"/>
      <c r="L75" s="19"/>
      <c r="M75" s="18"/>
      <c r="N75" s="18"/>
      <c r="O75" s="18"/>
      <c r="P75" s="29"/>
      <c r="Q75" s="36"/>
      <c r="R75" s="30"/>
    </row>
    <row r="76" spans="1:18" s="38" customFormat="1" ht="42" thickBot="1">
      <c r="A76" s="132" t="s">
        <v>607</v>
      </c>
      <c r="B76" s="97">
        <v>91014</v>
      </c>
      <c r="C76" s="133" t="s">
        <v>608</v>
      </c>
      <c r="D76" s="55" t="s">
        <v>524</v>
      </c>
      <c r="E76" s="55">
        <f>TRUNC(I76,2)</f>
        <v>2</v>
      </c>
      <c r="F76" s="98">
        <f>CPU!I187</f>
        <v>551.95000000000005</v>
      </c>
      <c r="G76" s="46">
        <f>TRUNC(F76*J$7,2)</f>
        <v>689.93</v>
      </c>
      <c r="H76" s="134">
        <f>TRUNC(E76*G76,2)</f>
        <v>1379.86</v>
      </c>
      <c r="I76" s="18">
        <v>2</v>
      </c>
      <c r="J76" s="135">
        <v>631.36</v>
      </c>
      <c r="K76" s="102"/>
      <c r="L76" s="102"/>
      <c r="M76" s="18"/>
      <c r="N76" s="18"/>
      <c r="O76" s="18"/>
      <c r="P76" s="29"/>
      <c r="Q76" s="36"/>
      <c r="R76" s="30"/>
    </row>
    <row r="77" spans="1:18" s="38" customFormat="1" ht="14.4" thickBot="1">
      <c r="A77" s="58" t="s">
        <v>609</v>
      </c>
      <c r="B77" s="59"/>
      <c r="C77" s="126" t="s">
        <v>610</v>
      </c>
      <c r="D77" s="59"/>
      <c r="E77" s="59"/>
      <c r="F77" s="59"/>
      <c r="G77" s="59"/>
      <c r="H77" s="60"/>
      <c r="I77" s="18"/>
      <c r="J77" s="53"/>
      <c r="K77" s="102"/>
      <c r="L77" s="102"/>
      <c r="M77" s="18"/>
      <c r="N77" s="18"/>
      <c r="O77" s="18"/>
      <c r="P77" s="29"/>
      <c r="Q77" s="36"/>
      <c r="R77" s="30"/>
    </row>
    <row r="78" spans="1:18" s="38" customFormat="1" ht="21">
      <c r="A78" s="132" t="s">
        <v>611</v>
      </c>
      <c r="B78" s="136">
        <v>100701</v>
      </c>
      <c r="C78" s="94" t="s">
        <v>133</v>
      </c>
      <c r="D78" s="46" t="s">
        <v>521</v>
      </c>
      <c r="E78" s="46">
        <f t="shared" ref="E78:E83" si="6">TRUNC(I78,2)</f>
        <v>1.68</v>
      </c>
      <c r="F78" s="95">
        <f>CPU!I191</f>
        <v>484.43</v>
      </c>
      <c r="G78" s="46">
        <f t="shared" ref="G78:G83" si="7">TRUNC(F78*J$7,2)</f>
        <v>605.53</v>
      </c>
      <c r="H78" s="48">
        <f t="shared" ref="H78:H83" si="8">TRUNC(E78*G78,2)</f>
        <v>1017.29</v>
      </c>
      <c r="I78" s="18">
        <f>0.8*2.1</f>
        <v>1.6800000000000002</v>
      </c>
      <c r="J78" s="53">
        <v>554.9</v>
      </c>
      <c r="K78" s="31"/>
      <c r="L78" s="102"/>
      <c r="M78" s="18"/>
      <c r="N78" s="18"/>
      <c r="O78" s="18"/>
      <c r="P78" s="29"/>
      <c r="Q78" s="36"/>
      <c r="R78" s="30"/>
    </row>
    <row r="79" spans="1:18" s="38" customFormat="1" ht="26.25" customHeight="1">
      <c r="A79" s="137" t="s">
        <v>612</v>
      </c>
      <c r="B79" s="44">
        <v>91338</v>
      </c>
      <c r="C79" s="82" t="s">
        <v>613</v>
      </c>
      <c r="D79" s="78" t="s">
        <v>521</v>
      </c>
      <c r="E79" s="52">
        <f t="shared" si="6"/>
        <v>4.62</v>
      </c>
      <c r="F79" s="47">
        <f>CPU!I196</f>
        <v>776.79</v>
      </c>
      <c r="G79" s="46">
        <f t="shared" si="7"/>
        <v>970.98</v>
      </c>
      <c r="H79" s="52">
        <f t="shared" si="8"/>
        <v>4485.92</v>
      </c>
      <c r="I79" s="18">
        <f>1*0.8*2.1+2*0.7*2.1</f>
        <v>4.62</v>
      </c>
      <c r="J79" s="53">
        <v>889.14</v>
      </c>
      <c r="K79" s="31"/>
      <c r="L79" s="102"/>
      <c r="M79" s="18"/>
      <c r="N79" s="18"/>
      <c r="O79" s="18"/>
      <c r="P79" s="29"/>
      <c r="Q79" s="36"/>
      <c r="R79" s="30"/>
    </row>
    <row r="80" spans="1:18" s="38" customFormat="1" ht="21">
      <c r="A80" s="137" t="s">
        <v>614</v>
      </c>
      <c r="B80" s="44">
        <v>99861</v>
      </c>
      <c r="C80" s="82" t="s">
        <v>615</v>
      </c>
      <c r="D80" s="138" t="s">
        <v>521</v>
      </c>
      <c r="E80" s="52">
        <f t="shared" si="6"/>
        <v>26.44</v>
      </c>
      <c r="F80" s="47">
        <f>CPU!I203</f>
        <v>480.28000000000003</v>
      </c>
      <c r="G80" s="46">
        <f t="shared" si="7"/>
        <v>600.35</v>
      </c>
      <c r="H80" s="52">
        <f t="shared" si="8"/>
        <v>15873.25</v>
      </c>
      <c r="I80" s="18">
        <f>2.4*1.6*5+1.4*1*3+1.9*1.6*1</f>
        <v>26.439999999999998</v>
      </c>
      <c r="J80" s="53">
        <v>575.36</v>
      </c>
      <c r="K80" s="31" t="s">
        <v>616</v>
      </c>
      <c r="L80" s="102"/>
      <c r="M80" s="18"/>
      <c r="N80" s="18"/>
      <c r="O80" s="18"/>
      <c r="P80" s="29"/>
      <c r="Q80" s="36"/>
      <c r="R80" s="30"/>
    </row>
    <row r="81" spans="1:18" s="38" customFormat="1" ht="43.5" customHeight="1">
      <c r="A81" s="137" t="s">
        <v>617</v>
      </c>
      <c r="B81" s="44">
        <v>94570</v>
      </c>
      <c r="C81" s="82" t="s">
        <v>146</v>
      </c>
      <c r="D81" s="131" t="s">
        <v>521</v>
      </c>
      <c r="E81" s="46">
        <f t="shared" si="6"/>
        <v>8.4</v>
      </c>
      <c r="F81" s="95">
        <f>CPU!I210</f>
        <v>423.53000000000003</v>
      </c>
      <c r="G81" s="46">
        <f t="shared" si="7"/>
        <v>529.41</v>
      </c>
      <c r="H81" s="48">
        <f t="shared" si="8"/>
        <v>4447.04</v>
      </c>
      <c r="I81" s="18">
        <f>2*1.2*1+4*1.5*1</f>
        <v>8.4</v>
      </c>
      <c r="J81" s="53">
        <v>485.29</v>
      </c>
      <c r="K81" s="31"/>
      <c r="L81" s="19"/>
      <c r="M81" s="18"/>
      <c r="N81" s="18"/>
      <c r="O81" s="18"/>
      <c r="P81" s="29"/>
      <c r="Q81" s="36"/>
      <c r="R81" s="30"/>
    </row>
    <row r="82" spans="1:18" s="38" customFormat="1" ht="31.2">
      <c r="A82" s="137" t="s">
        <v>618</v>
      </c>
      <c r="B82" s="44">
        <v>94569</v>
      </c>
      <c r="C82" s="82" t="s">
        <v>619</v>
      </c>
      <c r="D82" s="78" t="s">
        <v>521</v>
      </c>
      <c r="E82" s="52">
        <f t="shared" si="6"/>
        <v>1.6</v>
      </c>
      <c r="F82" s="47">
        <f>CPU!I216</f>
        <v>800.61</v>
      </c>
      <c r="G82" s="46">
        <f t="shared" si="7"/>
        <v>1000.76</v>
      </c>
      <c r="H82" s="52">
        <f t="shared" si="8"/>
        <v>1601.21</v>
      </c>
      <c r="I82" s="18">
        <f>4*0.8*0.5</f>
        <v>1.6</v>
      </c>
      <c r="J82" s="53">
        <v>989.22</v>
      </c>
      <c r="K82" s="31"/>
      <c r="L82" s="102"/>
      <c r="M82" s="18"/>
      <c r="N82" s="18"/>
      <c r="O82" s="18"/>
      <c r="P82" s="29"/>
      <c r="Q82" s="36"/>
      <c r="R82" s="30"/>
    </row>
    <row r="83" spans="1:18" s="107" customFormat="1" ht="23.25" customHeight="1" thickBot="1">
      <c r="A83" s="132" t="s">
        <v>620</v>
      </c>
      <c r="B83" s="139" t="s">
        <v>519</v>
      </c>
      <c r="C83" s="94" t="s">
        <v>621</v>
      </c>
      <c r="D83" s="131" t="s">
        <v>521</v>
      </c>
      <c r="E83" s="56">
        <f t="shared" si="6"/>
        <v>12.85</v>
      </c>
      <c r="F83" s="140">
        <f t="shared" ref="F83" si="9">J83</f>
        <v>415.25</v>
      </c>
      <c r="G83" s="46">
        <f t="shared" si="7"/>
        <v>519.05999999999995</v>
      </c>
      <c r="H83" s="57">
        <f t="shared" si="8"/>
        <v>6669.92</v>
      </c>
      <c r="I83" s="19">
        <f>1*2.7+3.76*2.7</f>
        <v>12.852</v>
      </c>
      <c r="J83" s="53">
        <v>415.25</v>
      </c>
      <c r="K83" s="101"/>
      <c r="L83" s="101"/>
      <c r="M83" s="19"/>
      <c r="N83" s="19"/>
      <c r="O83" s="19"/>
      <c r="P83" s="104"/>
      <c r="Q83" s="105"/>
      <c r="R83" s="106"/>
    </row>
    <row r="84" spans="1:18" s="91" customFormat="1" thickBot="1">
      <c r="A84" s="121"/>
      <c r="B84" s="122"/>
      <c r="C84" s="123" t="s">
        <v>525</v>
      </c>
      <c r="D84" s="122"/>
      <c r="E84" s="122"/>
      <c r="F84" s="122"/>
      <c r="G84" s="122"/>
      <c r="H84" s="141">
        <f>SUM(H73:H83)</f>
        <v>42231.38</v>
      </c>
      <c r="I84" s="87"/>
      <c r="J84" s="37"/>
      <c r="K84" s="87"/>
      <c r="L84" s="87"/>
      <c r="M84" s="89"/>
      <c r="N84" s="89"/>
      <c r="O84" s="89"/>
      <c r="P84" s="90"/>
      <c r="Q84" s="87"/>
      <c r="R84" s="87"/>
    </row>
    <row r="85" spans="1:18" s="38" customFormat="1" ht="5.25" customHeight="1" thickBot="1">
      <c r="A85" s="142"/>
      <c r="B85" s="143"/>
      <c r="C85" s="144"/>
      <c r="D85" s="145"/>
      <c r="E85" s="146"/>
      <c r="F85" s="147"/>
      <c r="G85" s="145"/>
      <c r="H85" s="148"/>
      <c r="I85" s="18"/>
      <c r="J85" s="53"/>
      <c r="K85" s="18"/>
      <c r="L85" s="18"/>
      <c r="M85" s="18"/>
      <c r="N85" s="18"/>
      <c r="O85" s="18"/>
      <c r="P85" s="29"/>
      <c r="Q85" s="36"/>
      <c r="R85" s="30"/>
    </row>
    <row r="86" spans="1:18" s="38" customFormat="1" ht="14.4" thickBot="1">
      <c r="A86" s="39" t="s">
        <v>622</v>
      </c>
      <c r="B86" s="149"/>
      <c r="C86" s="40" t="s">
        <v>623</v>
      </c>
      <c r="D86" s="40"/>
      <c r="E86" s="40"/>
      <c r="F86" s="41"/>
      <c r="G86" s="40"/>
      <c r="H86" s="42"/>
      <c r="I86" s="18"/>
      <c r="J86" s="53"/>
      <c r="K86" s="18"/>
      <c r="L86" s="18"/>
      <c r="M86" s="18"/>
      <c r="N86" s="18"/>
      <c r="O86" s="18"/>
      <c r="P86" s="29"/>
      <c r="Q86" s="36"/>
      <c r="R86" s="30"/>
    </row>
    <row r="87" spans="1:18" s="38" customFormat="1" ht="34.5" customHeight="1">
      <c r="A87" s="99" t="s">
        <v>624</v>
      </c>
      <c r="B87" s="70">
        <v>87879</v>
      </c>
      <c r="C87" s="100" t="s">
        <v>625</v>
      </c>
      <c r="D87" s="46" t="s">
        <v>521</v>
      </c>
      <c r="E87" s="46">
        <f>TRUNC(I87,2)</f>
        <v>251.79</v>
      </c>
      <c r="F87" s="95">
        <f>CPU!I222</f>
        <v>2.95</v>
      </c>
      <c r="G87" s="46">
        <f>TRUNC(F87*J$7,2)</f>
        <v>3.68</v>
      </c>
      <c r="H87" s="48">
        <f>TRUNC(E87*G87,2)</f>
        <v>926.58</v>
      </c>
      <c r="I87" s="18">
        <f>I58*2+I25+50</f>
        <v>251.79</v>
      </c>
      <c r="J87" s="53">
        <v>3.44</v>
      </c>
      <c r="K87" s="19" t="s">
        <v>626</v>
      </c>
      <c r="L87" s="19"/>
      <c r="N87" s="18"/>
      <c r="O87" s="18"/>
      <c r="P87" s="29"/>
      <c r="Q87" s="36"/>
      <c r="R87" s="30"/>
    </row>
    <row r="88" spans="1:18" s="38" customFormat="1" ht="48" customHeight="1">
      <c r="A88" s="118" t="s">
        <v>627</v>
      </c>
      <c r="B88" s="44" t="s">
        <v>628</v>
      </c>
      <c r="C88" s="82" t="s">
        <v>629</v>
      </c>
      <c r="D88" s="52" t="s">
        <v>521</v>
      </c>
      <c r="E88" s="46">
        <f>TRUNC(I88,2)</f>
        <v>251.79</v>
      </c>
      <c r="F88" s="47">
        <f>CPU!I226</f>
        <v>25.080000000000002</v>
      </c>
      <c r="G88" s="46">
        <f>TRUNC(F88*J$7,2)</f>
        <v>31.35</v>
      </c>
      <c r="H88" s="48">
        <f>TRUNC(E88*G88,2)</f>
        <v>7893.61</v>
      </c>
      <c r="I88" s="18">
        <f>I87</f>
        <v>251.79</v>
      </c>
      <c r="J88" s="53">
        <v>29.67</v>
      </c>
      <c r="K88" s="19"/>
      <c r="L88" s="19"/>
      <c r="N88" s="18"/>
      <c r="O88" s="18"/>
      <c r="P88" s="29"/>
      <c r="Q88" s="36"/>
      <c r="R88" s="30"/>
    </row>
    <row r="89" spans="1:18" s="38" customFormat="1" ht="37.5" customHeight="1">
      <c r="A89" s="118" t="s">
        <v>630</v>
      </c>
      <c r="B89" s="44">
        <v>87274</v>
      </c>
      <c r="C89" s="82" t="s">
        <v>631</v>
      </c>
      <c r="D89" s="52" t="s">
        <v>521</v>
      </c>
      <c r="E89" s="46">
        <f>TRUNC(I89,2)</f>
        <v>111.93</v>
      </c>
      <c r="F89" s="47">
        <f>CPU!I230</f>
        <v>59.14</v>
      </c>
      <c r="G89" s="46">
        <f>TRUNC(F89*J$7,2)</f>
        <v>73.92</v>
      </c>
      <c r="H89" s="48">
        <f>TRUNC(E89*G89,2)</f>
        <v>8273.86</v>
      </c>
      <c r="I89" s="18">
        <f>(2.65+2.65+3+3+3+3+1.2+1.2+1.9+1.9+1.8+1.8+1.1+1.1+1.9+1.9+1.9+1.9+2+2)*3-(1.5*1.2+0.8*2.1*2+1*0.6+0.7*2.1+0.7*2.1+1*0.6+0.7*2.1)</f>
        <v>111.92999999999999</v>
      </c>
      <c r="J89" s="53">
        <v>69.260000000000005</v>
      </c>
      <c r="K89" s="18">
        <f>I22+(1.9+1.9+2+2)*2</f>
        <v>71.03</v>
      </c>
      <c r="L89" s="18"/>
      <c r="M89" s="18"/>
      <c r="N89" s="18"/>
      <c r="O89" s="18"/>
      <c r="P89" s="29"/>
      <c r="Q89" s="36"/>
      <c r="R89" s="30"/>
    </row>
    <row r="90" spans="1:18" s="38" customFormat="1" ht="31.2">
      <c r="A90" s="118" t="s">
        <v>632</v>
      </c>
      <c r="B90" s="44">
        <v>102253</v>
      </c>
      <c r="C90" s="82" t="s">
        <v>159</v>
      </c>
      <c r="D90" s="55" t="s">
        <v>521</v>
      </c>
      <c r="E90" s="46">
        <f>TRUNC(I90,2)</f>
        <v>1.2</v>
      </c>
      <c r="F90" s="47">
        <f>CPU!I236</f>
        <v>710.8599999999999</v>
      </c>
      <c r="G90" s="46">
        <f>TRUNC(F90*J$7,2)</f>
        <v>888.57</v>
      </c>
      <c r="H90" s="48">
        <f>TRUNC(E90*G90,2)</f>
        <v>1066.28</v>
      </c>
      <c r="I90" s="18">
        <f>3*0.5*0.8</f>
        <v>1.2000000000000002</v>
      </c>
      <c r="J90" s="53">
        <v>815.37</v>
      </c>
      <c r="K90" s="18"/>
      <c r="L90" s="18"/>
      <c r="M90" s="18"/>
      <c r="N90" s="18"/>
      <c r="O90" s="18"/>
      <c r="P90" s="29"/>
      <c r="Q90" s="36"/>
      <c r="R90" s="30"/>
    </row>
    <row r="91" spans="1:18" s="38" customFormat="1" ht="24.75" customHeight="1" thickBot="1">
      <c r="A91" s="119" t="s">
        <v>633</v>
      </c>
      <c r="B91" s="44">
        <v>102253</v>
      </c>
      <c r="C91" s="54" t="s">
        <v>634</v>
      </c>
      <c r="D91" s="55" t="s">
        <v>521</v>
      </c>
      <c r="E91" s="56">
        <f>TRUNC(I91,2)</f>
        <v>3.2</v>
      </c>
      <c r="F91" s="98">
        <f>CPU!I236</f>
        <v>710.8599999999999</v>
      </c>
      <c r="G91" s="46">
        <f>TRUNC(F91*J$7,2)</f>
        <v>888.57</v>
      </c>
      <c r="H91" s="57">
        <f>TRUNC(E91*G91,2)</f>
        <v>2843.42</v>
      </c>
      <c r="I91" s="18">
        <f>4*0.8</f>
        <v>3.2</v>
      </c>
      <c r="J91" s="53">
        <v>815.37</v>
      </c>
      <c r="K91" s="79"/>
      <c r="L91" s="18"/>
      <c r="M91" s="18"/>
      <c r="N91" s="18"/>
      <c r="O91" s="18"/>
      <c r="P91" s="29"/>
      <c r="Q91" s="36"/>
      <c r="R91" s="30"/>
    </row>
    <row r="92" spans="1:18" s="91" customFormat="1" thickBot="1">
      <c r="A92" s="58"/>
      <c r="B92" s="59"/>
      <c r="C92" s="33" t="s">
        <v>525</v>
      </c>
      <c r="D92" s="59"/>
      <c r="E92" s="59"/>
      <c r="F92" s="59"/>
      <c r="G92" s="59"/>
      <c r="H92" s="60">
        <f>SUM(H87:H91)</f>
        <v>21003.75</v>
      </c>
      <c r="I92" s="87"/>
      <c r="J92" s="37"/>
      <c r="K92" s="87"/>
      <c r="L92" s="87"/>
      <c r="M92" s="89"/>
      <c r="N92" s="89"/>
      <c r="O92" s="89"/>
      <c r="P92" s="90"/>
      <c r="Q92" s="87"/>
      <c r="R92" s="87"/>
    </row>
    <row r="93" spans="1:18" s="38" customFormat="1" ht="6" customHeight="1" thickBot="1">
      <c r="A93" s="111"/>
      <c r="B93" s="112"/>
      <c r="C93" s="113"/>
      <c r="D93" s="67"/>
      <c r="E93" s="66"/>
      <c r="F93" s="66"/>
      <c r="G93" s="67"/>
      <c r="H93" s="93"/>
      <c r="I93" s="18"/>
      <c r="J93" s="53"/>
      <c r="K93" s="18"/>
      <c r="L93" s="18"/>
      <c r="M93" s="18"/>
      <c r="N93" s="18"/>
      <c r="O93" s="18"/>
      <c r="P93" s="29"/>
      <c r="Q93" s="36"/>
      <c r="R93" s="30"/>
    </row>
    <row r="94" spans="1:18" s="38" customFormat="1" ht="14.4" thickBot="1">
      <c r="A94" s="58" t="s">
        <v>635</v>
      </c>
      <c r="B94" s="59"/>
      <c r="C94" s="33" t="s">
        <v>636</v>
      </c>
      <c r="D94" s="33"/>
      <c r="E94" s="33"/>
      <c r="F94" s="34"/>
      <c r="G94" s="33"/>
      <c r="H94" s="35"/>
      <c r="I94" s="18"/>
      <c r="J94" s="53"/>
      <c r="K94" s="18"/>
      <c r="L94" s="18"/>
      <c r="M94" s="18"/>
      <c r="N94" s="18"/>
      <c r="O94" s="18"/>
      <c r="P94" s="29"/>
      <c r="Q94" s="36"/>
      <c r="R94" s="30"/>
    </row>
    <row r="95" spans="1:18" s="107" customFormat="1" ht="36" customHeight="1">
      <c r="A95" s="69" t="s">
        <v>637</v>
      </c>
      <c r="B95" s="44">
        <v>87250</v>
      </c>
      <c r="C95" s="51" t="s">
        <v>638</v>
      </c>
      <c r="D95" s="46" t="s">
        <v>521</v>
      </c>
      <c r="E95" s="46">
        <f t="shared" ref="E95:E100" si="10">TRUNC(I95,2)</f>
        <v>188.99</v>
      </c>
      <c r="F95" s="95">
        <f>CPU!I244</f>
        <v>44.82</v>
      </c>
      <c r="G95" s="46">
        <f t="shared" ref="G95:G100" si="11">TRUNC(F95*J$7,2)</f>
        <v>56.02</v>
      </c>
      <c r="H95" s="48">
        <f t="shared" ref="H95:H100" si="12">TRUNC(E95*G95,2)</f>
        <v>10587.21</v>
      </c>
      <c r="I95" s="18">
        <f>I21+11.43+2.09</f>
        <v>188.99750000000003</v>
      </c>
      <c r="J95" s="53">
        <v>51.96</v>
      </c>
      <c r="K95" s="19"/>
      <c r="L95" s="18">
        <f>11.97+3.78+7.2+12.18+5*4.7+4*4+65.75+33+14.53+1.67+4.26+4.27+2.95+8.9</f>
        <v>209.95999999999998</v>
      </c>
      <c r="M95" s="19"/>
      <c r="N95" s="19"/>
      <c r="O95" s="19"/>
      <c r="P95" s="104"/>
      <c r="Q95" s="105"/>
      <c r="R95" s="106"/>
    </row>
    <row r="96" spans="1:18" s="107" customFormat="1" ht="26.25" customHeight="1">
      <c r="A96" s="69" t="s">
        <v>639</v>
      </c>
      <c r="B96" s="44" t="s">
        <v>640</v>
      </c>
      <c r="C96" s="51" t="s">
        <v>641</v>
      </c>
      <c r="D96" s="52" t="s">
        <v>584</v>
      </c>
      <c r="E96" s="46">
        <f t="shared" si="10"/>
        <v>79.400000000000006</v>
      </c>
      <c r="F96" s="47">
        <f>CPU!I250</f>
        <v>6.43</v>
      </c>
      <c r="G96" s="46">
        <f t="shared" si="11"/>
        <v>8.0299999999999994</v>
      </c>
      <c r="H96" s="86">
        <f t="shared" si="12"/>
        <v>637.58000000000004</v>
      </c>
      <c r="I96" s="107">
        <f>3.75+3.75+3.05+3.05+4.05+4.05+4+4+4.05+4.05+4+4+4.05+4.05+4.05+4.05+8.7+8.7</f>
        <v>79.399999999999991</v>
      </c>
      <c r="J96" s="53">
        <v>7.46</v>
      </c>
      <c r="K96" s="19"/>
      <c r="L96" s="19"/>
      <c r="M96" s="19"/>
      <c r="N96" s="19"/>
      <c r="O96" s="19"/>
      <c r="P96" s="104"/>
      <c r="Q96" s="105"/>
      <c r="R96" s="106"/>
    </row>
    <row r="97" spans="1:18" s="38" customFormat="1" ht="27" customHeight="1">
      <c r="A97" s="69" t="s">
        <v>642</v>
      </c>
      <c r="B97" s="70">
        <v>97101</v>
      </c>
      <c r="C97" s="45" t="s">
        <v>643</v>
      </c>
      <c r="D97" s="52" t="s">
        <v>521</v>
      </c>
      <c r="E97" s="46">
        <f t="shared" si="10"/>
        <v>22.75</v>
      </c>
      <c r="F97" s="47">
        <f>CPU!I256</f>
        <v>179.97</v>
      </c>
      <c r="G97" s="46">
        <f t="shared" si="11"/>
        <v>224.96</v>
      </c>
      <c r="H97" s="86">
        <f t="shared" si="12"/>
        <v>5117.84</v>
      </c>
      <c r="I97" s="102">
        <v>22.75</v>
      </c>
      <c r="J97" s="53">
        <v>205.87</v>
      </c>
      <c r="K97" s="102"/>
      <c r="L97" s="18"/>
      <c r="M97" s="18"/>
      <c r="N97" s="18"/>
      <c r="O97" s="18"/>
      <c r="P97" s="29"/>
      <c r="Q97" s="36"/>
      <c r="R97" s="30"/>
    </row>
    <row r="98" spans="1:18" s="38" customFormat="1" ht="15.75" customHeight="1">
      <c r="A98" s="69" t="s">
        <v>644</v>
      </c>
      <c r="B98" s="70">
        <v>98689</v>
      </c>
      <c r="C98" s="45" t="s">
        <v>175</v>
      </c>
      <c r="D98" s="52" t="s">
        <v>584</v>
      </c>
      <c r="E98" s="46">
        <f t="shared" si="10"/>
        <v>2.5</v>
      </c>
      <c r="F98" s="47">
        <f>CPU!I264</f>
        <v>92.3</v>
      </c>
      <c r="G98" s="46">
        <f t="shared" si="11"/>
        <v>115.37</v>
      </c>
      <c r="H98" s="86">
        <f t="shared" si="12"/>
        <v>288.42</v>
      </c>
      <c r="I98" s="102">
        <f>0.8+0.8+0.9</f>
        <v>2.5</v>
      </c>
      <c r="J98" s="53">
        <v>106.46</v>
      </c>
      <c r="K98" s="102"/>
      <c r="L98" s="102"/>
      <c r="M98" s="18"/>
      <c r="N98" s="18"/>
      <c r="O98" s="18"/>
      <c r="P98" s="29"/>
      <c r="Q98" s="36"/>
      <c r="R98" s="30"/>
    </row>
    <row r="99" spans="1:18" s="38" customFormat="1" ht="33.75" customHeight="1">
      <c r="A99" s="69" t="s">
        <v>645</v>
      </c>
      <c r="B99" s="44">
        <v>94990</v>
      </c>
      <c r="C99" s="51" t="s">
        <v>646</v>
      </c>
      <c r="D99" s="52" t="s">
        <v>540</v>
      </c>
      <c r="E99" s="46">
        <f t="shared" si="10"/>
        <v>15.82</v>
      </c>
      <c r="F99" s="47">
        <f>CPU!I269</f>
        <v>590.21</v>
      </c>
      <c r="G99" s="46">
        <f t="shared" si="11"/>
        <v>737.76</v>
      </c>
      <c r="H99" s="86">
        <f t="shared" si="12"/>
        <v>11671.36</v>
      </c>
      <c r="I99" s="102">
        <f>(103.28+13.16)*0.07+153.43*0.05</f>
        <v>15.822300000000002</v>
      </c>
      <c r="J99" s="53">
        <v>686.57</v>
      </c>
      <c r="K99" s="102"/>
      <c r="L99" s="102">
        <f>5+16.2+10.95+3.6+16.2+21.75+3.42+16.4+27.51+16.4+4*4</f>
        <v>153.43</v>
      </c>
      <c r="M99" s="18" t="s">
        <v>647</v>
      </c>
      <c r="N99" s="18"/>
      <c r="O99" s="18"/>
      <c r="P99" s="29"/>
      <c r="Q99" s="36"/>
      <c r="R99" s="30"/>
    </row>
    <row r="100" spans="1:18" s="38" customFormat="1" ht="21.6" thickBot="1">
      <c r="A100" s="69" t="s">
        <v>648</v>
      </c>
      <c r="B100" s="44">
        <v>101094</v>
      </c>
      <c r="C100" s="51" t="s">
        <v>181</v>
      </c>
      <c r="D100" s="55" t="s">
        <v>584</v>
      </c>
      <c r="E100" s="56">
        <f t="shared" si="10"/>
        <v>36.5</v>
      </c>
      <c r="F100" s="98">
        <f>CPU!I276</f>
        <v>153.65</v>
      </c>
      <c r="G100" s="46">
        <f t="shared" si="11"/>
        <v>192.06</v>
      </c>
      <c r="H100" s="134">
        <f t="shared" si="12"/>
        <v>7010.19</v>
      </c>
      <c r="I100" s="101">
        <f>(26+9.5+1)</f>
        <v>36.5</v>
      </c>
      <c r="J100" s="53">
        <v>176.5</v>
      </c>
      <c r="K100" s="102"/>
      <c r="L100" s="102"/>
      <c r="M100" s="18"/>
      <c r="N100" s="18"/>
      <c r="O100" s="18"/>
      <c r="P100" s="29"/>
      <c r="Q100" s="36"/>
      <c r="R100" s="30"/>
    </row>
    <row r="101" spans="1:18" s="91" customFormat="1" thickBot="1">
      <c r="A101" s="58"/>
      <c r="B101" s="59"/>
      <c r="C101" s="33" t="s">
        <v>525</v>
      </c>
      <c r="D101" s="59"/>
      <c r="E101" s="59"/>
      <c r="F101" s="59"/>
      <c r="G101" s="59"/>
      <c r="H101" s="60">
        <f>SUM(H95:H100)</f>
        <v>35312.6</v>
      </c>
      <c r="I101" s="87"/>
      <c r="J101" s="37"/>
      <c r="K101" s="87"/>
      <c r="L101" s="87"/>
      <c r="M101" s="89"/>
      <c r="N101" s="89"/>
      <c r="O101" s="89"/>
      <c r="P101" s="90"/>
      <c r="Q101" s="87"/>
      <c r="R101" s="87"/>
    </row>
    <row r="102" spans="1:18" s="91" customFormat="1" ht="5.25" customHeight="1" thickBot="1">
      <c r="A102" s="150"/>
      <c r="B102" s="151"/>
      <c r="C102" s="64"/>
      <c r="D102" s="65"/>
      <c r="E102" s="65"/>
      <c r="F102" s="114"/>
      <c r="G102" s="67"/>
      <c r="H102" s="68"/>
      <c r="I102" s="87"/>
      <c r="J102" s="37"/>
      <c r="K102" s="87"/>
      <c r="L102" s="87"/>
      <c r="M102" s="89"/>
      <c r="N102" s="89"/>
      <c r="O102" s="89"/>
      <c r="P102" s="90"/>
      <c r="Q102" s="87"/>
      <c r="R102" s="87"/>
    </row>
    <row r="103" spans="1:18" s="38" customFormat="1" ht="14.4" thickBot="1">
      <c r="A103" s="58" t="s">
        <v>649</v>
      </c>
      <c r="B103" s="59"/>
      <c r="C103" s="123" t="s">
        <v>650</v>
      </c>
      <c r="D103" s="33"/>
      <c r="E103" s="33"/>
      <c r="F103" s="34"/>
      <c r="G103" s="33"/>
      <c r="H103" s="35"/>
      <c r="I103" s="18"/>
      <c r="J103" s="53"/>
      <c r="K103" s="18"/>
      <c r="L103" s="18"/>
      <c r="M103" s="18"/>
      <c r="N103" s="18"/>
      <c r="O103" s="18"/>
      <c r="P103" s="29"/>
      <c r="Q103" s="36"/>
      <c r="R103" s="30"/>
    </row>
    <row r="104" spans="1:18" s="38" customFormat="1" ht="33" customHeight="1">
      <c r="A104" s="152" t="s">
        <v>651</v>
      </c>
      <c r="B104" s="44">
        <v>100702</v>
      </c>
      <c r="C104" s="51" t="s">
        <v>183</v>
      </c>
      <c r="D104" s="153" t="s">
        <v>652</v>
      </c>
      <c r="E104" s="56">
        <f>TRUNC(I104,2)</f>
        <v>3.78</v>
      </c>
      <c r="F104" s="140">
        <f>CPU!I282</f>
        <v>411.17</v>
      </c>
      <c r="G104" s="46">
        <f>TRUNC(F104*J$7,2)</f>
        <v>513.96</v>
      </c>
      <c r="H104" s="57">
        <f>TRUNC(E104*G104,2)</f>
        <v>1942.76</v>
      </c>
      <c r="I104" s="18">
        <f>0.9*2.1*2</f>
        <v>3.7800000000000002</v>
      </c>
      <c r="J104" s="53">
        <v>470.79</v>
      </c>
      <c r="K104" s="18"/>
      <c r="L104" s="18"/>
      <c r="M104" s="18"/>
      <c r="N104" s="18"/>
      <c r="O104" s="18"/>
      <c r="P104" s="29"/>
      <c r="Q104" s="36"/>
      <c r="R104" s="30"/>
    </row>
    <row r="105" spans="1:18" s="38" customFormat="1" ht="28.5" customHeight="1">
      <c r="A105" s="52" t="s">
        <v>653</v>
      </c>
      <c r="B105" s="44">
        <v>102162</v>
      </c>
      <c r="C105" s="51" t="s">
        <v>185</v>
      </c>
      <c r="D105" s="154" t="s">
        <v>521</v>
      </c>
      <c r="E105" s="52">
        <f>TRUNC(I105,2)</f>
        <v>10</v>
      </c>
      <c r="F105" s="47">
        <f>CPU!I289</f>
        <v>316.95</v>
      </c>
      <c r="G105" s="46">
        <f>TRUNC(F105*J$7,2)</f>
        <v>396.18</v>
      </c>
      <c r="H105" s="52">
        <f>TRUNC(E105*G105,2)</f>
        <v>3961.8</v>
      </c>
      <c r="I105" s="18">
        <f>1.2*1*2+1.5*1*4+0.8*0.5*4</f>
        <v>10</v>
      </c>
      <c r="J105" s="53">
        <v>364.3</v>
      </c>
      <c r="K105" s="18"/>
      <c r="L105" s="18"/>
      <c r="M105" s="18"/>
      <c r="N105" s="18"/>
      <c r="O105" s="18"/>
      <c r="P105" s="29"/>
      <c r="Q105" s="36"/>
      <c r="R105" s="30"/>
    </row>
    <row r="106" spans="1:18" s="38" customFormat="1" ht="21.6" thickBot="1">
      <c r="A106" s="152" t="s">
        <v>654</v>
      </c>
      <c r="B106" s="136">
        <v>102181</v>
      </c>
      <c r="C106" s="94" t="s">
        <v>190</v>
      </c>
      <c r="D106" s="56" t="s">
        <v>521</v>
      </c>
      <c r="E106" s="56">
        <f>TRUNC(I106,2)</f>
        <v>5.0199999999999996</v>
      </c>
      <c r="F106" s="140">
        <f>CPU!I295</f>
        <v>482.56000000000006</v>
      </c>
      <c r="G106" s="46">
        <f>TRUNC(F106*J$7,2)</f>
        <v>603.20000000000005</v>
      </c>
      <c r="H106" s="57">
        <f>TRUNC(E106*G106,2)</f>
        <v>3028.06</v>
      </c>
      <c r="I106" s="18">
        <f>4*2.2-0.9*2.1*2</f>
        <v>5.0200000000000005</v>
      </c>
      <c r="J106" s="53">
        <v>556.09</v>
      </c>
      <c r="K106" s="18" t="s">
        <v>655</v>
      </c>
      <c r="L106" s="18"/>
      <c r="M106" s="18"/>
      <c r="N106" s="18"/>
      <c r="O106" s="18"/>
      <c r="P106" s="29"/>
      <c r="Q106" s="36"/>
      <c r="R106" s="30"/>
    </row>
    <row r="107" spans="1:18" s="91" customFormat="1" thickBot="1">
      <c r="A107" s="58"/>
      <c r="B107" s="59"/>
      <c r="C107" s="33" t="s">
        <v>525</v>
      </c>
      <c r="D107" s="59"/>
      <c r="E107" s="59"/>
      <c r="F107" s="59"/>
      <c r="G107" s="59"/>
      <c r="H107" s="60">
        <f>SUM(H104:H106)</f>
        <v>8932.6200000000008</v>
      </c>
      <c r="I107" s="87"/>
      <c r="J107" s="37"/>
      <c r="K107" s="87"/>
      <c r="L107" s="87"/>
      <c r="M107" s="89"/>
      <c r="N107" s="89"/>
      <c r="O107" s="89"/>
      <c r="P107" s="90"/>
      <c r="Q107" s="87"/>
      <c r="R107" s="87"/>
    </row>
    <row r="108" spans="1:18" s="38" customFormat="1" ht="5.25" customHeight="1" thickBot="1">
      <c r="A108" s="111"/>
      <c r="B108" s="112"/>
      <c r="C108" s="64"/>
      <c r="D108" s="67"/>
      <c r="E108" s="65"/>
      <c r="F108" s="114"/>
      <c r="G108" s="67"/>
      <c r="H108" s="93"/>
      <c r="I108" s="18"/>
      <c r="J108" s="53"/>
      <c r="K108" s="18"/>
      <c r="L108" s="18"/>
      <c r="M108" s="18"/>
      <c r="N108" s="18"/>
      <c r="O108" s="18"/>
      <c r="P108" s="29"/>
      <c r="Q108" s="36"/>
      <c r="R108" s="30"/>
    </row>
    <row r="109" spans="1:18" s="38" customFormat="1" ht="14.4" thickBot="1">
      <c r="A109" s="58" t="s">
        <v>656</v>
      </c>
      <c r="B109" s="59"/>
      <c r="C109" s="33" t="s">
        <v>657</v>
      </c>
      <c r="D109" s="33"/>
      <c r="E109" s="33"/>
      <c r="F109" s="34"/>
      <c r="G109" s="33"/>
      <c r="H109" s="35"/>
      <c r="I109" s="18"/>
      <c r="J109" s="53"/>
      <c r="K109" s="18"/>
      <c r="L109" s="18"/>
      <c r="M109" s="18"/>
      <c r="N109" s="18"/>
      <c r="O109" s="18"/>
      <c r="P109" s="29"/>
      <c r="Q109" s="36"/>
      <c r="R109" s="30"/>
    </row>
    <row r="110" spans="1:18" s="38" customFormat="1">
      <c r="A110" s="69" t="s">
        <v>658</v>
      </c>
      <c r="B110" s="136" t="s">
        <v>659</v>
      </c>
      <c r="C110" s="45" t="s">
        <v>660</v>
      </c>
      <c r="D110" s="46" t="s">
        <v>521</v>
      </c>
      <c r="E110" s="46">
        <f t="shared" ref="E110:E120" si="13">TRUNC(I110,2)</f>
        <v>274.81</v>
      </c>
      <c r="F110" s="95">
        <f>composições!F114</f>
        <v>2.2272000000000003</v>
      </c>
      <c r="G110" s="46">
        <f t="shared" ref="G110:G120" si="14">TRUNC(F110*J$7,2)</f>
        <v>2.78</v>
      </c>
      <c r="H110" s="48">
        <f t="shared" ref="H110:H120" si="15">TRUNC(E110*G110,2)</f>
        <v>763.97</v>
      </c>
      <c r="I110" s="18">
        <f>(12.7+10.55+10.55)*4.7+12.7*3+(9.65+5.15+5.15+6)*3</f>
        <v>274.81</v>
      </c>
      <c r="J110" s="53">
        <v>2.95</v>
      </c>
      <c r="K110" s="18"/>
      <c r="L110" s="18"/>
      <c r="M110" s="18"/>
      <c r="N110" s="18"/>
      <c r="O110" s="18"/>
      <c r="P110" s="29"/>
      <c r="Q110" s="36"/>
      <c r="R110" s="30"/>
    </row>
    <row r="111" spans="1:18" s="71" customFormat="1" ht="25.5" customHeight="1">
      <c r="A111" s="69" t="s">
        <v>661</v>
      </c>
      <c r="B111" s="44" t="s">
        <v>662</v>
      </c>
      <c r="C111" s="155" t="s">
        <v>194</v>
      </c>
      <c r="D111" s="46" t="s">
        <v>521</v>
      </c>
      <c r="E111" s="46">
        <f t="shared" si="13"/>
        <v>274.81</v>
      </c>
      <c r="F111" s="95">
        <f>CPU!I303</f>
        <v>15.1</v>
      </c>
      <c r="G111" s="46">
        <f t="shared" si="14"/>
        <v>18.87</v>
      </c>
      <c r="H111" s="48">
        <f t="shared" si="15"/>
        <v>5185.66</v>
      </c>
      <c r="I111" s="156">
        <f>I110</f>
        <v>274.81</v>
      </c>
      <c r="J111" s="53">
        <v>17.920000000000002</v>
      </c>
      <c r="K111" s="18"/>
      <c r="L111" s="18"/>
      <c r="M111" s="18"/>
      <c r="N111" s="18"/>
      <c r="O111" s="18"/>
      <c r="P111" s="29"/>
      <c r="Q111" s="18"/>
      <c r="R111" s="18"/>
    </row>
    <row r="112" spans="1:18" s="71" customFormat="1" ht="23.25" customHeight="1">
      <c r="A112" s="69" t="s">
        <v>663</v>
      </c>
      <c r="B112" s="70" t="s">
        <v>662</v>
      </c>
      <c r="C112" s="51" t="s">
        <v>664</v>
      </c>
      <c r="D112" s="52" t="s">
        <v>521</v>
      </c>
      <c r="E112" s="46">
        <f t="shared" si="13"/>
        <v>11.36</v>
      </c>
      <c r="F112" s="47">
        <f>CPU!I303</f>
        <v>15.1</v>
      </c>
      <c r="G112" s="46">
        <f t="shared" si="14"/>
        <v>18.87</v>
      </c>
      <c r="H112" s="48">
        <f t="shared" si="15"/>
        <v>214.36</v>
      </c>
      <c r="I112" s="71">
        <f>8.04+2*4*0.2+(5+3.6)*0.2</f>
        <v>11.36</v>
      </c>
      <c r="J112" s="53">
        <v>17.920000000000002</v>
      </c>
      <c r="K112" s="18"/>
      <c r="L112" s="18"/>
      <c r="M112" s="18"/>
      <c r="N112" s="18"/>
      <c r="O112" s="18"/>
      <c r="P112" s="29"/>
      <c r="Q112" s="18"/>
      <c r="R112" s="18"/>
    </row>
    <row r="113" spans="1:18" s="38" customFormat="1" ht="24.75" customHeight="1">
      <c r="A113" s="69" t="s">
        <v>665</v>
      </c>
      <c r="B113" s="44" t="s">
        <v>666</v>
      </c>
      <c r="C113" s="51" t="s">
        <v>197</v>
      </c>
      <c r="D113" s="52" t="s">
        <v>521</v>
      </c>
      <c r="E113" s="46">
        <f t="shared" si="13"/>
        <v>278.35000000000002</v>
      </c>
      <c r="F113" s="47">
        <f>CPU!I307</f>
        <v>10.440000000000001</v>
      </c>
      <c r="G113" s="46">
        <f t="shared" si="14"/>
        <v>13.05</v>
      </c>
      <c r="H113" s="48">
        <f t="shared" si="15"/>
        <v>3632.46</v>
      </c>
      <c r="I113" s="18">
        <f>(4.05+4.05+4.05+4.05+4.05+4.05+4.05+4.05+4.05+4.05+4.05+4.05+4.05+2.25+1.9+10.45+4.2+4.2+4+1.9+1.9+2+2)*3+4*4</f>
        <v>278.35000000000002</v>
      </c>
      <c r="J113" s="53">
        <v>12.41</v>
      </c>
      <c r="K113" s="18"/>
      <c r="L113" s="79" t="s">
        <v>582</v>
      </c>
      <c r="M113" s="18"/>
      <c r="N113" s="18"/>
      <c r="O113" s="18"/>
      <c r="P113" s="29"/>
      <c r="Q113" s="36"/>
      <c r="R113" s="30"/>
    </row>
    <row r="114" spans="1:18" s="38" customFormat="1" ht="23.25" customHeight="1">
      <c r="A114" s="69" t="s">
        <v>667</v>
      </c>
      <c r="B114" s="44" t="s">
        <v>668</v>
      </c>
      <c r="C114" s="51" t="s">
        <v>199</v>
      </c>
      <c r="D114" s="52" t="s">
        <v>521</v>
      </c>
      <c r="E114" s="46">
        <f t="shared" si="13"/>
        <v>278.35000000000002</v>
      </c>
      <c r="F114" s="47">
        <f>CPU!I311</f>
        <v>11.279999999999998</v>
      </c>
      <c r="G114" s="46">
        <f t="shared" si="14"/>
        <v>14.1</v>
      </c>
      <c r="H114" s="48">
        <f t="shared" si="15"/>
        <v>3924.73</v>
      </c>
      <c r="I114" s="18">
        <f>I113</f>
        <v>278.35000000000002</v>
      </c>
      <c r="J114" s="53">
        <v>13.66</v>
      </c>
      <c r="K114" s="18"/>
      <c r="L114" s="79" t="s">
        <v>582</v>
      </c>
      <c r="M114" s="18"/>
      <c r="N114" s="18"/>
      <c r="O114" s="18"/>
      <c r="P114" s="29"/>
      <c r="Q114" s="36"/>
      <c r="R114" s="30"/>
    </row>
    <row r="115" spans="1:18" s="38" customFormat="1" ht="25.5" customHeight="1">
      <c r="A115" s="69" t="s">
        <v>669</v>
      </c>
      <c r="B115" s="44">
        <v>102200</v>
      </c>
      <c r="C115" s="51" t="s">
        <v>202</v>
      </c>
      <c r="D115" s="52" t="s">
        <v>521</v>
      </c>
      <c r="E115" s="46">
        <f t="shared" si="13"/>
        <v>30.24</v>
      </c>
      <c r="F115" s="47">
        <f>CPU!I316</f>
        <v>14.53</v>
      </c>
      <c r="G115" s="46">
        <f t="shared" si="14"/>
        <v>18.16</v>
      </c>
      <c r="H115" s="48">
        <f t="shared" si="15"/>
        <v>549.15</v>
      </c>
      <c r="I115" s="18">
        <f>(0.9*2+0.8*5+0.7*2)*2.1*2</f>
        <v>30.24</v>
      </c>
      <c r="J115" s="53">
        <v>17.2</v>
      </c>
      <c r="K115" s="18"/>
      <c r="L115" s="18"/>
      <c r="M115" s="18"/>
      <c r="N115" s="18"/>
      <c r="O115" s="18"/>
      <c r="P115" s="29"/>
      <c r="Q115" s="36"/>
      <c r="R115" s="30"/>
    </row>
    <row r="116" spans="1:18" s="38" customFormat="1" ht="24" customHeight="1">
      <c r="A116" s="69" t="s">
        <v>670</v>
      </c>
      <c r="B116" s="44">
        <v>102219</v>
      </c>
      <c r="C116" s="51" t="s">
        <v>671</v>
      </c>
      <c r="D116" s="52" t="s">
        <v>521</v>
      </c>
      <c r="E116" s="56">
        <f t="shared" si="13"/>
        <v>30.24</v>
      </c>
      <c r="F116" s="98">
        <f>CPU!I320</f>
        <v>10.26</v>
      </c>
      <c r="G116" s="46">
        <f t="shared" si="14"/>
        <v>12.82</v>
      </c>
      <c r="H116" s="57">
        <f t="shared" si="15"/>
        <v>387.67</v>
      </c>
      <c r="I116" s="18">
        <f>I115</f>
        <v>30.24</v>
      </c>
      <c r="J116" s="53">
        <v>12.37</v>
      </c>
      <c r="K116" s="18"/>
      <c r="L116" s="18"/>
      <c r="M116" s="18"/>
      <c r="N116" s="18"/>
      <c r="O116" s="18"/>
      <c r="P116" s="29"/>
      <c r="Q116" s="36"/>
      <c r="R116" s="30"/>
    </row>
    <row r="117" spans="1:18" s="38" customFormat="1" ht="34.5" customHeight="1">
      <c r="A117" s="69" t="s">
        <v>672</v>
      </c>
      <c r="B117" s="44">
        <v>100742</v>
      </c>
      <c r="C117" s="51" t="s">
        <v>673</v>
      </c>
      <c r="D117" s="157" t="s">
        <v>521</v>
      </c>
      <c r="E117" s="52">
        <f t="shared" si="13"/>
        <v>14.53</v>
      </c>
      <c r="F117" s="47">
        <f>CPU!I324</f>
        <v>14.98</v>
      </c>
      <c r="G117" s="46">
        <f t="shared" si="14"/>
        <v>18.72</v>
      </c>
      <c r="H117" s="52">
        <f t="shared" si="15"/>
        <v>272</v>
      </c>
      <c r="I117" s="18">
        <f>I78+I83</f>
        <v>14.532</v>
      </c>
      <c r="J117" s="53">
        <v>18.23</v>
      </c>
      <c r="K117" s="18"/>
      <c r="M117" s="18"/>
      <c r="N117" s="18"/>
      <c r="O117" s="18"/>
      <c r="P117" s="29"/>
      <c r="Q117" s="36"/>
      <c r="R117" s="30"/>
    </row>
    <row r="118" spans="1:18" s="38" customFormat="1" ht="26.25" customHeight="1">
      <c r="A118" s="152" t="s">
        <v>674</v>
      </c>
      <c r="B118" s="44">
        <v>102491</v>
      </c>
      <c r="C118" s="51" t="s">
        <v>208</v>
      </c>
      <c r="D118" s="158" t="s">
        <v>521</v>
      </c>
      <c r="E118" s="56">
        <f t="shared" si="13"/>
        <v>132.43</v>
      </c>
      <c r="F118" s="140">
        <f>CPU!I328</f>
        <v>12.3</v>
      </c>
      <c r="G118" s="46">
        <f t="shared" si="14"/>
        <v>15.37</v>
      </c>
      <c r="H118" s="57">
        <f t="shared" si="15"/>
        <v>2035.44</v>
      </c>
      <c r="I118" s="18">
        <v>132.43</v>
      </c>
      <c r="J118" s="53">
        <v>14.82</v>
      </c>
      <c r="K118" s="18"/>
      <c r="M118" s="18"/>
      <c r="N118" s="18"/>
      <c r="O118" s="18"/>
      <c r="P118" s="29"/>
      <c r="Q118" s="36"/>
      <c r="R118" s="30"/>
    </row>
    <row r="119" spans="1:18" s="38" customFormat="1" ht="27.75" customHeight="1">
      <c r="A119" s="52" t="s">
        <v>675</v>
      </c>
      <c r="B119" s="159">
        <v>102500</v>
      </c>
      <c r="C119" s="54" t="s">
        <v>212</v>
      </c>
      <c r="D119" s="158" t="s">
        <v>584</v>
      </c>
      <c r="E119" s="55">
        <f t="shared" si="13"/>
        <v>36</v>
      </c>
      <c r="F119" s="98">
        <f>CPU!I334</f>
        <v>2.69</v>
      </c>
      <c r="G119" s="46">
        <f t="shared" si="14"/>
        <v>3.36</v>
      </c>
      <c r="H119" s="134">
        <f t="shared" si="15"/>
        <v>120.96</v>
      </c>
      <c r="I119" s="18">
        <f>5+5+5+5+1+1+9*1+5</f>
        <v>36</v>
      </c>
      <c r="J119" s="53">
        <v>3.3</v>
      </c>
      <c r="K119" s="18"/>
      <c r="M119" s="18"/>
      <c r="N119" s="18"/>
      <c r="O119" s="18"/>
      <c r="P119" s="29"/>
      <c r="Q119" s="36"/>
      <c r="R119" s="30"/>
    </row>
    <row r="120" spans="1:18" s="38" customFormat="1" ht="39" customHeight="1" thickBot="1">
      <c r="A120" s="152" t="s">
        <v>676</v>
      </c>
      <c r="B120" s="97">
        <v>100754</v>
      </c>
      <c r="C120" s="54" t="s">
        <v>677</v>
      </c>
      <c r="D120" s="55" t="s">
        <v>521</v>
      </c>
      <c r="E120" s="55">
        <f t="shared" si="13"/>
        <v>3.32</v>
      </c>
      <c r="F120" s="98">
        <f>CPU!I339</f>
        <v>17.59</v>
      </c>
      <c r="G120" s="46">
        <f t="shared" si="14"/>
        <v>21.98</v>
      </c>
      <c r="H120" s="134">
        <f t="shared" si="15"/>
        <v>72.97</v>
      </c>
      <c r="I120" s="18">
        <f>0.6*4+0.1*(4+4+0.6+0.6)</f>
        <v>3.32</v>
      </c>
      <c r="J120" s="53">
        <v>21.58</v>
      </c>
      <c r="K120" s="18"/>
      <c r="M120" s="18"/>
      <c r="N120" s="18"/>
      <c r="O120" s="18"/>
      <c r="P120" s="29"/>
      <c r="Q120" s="36"/>
      <c r="R120" s="30"/>
    </row>
    <row r="121" spans="1:18" s="38" customFormat="1" ht="14.4" thickBot="1">
      <c r="A121" s="58"/>
      <c r="B121" s="59"/>
      <c r="C121" s="33" t="s">
        <v>525</v>
      </c>
      <c r="D121" s="59"/>
      <c r="E121" s="59"/>
      <c r="F121" s="59"/>
      <c r="G121" s="59"/>
      <c r="H121" s="60">
        <f>SUM(H110:H120)</f>
        <v>17159.37</v>
      </c>
      <c r="I121" s="160"/>
      <c r="J121" s="161"/>
      <c r="K121" s="87"/>
      <c r="L121" s="87"/>
      <c r="M121" s="18"/>
      <c r="N121" s="18"/>
      <c r="O121" s="18"/>
      <c r="P121" s="29"/>
      <c r="Q121" s="36"/>
      <c r="R121" s="30"/>
    </row>
    <row r="122" spans="1:18" s="38" customFormat="1" ht="6.75" customHeight="1" thickBot="1">
      <c r="A122" s="62"/>
      <c r="B122" s="92"/>
      <c r="C122" s="64"/>
      <c r="D122" s="65"/>
      <c r="E122" s="66"/>
      <c r="F122" s="66"/>
      <c r="G122" s="67"/>
      <c r="H122" s="93"/>
      <c r="I122" s="18"/>
      <c r="J122" s="53"/>
      <c r="K122" s="18"/>
      <c r="L122" s="18"/>
      <c r="M122" s="18"/>
      <c r="N122" s="18"/>
      <c r="O122" s="18"/>
      <c r="P122" s="29"/>
      <c r="Q122" s="36"/>
      <c r="R122" s="30"/>
    </row>
    <row r="123" spans="1:18" s="38" customFormat="1" ht="14.4" thickBot="1">
      <c r="A123" s="58" t="s">
        <v>678</v>
      </c>
      <c r="B123" s="59"/>
      <c r="C123" s="33" t="s">
        <v>679</v>
      </c>
      <c r="D123" s="33"/>
      <c r="E123" s="33"/>
      <c r="F123" s="34"/>
      <c r="G123" s="33"/>
      <c r="H123" s="35"/>
      <c r="I123" s="18"/>
      <c r="J123" s="53"/>
      <c r="K123" s="18"/>
      <c r="L123" s="18"/>
      <c r="M123" s="18"/>
      <c r="N123" s="18"/>
      <c r="O123" s="18"/>
      <c r="P123" s="29"/>
      <c r="Q123" s="36"/>
      <c r="R123" s="30"/>
    </row>
    <row r="124" spans="1:18" s="107" customFormat="1" ht="21">
      <c r="A124" s="69" t="s">
        <v>680</v>
      </c>
      <c r="B124" s="136" t="s">
        <v>681</v>
      </c>
      <c r="C124" s="76" t="s">
        <v>682</v>
      </c>
      <c r="D124" s="52" t="s">
        <v>103</v>
      </c>
      <c r="E124" s="95">
        <f t="shared" ref="E124:E186" si="16">TRUNC(I124,2)</f>
        <v>1</v>
      </c>
      <c r="F124" s="95">
        <f>comp__eletrica!F37</f>
        <v>3761.1110000000008</v>
      </c>
      <c r="G124" s="46">
        <f t="shared" ref="G124:G159" si="17">TRUNC(F124*J$7,2)</f>
        <v>4701.38</v>
      </c>
      <c r="H124" s="48">
        <f t="shared" ref="H124:H186" si="18">TRUNC(E124*G124,2)</f>
        <v>4701.38</v>
      </c>
      <c r="I124" s="162">
        <v>1</v>
      </c>
      <c r="J124" s="53">
        <v>3839.8</v>
      </c>
      <c r="K124" s="19"/>
      <c r="L124" s="19"/>
      <c r="M124" s="19"/>
      <c r="N124" s="19"/>
      <c r="O124" s="19"/>
      <c r="P124" s="104"/>
      <c r="Q124" s="105"/>
      <c r="R124" s="106"/>
    </row>
    <row r="125" spans="1:18" s="107" customFormat="1" ht="25.5" customHeight="1">
      <c r="A125" s="69" t="s">
        <v>683</v>
      </c>
      <c r="B125" s="44">
        <v>92986</v>
      </c>
      <c r="C125" s="51" t="s">
        <v>684</v>
      </c>
      <c r="D125" s="52" t="s">
        <v>584</v>
      </c>
      <c r="E125" s="47">
        <f t="shared" si="16"/>
        <v>96.2</v>
      </c>
      <c r="F125" s="47">
        <f>CPU!I386</f>
        <v>33.75</v>
      </c>
      <c r="G125" s="46">
        <f t="shared" si="17"/>
        <v>42.18</v>
      </c>
      <c r="H125" s="48">
        <f t="shared" si="18"/>
        <v>4057.71</v>
      </c>
      <c r="I125" s="162">
        <v>96.2</v>
      </c>
      <c r="J125" s="53">
        <v>38.94</v>
      </c>
      <c r="K125" s="19"/>
      <c r="L125" s="19"/>
      <c r="M125" s="19"/>
      <c r="N125" s="19"/>
      <c r="O125" s="19"/>
      <c r="P125" s="104"/>
      <c r="Q125" s="105"/>
      <c r="R125" s="106"/>
    </row>
    <row r="126" spans="1:18" s="107" customFormat="1" ht="25.5" customHeight="1">
      <c r="A126" s="69" t="s">
        <v>685</v>
      </c>
      <c r="B126" s="44">
        <v>92984</v>
      </c>
      <c r="C126" s="51" t="s">
        <v>686</v>
      </c>
      <c r="D126" s="52" t="s">
        <v>584</v>
      </c>
      <c r="E126" s="47">
        <f t="shared" si="16"/>
        <v>32.1</v>
      </c>
      <c r="F126" s="47">
        <f>CPU!I342</f>
        <v>24.77</v>
      </c>
      <c r="G126" s="46">
        <f t="shared" si="17"/>
        <v>30.96</v>
      </c>
      <c r="H126" s="48">
        <f t="shared" si="18"/>
        <v>993.81</v>
      </c>
      <c r="I126" s="162">
        <v>32.1</v>
      </c>
      <c r="J126" s="53">
        <v>28.63</v>
      </c>
      <c r="K126" s="19"/>
      <c r="L126" s="19"/>
      <c r="M126" s="19"/>
      <c r="N126" s="19"/>
      <c r="O126" s="19"/>
      <c r="P126" s="104"/>
      <c r="Q126" s="105"/>
      <c r="R126" s="106"/>
    </row>
    <row r="127" spans="1:18" s="107" customFormat="1" ht="25.5" customHeight="1">
      <c r="A127" s="69" t="s">
        <v>687</v>
      </c>
      <c r="B127" s="44">
        <v>92981</v>
      </c>
      <c r="C127" s="51" t="s">
        <v>688</v>
      </c>
      <c r="D127" s="52" t="s">
        <v>584</v>
      </c>
      <c r="E127" s="47">
        <f t="shared" si="16"/>
        <v>148.80000000000001</v>
      </c>
      <c r="F127" s="47">
        <f>CPU!I347</f>
        <v>14.47</v>
      </c>
      <c r="G127" s="46">
        <f t="shared" si="17"/>
        <v>18.079999999999998</v>
      </c>
      <c r="H127" s="48">
        <f t="shared" si="18"/>
        <v>2690.3</v>
      </c>
      <c r="I127" s="162">
        <v>148.80000000000001</v>
      </c>
      <c r="J127" s="53">
        <v>16.62</v>
      </c>
      <c r="K127" s="19"/>
      <c r="L127" s="19"/>
      <c r="M127" s="19"/>
      <c r="N127" s="19"/>
      <c r="O127" s="19"/>
      <c r="P127" s="104"/>
      <c r="Q127" s="105"/>
      <c r="R127" s="106"/>
    </row>
    <row r="128" spans="1:18" s="107" customFormat="1" ht="25.5" customHeight="1">
      <c r="A128" s="69" t="s">
        <v>689</v>
      </c>
      <c r="B128" s="44">
        <v>92979</v>
      </c>
      <c r="C128" s="51" t="s">
        <v>222</v>
      </c>
      <c r="D128" s="52" t="s">
        <v>584</v>
      </c>
      <c r="E128" s="47">
        <f t="shared" si="16"/>
        <v>74.599999999999994</v>
      </c>
      <c r="F128" s="47">
        <f>CPU!I352</f>
        <v>9.42</v>
      </c>
      <c r="G128" s="46">
        <f t="shared" si="17"/>
        <v>11.77</v>
      </c>
      <c r="H128" s="48">
        <f t="shared" si="18"/>
        <v>878.04</v>
      </c>
      <c r="I128" s="162">
        <v>74.599999999999994</v>
      </c>
      <c r="J128" s="53">
        <v>10.81</v>
      </c>
      <c r="K128" s="19"/>
      <c r="L128" s="19"/>
      <c r="M128" s="19"/>
      <c r="N128" s="19"/>
      <c r="O128" s="19"/>
      <c r="P128" s="104"/>
      <c r="Q128" s="105"/>
      <c r="R128" s="106"/>
    </row>
    <row r="129" spans="1:18" s="107" customFormat="1" ht="25.5" customHeight="1">
      <c r="A129" s="69" t="s">
        <v>690</v>
      </c>
      <c r="B129" s="44">
        <v>91930</v>
      </c>
      <c r="C129" s="51" t="s">
        <v>691</v>
      </c>
      <c r="D129" s="52" t="s">
        <v>584</v>
      </c>
      <c r="E129" s="47">
        <f t="shared" si="16"/>
        <v>35.200000000000003</v>
      </c>
      <c r="F129" s="47">
        <f>CPU!I357</f>
        <v>7.7200000000000006</v>
      </c>
      <c r="G129" s="46">
        <f t="shared" si="17"/>
        <v>9.65</v>
      </c>
      <c r="H129" s="48">
        <f t="shared" si="18"/>
        <v>339.68</v>
      </c>
      <c r="I129" s="162">
        <v>35.200000000000003</v>
      </c>
      <c r="J129" s="53">
        <v>9.08</v>
      </c>
      <c r="K129" s="19"/>
      <c r="L129" s="19"/>
      <c r="M129" s="19"/>
      <c r="N129" s="19"/>
      <c r="O129" s="19"/>
      <c r="P129" s="104"/>
      <c r="Q129" s="105"/>
      <c r="R129" s="106"/>
    </row>
    <row r="130" spans="1:18" s="107" customFormat="1" ht="24.75" customHeight="1">
      <c r="A130" s="69" t="s">
        <v>692</v>
      </c>
      <c r="B130" s="44">
        <v>91928</v>
      </c>
      <c r="C130" s="51" t="s">
        <v>693</v>
      </c>
      <c r="D130" s="52" t="s">
        <v>584</v>
      </c>
      <c r="E130" s="47">
        <f t="shared" si="16"/>
        <v>350.57</v>
      </c>
      <c r="F130" s="47">
        <f t="shared" ref="F130:F142" si="19">J130</f>
        <v>6.59</v>
      </c>
      <c r="G130" s="46">
        <f t="shared" si="17"/>
        <v>8.23</v>
      </c>
      <c r="H130" s="48">
        <f t="shared" si="18"/>
        <v>2885.19</v>
      </c>
      <c r="I130" s="162">
        <v>350.57</v>
      </c>
      <c r="J130" s="53">
        <v>6.59</v>
      </c>
      <c r="K130" s="19"/>
      <c r="L130" s="19"/>
      <c r="M130" s="19"/>
      <c r="N130" s="19"/>
      <c r="O130" s="19"/>
      <c r="P130" s="104"/>
      <c r="Q130" s="105"/>
      <c r="R130" s="106"/>
    </row>
    <row r="131" spans="1:18" s="107" customFormat="1" ht="24.75" customHeight="1">
      <c r="A131" s="69" t="s">
        <v>694</v>
      </c>
      <c r="B131" s="44">
        <v>91926</v>
      </c>
      <c r="C131" s="51" t="s">
        <v>695</v>
      </c>
      <c r="D131" s="52" t="s">
        <v>584</v>
      </c>
      <c r="E131" s="47">
        <f t="shared" si="16"/>
        <v>896.4</v>
      </c>
      <c r="F131" s="47">
        <f>CPU!I367</f>
        <v>3.3699999999999997</v>
      </c>
      <c r="G131" s="46">
        <f t="shared" si="17"/>
        <v>4.21</v>
      </c>
      <c r="H131" s="48">
        <f t="shared" si="18"/>
        <v>3773.84</v>
      </c>
      <c r="I131" s="162">
        <f>(830*1.08)</f>
        <v>896.40000000000009</v>
      </c>
      <c r="J131" s="53">
        <v>3.99</v>
      </c>
      <c r="K131" s="19"/>
      <c r="L131" s="19"/>
      <c r="M131" s="19"/>
      <c r="N131" s="19"/>
      <c r="O131" s="19"/>
      <c r="P131" s="104"/>
      <c r="Q131" s="105"/>
      <c r="R131" s="106"/>
    </row>
    <row r="132" spans="1:18" s="107" customFormat="1" ht="24.75" customHeight="1">
      <c r="A132" s="69" t="s">
        <v>696</v>
      </c>
      <c r="B132" s="44">
        <v>91924</v>
      </c>
      <c r="C132" s="51" t="s">
        <v>697</v>
      </c>
      <c r="D132" s="52" t="s">
        <v>584</v>
      </c>
      <c r="E132" s="47">
        <f t="shared" si="16"/>
        <v>481.3</v>
      </c>
      <c r="F132" s="47">
        <f>CPU!I372</f>
        <v>2.2600000000000002</v>
      </c>
      <c r="G132" s="46">
        <f t="shared" si="17"/>
        <v>2.82</v>
      </c>
      <c r="H132" s="48">
        <f t="shared" si="18"/>
        <v>1357.26</v>
      </c>
      <c r="I132" s="162">
        <f>(142.7+117.1+7.3+214.2)</f>
        <v>481.29999999999995</v>
      </c>
      <c r="J132" s="53">
        <v>2.7</v>
      </c>
      <c r="K132" s="19"/>
      <c r="L132" s="19"/>
      <c r="M132" s="19"/>
      <c r="N132" s="19"/>
      <c r="O132" s="19"/>
      <c r="P132" s="104"/>
      <c r="Q132" s="105"/>
      <c r="R132" s="106"/>
    </row>
    <row r="133" spans="1:18" s="107" customFormat="1" ht="23.25" customHeight="1">
      <c r="A133" s="69" t="s">
        <v>698</v>
      </c>
      <c r="B133" s="44">
        <v>96977</v>
      </c>
      <c r="C133" s="51" t="s">
        <v>232</v>
      </c>
      <c r="D133" s="52" t="s">
        <v>584</v>
      </c>
      <c r="E133" s="47">
        <f t="shared" si="16"/>
        <v>25.8</v>
      </c>
      <c r="F133" s="47">
        <f>CPU!I377</f>
        <v>44.46</v>
      </c>
      <c r="G133" s="46">
        <f t="shared" si="17"/>
        <v>55.57</v>
      </c>
      <c r="H133" s="48">
        <f t="shared" si="18"/>
        <v>1433.7</v>
      </c>
      <c r="I133" s="162">
        <v>25.8</v>
      </c>
      <c r="J133" s="53">
        <v>51.02</v>
      </c>
      <c r="K133" s="19"/>
      <c r="L133" s="19"/>
      <c r="M133" s="19"/>
      <c r="N133" s="19"/>
      <c r="O133" s="19"/>
      <c r="P133" s="104"/>
      <c r="Q133" s="105"/>
      <c r="R133" s="106"/>
    </row>
    <row r="134" spans="1:18" s="107" customFormat="1" ht="23.25" customHeight="1">
      <c r="A134" s="69" t="s">
        <v>699</v>
      </c>
      <c r="B134" s="44">
        <v>90444</v>
      </c>
      <c r="C134" s="51" t="s">
        <v>234</v>
      </c>
      <c r="D134" s="52" t="s">
        <v>584</v>
      </c>
      <c r="E134" s="47">
        <f t="shared" si="16"/>
        <v>28.8</v>
      </c>
      <c r="F134" s="47">
        <f>CPU!I381</f>
        <v>16.200000000000003</v>
      </c>
      <c r="G134" s="46">
        <f t="shared" si="17"/>
        <v>20.25</v>
      </c>
      <c r="H134" s="48">
        <f t="shared" si="18"/>
        <v>583.20000000000005</v>
      </c>
      <c r="I134" s="162">
        <v>28.8</v>
      </c>
      <c r="J134" s="53">
        <v>18.96</v>
      </c>
      <c r="K134" s="19"/>
      <c r="L134" s="19"/>
      <c r="M134" s="19"/>
      <c r="N134" s="19"/>
      <c r="O134" s="19"/>
      <c r="P134" s="104"/>
      <c r="Q134" s="105"/>
      <c r="R134" s="106"/>
    </row>
    <row r="135" spans="1:18" s="107" customFormat="1" ht="22.5" customHeight="1">
      <c r="A135" s="69" t="s">
        <v>700</v>
      </c>
      <c r="B135" s="44">
        <v>90447</v>
      </c>
      <c r="C135" s="51" t="s">
        <v>240</v>
      </c>
      <c r="D135" s="52" t="s">
        <v>584</v>
      </c>
      <c r="E135" s="47">
        <f t="shared" si="16"/>
        <v>62</v>
      </c>
      <c r="F135" s="47">
        <f>CPU!I391</f>
        <v>4.07</v>
      </c>
      <c r="G135" s="46">
        <f t="shared" si="17"/>
        <v>5.08</v>
      </c>
      <c r="H135" s="48">
        <f t="shared" si="18"/>
        <v>314.95999999999998</v>
      </c>
      <c r="I135" s="162">
        <v>62</v>
      </c>
      <c r="J135" s="53">
        <v>5.05</v>
      </c>
      <c r="K135" s="19"/>
      <c r="L135" s="19"/>
      <c r="M135" s="19"/>
      <c r="N135" s="19"/>
      <c r="O135" s="19"/>
      <c r="P135" s="104"/>
      <c r="Q135" s="105"/>
      <c r="R135" s="106"/>
    </row>
    <row r="136" spans="1:18" s="107" customFormat="1" ht="25.5" customHeight="1">
      <c r="A136" s="69" t="s">
        <v>701</v>
      </c>
      <c r="B136" s="44">
        <v>95749</v>
      </c>
      <c r="C136" s="51" t="s">
        <v>702</v>
      </c>
      <c r="D136" s="52" t="s">
        <v>584</v>
      </c>
      <c r="E136" s="47">
        <f t="shared" si="16"/>
        <v>18</v>
      </c>
      <c r="F136" s="47">
        <f>CPU!I394</f>
        <v>20.72</v>
      </c>
      <c r="G136" s="46">
        <f t="shared" si="17"/>
        <v>25.9</v>
      </c>
      <c r="H136" s="48">
        <f t="shared" si="18"/>
        <v>466.2</v>
      </c>
      <c r="I136" s="162">
        <v>18</v>
      </c>
      <c r="J136" s="53">
        <v>24.62</v>
      </c>
      <c r="K136" s="19"/>
      <c r="L136" s="19"/>
      <c r="M136" s="19"/>
      <c r="N136" s="19"/>
      <c r="O136" s="19"/>
      <c r="P136" s="104"/>
      <c r="Q136" s="105"/>
      <c r="R136" s="106"/>
    </row>
    <row r="137" spans="1:18" s="107" customFormat="1" ht="22.5" customHeight="1">
      <c r="A137" s="69" t="s">
        <v>703</v>
      </c>
      <c r="B137" s="44">
        <v>95750</v>
      </c>
      <c r="C137" s="51" t="s">
        <v>704</v>
      </c>
      <c r="D137" s="52" t="s">
        <v>584</v>
      </c>
      <c r="E137" s="47">
        <f t="shared" si="16"/>
        <v>16.75</v>
      </c>
      <c r="F137" s="47">
        <f>CPU!I400</f>
        <v>24.560000000000002</v>
      </c>
      <c r="G137" s="46">
        <f t="shared" si="17"/>
        <v>30.7</v>
      </c>
      <c r="H137" s="48">
        <f t="shared" si="18"/>
        <v>514.22</v>
      </c>
      <c r="I137" s="162">
        <v>16.75</v>
      </c>
      <c r="J137" s="53">
        <v>29.13</v>
      </c>
      <c r="K137" s="19"/>
      <c r="L137" s="19"/>
      <c r="M137" s="19"/>
      <c r="N137" s="19"/>
      <c r="O137" s="19"/>
      <c r="P137" s="104"/>
      <c r="Q137" s="105"/>
      <c r="R137" s="106"/>
    </row>
    <row r="138" spans="1:18" s="107" customFormat="1" ht="22.5" customHeight="1">
      <c r="A138" s="69" t="s">
        <v>705</v>
      </c>
      <c r="B138" s="44">
        <v>97668</v>
      </c>
      <c r="C138" s="51" t="s">
        <v>706</v>
      </c>
      <c r="D138" s="52" t="s">
        <v>584</v>
      </c>
      <c r="E138" s="47">
        <f t="shared" si="16"/>
        <v>64.849999999999994</v>
      </c>
      <c r="F138" s="47">
        <f>CPU!I406</f>
        <v>7.5399999999999991</v>
      </c>
      <c r="G138" s="46">
        <f t="shared" si="17"/>
        <v>9.42</v>
      </c>
      <c r="H138" s="48">
        <f t="shared" si="18"/>
        <v>610.88</v>
      </c>
      <c r="I138" s="162">
        <v>64.849999999999994</v>
      </c>
      <c r="J138" s="53">
        <v>9.08</v>
      </c>
      <c r="K138" s="19"/>
      <c r="L138" s="19"/>
      <c r="M138" s="19"/>
      <c r="N138" s="19"/>
      <c r="O138" s="19"/>
      <c r="P138" s="104"/>
      <c r="Q138" s="105"/>
      <c r="R138" s="106"/>
    </row>
    <row r="139" spans="1:18" s="107" customFormat="1" ht="23.25" customHeight="1">
      <c r="A139" s="69" t="s">
        <v>707</v>
      </c>
      <c r="B139" s="44">
        <v>91854</v>
      </c>
      <c r="C139" s="51" t="s">
        <v>250</v>
      </c>
      <c r="D139" s="52" t="s">
        <v>584</v>
      </c>
      <c r="E139" s="47">
        <f t="shared" si="16"/>
        <v>400</v>
      </c>
      <c r="F139" s="47">
        <f>CPU!I410</f>
        <v>6.0600000000000005</v>
      </c>
      <c r="G139" s="46">
        <f t="shared" si="17"/>
        <v>7.57</v>
      </c>
      <c r="H139" s="48">
        <f t="shared" si="18"/>
        <v>3028</v>
      </c>
      <c r="I139" s="162">
        <v>400</v>
      </c>
      <c r="J139" s="53">
        <v>7.63</v>
      </c>
      <c r="K139" s="19"/>
      <c r="L139" s="19"/>
      <c r="M139" s="19"/>
      <c r="N139" s="19"/>
      <c r="O139" s="19"/>
      <c r="P139" s="104"/>
      <c r="Q139" s="105"/>
      <c r="R139" s="106"/>
    </row>
    <row r="140" spans="1:18" s="107" customFormat="1" ht="23.25" customHeight="1">
      <c r="A140" s="69" t="s">
        <v>708</v>
      </c>
      <c r="B140" s="44">
        <v>95778</v>
      </c>
      <c r="C140" s="51" t="s">
        <v>709</v>
      </c>
      <c r="D140" s="52" t="s">
        <v>524</v>
      </c>
      <c r="E140" s="47">
        <f t="shared" si="16"/>
        <v>12</v>
      </c>
      <c r="F140" s="47">
        <f>CPU!I414</f>
        <v>20.020000000000003</v>
      </c>
      <c r="G140" s="46">
        <f t="shared" si="17"/>
        <v>25.02</v>
      </c>
      <c r="H140" s="48">
        <f t="shared" si="18"/>
        <v>300.24</v>
      </c>
      <c r="I140" s="162">
        <v>12</v>
      </c>
      <c r="J140" s="53">
        <v>24.54</v>
      </c>
      <c r="K140" s="19"/>
      <c r="L140" s="19"/>
      <c r="M140" s="19"/>
      <c r="N140" s="19"/>
      <c r="O140" s="19"/>
      <c r="P140" s="104"/>
      <c r="Q140" s="105"/>
      <c r="R140" s="106"/>
    </row>
    <row r="141" spans="1:18" s="38" customFormat="1" ht="21">
      <c r="A141" s="69" t="s">
        <v>710</v>
      </c>
      <c r="B141" s="44" t="s">
        <v>681</v>
      </c>
      <c r="C141" s="51" t="s">
        <v>711</v>
      </c>
      <c r="D141" s="52" t="s">
        <v>524</v>
      </c>
      <c r="E141" s="47">
        <f t="shared" si="16"/>
        <v>2</v>
      </c>
      <c r="F141" s="47">
        <f>comp__eletrica!F170</f>
        <v>49.15</v>
      </c>
      <c r="G141" s="46">
        <f t="shared" si="17"/>
        <v>61.43</v>
      </c>
      <c r="H141" s="48">
        <f t="shared" si="18"/>
        <v>122.86</v>
      </c>
      <c r="I141" s="162">
        <v>2</v>
      </c>
      <c r="J141" s="53">
        <v>53.83</v>
      </c>
      <c r="K141" s="18"/>
      <c r="L141" s="18"/>
      <c r="M141" s="18"/>
      <c r="N141" s="18"/>
      <c r="O141" s="18"/>
      <c r="P141" s="29"/>
      <c r="Q141" s="36"/>
      <c r="R141" s="30"/>
    </row>
    <row r="142" spans="1:18" s="38" customFormat="1" ht="25.5" customHeight="1">
      <c r="A142" s="69" t="s">
        <v>712</v>
      </c>
      <c r="B142" s="44">
        <v>92008</v>
      </c>
      <c r="C142" s="51" t="s">
        <v>254</v>
      </c>
      <c r="D142" s="52" t="s">
        <v>524</v>
      </c>
      <c r="E142" s="47">
        <f t="shared" si="16"/>
        <v>24</v>
      </c>
      <c r="F142" s="47">
        <f t="shared" si="19"/>
        <v>36.409999999999997</v>
      </c>
      <c r="G142" s="46">
        <f t="shared" si="17"/>
        <v>45.51</v>
      </c>
      <c r="H142" s="48">
        <f t="shared" si="18"/>
        <v>1092.24</v>
      </c>
      <c r="I142" s="162">
        <v>24</v>
      </c>
      <c r="J142" s="53">
        <v>36.409999999999997</v>
      </c>
      <c r="K142" s="18"/>
      <c r="L142" s="18"/>
      <c r="M142" s="18"/>
      <c r="N142" s="18"/>
      <c r="O142" s="18"/>
      <c r="P142" s="29"/>
      <c r="Q142" s="36"/>
      <c r="R142" s="30"/>
    </row>
    <row r="143" spans="1:18" s="38" customFormat="1" ht="25.5" customHeight="1">
      <c r="A143" s="69" t="s">
        <v>713</v>
      </c>
      <c r="B143" s="44">
        <v>92004</v>
      </c>
      <c r="C143" s="51" t="s">
        <v>257</v>
      </c>
      <c r="D143" s="52" t="s">
        <v>524</v>
      </c>
      <c r="E143" s="47">
        <f t="shared" si="16"/>
        <v>8</v>
      </c>
      <c r="F143" s="47">
        <f>CPU!I422</f>
        <v>36.4</v>
      </c>
      <c r="G143" s="46">
        <f t="shared" si="17"/>
        <v>45.5</v>
      </c>
      <c r="H143" s="48">
        <f t="shared" si="18"/>
        <v>364</v>
      </c>
      <c r="I143" s="162">
        <v>8</v>
      </c>
      <c r="J143" s="53">
        <v>41.95</v>
      </c>
      <c r="K143" s="18"/>
      <c r="L143" s="18"/>
      <c r="M143" s="18"/>
      <c r="N143" s="18"/>
      <c r="O143" s="18"/>
      <c r="P143" s="29"/>
      <c r="Q143" s="36"/>
      <c r="R143" s="30"/>
    </row>
    <row r="144" spans="1:18" s="38" customFormat="1" ht="25.5" customHeight="1">
      <c r="A144" s="69" t="s">
        <v>714</v>
      </c>
      <c r="B144" s="44">
        <v>92005</v>
      </c>
      <c r="C144" s="51" t="s">
        <v>259</v>
      </c>
      <c r="D144" s="52" t="s">
        <v>524</v>
      </c>
      <c r="E144" s="47">
        <f t="shared" si="16"/>
        <v>2</v>
      </c>
      <c r="F144" s="47">
        <f>CPU!I425</f>
        <v>39.880000000000003</v>
      </c>
      <c r="G144" s="46">
        <f t="shared" si="17"/>
        <v>49.85</v>
      </c>
      <c r="H144" s="48">
        <f t="shared" si="18"/>
        <v>99.7</v>
      </c>
      <c r="I144" s="162">
        <v>2</v>
      </c>
      <c r="J144" s="53">
        <v>45.93</v>
      </c>
      <c r="K144" s="18"/>
      <c r="L144" s="18"/>
      <c r="M144" s="18"/>
      <c r="N144" s="18"/>
      <c r="O144" s="18"/>
      <c r="P144" s="29"/>
      <c r="Q144" s="36"/>
      <c r="R144" s="30"/>
    </row>
    <row r="145" spans="1:18" s="38" customFormat="1" ht="25.5" customHeight="1">
      <c r="A145" s="69" t="s">
        <v>715</v>
      </c>
      <c r="B145" s="44">
        <v>91992</v>
      </c>
      <c r="C145" s="51" t="s">
        <v>261</v>
      </c>
      <c r="D145" s="52" t="s">
        <v>524</v>
      </c>
      <c r="E145" s="47">
        <f t="shared" si="16"/>
        <v>13</v>
      </c>
      <c r="F145" s="47">
        <f>CPU!I428</f>
        <v>28.19</v>
      </c>
      <c r="G145" s="46">
        <f t="shared" si="17"/>
        <v>35.229999999999997</v>
      </c>
      <c r="H145" s="48">
        <f t="shared" si="18"/>
        <v>457.99</v>
      </c>
      <c r="I145" s="162">
        <v>13</v>
      </c>
      <c r="J145" s="53">
        <v>32.56</v>
      </c>
      <c r="K145" s="18"/>
      <c r="L145" s="18"/>
      <c r="M145" s="18"/>
      <c r="N145" s="18"/>
      <c r="O145" s="18"/>
      <c r="P145" s="29"/>
      <c r="Q145" s="36"/>
      <c r="R145" s="30"/>
    </row>
    <row r="146" spans="1:18" s="38" customFormat="1" ht="25.5" customHeight="1">
      <c r="A146" s="69" t="s">
        <v>716</v>
      </c>
      <c r="B146" s="44">
        <v>91953</v>
      </c>
      <c r="C146" s="51" t="s">
        <v>717</v>
      </c>
      <c r="D146" s="52" t="s">
        <v>524</v>
      </c>
      <c r="E146" s="47">
        <f t="shared" si="16"/>
        <v>7</v>
      </c>
      <c r="F146" s="47">
        <f>CPU!I431</f>
        <v>18.43</v>
      </c>
      <c r="G146" s="46">
        <f t="shared" si="17"/>
        <v>23.03</v>
      </c>
      <c r="H146" s="48">
        <f t="shared" si="18"/>
        <v>161.21</v>
      </c>
      <c r="I146" s="162">
        <v>7</v>
      </c>
      <c r="J146" s="53">
        <v>19.920000000000002</v>
      </c>
      <c r="K146" s="18"/>
      <c r="L146" s="18"/>
      <c r="M146" s="18"/>
      <c r="N146" s="18"/>
      <c r="O146" s="18"/>
      <c r="P146" s="29"/>
      <c r="Q146" s="36"/>
      <c r="R146" s="30"/>
    </row>
    <row r="147" spans="1:18" s="38" customFormat="1" ht="25.5" customHeight="1">
      <c r="A147" s="69" t="s">
        <v>718</v>
      </c>
      <c r="B147" s="44">
        <v>91961</v>
      </c>
      <c r="C147" s="51" t="s">
        <v>719</v>
      </c>
      <c r="D147" s="52" t="s">
        <v>524</v>
      </c>
      <c r="E147" s="47">
        <f t="shared" si="16"/>
        <v>4</v>
      </c>
      <c r="F147" s="47">
        <f>CPU!I434</f>
        <v>38.200000000000003</v>
      </c>
      <c r="G147" s="46">
        <f t="shared" si="17"/>
        <v>47.75</v>
      </c>
      <c r="H147" s="48">
        <f t="shared" si="18"/>
        <v>191</v>
      </c>
      <c r="I147" s="162">
        <v>4</v>
      </c>
      <c r="J147" s="53">
        <v>44.01</v>
      </c>
      <c r="K147" s="18"/>
      <c r="L147" s="18"/>
      <c r="M147" s="18"/>
      <c r="N147" s="18"/>
      <c r="O147" s="18"/>
      <c r="P147" s="29"/>
      <c r="Q147" s="36"/>
      <c r="R147" s="30"/>
    </row>
    <row r="148" spans="1:18" s="38" customFormat="1" ht="31.2">
      <c r="A148" s="69" t="s">
        <v>720</v>
      </c>
      <c r="B148" s="44">
        <v>91965</v>
      </c>
      <c r="C148" s="51" t="s">
        <v>267</v>
      </c>
      <c r="D148" s="52" t="s">
        <v>524</v>
      </c>
      <c r="E148" s="47">
        <f t="shared" si="16"/>
        <v>2</v>
      </c>
      <c r="F148" s="47">
        <f>CPU!I437</f>
        <v>44.75</v>
      </c>
      <c r="G148" s="46">
        <f t="shared" si="17"/>
        <v>55.93</v>
      </c>
      <c r="H148" s="48">
        <f t="shared" si="18"/>
        <v>111.86</v>
      </c>
      <c r="I148" s="162">
        <v>2</v>
      </c>
      <c r="J148" s="53">
        <v>51.5</v>
      </c>
      <c r="K148" s="18"/>
      <c r="L148" s="18"/>
      <c r="M148" s="18"/>
      <c r="N148" s="18"/>
      <c r="O148" s="18"/>
      <c r="P148" s="29"/>
      <c r="Q148" s="36"/>
      <c r="R148" s="30"/>
    </row>
    <row r="149" spans="1:18" s="38" customFormat="1" ht="31.2">
      <c r="A149" s="69" t="s">
        <v>721</v>
      </c>
      <c r="B149" s="44" t="s">
        <v>681</v>
      </c>
      <c r="C149" s="51" t="s">
        <v>722</v>
      </c>
      <c r="D149" s="52" t="s">
        <v>652</v>
      </c>
      <c r="E149" s="47">
        <f t="shared" si="16"/>
        <v>28</v>
      </c>
      <c r="F149" s="47">
        <f>comp__eletrica!F50</f>
        <v>100.77455999999999</v>
      </c>
      <c r="G149" s="46">
        <f t="shared" si="17"/>
        <v>125.96</v>
      </c>
      <c r="H149" s="48">
        <f t="shared" si="18"/>
        <v>3526.88</v>
      </c>
      <c r="I149" s="162">
        <v>28</v>
      </c>
      <c r="J149" s="53">
        <v>105.64</v>
      </c>
      <c r="K149" s="18"/>
      <c r="L149" s="18"/>
      <c r="M149" s="18"/>
      <c r="N149" s="18"/>
      <c r="O149" s="18"/>
      <c r="P149" s="29"/>
      <c r="Q149" s="36"/>
      <c r="R149" s="30"/>
    </row>
    <row r="150" spans="1:18" s="38" customFormat="1" ht="25.5" customHeight="1">
      <c r="A150" s="69" t="s">
        <v>723</v>
      </c>
      <c r="B150" s="44">
        <v>97599</v>
      </c>
      <c r="C150" s="51" t="s">
        <v>269</v>
      </c>
      <c r="D150" s="52" t="s">
        <v>524</v>
      </c>
      <c r="E150" s="47">
        <f t="shared" si="16"/>
        <v>4</v>
      </c>
      <c r="F150" s="47">
        <f>CPU!I440</f>
        <v>20.28</v>
      </c>
      <c r="G150" s="46">
        <f t="shared" si="17"/>
        <v>25.35</v>
      </c>
      <c r="H150" s="48">
        <f t="shared" si="18"/>
        <v>101.4</v>
      </c>
      <c r="I150" s="162">
        <v>4</v>
      </c>
      <c r="J150" s="53">
        <v>23.68</v>
      </c>
      <c r="K150" s="18"/>
      <c r="L150" s="18"/>
      <c r="M150" s="18"/>
      <c r="N150" s="18"/>
      <c r="O150" s="18"/>
      <c r="P150" s="29"/>
      <c r="Q150" s="36"/>
      <c r="R150" s="30"/>
    </row>
    <row r="151" spans="1:18" s="38" customFormat="1" ht="25.5" customHeight="1">
      <c r="A151" s="69" t="s">
        <v>724</v>
      </c>
      <c r="B151" s="44">
        <v>103782</v>
      </c>
      <c r="C151" s="51" t="s">
        <v>271</v>
      </c>
      <c r="D151" s="52" t="s">
        <v>524</v>
      </c>
      <c r="E151" s="47">
        <f t="shared" si="16"/>
        <v>4</v>
      </c>
      <c r="F151" s="47">
        <f>CPU!I444</f>
        <v>25.669999999999998</v>
      </c>
      <c r="G151" s="46">
        <f t="shared" si="17"/>
        <v>32.08</v>
      </c>
      <c r="H151" s="48">
        <f t="shared" si="18"/>
        <v>128.32</v>
      </c>
      <c r="I151" s="162">
        <v>4</v>
      </c>
      <c r="J151" s="53">
        <v>31.12</v>
      </c>
      <c r="K151" s="18"/>
      <c r="L151" s="18"/>
      <c r="M151" s="18"/>
      <c r="N151" s="18"/>
      <c r="O151" s="18"/>
      <c r="P151" s="29"/>
      <c r="Q151" s="36"/>
      <c r="R151" s="30"/>
    </row>
    <row r="152" spans="1:18" s="38" customFormat="1" ht="25.5" customHeight="1">
      <c r="A152" s="69" t="s">
        <v>725</v>
      </c>
      <c r="B152" s="44" t="s">
        <v>681</v>
      </c>
      <c r="C152" s="51" t="s">
        <v>726</v>
      </c>
      <c r="D152" s="52" t="s">
        <v>524</v>
      </c>
      <c r="E152" s="47">
        <f t="shared" si="16"/>
        <v>5</v>
      </c>
      <c r="F152" s="47">
        <f>comp__eletrica!F63</f>
        <v>99.554560000000009</v>
      </c>
      <c r="G152" s="46">
        <f t="shared" si="17"/>
        <v>124.44</v>
      </c>
      <c r="H152" s="48">
        <f t="shared" si="18"/>
        <v>622.20000000000005</v>
      </c>
      <c r="I152" s="162">
        <v>5</v>
      </c>
      <c r="J152" s="53">
        <v>107.17</v>
      </c>
      <c r="K152" s="18"/>
      <c r="L152" s="18"/>
      <c r="M152" s="18"/>
      <c r="N152" s="18"/>
      <c r="O152" s="18"/>
      <c r="P152" s="29"/>
      <c r="Q152" s="36"/>
      <c r="R152" s="30"/>
    </row>
    <row r="153" spans="1:18" s="38" customFormat="1" ht="25.5" customHeight="1">
      <c r="A153" s="69" t="s">
        <v>727</v>
      </c>
      <c r="B153" s="44" t="s">
        <v>681</v>
      </c>
      <c r="C153" s="51" t="s">
        <v>728</v>
      </c>
      <c r="D153" s="52" t="s">
        <v>524</v>
      </c>
      <c r="E153" s="47">
        <f t="shared" si="16"/>
        <v>8</v>
      </c>
      <c r="F153" s="47">
        <f>comp__eletrica!F76</f>
        <v>57.554559999999995</v>
      </c>
      <c r="G153" s="46">
        <f t="shared" si="17"/>
        <v>71.94</v>
      </c>
      <c r="H153" s="48">
        <f t="shared" si="18"/>
        <v>575.52</v>
      </c>
      <c r="I153" s="162">
        <v>8</v>
      </c>
      <c r="J153" s="53">
        <v>63.52</v>
      </c>
      <c r="K153" s="18"/>
      <c r="L153" s="18"/>
      <c r="M153" s="18"/>
      <c r="N153" s="18"/>
      <c r="O153" s="18"/>
      <c r="P153" s="29"/>
      <c r="Q153" s="36"/>
      <c r="R153" s="30"/>
    </row>
    <row r="154" spans="1:18" s="38" customFormat="1" ht="25.5" customHeight="1">
      <c r="A154" s="69" t="s">
        <v>729</v>
      </c>
      <c r="B154" s="44">
        <v>101894</v>
      </c>
      <c r="C154" s="51" t="s">
        <v>730</v>
      </c>
      <c r="D154" s="52" t="s">
        <v>524</v>
      </c>
      <c r="E154" s="47">
        <f t="shared" si="16"/>
        <v>1</v>
      </c>
      <c r="F154" s="47">
        <f>CPU!I448</f>
        <v>134.04999999999998</v>
      </c>
      <c r="G154" s="46">
        <f t="shared" si="17"/>
        <v>167.56</v>
      </c>
      <c r="H154" s="48">
        <f t="shared" si="18"/>
        <v>167.56</v>
      </c>
      <c r="I154" s="162">
        <v>1</v>
      </c>
      <c r="J154" s="53">
        <v>157.07</v>
      </c>
      <c r="K154" s="18"/>
      <c r="L154" s="18"/>
      <c r="M154" s="18"/>
      <c r="N154" s="18"/>
      <c r="O154" s="18"/>
      <c r="P154" s="29"/>
      <c r="Q154" s="36"/>
      <c r="R154" s="30"/>
    </row>
    <row r="155" spans="1:18" s="38" customFormat="1" ht="25.5" customHeight="1">
      <c r="A155" s="69" t="s">
        <v>731</v>
      </c>
      <c r="B155" s="44" t="s">
        <v>681</v>
      </c>
      <c r="C155" s="51" t="s">
        <v>732</v>
      </c>
      <c r="D155" s="52" t="s">
        <v>524</v>
      </c>
      <c r="E155" s="47">
        <f t="shared" si="16"/>
        <v>4</v>
      </c>
      <c r="F155" s="47">
        <f>comp__eletrica!F182</f>
        <v>98.05</v>
      </c>
      <c r="G155" s="46">
        <f t="shared" si="17"/>
        <v>122.56</v>
      </c>
      <c r="H155" s="48">
        <f t="shared" si="18"/>
        <v>490.24</v>
      </c>
      <c r="I155" s="162">
        <v>4</v>
      </c>
      <c r="J155" s="53">
        <v>100.73</v>
      </c>
      <c r="K155" s="18"/>
      <c r="L155" s="18"/>
      <c r="M155" s="18"/>
      <c r="N155" s="18"/>
      <c r="O155" s="18"/>
      <c r="P155" s="29"/>
      <c r="Q155" s="36"/>
      <c r="R155" s="30"/>
    </row>
    <row r="156" spans="1:18" s="38" customFormat="1" ht="25.5" customHeight="1">
      <c r="A156" s="69" t="s">
        <v>733</v>
      </c>
      <c r="B156" s="44">
        <v>93673</v>
      </c>
      <c r="C156" s="51" t="s">
        <v>734</v>
      </c>
      <c r="D156" s="52" t="s">
        <v>524</v>
      </c>
      <c r="E156" s="47">
        <f t="shared" si="16"/>
        <v>2</v>
      </c>
      <c r="F156" s="47">
        <f>CPU!I453</f>
        <v>81.160000000000011</v>
      </c>
      <c r="G156" s="46">
        <f t="shared" si="17"/>
        <v>101.45</v>
      </c>
      <c r="H156" s="48">
        <f t="shared" si="18"/>
        <v>202.9</v>
      </c>
      <c r="I156" s="162">
        <v>2</v>
      </c>
      <c r="J156" s="53">
        <v>95.56</v>
      </c>
      <c r="K156" s="18"/>
      <c r="L156" s="18"/>
      <c r="M156" s="18"/>
      <c r="N156" s="18"/>
      <c r="O156" s="18"/>
      <c r="P156" s="29"/>
      <c r="Q156" s="36"/>
      <c r="R156" s="30"/>
    </row>
    <row r="157" spans="1:18" s="38" customFormat="1" ht="25.5" customHeight="1">
      <c r="A157" s="69" t="s">
        <v>735</v>
      </c>
      <c r="B157" s="44">
        <v>93653</v>
      </c>
      <c r="C157" s="51" t="s">
        <v>279</v>
      </c>
      <c r="D157" s="52" t="s">
        <v>524</v>
      </c>
      <c r="E157" s="47">
        <f t="shared" si="16"/>
        <v>4</v>
      </c>
      <c r="F157" s="47">
        <f>CPU!I458</f>
        <v>10.33</v>
      </c>
      <c r="G157" s="46">
        <f t="shared" si="17"/>
        <v>12.91</v>
      </c>
      <c r="H157" s="48">
        <f t="shared" si="18"/>
        <v>51.64</v>
      </c>
      <c r="I157" s="162">
        <v>4</v>
      </c>
      <c r="J157" s="53">
        <v>11.98</v>
      </c>
      <c r="K157" s="18"/>
      <c r="L157" s="18"/>
      <c r="M157" s="18"/>
      <c r="N157" s="18"/>
      <c r="O157" s="18"/>
      <c r="P157" s="29"/>
      <c r="Q157" s="36"/>
      <c r="R157" s="30"/>
    </row>
    <row r="158" spans="1:18" s="38" customFormat="1" ht="25.5" customHeight="1">
      <c r="A158" s="69" t="s">
        <v>736</v>
      </c>
      <c r="B158" s="44">
        <v>93654</v>
      </c>
      <c r="C158" s="51" t="s">
        <v>282</v>
      </c>
      <c r="D158" s="52" t="s">
        <v>524</v>
      </c>
      <c r="E158" s="47">
        <f t="shared" si="16"/>
        <v>6</v>
      </c>
      <c r="F158" s="47">
        <f>CPU!I463</f>
        <v>10.690000000000001</v>
      </c>
      <c r="G158" s="46">
        <f t="shared" si="17"/>
        <v>13.36</v>
      </c>
      <c r="H158" s="48">
        <f t="shared" si="18"/>
        <v>80.16</v>
      </c>
      <c r="I158" s="162">
        <v>6</v>
      </c>
      <c r="J158" s="53">
        <v>12.46</v>
      </c>
      <c r="K158" s="18"/>
      <c r="L158" s="18"/>
      <c r="M158" s="18"/>
      <c r="N158" s="18"/>
      <c r="O158" s="18"/>
      <c r="P158" s="29"/>
      <c r="Q158" s="36"/>
      <c r="R158" s="30"/>
    </row>
    <row r="159" spans="1:18" s="38" customFormat="1" ht="25.5" customHeight="1">
      <c r="A159" s="69" t="s">
        <v>737</v>
      </c>
      <c r="B159" s="44">
        <v>93655</v>
      </c>
      <c r="C159" s="51" t="s">
        <v>283</v>
      </c>
      <c r="D159" s="52" t="s">
        <v>524</v>
      </c>
      <c r="E159" s="47">
        <f t="shared" si="16"/>
        <v>2</v>
      </c>
      <c r="F159" s="47">
        <f>CPU!I468</f>
        <v>11.440000000000001</v>
      </c>
      <c r="G159" s="46">
        <f t="shared" si="17"/>
        <v>14.3</v>
      </c>
      <c r="H159" s="48">
        <f t="shared" si="18"/>
        <v>28.6</v>
      </c>
      <c r="I159" s="162">
        <v>2</v>
      </c>
      <c r="J159" s="53">
        <v>13.41</v>
      </c>
      <c r="K159" s="18"/>
      <c r="L159" s="18"/>
      <c r="M159" s="18"/>
      <c r="N159" s="18"/>
      <c r="O159" s="18"/>
      <c r="P159" s="29"/>
      <c r="Q159" s="36"/>
      <c r="R159" s="30"/>
    </row>
    <row r="160" spans="1:18" s="38" customFormat="1" ht="25.5" customHeight="1">
      <c r="A160" s="69" t="s">
        <v>738</v>
      </c>
      <c r="B160" s="44">
        <v>93656</v>
      </c>
      <c r="C160" s="51" t="s">
        <v>285</v>
      </c>
      <c r="D160" s="52" t="s">
        <v>524</v>
      </c>
      <c r="E160" s="47">
        <f t="shared" si="16"/>
        <v>1</v>
      </c>
      <c r="F160" s="47">
        <f>CPU!I473</f>
        <v>11.440000000000001</v>
      </c>
      <c r="G160" s="55">
        <f t="shared" ref="G160" si="20">TRUNC(J160*J$7,2)</f>
        <v>16.760000000000002</v>
      </c>
      <c r="H160" s="48">
        <f t="shared" si="18"/>
        <v>16.760000000000002</v>
      </c>
      <c r="I160" s="162">
        <v>1</v>
      </c>
      <c r="J160" s="53">
        <v>13.41</v>
      </c>
      <c r="K160" s="18"/>
      <c r="L160" s="18"/>
      <c r="M160" s="18"/>
      <c r="N160" s="18"/>
      <c r="O160" s="18"/>
      <c r="P160" s="29"/>
      <c r="Q160" s="36"/>
      <c r="R160" s="30"/>
    </row>
    <row r="161" spans="1:18" s="38" customFormat="1" ht="25.5" customHeight="1">
      <c r="A161" s="69" t="s">
        <v>739</v>
      </c>
      <c r="B161" s="44">
        <v>93661</v>
      </c>
      <c r="C161" s="51" t="s">
        <v>286</v>
      </c>
      <c r="D161" s="52" t="s">
        <v>524</v>
      </c>
      <c r="E161" s="47">
        <f t="shared" si="16"/>
        <v>2</v>
      </c>
      <c r="F161" s="47">
        <f>CPU!I478</f>
        <v>53.51</v>
      </c>
      <c r="G161" s="46">
        <f t="shared" ref="G161:G186" si="21">TRUNC(F161*J$7,2)</f>
        <v>66.88</v>
      </c>
      <c r="H161" s="48">
        <f t="shared" si="18"/>
        <v>133.76</v>
      </c>
      <c r="I161" s="162">
        <v>2</v>
      </c>
      <c r="J161" s="53">
        <v>61.68</v>
      </c>
      <c r="K161" s="18"/>
      <c r="L161" s="18"/>
      <c r="M161" s="18"/>
      <c r="N161" s="18"/>
      <c r="O161" s="18"/>
      <c r="P161" s="29"/>
      <c r="Q161" s="36"/>
      <c r="R161" s="30"/>
    </row>
    <row r="162" spans="1:18" s="38" customFormat="1" ht="25.5" customHeight="1">
      <c r="A162" s="69" t="s">
        <v>740</v>
      </c>
      <c r="B162" s="44">
        <v>93662</v>
      </c>
      <c r="C162" s="51" t="s">
        <v>288</v>
      </c>
      <c r="D162" s="52" t="s">
        <v>524</v>
      </c>
      <c r="E162" s="47">
        <f t="shared" si="16"/>
        <v>4</v>
      </c>
      <c r="F162" s="47">
        <f>CPU!I483</f>
        <v>55.03</v>
      </c>
      <c r="G162" s="46">
        <f t="shared" si="21"/>
        <v>68.78</v>
      </c>
      <c r="H162" s="48">
        <f t="shared" si="18"/>
        <v>275.12</v>
      </c>
      <c r="I162" s="162">
        <v>4</v>
      </c>
      <c r="J162" s="53">
        <v>63.57</v>
      </c>
      <c r="K162" s="18"/>
      <c r="L162" s="18"/>
      <c r="M162" s="18"/>
      <c r="N162" s="18"/>
      <c r="O162" s="18"/>
      <c r="P162" s="29"/>
      <c r="Q162" s="36"/>
      <c r="R162" s="30"/>
    </row>
    <row r="163" spans="1:18" s="38" customFormat="1" ht="25.5" customHeight="1">
      <c r="A163" s="69" t="s">
        <v>741</v>
      </c>
      <c r="B163" s="44">
        <v>93663</v>
      </c>
      <c r="C163" s="51" t="s">
        <v>289</v>
      </c>
      <c r="D163" s="52" t="s">
        <v>524</v>
      </c>
      <c r="E163" s="47">
        <f t="shared" si="16"/>
        <v>2</v>
      </c>
      <c r="F163" s="47">
        <f>CPU!I488</f>
        <v>55.03</v>
      </c>
      <c r="G163" s="46">
        <f t="shared" si="21"/>
        <v>68.78</v>
      </c>
      <c r="H163" s="48">
        <f t="shared" si="18"/>
        <v>137.56</v>
      </c>
      <c r="I163" s="162">
        <v>2</v>
      </c>
      <c r="J163" s="53">
        <v>63.57</v>
      </c>
      <c r="K163" s="18"/>
      <c r="L163" s="18"/>
      <c r="M163" s="18"/>
      <c r="N163" s="18"/>
      <c r="O163" s="18"/>
      <c r="P163" s="29"/>
      <c r="Q163" s="36"/>
      <c r="R163" s="30"/>
    </row>
    <row r="164" spans="1:18" s="38" customFormat="1" ht="21">
      <c r="A164" s="69" t="s">
        <v>742</v>
      </c>
      <c r="B164" s="44" t="s">
        <v>681</v>
      </c>
      <c r="C164" s="51" t="s">
        <v>743</v>
      </c>
      <c r="D164" s="52" t="s">
        <v>524</v>
      </c>
      <c r="E164" s="47">
        <f t="shared" si="16"/>
        <v>2</v>
      </c>
      <c r="F164" s="47">
        <f>comp__eletrica!F193</f>
        <v>147.9</v>
      </c>
      <c r="G164" s="46">
        <f t="shared" si="21"/>
        <v>184.87</v>
      </c>
      <c r="H164" s="48">
        <f t="shared" si="18"/>
        <v>369.74</v>
      </c>
      <c r="I164" s="162">
        <v>2</v>
      </c>
      <c r="J164" s="53">
        <v>155.37</v>
      </c>
      <c r="K164" s="18"/>
      <c r="L164" s="18"/>
      <c r="M164" s="18"/>
      <c r="N164" s="18"/>
      <c r="O164" s="18"/>
      <c r="P164" s="29"/>
      <c r="Q164" s="36"/>
      <c r="R164" s="30"/>
    </row>
    <row r="165" spans="1:18" s="38" customFormat="1" ht="21">
      <c r="A165" s="69" t="s">
        <v>744</v>
      </c>
      <c r="B165" s="44" t="s">
        <v>681</v>
      </c>
      <c r="C165" s="51" t="s">
        <v>745</v>
      </c>
      <c r="D165" s="52" t="s">
        <v>524</v>
      </c>
      <c r="E165" s="47">
        <f t="shared" si="16"/>
        <v>1</v>
      </c>
      <c r="F165" s="47">
        <f>comp__eletrica!F146</f>
        <v>357.4</v>
      </c>
      <c r="G165" s="46">
        <f t="shared" si="21"/>
        <v>446.75</v>
      </c>
      <c r="H165" s="48">
        <f t="shared" si="18"/>
        <v>446.75</v>
      </c>
      <c r="I165" s="162">
        <v>1</v>
      </c>
      <c r="J165" s="53">
        <v>374.35</v>
      </c>
      <c r="K165" s="18"/>
      <c r="L165" s="18"/>
      <c r="M165" s="18"/>
      <c r="N165" s="18"/>
      <c r="O165" s="18"/>
      <c r="P165" s="29"/>
      <c r="Q165" s="36"/>
      <c r="R165" s="30"/>
    </row>
    <row r="166" spans="1:18" s="38" customFormat="1" ht="21">
      <c r="A166" s="69" t="s">
        <v>746</v>
      </c>
      <c r="B166" s="44" t="s">
        <v>681</v>
      </c>
      <c r="C166" s="51" t="s">
        <v>747</v>
      </c>
      <c r="D166" s="52" t="s">
        <v>524</v>
      </c>
      <c r="E166" s="47">
        <f t="shared" si="16"/>
        <v>11</v>
      </c>
      <c r="F166" s="47">
        <f>comp__eletrica!F134</f>
        <v>106.9</v>
      </c>
      <c r="G166" s="46">
        <f t="shared" si="21"/>
        <v>133.62</v>
      </c>
      <c r="H166" s="48">
        <f t="shared" si="18"/>
        <v>1469.82</v>
      </c>
      <c r="I166" s="162">
        <v>11</v>
      </c>
      <c r="J166" s="53">
        <v>114.8</v>
      </c>
      <c r="K166" s="18"/>
      <c r="L166" s="18"/>
      <c r="M166" s="18"/>
      <c r="N166" s="18"/>
      <c r="O166" s="18"/>
      <c r="P166" s="29"/>
      <c r="Q166" s="36"/>
      <c r="R166" s="30"/>
    </row>
    <row r="167" spans="1:18" s="38" customFormat="1" ht="25.5" customHeight="1">
      <c r="A167" s="69" t="s">
        <v>748</v>
      </c>
      <c r="B167" s="44">
        <v>96985</v>
      </c>
      <c r="C167" s="51" t="s">
        <v>749</v>
      </c>
      <c r="D167" s="52" t="s">
        <v>524</v>
      </c>
      <c r="E167" s="47">
        <f t="shared" si="16"/>
        <v>6</v>
      </c>
      <c r="F167" s="47">
        <f>CPU!I493</f>
        <v>54.1</v>
      </c>
      <c r="G167" s="46">
        <f t="shared" si="21"/>
        <v>67.62</v>
      </c>
      <c r="H167" s="48">
        <f t="shared" si="18"/>
        <v>405.72</v>
      </c>
      <c r="I167" s="162">
        <v>6</v>
      </c>
      <c r="J167" s="53">
        <v>60.39</v>
      </c>
      <c r="K167" s="18"/>
      <c r="L167" s="18"/>
      <c r="M167" s="18"/>
      <c r="N167" s="18"/>
      <c r="O167" s="18"/>
      <c r="P167" s="29"/>
      <c r="Q167" s="36"/>
      <c r="R167" s="30"/>
    </row>
    <row r="168" spans="1:18" s="38" customFormat="1" ht="21">
      <c r="A168" s="69" t="s">
        <v>750</v>
      </c>
      <c r="B168" s="44" t="s">
        <v>681</v>
      </c>
      <c r="C168" s="51" t="s">
        <v>751</v>
      </c>
      <c r="D168" s="52" t="s">
        <v>524</v>
      </c>
      <c r="E168" s="47">
        <f t="shared" si="16"/>
        <v>6</v>
      </c>
      <c r="F168" s="47">
        <f>comp__eletrica!F217</f>
        <v>14.610000000000001</v>
      </c>
      <c r="G168" s="46">
        <f t="shared" si="21"/>
        <v>18.260000000000002</v>
      </c>
      <c r="H168" s="48">
        <f t="shared" si="18"/>
        <v>109.56</v>
      </c>
      <c r="I168" s="162">
        <v>6</v>
      </c>
      <c r="J168" s="53">
        <v>15.5</v>
      </c>
      <c r="K168" s="18"/>
      <c r="L168" s="18"/>
      <c r="M168" s="18"/>
      <c r="N168" s="18"/>
      <c r="O168" s="18"/>
      <c r="P168" s="29"/>
      <c r="Q168" s="36"/>
      <c r="R168" s="30"/>
    </row>
    <row r="169" spans="1:18" s="38" customFormat="1" ht="31.2">
      <c r="A169" s="69" t="s">
        <v>752</v>
      </c>
      <c r="B169" s="44" t="s">
        <v>681</v>
      </c>
      <c r="C169" s="51" t="s">
        <v>753</v>
      </c>
      <c r="D169" s="52" t="s">
        <v>524</v>
      </c>
      <c r="E169" s="47">
        <f t="shared" si="16"/>
        <v>9</v>
      </c>
      <c r="F169" s="47">
        <f>comp__eletrica!F228</f>
        <v>4.87</v>
      </c>
      <c r="G169" s="46">
        <f t="shared" si="21"/>
        <v>6.08</v>
      </c>
      <c r="H169" s="48">
        <f t="shared" si="18"/>
        <v>54.72</v>
      </c>
      <c r="I169" s="162">
        <v>9</v>
      </c>
      <c r="J169" s="53">
        <v>5.59</v>
      </c>
      <c r="K169" s="18"/>
      <c r="L169" s="18"/>
      <c r="M169" s="18"/>
      <c r="N169" s="18"/>
      <c r="O169" s="18"/>
      <c r="P169" s="29"/>
      <c r="Q169" s="36"/>
      <c r="R169" s="30"/>
    </row>
    <row r="170" spans="1:18" s="38" customFormat="1" ht="31.2">
      <c r="A170" s="69" t="s">
        <v>754</v>
      </c>
      <c r="B170" s="44" t="s">
        <v>681</v>
      </c>
      <c r="C170" s="51" t="s">
        <v>755</v>
      </c>
      <c r="D170" s="52" t="s">
        <v>524</v>
      </c>
      <c r="E170" s="47">
        <f t="shared" si="16"/>
        <v>12</v>
      </c>
      <c r="F170" s="47">
        <f>comp__eletrica!F239</f>
        <v>3.95</v>
      </c>
      <c r="G170" s="46">
        <f t="shared" si="21"/>
        <v>4.93</v>
      </c>
      <c r="H170" s="48">
        <f t="shared" si="18"/>
        <v>59.16</v>
      </c>
      <c r="I170" s="162">
        <v>12</v>
      </c>
      <c r="J170" s="53">
        <v>4.67</v>
      </c>
      <c r="K170" s="18"/>
      <c r="L170" s="18"/>
      <c r="M170" s="18"/>
      <c r="N170" s="18"/>
      <c r="O170" s="18"/>
      <c r="P170" s="29"/>
      <c r="Q170" s="36"/>
      <c r="R170" s="30"/>
    </row>
    <row r="171" spans="1:18" s="38" customFormat="1" ht="31.2">
      <c r="A171" s="69" t="s">
        <v>756</v>
      </c>
      <c r="B171" s="44" t="s">
        <v>681</v>
      </c>
      <c r="C171" s="51" t="s">
        <v>757</v>
      </c>
      <c r="D171" s="52" t="s">
        <v>524</v>
      </c>
      <c r="E171" s="47">
        <f t="shared" si="16"/>
        <v>36</v>
      </c>
      <c r="F171" s="47">
        <f>comp__eletrica!F250</f>
        <v>2.5100000000000002</v>
      </c>
      <c r="G171" s="46">
        <f t="shared" si="21"/>
        <v>3.13</v>
      </c>
      <c r="H171" s="48">
        <f t="shared" si="18"/>
        <v>112.68</v>
      </c>
      <c r="I171" s="162">
        <v>36</v>
      </c>
      <c r="J171" s="53">
        <v>2.96</v>
      </c>
      <c r="K171" s="18"/>
      <c r="L171" s="18"/>
      <c r="M171" s="18"/>
      <c r="N171" s="18"/>
      <c r="O171" s="18"/>
      <c r="P171" s="29"/>
      <c r="Q171" s="36"/>
      <c r="R171" s="30"/>
    </row>
    <row r="172" spans="1:18" s="38" customFormat="1" ht="25.5" customHeight="1">
      <c r="A172" s="69" t="s">
        <v>758</v>
      </c>
      <c r="B172" s="44">
        <v>97883</v>
      </c>
      <c r="C172" s="51" t="s">
        <v>292</v>
      </c>
      <c r="D172" s="52" t="s">
        <v>524</v>
      </c>
      <c r="E172" s="47">
        <f t="shared" si="16"/>
        <v>5</v>
      </c>
      <c r="F172" s="47">
        <f>CPU!I497</f>
        <v>305.14</v>
      </c>
      <c r="G172" s="46">
        <f t="shared" si="21"/>
        <v>381.42</v>
      </c>
      <c r="H172" s="48">
        <f t="shared" si="18"/>
        <v>1907.1</v>
      </c>
      <c r="I172" s="162">
        <v>5</v>
      </c>
      <c r="J172" s="53">
        <v>349.27</v>
      </c>
      <c r="K172" s="18"/>
      <c r="L172" s="18"/>
      <c r="M172" s="18"/>
      <c r="N172" s="18"/>
      <c r="O172" s="18"/>
      <c r="P172" s="29"/>
      <c r="Q172" s="36"/>
      <c r="R172" s="30"/>
    </row>
    <row r="173" spans="1:18" s="38" customFormat="1" ht="31.2">
      <c r="A173" s="69" t="s">
        <v>759</v>
      </c>
      <c r="B173" s="44">
        <v>101881</v>
      </c>
      <c r="C173" s="51" t="s">
        <v>760</v>
      </c>
      <c r="D173" s="52" t="s">
        <v>524</v>
      </c>
      <c r="E173" s="47">
        <f t="shared" si="16"/>
        <v>1</v>
      </c>
      <c r="F173" s="47">
        <f>CPU!I505</f>
        <v>1138.92</v>
      </c>
      <c r="G173" s="46">
        <f t="shared" si="21"/>
        <v>1423.65</v>
      </c>
      <c r="H173" s="48">
        <f t="shared" si="18"/>
        <v>1423.65</v>
      </c>
      <c r="I173" s="162">
        <v>1</v>
      </c>
      <c r="J173" s="53">
        <v>1305.8900000000001</v>
      </c>
      <c r="K173" s="18"/>
      <c r="L173" s="18"/>
      <c r="M173" s="18"/>
      <c r="N173" s="18"/>
      <c r="O173" s="18"/>
      <c r="P173" s="29"/>
      <c r="Q173" s="36"/>
      <c r="R173" s="30"/>
    </row>
    <row r="174" spans="1:18" s="38" customFormat="1" ht="31.2">
      <c r="A174" s="69" t="s">
        <v>761</v>
      </c>
      <c r="B174" s="44">
        <v>101880</v>
      </c>
      <c r="C174" s="51" t="s">
        <v>301</v>
      </c>
      <c r="D174" s="52" t="s">
        <v>524</v>
      </c>
      <c r="E174" s="47">
        <f t="shared" si="16"/>
        <v>2</v>
      </c>
      <c r="F174" s="47">
        <f>CPU!I510</f>
        <v>785.09</v>
      </c>
      <c r="G174" s="46">
        <f t="shared" si="21"/>
        <v>981.36</v>
      </c>
      <c r="H174" s="48">
        <f t="shared" si="18"/>
        <v>1962.72</v>
      </c>
      <c r="I174" s="162">
        <v>2</v>
      </c>
      <c r="J174" s="53">
        <v>901.14</v>
      </c>
      <c r="K174" s="18"/>
      <c r="L174" s="18"/>
      <c r="M174" s="18"/>
      <c r="N174" s="18"/>
      <c r="O174" s="18"/>
      <c r="P174" s="29"/>
      <c r="Q174" s="36"/>
      <c r="R174" s="30"/>
    </row>
    <row r="175" spans="1:18" s="38" customFormat="1" ht="35.25" customHeight="1">
      <c r="A175" s="69" t="s">
        <v>762</v>
      </c>
      <c r="B175" s="44">
        <v>101879</v>
      </c>
      <c r="C175" s="51" t="s">
        <v>763</v>
      </c>
      <c r="D175" s="52" t="s">
        <v>524</v>
      </c>
      <c r="E175" s="47">
        <f t="shared" si="16"/>
        <v>1</v>
      </c>
      <c r="F175" s="47">
        <f>CPU!I515</f>
        <v>682.8900000000001</v>
      </c>
      <c r="G175" s="46">
        <f t="shared" si="21"/>
        <v>853.61</v>
      </c>
      <c r="H175" s="48">
        <f t="shared" si="18"/>
        <v>853.61</v>
      </c>
      <c r="I175" s="162">
        <v>1</v>
      </c>
      <c r="J175" s="53">
        <v>783.76</v>
      </c>
      <c r="K175" s="18"/>
      <c r="L175" s="18"/>
      <c r="M175" s="18"/>
      <c r="N175" s="18"/>
      <c r="O175" s="18"/>
      <c r="P175" s="29"/>
      <c r="Q175" s="36"/>
      <c r="R175" s="30"/>
    </row>
    <row r="176" spans="1:18" s="38" customFormat="1" ht="35.25" customHeight="1">
      <c r="A176" s="69" t="s">
        <v>764</v>
      </c>
      <c r="B176" s="44">
        <v>91941</v>
      </c>
      <c r="C176" s="51" t="s">
        <v>305</v>
      </c>
      <c r="D176" s="52" t="s">
        <v>524</v>
      </c>
      <c r="E176" s="47">
        <f t="shared" si="16"/>
        <v>35</v>
      </c>
      <c r="F176" s="47">
        <f>CPU!I520</f>
        <v>6.6000000000000005</v>
      </c>
      <c r="G176" s="46">
        <f t="shared" si="21"/>
        <v>8.25</v>
      </c>
      <c r="H176" s="48">
        <f t="shared" si="18"/>
        <v>288.75</v>
      </c>
      <c r="I176" s="162">
        <v>35</v>
      </c>
      <c r="J176" s="53">
        <v>8.24</v>
      </c>
      <c r="K176" s="18"/>
      <c r="L176" s="18"/>
      <c r="M176" s="18"/>
      <c r="N176" s="18"/>
      <c r="O176" s="18"/>
      <c r="P176" s="29"/>
      <c r="Q176" s="36"/>
      <c r="R176" s="30"/>
    </row>
    <row r="177" spans="1:18" s="38" customFormat="1" ht="36" customHeight="1">
      <c r="A177" s="69" t="s">
        <v>765</v>
      </c>
      <c r="B177" s="44">
        <v>91940</v>
      </c>
      <c r="C177" s="51" t="s">
        <v>307</v>
      </c>
      <c r="D177" s="52" t="s">
        <v>524</v>
      </c>
      <c r="E177" s="47">
        <f t="shared" si="16"/>
        <v>25</v>
      </c>
      <c r="F177" s="47">
        <f>CPU!I525</f>
        <v>9.5500000000000007</v>
      </c>
      <c r="G177" s="46">
        <f t="shared" si="21"/>
        <v>11.93</v>
      </c>
      <c r="H177" s="48">
        <f t="shared" si="18"/>
        <v>298.25</v>
      </c>
      <c r="I177" s="162">
        <v>25</v>
      </c>
      <c r="J177" s="53">
        <v>12.11</v>
      </c>
      <c r="K177" s="102"/>
      <c r="L177" s="102"/>
      <c r="M177" s="18"/>
      <c r="N177" s="18"/>
      <c r="O177" s="18"/>
      <c r="P177" s="29"/>
      <c r="Q177" s="36"/>
      <c r="R177" s="30"/>
    </row>
    <row r="178" spans="1:18" s="38" customFormat="1" ht="24" customHeight="1">
      <c r="A178" s="69" t="s">
        <v>766</v>
      </c>
      <c r="B178" s="44">
        <v>91939</v>
      </c>
      <c r="C178" s="51" t="s">
        <v>308</v>
      </c>
      <c r="D178" s="52" t="s">
        <v>524</v>
      </c>
      <c r="E178" s="47">
        <f t="shared" si="16"/>
        <v>16</v>
      </c>
      <c r="F178" s="47">
        <f>CPU!I530</f>
        <v>17.440000000000001</v>
      </c>
      <c r="G178" s="46">
        <f t="shared" si="21"/>
        <v>21.8</v>
      </c>
      <c r="H178" s="48">
        <f t="shared" si="18"/>
        <v>348.8</v>
      </c>
      <c r="I178" s="162">
        <v>16</v>
      </c>
      <c r="J178" s="53">
        <v>22.43</v>
      </c>
      <c r="K178" s="102"/>
      <c r="L178" s="102"/>
      <c r="M178" s="18"/>
      <c r="N178" s="18"/>
      <c r="O178" s="18"/>
      <c r="P178" s="29"/>
      <c r="Q178" s="36"/>
      <c r="R178" s="30"/>
    </row>
    <row r="179" spans="1:18" s="38" customFormat="1" ht="24" customHeight="1">
      <c r="A179" s="69" t="s">
        <v>767</v>
      </c>
      <c r="B179" s="44">
        <v>91944</v>
      </c>
      <c r="C179" s="51" t="s">
        <v>309</v>
      </c>
      <c r="D179" s="52" t="s">
        <v>524</v>
      </c>
      <c r="E179" s="47">
        <f t="shared" si="16"/>
        <v>2</v>
      </c>
      <c r="F179" s="47">
        <f>CPU!I535</f>
        <v>9.2799999999999994</v>
      </c>
      <c r="G179" s="46">
        <f t="shared" si="21"/>
        <v>11.6</v>
      </c>
      <c r="H179" s="48">
        <f t="shared" si="18"/>
        <v>23.2</v>
      </c>
      <c r="I179" s="162">
        <v>2</v>
      </c>
      <c r="J179" s="53">
        <v>11.18</v>
      </c>
      <c r="K179" s="102"/>
      <c r="L179" s="102"/>
      <c r="M179" s="18"/>
      <c r="N179" s="18"/>
      <c r="O179" s="18"/>
      <c r="P179" s="29"/>
      <c r="Q179" s="36"/>
      <c r="R179" s="30"/>
    </row>
    <row r="180" spans="1:18" s="91" customFormat="1" ht="22.5" customHeight="1">
      <c r="A180" s="69" t="s">
        <v>768</v>
      </c>
      <c r="B180" s="44">
        <v>91936</v>
      </c>
      <c r="C180" s="51" t="s">
        <v>311</v>
      </c>
      <c r="D180" s="52" t="s">
        <v>769</v>
      </c>
      <c r="E180" s="47">
        <f t="shared" si="16"/>
        <v>28</v>
      </c>
      <c r="F180" s="47">
        <f>CPU!I540</f>
        <v>9.17</v>
      </c>
      <c r="G180" s="46">
        <f t="shared" si="21"/>
        <v>11.46</v>
      </c>
      <c r="H180" s="48">
        <f t="shared" si="18"/>
        <v>320.88</v>
      </c>
      <c r="I180" s="162">
        <v>28</v>
      </c>
      <c r="J180" s="53">
        <v>11.18</v>
      </c>
      <c r="K180" s="102"/>
      <c r="L180" s="102"/>
      <c r="M180" s="163"/>
      <c r="N180" s="163"/>
      <c r="O180" s="89"/>
      <c r="P180" s="90"/>
      <c r="Q180" s="87"/>
      <c r="R180" s="89"/>
    </row>
    <row r="181" spans="1:18" s="38" customFormat="1" ht="24.75" customHeight="1">
      <c r="A181" s="69" t="s">
        <v>770</v>
      </c>
      <c r="B181" s="44">
        <v>101632</v>
      </c>
      <c r="C181" s="51" t="s">
        <v>313</v>
      </c>
      <c r="D181" s="52" t="s">
        <v>524</v>
      </c>
      <c r="E181" s="47">
        <f t="shared" si="16"/>
        <v>2</v>
      </c>
      <c r="F181" s="47">
        <f>CPU!I544</f>
        <v>47.09</v>
      </c>
      <c r="G181" s="46">
        <f t="shared" si="21"/>
        <v>58.86</v>
      </c>
      <c r="H181" s="48">
        <f t="shared" si="18"/>
        <v>117.72</v>
      </c>
      <c r="I181" s="162">
        <v>2</v>
      </c>
      <c r="J181" s="53">
        <v>53.94</v>
      </c>
      <c r="K181" s="102"/>
      <c r="L181" s="102"/>
      <c r="M181" s="18"/>
      <c r="N181" s="18"/>
      <c r="O181" s="18"/>
      <c r="P181" s="29"/>
      <c r="Q181" s="36"/>
      <c r="R181" s="30"/>
    </row>
    <row r="182" spans="1:18" s="38" customFormat="1" ht="24.75" customHeight="1">
      <c r="A182" s="69" t="s">
        <v>771</v>
      </c>
      <c r="B182" s="44">
        <v>97660</v>
      </c>
      <c r="C182" s="51" t="s">
        <v>315</v>
      </c>
      <c r="D182" s="52" t="s">
        <v>524</v>
      </c>
      <c r="E182" s="47">
        <f t="shared" si="16"/>
        <v>35</v>
      </c>
      <c r="F182" s="47">
        <f>CPU!I549</f>
        <v>0.38</v>
      </c>
      <c r="G182" s="46">
        <f t="shared" si="21"/>
        <v>0.47</v>
      </c>
      <c r="H182" s="48">
        <f t="shared" si="18"/>
        <v>16.45</v>
      </c>
      <c r="I182" s="162">
        <v>35</v>
      </c>
      <c r="J182" s="53">
        <v>0.48</v>
      </c>
      <c r="K182" s="102"/>
      <c r="L182" s="102"/>
      <c r="M182" s="18"/>
      <c r="N182" s="18"/>
      <c r="O182" s="18"/>
      <c r="P182" s="29"/>
      <c r="Q182" s="36"/>
      <c r="R182" s="30"/>
    </row>
    <row r="183" spans="1:18" s="38" customFormat="1" ht="22.5" customHeight="1">
      <c r="A183" s="69" t="s">
        <v>772</v>
      </c>
      <c r="B183" s="44">
        <v>97661</v>
      </c>
      <c r="C183" s="51" t="s">
        <v>773</v>
      </c>
      <c r="D183" s="52" t="s">
        <v>584</v>
      </c>
      <c r="E183" s="47">
        <f t="shared" si="16"/>
        <v>600</v>
      </c>
      <c r="F183" s="47">
        <f>CPU!I552</f>
        <v>0.38</v>
      </c>
      <c r="G183" s="46">
        <f t="shared" si="21"/>
        <v>0.47</v>
      </c>
      <c r="H183" s="48">
        <f t="shared" si="18"/>
        <v>282</v>
      </c>
      <c r="I183" s="162">
        <v>600</v>
      </c>
      <c r="J183" s="53">
        <v>0.49</v>
      </c>
      <c r="K183" s="18"/>
      <c r="L183" s="18"/>
      <c r="M183" s="18"/>
      <c r="N183" s="18"/>
      <c r="O183" s="18"/>
      <c r="P183" s="29"/>
      <c r="Q183" s="36"/>
      <c r="R183" s="30"/>
    </row>
    <row r="184" spans="1:18" s="38" customFormat="1" ht="26.25" customHeight="1">
      <c r="A184" s="69" t="s">
        <v>774</v>
      </c>
      <c r="B184" s="44">
        <v>97665</v>
      </c>
      <c r="C184" s="51" t="s">
        <v>317</v>
      </c>
      <c r="D184" s="52" t="s">
        <v>524</v>
      </c>
      <c r="E184" s="47">
        <f t="shared" si="16"/>
        <v>22</v>
      </c>
      <c r="F184" s="47">
        <f>CPU!I555</f>
        <v>0.74</v>
      </c>
      <c r="G184" s="46">
        <f t="shared" si="21"/>
        <v>0.92</v>
      </c>
      <c r="H184" s="48">
        <f t="shared" si="18"/>
        <v>20.239999999999998</v>
      </c>
      <c r="I184" s="162">
        <v>22</v>
      </c>
      <c r="J184" s="53">
        <v>0.94</v>
      </c>
      <c r="K184" s="18" t="s">
        <v>563</v>
      </c>
      <c r="L184" s="18"/>
      <c r="M184" s="18"/>
      <c r="N184" s="18"/>
      <c r="O184" s="18"/>
      <c r="P184" s="29"/>
      <c r="Q184" s="36"/>
      <c r="R184" s="30"/>
    </row>
    <row r="185" spans="1:18" s="38" customFormat="1" ht="31.2">
      <c r="A185" s="69" t="s">
        <v>775</v>
      </c>
      <c r="B185" s="44">
        <v>91835</v>
      </c>
      <c r="C185" s="51" t="s">
        <v>776</v>
      </c>
      <c r="D185" s="52" t="s">
        <v>584</v>
      </c>
      <c r="E185" s="47">
        <f t="shared" si="16"/>
        <v>26</v>
      </c>
      <c r="F185" s="47">
        <f>CPU!I558</f>
        <v>7.71</v>
      </c>
      <c r="G185" s="46">
        <f t="shared" si="21"/>
        <v>9.6300000000000008</v>
      </c>
      <c r="H185" s="48">
        <f t="shared" si="18"/>
        <v>250.38</v>
      </c>
      <c r="I185" s="162">
        <v>26</v>
      </c>
      <c r="J185" s="53">
        <v>9.14</v>
      </c>
      <c r="K185" s="18"/>
      <c r="L185" s="18"/>
      <c r="M185" s="18"/>
      <c r="N185" s="18"/>
      <c r="O185" s="18"/>
      <c r="P185" s="29"/>
      <c r="Q185" s="36"/>
      <c r="R185" s="30"/>
    </row>
    <row r="186" spans="1:18" s="38" customFormat="1" ht="25.5" customHeight="1" thickBot="1">
      <c r="A186" s="69" t="s">
        <v>777</v>
      </c>
      <c r="B186" s="136">
        <v>93141</v>
      </c>
      <c r="C186" s="76" t="s">
        <v>778</v>
      </c>
      <c r="D186" s="52" t="s">
        <v>524</v>
      </c>
      <c r="E186" s="98">
        <f t="shared" si="16"/>
        <v>3</v>
      </c>
      <c r="F186" s="98">
        <f>CPU!I563</f>
        <v>134.24</v>
      </c>
      <c r="G186" s="46">
        <f t="shared" si="21"/>
        <v>167.8</v>
      </c>
      <c r="H186" s="57">
        <f t="shared" si="18"/>
        <v>503.4</v>
      </c>
      <c r="I186" s="162">
        <v>3</v>
      </c>
      <c r="J186" s="53">
        <v>153.57</v>
      </c>
      <c r="K186" s="18"/>
      <c r="L186" s="18"/>
      <c r="M186" s="18"/>
      <c r="N186" s="18"/>
      <c r="O186" s="18"/>
      <c r="P186" s="29"/>
      <c r="Q186" s="36"/>
      <c r="R186" s="30"/>
    </row>
    <row r="187" spans="1:18" s="38" customFormat="1" ht="27" customHeight="1" thickBot="1">
      <c r="A187" s="58"/>
      <c r="B187" s="59"/>
      <c r="C187" s="33" t="s">
        <v>525</v>
      </c>
      <c r="D187" s="59"/>
      <c r="E187" s="59"/>
      <c r="F187" s="59"/>
      <c r="G187" s="59"/>
      <c r="H187" s="59">
        <f>SUM(H124:H186)</f>
        <v>49713.39</v>
      </c>
      <c r="I187" s="87"/>
      <c r="J187" s="37"/>
      <c r="K187" s="18"/>
      <c r="L187" s="18" t="e">
        <f>H187-#REF!</f>
        <v>#REF!</v>
      </c>
      <c r="M187" s="18"/>
      <c r="N187" s="18"/>
      <c r="O187" s="18"/>
      <c r="P187" s="29"/>
      <c r="Q187" s="36"/>
      <c r="R187" s="30"/>
    </row>
    <row r="188" spans="1:18" s="38" customFormat="1" ht="11.25" customHeight="1" thickBot="1">
      <c r="A188" s="111"/>
      <c r="B188" s="112"/>
      <c r="C188" s="113"/>
      <c r="D188" s="67"/>
      <c r="E188" s="95"/>
      <c r="F188" s="95"/>
      <c r="G188" s="56"/>
      <c r="H188" s="48"/>
      <c r="I188" s="18"/>
      <c r="J188" s="53"/>
      <c r="K188" s="18"/>
      <c r="L188" s="18"/>
      <c r="M188" s="18"/>
      <c r="N188" s="18"/>
      <c r="O188" s="18"/>
      <c r="P188" s="29"/>
      <c r="Q188" s="36"/>
      <c r="R188" s="30"/>
    </row>
    <row r="189" spans="1:18" s="91" customFormat="1" thickBot="1">
      <c r="A189" s="58" t="s">
        <v>779</v>
      </c>
      <c r="B189" s="59"/>
      <c r="C189" s="33" t="s">
        <v>780</v>
      </c>
      <c r="D189" s="33"/>
      <c r="E189" s="33"/>
      <c r="F189" s="33"/>
      <c r="G189" s="33"/>
      <c r="H189" s="33"/>
      <c r="I189" s="36"/>
      <c r="J189" s="37"/>
      <c r="K189" s="87"/>
      <c r="L189" s="87"/>
      <c r="M189" s="89"/>
      <c r="N189" s="89"/>
      <c r="O189" s="89"/>
      <c r="P189" s="90"/>
      <c r="Q189" s="87"/>
      <c r="R189" s="87"/>
    </row>
    <row r="190" spans="1:18" s="91" customFormat="1" ht="31.5" customHeight="1">
      <c r="A190" s="69" t="s">
        <v>781</v>
      </c>
      <c r="B190" s="136" t="s">
        <v>519</v>
      </c>
      <c r="C190" s="76" t="s">
        <v>711</v>
      </c>
      <c r="D190" s="52" t="s">
        <v>524</v>
      </c>
      <c r="E190" s="47">
        <f t="shared" ref="E190:E218" si="22">TRUNC(I190,2)</f>
        <v>2</v>
      </c>
      <c r="F190" s="47">
        <f>comp__eletrica!F277</f>
        <v>48.089999999999996</v>
      </c>
      <c r="G190" s="46">
        <f t="shared" ref="G190:G218" si="23">TRUNC(F190*J$7,2)</f>
        <v>60.11</v>
      </c>
      <c r="H190" s="48">
        <f t="shared" ref="H190:H218" si="24">TRUNC(E190*G190,2)</f>
        <v>120.22</v>
      </c>
      <c r="I190" s="162">
        <v>2</v>
      </c>
      <c r="J190" s="53">
        <v>53.83</v>
      </c>
      <c r="K190" s="87"/>
      <c r="L190" s="87"/>
      <c r="M190" s="89"/>
      <c r="N190" s="89"/>
      <c r="O190" s="89"/>
      <c r="P190" s="90"/>
      <c r="Q190" s="87"/>
      <c r="R190" s="87"/>
    </row>
    <row r="191" spans="1:18" s="38" customFormat="1" ht="28.5" customHeight="1">
      <c r="A191" s="69" t="s">
        <v>782</v>
      </c>
      <c r="B191" s="44" t="s">
        <v>519</v>
      </c>
      <c r="C191" s="51" t="s">
        <v>783</v>
      </c>
      <c r="D191" s="52" t="s">
        <v>524</v>
      </c>
      <c r="E191" s="47">
        <f t="shared" si="22"/>
        <v>2</v>
      </c>
      <c r="F191" s="47">
        <f>comp__eletrica!F157</f>
        <v>68.305800000000005</v>
      </c>
      <c r="G191" s="46">
        <f t="shared" si="23"/>
        <v>85.38</v>
      </c>
      <c r="H191" s="48">
        <f t="shared" si="24"/>
        <v>170.76</v>
      </c>
      <c r="I191" s="162">
        <v>2</v>
      </c>
      <c r="J191" s="53">
        <v>74.73</v>
      </c>
      <c r="K191" s="36"/>
      <c r="L191" s="36"/>
      <c r="M191" s="36"/>
      <c r="N191" s="36"/>
      <c r="O191" s="36"/>
      <c r="P191" s="164"/>
      <c r="Q191" s="36"/>
      <c r="R191" s="36"/>
    </row>
    <row r="192" spans="1:18" s="71" customFormat="1" ht="21.75" customHeight="1">
      <c r="A192" s="69" t="s">
        <v>784</v>
      </c>
      <c r="B192" s="44">
        <v>91944</v>
      </c>
      <c r="C192" s="51" t="s">
        <v>309</v>
      </c>
      <c r="D192" s="52" t="s">
        <v>524</v>
      </c>
      <c r="E192" s="47">
        <f t="shared" si="22"/>
        <v>1</v>
      </c>
      <c r="F192" s="47">
        <f>CPU!I535</f>
        <v>9.2799999999999994</v>
      </c>
      <c r="G192" s="46">
        <f t="shared" si="23"/>
        <v>11.6</v>
      </c>
      <c r="H192" s="48">
        <f t="shared" si="24"/>
        <v>11.6</v>
      </c>
      <c r="I192" s="162">
        <v>1</v>
      </c>
      <c r="J192" s="53">
        <v>11.42</v>
      </c>
      <c r="K192" s="18"/>
      <c r="L192" s="18"/>
      <c r="M192" s="18"/>
      <c r="N192" s="18"/>
      <c r="O192" s="18"/>
      <c r="P192" s="29"/>
      <c r="Q192" s="18"/>
      <c r="R192" s="18"/>
    </row>
    <row r="193" spans="1:18" s="38" customFormat="1" ht="21" customHeight="1">
      <c r="A193" s="69" t="s">
        <v>785</v>
      </c>
      <c r="B193" s="44">
        <v>91941</v>
      </c>
      <c r="C193" s="51" t="s">
        <v>305</v>
      </c>
      <c r="D193" s="52" t="s">
        <v>524</v>
      </c>
      <c r="E193" s="47">
        <f t="shared" si="22"/>
        <v>17</v>
      </c>
      <c r="F193" s="47">
        <f>CPU!I520</f>
        <v>6.6000000000000005</v>
      </c>
      <c r="G193" s="46">
        <f t="shared" si="23"/>
        <v>8.25</v>
      </c>
      <c r="H193" s="48">
        <f t="shared" si="24"/>
        <v>140.25</v>
      </c>
      <c r="I193" s="162">
        <v>17</v>
      </c>
      <c r="J193" s="53">
        <v>8.24</v>
      </c>
      <c r="K193" s="18"/>
      <c r="L193" s="18"/>
      <c r="M193" s="36"/>
      <c r="N193" s="36"/>
      <c r="O193" s="36"/>
      <c r="P193" s="164"/>
      <c r="Q193" s="36"/>
      <c r="R193" s="36"/>
    </row>
    <row r="194" spans="1:18" s="71" customFormat="1" ht="25.5" customHeight="1">
      <c r="A194" s="69" t="s">
        <v>786</v>
      </c>
      <c r="B194" s="44">
        <v>91940</v>
      </c>
      <c r="C194" s="51" t="s">
        <v>307</v>
      </c>
      <c r="D194" s="52" t="s">
        <v>524</v>
      </c>
      <c r="E194" s="47">
        <f t="shared" si="22"/>
        <v>5</v>
      </c>
      <c r="F194" s="47">
        <f>CPU!I525</f>
        <v>9.5500000000000007</v>
      </c>
      <c r="G194" s="46">
        <f t="shared" si="23"/>
        <v>11.93</v>
      </c>
      <c r="H194" s="48">
        <f t="shared" si="24"/>
        <v>59.65</v>
      </c>
      <c r="I194" s="162">
        <v>5</v>
      </c>
      <c r="J194" s="53">
        <v>12.11</v>
      </c>
      <c r="K194" s="18"/>
      <c r="L194" s="18"/>
      <c r="M194" s="18"/>
      <c r="N194" s="18"/>
      <c r="O194" s="18"/>
      <c r="P194" s="29"/>
      <c r="Q194" s="18"/>
      <c r="R194" s="18"/>
    </row>
    <row r="195" spans="1:18" s="71" customFormat="1" ht="24.75" customHeight="1">
      <c r="A195" s="69" t="s">
        <v>787</v>
      </c>
      <c r="B195" s="44">
        <v>91939</v>
      </c>
      <c r="C195" s="51" t="s">
        <v>308</v>
      </c>
      <c r="D195" s="52" t="s">
        <v>524</v>
      </c>
      <c r="E195" s="47">
        <f t="shared" si="22"/>
        <v>2</v>
      </c>
      <c r="F195" s="47">
        <f>CPU!I530</f>
        <v>17.440000000000001</v>
      </c>
      <c r="G195" s="46">
        <f t="shared" si="23"/>
        <v>21.8</v>
      </c>
      <c r="H195" s="48">
        <f t="shared" si="24"/>
        <v>43.6</v>
      </c>
      <c r="I195" s="162">
        <v>2</v>
      </c>
      <c r="J195" s="53">
        <v>22.43</v>
      </c>
      <c r="K195" s="18"/>
      <c r="L195" s="18"/>
      <c r="M195" s="18"/>
      <c r="N195" s="18"/>
      <c r="O195" s="18"/>
      <c r="P195" s="29"/>
      <c r="Q195" s="18"/>
      <c r="R195" s="18"/>
    </row>
    <row r="196" spans="1:18" s="38" customFormat="1" ht="24.75" customHeight="1">
      <c r="A196" s="69" t="s">
        <v>788</v>
      </c>
      <c r="B196" s="44">
        <v>95781</v>
      </c>
      <c r="C196" s="51" t="s">
        <v>789</v>
      </c>
      <c r="D196" s="52" t="s">
        <v>524</v>
      </c>
      <c r="E196" s="47">
        <f t="shared" si="22"/>
        <v>3</v>
      </c>
      <c r="F196" s="47">
        <f>CPU!I573</f>
        <v>24.33</v>
      </c>
      <c r="G196" s="46">
        <f t="shared" si="23"/>
        <v>30.41</v>
      </c>
      <c r="H196" s="48">
        <f t="shared" si="24"/>
        <v>91.23</v>
      </c>
      <c r="I196" s="162">
        <v>3</v>
      </c>
      <c r="J196" s="53">
        <v>27.84</v>
      </c>
      <c r="K196" s="18"/>
      <c r="L196" s="18"/>
      <c r="M196" s="36"/>
      <c r="N196" s="36"/>
      <c r="O196" s="36"/>
      <c r="P196" s="164"/>
      <c r="Q196" s="36"/>
      <c r="R196" s="36"/>
    </row>
    <row r="197" spans="1:18" s="38" customFormat="1" ht="24" customHeight="1">
      <c r="A197" s="69" t="s">
        <v>790</v>
      </c>
      <c r="B197" s="44">
        <v>90444</v>
      </c>
      <c r="C197" s="51" t="s">
        <v>234</v>
      </c>
      <c r="D197" s="52" t="s">
        <v>584</v>
      </c>
      <c r="E197" s="47">
        <f t="shared" si="22"/>
        <v>12</v>
      </c>
      <c r="F197" s="47">
        <f>CPU!I381</f>
        <v>16.200000000000003</v>
      </c>
      <c r="G197" s="46">
        <f t="shared" si="23"/>
        <v>20.25</v>
      </c>
      <c r="H197" s="48">
        <f t="shared" si="24"/>
        <v>243</v>
      </c>
      <c r="I197" s="162">
        <v>12</v>
      </c>
      <c r="J197" s="53">
        <v>18.96</v>
      </c>
      <c r="K197" s="18"/>
      <c r="L197" s="18"/>
      <c r="M197" s="36"/>
      <c r="N197" s="36"/>
      <c r="O197" s="36"/>
      <c r="P197" s="164"/>
      <c r="Q197" s="36"/>
      <c r="R197" s="36"/>
    </row>
    <row r="198" spans="1:18" s="38" customFormat="1" ht="24" customHeight="1">
      <c r="A198" s="69" t="s">
        <v>791</v>
      </c>
      <c r="B198" s="44">
        <v>90447</v>
      </c>
      <c r="C198" s="51" t="s">
        <v>240</v>
      </c>
      <c r="D198" s="52" t="s">
        <v>584</v>
      </c>
      <c r="E198" s="47">
        <f t="shared" si="22"/>
        <v>47.6</v>
      </c>
      <c r="F198" s="47">
        <f>CPU!I391</f>
        <v>4.07</v>
      </c>
      <c r="G198" s="46">
        <f t="shared" si="23"/>
        <v>5.08</v>
      </c>
      <c r="H198" s="48">
        <f t="shared" si="24"/>
        <v>241.8</v>
      </c>
      <c r="I198" s="162">
        <v>47.6</v>
      </c>
      <c r="J198" s="53">
        <v>5.05</v>
      </c>
      <c r="K198" s="18"/>
      <c r="L198" s="18"/>
      <c r="M198" s="36"/>
      <c r="N198" s="36"/>
      <c r="O198" s="36"/>
      <c r="P198" s="164"/>
      <c r="Q198" s="36"/>
      <c r="R198" s="36"/>
    </row>
    <row r="199" spans="1:18" s="38" customFormat="1" ht="25.5" customHeight="1">
      <c r="A199" s="69" t="s">
        <v>792</v>
      </c>
      <c r="B199" s="44">
        <v>91854</v>
      </c>
      <c r="C199" s="51" t="s">
        <v>250</v>
      </c>
      <c r="D199" s="52" t="s">
        <v>584</v>
      </c>
      <c r="E199" s="47">
        <f t="shared" si="22"/>
        <v>150</v>
      </c>
      <c r="F199" s="47">
        <f>CPU!I410</f>
        <v>6.0600000000000005</v>
      </c>
      <c r="G199" s="46">
        <f t="shared" si="23"/>
        <v>7.57</v>
      </c>
      <c r="H199" s="48">
        <f t="shared" si="24"/>
        <v>1135.5</v>
      </c>
      <c r="I199" s="162">
        <v>150</v>
      </c>
      <c r="J199" s="53">
        <v>7.63</v>
      </c>
      <c r="K199" s="18"/>
      <c r="L199" s="18"/>
      <c r="M199" s="36"/>
      <c r="N199" s="36"/>
      <c r="O199" s="36"/>
      <c r="P199" s="164"/>
      <c r="Q199" s="36"/>
      <c r="R199" s="36"/>
    </row>
    <row r="200" spans="1:18" s="38" customFormat="1" ht="31.2">
      <c r="A200" s="69" t="s">
        <v>793</v>
      </c>
      <c r="B200" s="44">
        <v>91835</v>
      </c>
      <c r="C200" s="51" t="s">
        <v>776</v>
      </c>
      <c r="D200" s="52" t="s">
        <v>584</v>
      </c>
      <c r="E200" s="47">
        <f t="shared" si="22"/>
        <v>36</v>
      </c>
      <c r="F200" s="47">
        <f>CPU!I558</f>
        <v>7.71</v>
      </c>
      <c r="G200" s="46">
        <f t="shared" si="23"/>
        <v>9.6300000000000008</v>
      </c>
      <c r="H200" s="48">
        <f t="shared" si="24"/>
        <v>346.68</v>
      </c>
      <c r="I200" s="162">
        <v>36</v>
      </c>
      <c r="J200" s="53">
        <v>9.14</v>
      </c>
      <c r="K200" s="18"/>
      <c r="L200" s="18"/>
      <c r="M200" s="36"/>
      <c r="N200" s="36"/>
      <c r="O200" s="36"/>
      <c r="P200" s="164"/>
      <c r="Q200" s="36"/>
      <c r="R200" s="36"/>
    </row>
    <row r="201" spans="1:18" s="38" customFormat="1" ht="31.2">
      <c r="A201" s="69" t="s">
        <v>794</v>
      </c>
      <c r="B201" s="44">
        <v>91857</v>
      </c>
      <c r="C201" s="51" t="s">
        <v>330</v>
      </c>
      <c r="D201" s="52" t="s">
        <v>584</v>
      </c>
      <c r="E201" s="47">
        <f t="shared" si="22"/>
        <v>18.5</v>
      </c>
      <c r="F201" s="47">
        <f>CPU!I578</f>
        <v>10.31</v>
      </c>
      <c r="G201" s="46">
        <f t="shared" si="23"/>
        <v>12.88</v>
      </c>
      <c r="H201" s="48">
        <f t="shared" si="24"/>
        <v>238.28</v>
      </c>
      <c r="I201" s="162">
        <v>18.5</v>
      </c>
      <c r="J201" s="53">
        <v>12.59</v>
      </c>
      <c r="K201" s="18"/>
      <c r="L201" s="18"/>
      <c r="M201" s="36"/>
      <c r="N201" s="36"/>
      <c r="O201" s="36"/>
      <c r="P201" s="164"/>
      <c r="Q201" s="36"/>
      <c r="R201" s="36"/>
    </row>
    <row r="202" spans="1:18" s="38" customFormat="1" ht="24.75" customHeight="1">
      <c r="A202" s="69" t="s">
        <v>795</v>
      </c>
      <c r="B202" s="44">
        <v>95750</v>
      </c>
      <c r="C202" s="51" t="s">
        <v>704</v>
      </c>
      <c r="D202" s="52" t="s">
        <v>584</v>
      </c>
      <c r="E202" s="47">
        <f t="shared" si="22"/>
        <v>12</v>
      </c>
      <c r="F202" s="47">
        <f>CPU!I400</f>
        <v>24.560000000000002</v>
      </c>
      <c r="G202" s="46">
        <f t="shared" si="23"/>
        <v>30.7</v>
      </c>
      <c r="H202" s="48">
        <f t="shared" si="24"/>
        <v>368.4</v>
      </c>
      <c r="I202" s="162">
        <v>12</v>
      </c>
      <c r="J202" s="53">
        <v>29.13</v>
      </c>
      <c r="K202" s="18"/>
      <c r="L202" s="18"/>
      <c r="M202" s="36"/>
      <c r="N202" s="36"/>
      <c r="O202" s="36"/>
      <c r="P202" s="164"/>
      <c r="Q202" s="36"/>
      <c r="R202" s="36"/>
    </row>
    <row r="203" spans="1:18" s="38" customFormat="1" ht="16.5" customHeight="1">
      <c r="A203" s="69" t="s">
        <v>796</v>
      </c>
      <c r="B203" s="44">
        <v>98307</v>
      </c>
      <c r="C203" s="51" t="s">
        <v>332</v>
      </c>
      <c r="D203" s="52" t="s">
        <v>524</v>
      </c>
      <c r="E203" s="47">
        <f t="shared" si="22"/>
        <v>24</v>
      </c>
      <c r="F203" s="47">
        <f>CPU!I582</f>
        <v>34.519999999999996</v>
      </c>
      <c r="G203" s="46">
        <f t="shared" si="23"/>
        <v>43.15</v>
      </c>
      <c r="H203" s="48">
        <f t="shared" si="24"/>
        <v>1035.5999999999999</v>
      </c>
      <c r="I203" s="162">
        <v>24</v>
      </c>
      <c r="J203" s="53">
        <v>40.49</v>
      </c>
      <c r="K203" s="18"/>
      <c r="L203" s="18"/>
      <c r="M203" s="36"/>
      <c r="N203" s="36"/>
      <c r="O203" s="36"/>
      <c r="P203" s="164"/>
      <c r="Q203" s="36"/>
      <c r="R203" s="36"/>
    </row>
    <row r="204" spans="1:18" s="38" customFormat="1" ht="17.25" customHeight="1">
      <c r="A204" s="69" t="s">
        <v>797</v>
      </c>
      <c r="B204" s="44">
        <v>98308</v>
      </c>
      <c r="C204" s="51" t="s">
        <v>334</v>
      </c>
      <c r="D204" s="52" t="s">
        <v>524</v>
      </c>
      <c r="E204" s="47">
        <f t="shared" si="22"/>
        <v>3</v>
      </c>
      <c r="F204" s="47">
        <f>CPU!I586</f>
        <v>22.15</v>
      </c>
      <c r="G204" s="46">
        <f t="shared" si="23"/>
        <v>27.68</v>
      </c>
      <c r="H204" s="48">
        <f t="shared" si="24"/>
        <v>83.04</v>
      </c>
      <c r="I204" s="162">
        <v>3</v>
      </c>
      <c r="J204" s="53">
        <v>26.33</v>
      </c>
      <c r="K204" s="18"/>
      <c r="L204" s="18"/>
      <c r="M204" s="36"/>
      <c r="N204" s="36"/>
      <c r="O204" s="36"/>
      <c r="P204" s="164"/>
      <c r="Q204" s="36"/>
      <c r="R204" s="36"/>
    </row>
    <row r="205" spans="1:18" s="38" customFormat="1" ht="28.5" customHeight="1">
      <c r="A205" s="69" t="s">
        <v>798</v>
      </c>
      <c r="B205" s="44">
        <v>98295</v>
      </c>
      <c r="C205" s="51" t="s">
        <v>336</v>
      </c>
      <c r="D205" s="52" t="s">
        <v>584</v>
      </c>
      <c r="E205" s="47">
        <f t="shared" si="22"/>
        <v>616</v>
      </c>
      <c r="F205" s="47">
        <f>CPU!I590</f>
        <v>1.51</v>
      </c>
      <c r="G205" s="46">
        <f t="shared" si="23"/>
        <v>1.88</v>
      </c>
      <c r="H205" s="48">
        <f t="shared" si="24"/>
        <v>1158.08</v>
      </c>
      <c r="I205" s="162">
        <f>(560*1.1)</f>
        <v>616</v>
      </c>
      <c r="J205" s="53">
        <v>1.74</v>
      </c>
      <c r="K205" s="18"/>
      <c r="L205" s="18"/>
      <c r="M205" s="36"/>
      <c r="N205" s="36"/>
      <c r="O205" s="36"/>
      <c r="P205" s="164"/>
      <c r="Q205" s="36"/>
      <c r="R205" s="36"/>
    </row>
    <row r="206" spans="1:18" s="38" customFormat="1" ht="25.5" customHeight="1">
      <c r="A206" s="69" t="s">
        <v>799</v>
      </c>
      <c r="B206" s="44">
        <v>98297</v>
      </c>
      <c r="C206" s="51" t="s">
        <v>338</v>
      </c>
      <c r="D206" s="52" t="s">
        <v>584</v>
      </c>
      <c r="E206" s="47">
        <f t="shared" si="22"/>
        <v>72</v>
      </c>
      <c r="F206" s="47">
        <f>CPU!I594</f>
        <v>2.2899999999999996</v>
      </c>
      <c r="G206" s="46">
        <f t="shared" si="23"/>
        <v>2.86</v>
      </c>
      <c r="H206" s="48">
        <f t="shared" si="24"/>
        <v>205.92</v>
      </c>
      <c r="I206" s="162">
        <v>72</v>
      </c>
      <c r="J206" s="53">
        <v>2.65</v>
      </c>
      <c r="K206" s="18"/>
      <c r="L206" s="18"/>
      <c r="M206" s="36"/>
      <c r="N206" s="36"/>
      <c r="O206" s="36"/>
      <c r="P206" s="164"/>
      <c r="Q206" s="36"/>
      <c r="R206" s="36"/>
    </row>
    <row r="207" spans="1:18" s="38" customFormat="1" ht="25.5" customHeight="1">
      <c r="A207" s="69" t="s">
        <v>800</v>
      </c>
      <c r="B207" s="44">
        <v>98301</v>
      </c>
      <c r="C207" s="165" t="s">
        <v>340</v>
      </c>
      <c r="D207" s="52" t="s">
        <v>524</v>
      </c>
      <c r="E207" s="47">
        <f t="shared" si="22"/>
        <v>1</v>
      </c>
      <c r="F207" s="47">
        <f>CPU!I598</f>
        <v>402.65</v>
      </c>
      <c r="G207" s="46">
        <f t="shared" si="23"/>
        <v>503.31</v>
      </c>
      <c r="H207" s="48">
        <f t="shared" si="24"/>
        <v>503.31</v>
      </c>
      <c r="I207" s="162">
        <v>1</v>
      </c>
      <c r="J207" s="53">
        <v>490.14</v>
      </c>
      <c r="K207" s="18"/>
      <c r="L207" s="18"/>
      <c r="M207" s="36"/>
      <c r="N207" s="36"/>
      <c r="O207" s="36"/>
      <c r="P207" s="164"/>
      <c r="Q207" s="36"/>
      <c r="R207" s="36"/>
    </row>
    <row r="208" spans="1:18" s="38" customFormat="1" ht="28.5" customHeight="1">
      <c r="A208" s="69" t="s">
        <v>801</v>
      </c>
      <c r="B208" s="44" t="s">
        <v>681</v>
      </c>
      <c r="C208" s="51" t="s">
        <v>802</v>
      </c>
      <c r="D208" s="52" t="s">
        <v>524</v>
      </c>
      <c r="E208" s="47">
        <f t="shared" si="22"/>
        <v>1</v>
      </c>
      <c r="F208" s="47">
        <f>comp__eletrica!F289</f>
        <v>755.24333333333334</v>
      </c>
      <c r="G208" s="46">
        <f t="shared" si="23"/>
        <v>944.05</v>
      </c>
      <c r="H208" s="48">
        <f t="shared" si="24"/>
        <v>944.05</v>
      </c>
      <c r="I208" s="162">
        <v>1</v>
      </c>
      <c r="J208" s="53">
        <v>763.88</v>
      </c>
      <c r="K208" s="18"/>
      <c r="L208" s="18"/>
      <c r="M208" s="36"/>
      <c r="N208" s="36"/>
      <c r="O208" s="36"/>
      <c r="P208" s="164"/>
      <c r="Q208" s="36"/>
      <c r="R208" s="36"/>
    </row>
    <row r="209" spans="1:18" s="38" customFormat="1" ht="32.25" customHeight="1">
      <c r="A209" s="69" t="s">
        <v>803</v>
      </c>
      <c r="B209" s="166" t="s">
        <v>681</v>
      </c>
      <c r="C209" s="82" t="s">
        <v>804</v>
      </c>
      <c r="D209" s="52" t="s">
        <v>524</v>
      </c>
      <c r="E209" s="47">
        <f t="shared" si="22"/>
        <v>1</v>
      </c>
      <c r="F209" s="47">
        <f>comp__eletrica!F304</f>
        <v>70.2</v>
      </c>
      <c r="G209" s="46">
        <f t="shared" si="23"/>
        <v>87.75</v>
      </c>
      <c r="H209" s="48">
        <f t="shared" si="24"/>
        <v>87.75</v>
      </c>
      <c r="I209" s="162">
        <v>1</v>
      </c>
      <c r="J209" s="53">
        <v>77.349999999999994</v>
      </c>
      <c r="K209" s="18"/>
      <c r="L209" s="18"/>
      <c r="M209" s="36"/>
      <c r="N209" s="36"/>
      <c r="O209" s="36"/>
      <c r="P209" s="164"/>
      <c r="Q209" s="36"/>
      <c r="R209" s="36"/>
    </row>
    <row r="210" spans="1:18" s="38" customFormat="1" ht="20.399999999999999">
      <c r="A210" s="69" t="s">
        <v>805</v>
      </c>
      <c r="B210" s="166" t="s">
        <v>681</v>
      </c>
      <c r="C210" s="167" t="s">
        <v>806</v>
      </c>
      <c r="D210" s="52" t="s">
        <v>524</v>
      </c>
      <c r="E210" s="47">
        <f t="shared" si="22"/>
        <v>1</v>
      </c>
      <c r="F210" s="47">
        <f>comp__eletrica!F316</f>
        <v>188.62</v>
      </c>
      <c r="G210" s="46">
        <f t="shared" si="23"/>
        <v>235.77</v>
      </c>
      <c r="H210" s="48">
        <f t="shared" si="24"/>
        <v>235.77</v>
      </c>
      <c r="I210" s="162">
        <v>1</v>
      </c>
      <c r="J210" s="53">
        <v>193.98</v>
      </c>
      <c r="K210" s="18"/>
      <c r="L210" s="18"/>
      <c r="M210" s="36"/>
      <c r="N210" s="36"/>
      <c r="O210" s="36"/>
      <c r="P210" s="164"/>
      <c r="Q210" s="36"/>
      <c r="R210" s="36"/>
    </row>
    <row r="211" spans="1:18" s="38" customFormat="1" ht="13.5" customHeight="1">
      <c r="A211" s="69" t="s">
        <v>807</v>
      </c>
      <c r="B211" s="166" t="s">
        <v>681</v>
      </c>
      <c r="C211" s="167" t="s">
        <v>808</v>
      </c>
      <c r="D211" s="52" t="s">
        <v>524</v>
      </c>
      <c r="E211" s="47">
        <f t="shared" si="22"/>
        <v>25</v>
      </c>
      <c r="F211" s="47">
        <f>comp__eletrica!F328</f>
        <v>12.845000000000001</v>
      </c>
      <c r="G211" s="46">
        <f t="shared" si="23"/>
        <v>16.05</v>
      </c>
      <c r="H211" s="48">
        <f t="shared" si="24"/>
        <v>401.25</v>
      </c>
      <c r="I211" s="162">
        <v>25</v>
      </c>
      <c r="J211" s="53">
        <v>13.16</v>
      </c>
      <c r="K211" s="18"/>
      <c r="L211" s="18"/>
      <c r="M211" s="36"/>
      <c r="N211" s="36"/>
      <c r="O211" s="18"/>
      <c r="P211" s="29"/>
      <c r="Q211" s="36"/>
      <c r="R211" s="30"/>
    </row>
    <row r="212" spans="1:18" s="38" customFormat="1" ht="15.75" customHeight="1">
      <c r="A212" s="69" t="s">
        <v>809</v>
      </c>
      <c r="B212" s="166" t="s">
        <v>681</v>
      </c>
      <c r="C212" s="167" t="s">
        <v>810</v>
      </c>
      <c r="D212" s="52" t="s">
        <v>524</v>
      </c>
      <c r="E212" s="47">
        <f t="shared" si="22"/>
        <v>10</v>
      </c>
      <c r="F212" s="47">
        <f>comp__eletrica!F339</f>
        <v>17.274999999999999</v>
      </c>
      <c r="G212" s="46">
        <f t="shared" si="23"/>
        <v>21.59</v>
      </c>
      <c r="H212" s="48">
        <f t="shared" si="24"/>
        <v>215.9</v>
      </c>
      <c r="I212" s="162">
        <v>10</v>
      </c>
      <c r="J212" s="53">
        <v>17.59</v>
      </c>
      <c r="K212" s="18"/>
      <c r="L212" s="18"/>
      <c r="M212" s="18"/>
      <c r="N212" s="18"/>
      <c r="O212" s="18"/>
      <c r="P212" s="29"/>
      <c r="Q212" s="36"/>
      <c r="R212" s="30"/>
    </row>
    <row r="213" spans="1:18" s="38" customFormat="1" ht="25.5" customHeight="1">
      <c r="A213" s="69" t="s">
        <v>811</v>
      </c>
      <c r="B213" s="166" t="s">
        <v>681</v>
      </c>
      <c r="C213" s="82" t="s">
        <v>812</v>
      </c>
      <c r="D213" s="52" t="s">
        <v>524</v>
      </c>
      <c r="E213" s="47">
        <f t="shared" si="22"/>
        <v>24</v>
      </c>
      <c r="F213" s="47">
        <f>comp__eletrica!F349</f>
        <v>4.09</v>
      </c>
      <c r="G213" s="46">
        <f t="shared" si="23"/>
        <v>5.1100000000000003</v>
      </c>
      <c r="H213" s="48">
        <f t="shared" si="24"/>
        <v>122.64</v>
      </c>
      <c r="I213" s="162">
        <v>24</v>
      </c>
      <c r="J213" s="53">
        <v>4.6500000000000004</v>
      </c>
      <c r="K213" s="18"/>
      <c r="L213" s="18"/>
      <c r="M213" s="18"/>
      <c r="N213" s="18"/>
      <c r="O213" s="18"/>
      <c r="P213" s="29"/>
      <c r="Q213" s="36"/>
      <c r="R213" s="30"/>
    </row>
    <row r="214" spans="1:18" s="38" customFormat="1" ht="25.5" customHeight="1">
      <c r="A214" s="69" t="s">
        <v>813</v>
      </c>
      <c r="B214" s="44">
        <v>97883</v>
      </c>
      <c r="C214" s="51" t="s">
        <v>292</v>
      </c>
      <c r="D214" s="52" t="s">
        <v>524</v>
      </c>
      <c r="E214" s="47">
        <f t="shared" si="22"/>
        <v>3</v>
      </c>
      <c r="F214" s="47">
        <f>CPU!I497</f>
        <v>305.14</v>
      </c>
      <c r="G214" s="46">
        <f t="shared" si="23"/>
        <v>381.42</v>
      </c>
      <c r="H214" s="48">
        <f t="shared" si="24"/>
        <v>1144.26</v>
      </c>
      <c r="I214" s="162">
        <v>3</v>
      </c>
      <c r="J214" s="53">
        <v>349.27</v>
      </c>
      <c r="K214" s="18"/>
      <c r="L214" s="18"/>
      <c r="M214" s="18"/>
      <c r="N214" s="18"/>
      <c r="O214" s="18"/>
      <c r="P214" s="29"/>
      <c r="Q214" s="36"/>
      <c r="R214" s="30"/>
    </row>
    <row r="215" spans="1:18" s="38" customFormat="1" ht="25.5" customHeight="1">
      <c r="A215" s="69" t="s">
        <v>814</v>
      </c>
      <c r="B215" s="44" t="s">
        <v>681</v>
      </c>
      <c r="C215" s="51" t="s">
        <v>815</v>
      </c>
      <c r="D215" s="52" t="s">
        <v>524</v>
      </c>
      <c r="E215" s="47">
        <f t="shared" si="22"/>
        <v>4</v>
      </c>
      <c r="F215" s="47">
        <f>comp__eletrica!F360</f>
        <v>5.2100000000000009</v>
      </c>
      <c r="G215" s="46">
        <f t="shared" si="23"/>
        <v>6.51</v>
      </c>
      <c r="H215" s="48">
        <f t="shared" si="24"/>
        <v>26.04</v>
      </c>
      <c r="I215" s="162">
        <v>4</v>
      </c>
      <c r="J215" s="53">
        <v>6.1</v>
      </c>
      <c r="K215" s="18"/>
      <c r="L215" s="18"/>
      <c r="M215" s="18"/>
      <c r="N215" s="18"/>
      <c r="O215" s="18"/>
      <c r="P215" s="29"/>
      <c r="Q215" s="36"/>
      <c r="R215" s="30"/>
    </row>
    <row r="216" spans="1:18" s="38" customFormat="1" ht="25.5" customHeight="1">
      <c r="A216" s="69" t="s">
        <v>816</v>
      </c>
      <c r="B216" s="166" t="s">
        <v>681</v>
      </c>
      <c r="C216" s="51" t="s">
        <v>817</v>
      </c>
      <c r="D216" s="52" t="s">
        <v>584</v>
      </c>
      <c r="E216" s="47">
        <f t="shared" si="22"/>
        <v>12</v>
      </c>
      <c r="F216" s="47">
        <f>comp__eletrica!F371</f>
        <v>129.22666666666666</v>
      </c>
      <c r="G216" s="46">
        <f t="shared" si="23"/>
        <v>161.53</v>
      </c>
      <c r="H216" s="48">
        <f t="shared" si="24"/>
        <v>1938.36</v>
      </c>
      <c r="I216" s="162">
        <v>12</v>
      </c>
      <c r="J216" s="53">
        <v>130.91</v>
      </c>
      <c r="K216" s="18"/>
      <c r="L216" s="18"/>
      <c r="M216" s="18"/>
      <c r="N216" s="18"/>
      <c r="O216" s="18"/>
      <c r="P216" s="29"/>
      <c r="Q216" s="36"/>
      <c r="R216" s="30"/>
    </row>
    <row r="217" spans="1:18" s="38" customFormat="1" ht="38.25" customHeight="1">
      <c r="A217" s="69" t="s">
        <v>818</v>
      </c>
      <c r="B217" s="166">
        <v>96563</v>
      </c>
      <c r="C217" s="51" t="s">
        <v>342</v>
      </c>
      <c r="D217" s="52" t="s">
        <v>524</v>
      </c>
      <c r="E217" s="47">
        <f t="shared" si="22"/>
        <v>7</v>
      </c>
      <c r="F217" s="47">
        <f>CPU!I602</f>
        <v>20.880000000000003</v>
      </c>
      <c r="G217" s="46">
        <f t="shared" si="23"/>
        <v>26.1</v>
      </c>
      <c r="H217" s="48">
        <f t="shared" si="24"/>
        <v>182.7</v>
      </c>
      <c r="I217" s="162">
        <v>7</v>
      </c>
      <c r="J217" s="53">
        <v>24.03</v>
      </c>
      <c r="K217" s="18"/>
      <c r="L217" s="18"/>
      <c r="M217" s="18"/>
      <c r="N217" s="18"/>
      <c r="O217" s="18"/>
      <c r="P217" s="29"/>
      <c r="Q217" s="36"/>
      <c r="R217" s="30"/>
    </row>
    <row r="218" spans="1:18" s="38" customFormat="1" ht="31.8" thickBot="1">
      <c r="A218" s="69" t="s">
        <v>819</v>
      </c>
      <c r="B218" s="136" t="s">
        <v>681</v>
      </c>
      <c r="C218" s="76" t="s">
        <v>820</v>
      </c>
      <c r="D218" s="55" t="s">
        <v>584</v>
      </c>
      <c r="E218" s="98">
        <f t="shared" si="22"/>
        <v>4</v>
      </c>
      <c r="F218" s="98">
        <f>comp__eletrica!F387</f>
        <v>19.190000000000001</v>
      </c>
      <c r="G218" s="46">
        <f t="shared" si="23"/>
        <v>23.98</v>
      </c>
      <c r="H218" s="57">
        <f t="shared" si="24"/>
        <v>95.92</v>
      </c>
      <c r="I218" s="162">
        <v>4</v>
      </c>
      <c r="J218" s="53">
        <v>20.260000000000002</v>
      </c>
      <c r="K218" s="18"/>
      <c r="L218" s="18"/>
      <c r="M218" s="18"/>
      <c r="N218" s="18"/>
      <c r="O218" s="18"/>
      <c r="P218" s="29"/>
      <c r="Q218" s="36"/>
      <c r="R218" s="30"/>
    </row>
    <row r="219" spans="1:18" s="91" customFormat="1" thickBot="1">
      <c r="A219" s="58"/>
      <c r="B219" s="59"/>
      <c r="C219" s="33" t="s">
        <v>525</v>
      </c>
      <c r="D219" s="59"/>
      <c r="E219" s="59"/>
      <c r="F219" s="59"/>
      <c r="G219" s="59"/>
      <c r="H219" s="60">
        <f>SUM(H190:H218)</f>
        <v>11591.560000000003</v>
      </c>
      <c r="I219" s="87"/>
      <c r="J219" s="37"/>
      <c r="K219" s="87"/>
      <c r="L219" s="87" t="e">
        <f>H219-#REF!</f>
        <v>#REF!</v>
      </c>
      <c r="M219" s="89"/>
      <c r="N219" s="89"/>
      <c r="O219" s="89"/>
      <c r="P219" s="90"/>
      <c r="Q219" s="87"/>
      <c r="R219" s="87"/>
    </row>
    <row r="220" spans="1:18" s="91" customFormat="1" ht="5.25" customHeight="1" thickBot="1">
      <c r="A220" s="150"/>
      <c r="B220" s="151"/>
      <c r="C220" s="64"/>
      <c r="D220" s="65"/>
      <c r="E220" s="168"/>
      <c r="F220" s="168"/>
      <c r="G220" s="67"/>
      <c r="H220" s="68"/>
      <c r="I220" s="87"/>
      <c r="J220" s="37"/>
      <c r="K220" s="87"/>
      <c r="L220" s="87"/>
      <c r="M220" s="89"/>
      <c r="N220" s="89"/>
      <c r="O220" s="89"/>
      <c r="P220" s="90"/>
      <c r="Q220" s="87"/>
      <c r="R220" s="87"/>
    </row>
    <row r="221" spans="1:18" s="38" customFormat="1" ht="14.4" thickBot="1">
      <c r="A221" s="121" t="s">
        <v>821</v>
      </c>
      <c r="B221" s="122"/>
      <c r="C221" s="123" t="s">
        <v>822</v>
      </c>
      <c r="D221" s="123"/>
      <c r="E221" s="122"/>
      <c r="F221" s="122"/>
      <c r="G221" s="123"/>
      <c r="H221" s="125"/>
      <c r="I221" s="18"/>
      <c r="J221" s="53"/>
      <c r="K221" s="18"/>
      <c r="L221" s="18"/>
      <c r="M221" s="18"/>
      <c r="N221" s="18"/>
      <c r="O221" s="18"/>
      <c r="P221" s="29"/>
      <c r="Q221" s="36"/>
      <c r="R221" s="30"/>
    </row>
    <row r="222" spans="1:18" s="38" customFormat="1" ht="14.4" thickBot="1">
      <c r="A222" s="58" t="s">
        <v>823</v>
      </c>
      <c r="B222" s="59"/>
      <c r="C222" s="126" t="s">
        <v>824</v>
      </c>
      <c r="D222" s="59"/>
      <c r="E222" s="59"/>
      <c r="F222" s="59"/>
      <c r="G222" s="59"/>
      <c r="H222" s="60"/>
      <c r="I222" s="18"/>
      <c r="J222" s="53"/>
      <c r="K222" s="18"/>
      <c r="L222" s="18"/>
      <c r="M222" s="18"/>
      <c r="N222" s="18"/>
      <c r="O222" s="18"/>
      <c r="P222" s="29"/>
      <c r="Q222" s="36"/>
      <c r="R222" s="30"/>
    </row>
    <row r="223" spans="1:18" s="38" customFormat="1" ht="25.5" customHeight="1">
      <c r="A223" s="69" t="s">
        <v>825</v>
      </c>
      <c r="B223" s="72">
        <v>90447</v>
      </c>
      <c r="C223" s="76" t="s">
        <v>240</v>
      </c>
      <c r="D223" s="46" t="s">
        <v>584</v>
      </c>
      <c r="E223" s="56">
        <f t="shared" ref="E223:E255" si="25">TRUNC(I223,2)</f>
        <v>26</v>
      </c>
      <c r="F223" s="140">
        <f>CPU!I391</f>
        <v>4.07</v>
      </c>
      <c r="G223" s="46">
        <f t="shared" ref="G223:G255" si="26">TRUNC(F223*J$7,2)</f>
        <v>5.08</v>
      </c>
      <c r="H223" s="57">
        <f t="shared" ref="H223:H255" si="27">TRUNC(E223*G223,2)</f>
        <v>132.08000000000001</v>
      </c>
      <c r="I223" s="102">
        <v>26</v>
      </c>
      <c r="J223" s="53">
        <v>5.05</v>
      </c>
      <c r="K223" s="102"/>
      <c r="L223" s="102"/>
      <c r="M223" s="18"/>
      <c r="N223" s="18"/>
      <c r="O223" s="18"/>
      <c r="P223" s="29"/>
      <c r="Q223" s="36"/>
      <c r="R223" s="30"/>
    </row>
    <row r="224" spans="1:18" s="38" customFormat="1" ht="25.5" customHeight="1">
      <c r="A224" s="69" t="s">
        <v>826</v>
      </c>
      <c r="B224" s="169">
        <v>86878</v>
      </c>
      <c r="C224" s="51" t="s">
        <v>827</v>
      </c>
      <c r="D224" s="170" t="s">
        <v>524</v>
      </c>
      <c r="E224" s="52">
        <f t="shared" si="25"/>
        <v>1</v>
      </c>
      <c r="F224" s="47">
        <f>CPU!I610</f>
        <v>45.580000000000005</v>
      </c>
      <c r="G224" s="46">
        <f t="shared" si="26"/>
        <v>56.97</v>
      </c>
      <c r="H224" s="52">
        <f t="shared" si="27"/>
        <v>56.97</v>
      </c>
      <c r="I224" s="102">
        <v>1</v>
      </c>
      <c r="J224" s="53">
        <v>52.35</v>
      </c>
      <c r="K224" s="102"/>
      <c r="L224" s="102"/>
      <c r="M224" s="18"/>
      <c r="N224" s="18"/>
      <c r="O224" s="18"/>
      <c r="P224" s="29"/>
      <c r="Q224" s="36"/>
      <c r="R224" s="30"/>
    </row>
    <row r="225" spans="1:18" s="38" customFormat="1" ht="25.5" customHeight="1">
      <c r="A225" s="69" t="s">
        <v>828</v>
      </c>
      <c r="B225" s="169">
        <v>86889</v>
      </c>
      <c r="C225" s="51" t="s">
        <v>351</v>
      </c>
      <c r="D225" s="170" t="s">
        <v>524</v>
      </c>
      <c r="E225" s="52">
        <f t="shared" si="25"/>
        <v>1</v>
      </c>
      <c r="F225" s="47">
        <f>CPU!I615</f>
        <v>659.81</v>
      </c>
      <c r="G225" s="46">
        <f t="shared" si="26"/>
        <v>824.76</v>
      </c>
      <c r="H225" s="52">
        <f t="shared" si="27"/>
        <v>824.76</v>
      </c>
      <c r="I225" s="102">
        <v>1</v>
      </c>
      <c r="J225" s="53">
        <v>757.66</v>
      </c>
      <c r="K225" s="102"/>
      <c r="L225" s="102"/>
      <c r="M225" s="18"/>
      <c r="N225" s="18"/>
      <c r="O225" s="18"/>
      <c r="P225" s="29"/>
      <c r="Q225" s="36"/>
      <c r="R225" s="30"/>
    </row>
    <row r="226" spans="1:18" s="38" customFormat="1" ht="25.5" customHeight="1">
      <c r="A226" s="69" t="s">
        <v>829</v>
      </c>
      <c r="B226" s="85">
        <v>86909</v>
      </c>
      <c r="C226" s="45" t="s">
        <v>830</v>
      </c>
      <c r="D226" s="128" t="s">
        <v>524</v>
      </c>
      <c r="E226" s="52">
        <f t="shared" si="25"/>
        <v>1</v>
      </c>
      <c r="F226" s="47">
        <f>CPU!I623</f>
        <v>98.61</v>
      </c>
      <c r="G226" s="46">
        <f t="shared" si="26"/>
        <v>123.26</v>
      </c>
      <c r="H226" s="52">
        <f t="shared" si="27"/>
        <v>123.26</v>
      </c>
      <c r="I226" s="102">
        <v>1</v>
      </c>
      <c r="J226" s="53">
        <v>113</v>
      </c>
      <c r="K226" s="102"/>
      <c r="L226" s="102"/>
      <c r="M226" s="18"/>
      <c r="N226" s="18"/>
      <c r="O226" s="18"/>
      <c r="P226" s="29"/>
      <c r="Q226" s="36"/>
      <c r="R226" s="30"/>
    </row>
    <row r="227" spans="1:18" s="91" customFormat="1" ht="25.5" customHeight="1">
      <c r="A227" s="69" t="s">
        <v>831</v>
      </c>
      <c r="B227" s="85" t="s">
        <v>832</v>
      </c>
      <c r="C227" s="51" t="s">
        <v>833</v>
      </c>
      <c r="D227" s="52" t="s">
        <v>524</v>
      </c>
      <c r="E227" s="46">
        <f t="shared" si="25"/>
        <v>2</v>
      </c>
      <c r="F227" s="95">
        <f>CPU!I628</f>
        <v>277.89</v>
      </c>
      <c r="G227" s="46">
        <f t="shared" si="26"/>
        <v>347.36</v>
      </c>
      <c r="H227" s="48">
        <f t="shared" si="27"/>
        <v>694.72</v>
      </c>
      <c r="I227" s="102">
        <v>2</v>
      </c>
      <c r="J227" s="53">
        <v>320</v>
      </c>
      <c r="K227" s="102"/>
      <c r="L227" s="102"/>
      <c r="M227" s="89"/>
      <c r="N227" s="89"/>
      <c r="O227" s="89"/>
      <c r="P227" s="90"/>
      <c r="Q227" s="87"/>
      <c r="R227" s="89"/>
    </row>
    <row r="228" spans="1:18" s="91" customFormat="1" ht="21">
      <c r="A228" s="69" t="s">
        <v>834</v>
      </c>
      <c r="B228" s="85" t="s">
        <v>519</v>
      </c>
      <c r="C228" s="171" t="s">
        <v>835</v>
      </c>
      <c r="D228" s="172" t="s">
        <v>524</v>
      </c>
      <c r="E228" s="46">
        <f t="shared" si="25"/>
        <v>2</v>
      </c>
      <c r="F228" s="47">
        <f>composições!F126</f>
        <v>903.55386699999997</v>
      </c>
      <c r="G228" s="46">
        <f t="shared" si="26"/>
        <v>1129.44</v>
      </c>
      <c r="H228" s="48">
        <f t="shared" si="27"/>
        <v>2258.88</v>
      </c>
      <c r="I228" s="173">
        <v>2</v>
      </c>
      <c r="J228" s="173">
        <v>905.52</v>
      </c>
      <c r="K228" s="102"/>
      <c r="L228" s="102"/>
      <c r="M228" s="89"/>
      <c r="N228" s="89"/>
      <c r="O228" s="89"/>
      <c r="P228" s="90"/>
      <c r="Q228" s="87"/>
      <c r="R228" s="89"/>
    </row>
    <row r="229" spans="1:18" s="91" customFormat="1" ht="26.25" customHeight="1">
      <c r="A229" s="69" t="s">
        <v>836</v>
      </c>
      <c r="B229" s="85">
        <v>86906</v>
      </c>
      <c r="C229" s="51" t="s">
        <v>837</v>
      </c>
      <c r="D229" s="52" t="s">
        <v>524</v>
      </c>
      <c r="E229" s="46">
        <f t="shared" si="25"/>
        <v>2</v>
      </c>
      <c r="F229" s="47">
        <f>CPU!I634</f>
        <v>56.800000000000004</v>
      </c>
      <c r="G229" s="46">
        <f t="shared" si="26"/>
        <v>71</v>
      </c>
      <c r="H229" s="48">
        <f t="shared" si="27"/>
        <v>142</v>
      </c>
      <c r="I229" s="102">
        <v>2</v>
      </c>
      <c r="J229" s="53">
        <v>65.08</v>
      </c>
      <c r="K229" s="102"/>
      <c r="L229" s="102"/>
      <c r="M229" s="89"/>
      <c r="N229" s="89"/>
      <c r="O229" s="89"/>
      <c r="P229" s="90"/>
      <c r="Q229" s="87"/>
      <c r="R229" s="89"/>
    </row>
    <row r="230" spans="1:18" s="91" customFormat="1" ht="26.25" customHeight="1">
      <c r="A230" s="69" t="s">
        <v>838</v>
      </c>
      <c r="B230" s="85">
        <v>86915</v>
      </c>
      <c r="C230" s="51" t="s">
        <v>839</v>
      </c>
      <c r="D230" s="52" t="s">
        <v>524</v>
      </c>
      <c r="E230" s="46">
        <f t="shared" si="25"/>
        <v>2</v>
      </c>
      <c r="F230" s="47">
        <f>CPU!I639</f>
        <v>109.03999999999999</v>
      </c>
      <c r="G230" s="46">
        <f t="shared" si="26"/>
        <v>136.30000000000001</v>
      </c>
      <c r="H230" s="48">
        <f t="shared" si="27"/>
        <v>272.60000000000002</v>
      </c>
      <c r="I230" s="102">
        <v>2</v>
      </c>
      <c r="J230" s="53">
        <v>124.84</v>
      </c>
      <c r="K230" s="102"/>
      <c r="L230" s="102"/>
      <c r="M230" s="89"/>
      <c r="N230" s="89"/>
      <c r="O230" s="89"/>
      <c r="P230" s="90"/>
      <c r="Q230" s="87"/>
      <c r="R230" s="89"/>
    </row>
    <row r="231" spans="1:18" s="91" customFormat="1" ht="30" customHeight="1">
      <c r="A231" s="69" t="s">
        <v>840</v>
      </c>
      <c r="B231" s="85">
        <v>86900</v>
      </c>
      <c r="C231" s="51" t="s">
        <v>841</v>
      </c>
      <c r="D231" s="52" t="s">
        <v>524</v>
      </c>
      <c r="E231" s="46">
        <f t="shared" si="25"/>
        <v>1</v>
      </c>
      <c r="F231" s="47">
        <f>CPU!I644</f>
        <v>195.94</v>
      </c>
      <c r="G231" s="46">
        <f t="shared" si="26"/>
        <v>244.92</v>
      </c>
      <c r="H231" s="48">
        <f t="shared" si="27"/>
        <v>244.92</v>
      </c>
      <c r="I231" s="102">
        <v>1</v>
      </c>
      <c r="J231" s="53">
        <v>224.53</v>
      </c>
      <c r="K231" s="102"/>
      <c r="L231" s="102"/>
      <c r="M231" s="89"/>
      <c r="N231" s="89"/>
      <c r="O231" s="89"/>
      <c r="P231" s="90"/>
      <c r="Q231" s="87"/>
      <c r="R231" s="89"/>
    </row>
    <row r="232" spans="1:18" s="91" customFormat="1" ht="27" customHeight="1">
      <c r="A232" s="69" t="s">
        <v>842</v>
      </c>
      <c r="B232" s="85">
        <v>86914</v>
      </c>
      <c r="C232" s="51" t="s">
        <v>843</v>
      </c>
      <c r="D232" s="52" t="s">
        <v>524</v>
      </c>
      <c r="E232" s="46">
        <f t="shared" si="25"/>
        <v>1</v>
      </c>
      <c r="F232" s="47">
        <f>CPU!I649</f>
        <v>74.52</v>
      </c>
      <c r="G232" s="46">
        <f t="shared" si="26"/>
        <v>93.15</v>
      </c>
      <c r="H232" s="48">
        <f t="shared" si="27"/>
        <v>93.15</v>
      </c>
      <c r="I232" s="102">
        <v>1</v>
      </c>
      <c r="J232" s="53">
        <v>85.43</v>
      </c>
      <c r="K232" s="102"/>
      <c r="L232" s="102"/>
      <c r="M232" s="89"/>
      <c r="N232" s="89"/>
      <c r="O232" s="89"/>
      <c r="P232" s="90"/>
      <c r="Q232" s="87"/>
      <c r="R232" s="89"/>
    </row>
    <row r="233" spans="1:18" s="91" customFormat="1" ht="24.75" customHeight="1">
      <c r="A233" s="69" t="s">
        <v>844</v>
      </c>
      <c r="B233" s="85">
        <v>99635</v>
      </c>
      <c r="C233" s="51" t="s">
        <v>845</v>
      </c>
      <c r="D233" s="52" t="s">
        <v>524</v>
      </c>
      <c r="E233" s="46">
        <f t="shared" si="25"/>
        <v>4</v>
      </c>
      <c r="F233" s="47">
        <f>CPU!I654</f>
        <v>163.04000000000002</v>
      </c>
      <c r="G233" s="46">
        <f t="shared" si="26"/>
        <v>203.8</v>
      </c>
      <c r="H233" s="48">
        <f t="shared" si="27"/>
        <v>815.2</v>
      </c>
      <c r="I233" s="102">
        <v>4</v>
      </c>
      <c r="J233" s="53">
        <v>189.43</v>
      </c>
      <c r="K233" s="102"/>
      <c r="L233" s="102"/>
      <c r="M233" s="89"/>
      <c r="N233" s="89"/>
      <c r="O233" s="89"/>
      <c r="P233" s="90"/>
      <c r="Q233" s="87"/>
      <c r="R233" s="89"/>
    </row>
    <row r="234" spans="1:18" ht="41.4">
      <c r="A234" s="69" t="s">
        <v>846</v>
      </c>
      <c r="B234" s="85">
        <v>94706</v>
      </c>
      <c r="C234" s="51" t="s">
        <v>847</v>
      </c>
      <c r="D234" s="52" t="s">
        <v>524</v>
      </c>
      <c r="E234" s="46">
        <f t="shared" si="25"/>
        <v>3</v>
      </c>
      <c r="F234" s="47">
        <f>CPU!I659</f>
        <v>35.76</v>
      </c>
      <c r="G234" s="46">
        <f t="shared" si="26"/>
        <v>44.7</v>
      </c>
      <c r="H234" s="48">
        <f t="shared" si="27"/>
        <v>134.1</v>
      </c>
      <c r="I234" s="18">
        <v>3</v>
      </c>
      <c r="J234" s="53">
        <v>41.48</v>
      </c>
      <c r="R234" s="30"/>
    </row>
    <row r="235" spans="1:18" ht="41.4">
      <c r="A235" s="69" t="s">
        <v>848</v>
      </c>
      <c r="B235" s="85">
        <v>94704</v>
      </c>
      <c r="C235" s="51" t="s">
        <v>849</v>
      </c>
      <c r="D235" s="52" t="s">
        <v>524</v>
      </c>
      <c r="E235" s="46">
        <f t="shared" si="25"/>
        <v>6</v>
      </c>
      <c r="F235" s="47">
        <f>CPU!I666</f>
        <v>19.439999999999998</v>
      </c>
      <c r="G235" s="46">
        <f t="shared" si="26"/>
        <v>24.3</v>
      </c>
      <c r="H235" s="48">
        <f t="shared" si="27"/>
        <v>145.80000000000001</v>
      </c>
      <c r="I235" s="18">
        <v>6</v>
      </c>
      <c r="J235" s="53">
        <v>22.65</v>
      </c>
      <c r="R235" s="30"/>
    </row>
    <row r="236" spans="1:18" ht="25.5" customHeight="1">
      <c r="A236" s="69" t="s">
        <v>850</v>
      </c>
      <c r="B236" s="85">
        <v>94497</v>
      </c>
      <c r="C236" s="51" t="s">
        <v>379</v>
      </c>
      <c r="D236" s="52"/>
      <c r="E236" s="46">
        <f t="shared" si="25"/>
        <v>4</v>
      </c>
      <c r="F236" s="47">
        <f>CPU!I673</f>
        <v>72.88</v>
      </c>
      <c r="G236" s="46">
        <f t="shared" si="26"/>
        <v>91.1</v>
      </c>
      <c r="H236" s="48">
        <f t="shared" si="27"/>
        <v>364.4</v>
      </c>
      <c r="I236" s="18">
        <v>4</v>
      </c>
      <c r="J236" s="53">
        <v>84.22</v>
      </c>
      <c r="R236" s="30"/>
    </row>
    <row r="237" spans="1:18" ht="22.5" customHeight="1">
      <c r="A237" s="69" t="s">
        <v>851</v>
      </c>
      <c r="B237" s="85">
        <v>89987</v>
      </c>
      <c r="C237" s="51" t="s">
        <v>381</v>
      </c>
      <c r="D237" s="52" t="s">
        <v>524</v>
      </c>
      <c r="E237" s="46">
        <f t="shared" si="25"/>
        <v>6</v>
      </c>
      <c r="F237" s="47">
        <f>CPU!I678</f>
        <v>64.92</v>
      </c>
      <c r="G237" s="46">
        <f t="shared" si="26"/>
        <v>81.150000000000006</v>
      </c>
      <c r="H237" s="48">
        <f t="shared" si="27"/>
        <v>486.9</v>
      </c>
      <c r="I237" s="18">
        <v>6</v>
      </c>
      <c r="J237" s="53">
        <v>74.959999999999994</v>
      </c>
      <c r="R237" s="30"/>
    </row>
    <row r="238" spans="1:18" ht="27" customHeight="1">
      <c r="A238" s="69" t="s">
        <v>852</v>
      </c>
      <c r="B238" s="85">
        <v>89446</v>
      </c>
      <c r="C238" s="51" t="s">
        <v>383</v>
      </c>
      <c r="D238" s="52" t="s">
        <v>584</v>
      </c>
      <c r="E238" s="46">
        <f t="shared" si="25"/>
        <v>68.540000000000006</v>
      </c>
      <c r="F238" s="47">
        <f>CPU!I683</f>
        <v>4.16</v>
      </c>
      <c r="G238" s="46">
        <f t="shared" si="26"/>
        <v>5.2</v>
      </c>
      <c r="H238" s="48">
        <f t="shared" si="27"/>
        <v>356.4</v>
      </c>
      <c r="I238" s="18">
        <f>(25+43.54)</f>
        <v>68.539999999999992</v>
      </c>
      <c r="J238" s="53">
        <v>4.8099999999999996</v>
      </c>
      <c r="L238" s="18" t="s">
        <v>853</v>
      </c>
      <c r="R238" s="30"/>
    </row>
    <row r="239" spans="1:18" ht="29.25" customHeight="1">
      <c r="A239" s="69" t="s">
        <v>854</v>
      </c>
      <c r="B239" s="85">
        <v>89447</v>
      </c>
      <c r="C239" s="51" t="s">
        <v>385</v>
      </c>
      <c r="D239" s="52" t="s">
        <v>584</v>
      </c>
      <c r="E239" s="46">
        <f t="shared" si="25"/>
        <v>23.17</v>
      </c>
      <c r="F239" s="47">
        <f>CPU!I687</f>
        <v>8.9</v>
      </c>
      <c r="G239" s="46">
        <f t="shared" si="26"/>
        <v>11.12</v>
      </c>
      <c r="H239" s="48">
        <f t="shared" si="27"/>
        <v>257.64999999999998</v>
      </c>
      <c r="I239" s="18">
        <v>23.17</v>
      </c>
      <c r="J239" s="53">
        <v>10.23</v>
      </c>
      <c r="R239" s="30"/>
    </row>
    <row r="240" spans="1:18" ht="21.75" customHeight="1">
      <c r="A240" s="69" t="s">
        <v>855</v>
      </c>
      <c r="B240" s="85">
        <v>89449</v>
      </c>
      <c r="C240" s="51" t="s">
        <v>387</v>
      </c>
      <c r="D240" s="52" t="s">
        <v>584</v>
      </c>
      <c r="E240" s="46">
        <f t="shared" si="25"/>
        <v>26.46</v>
      </c>
      <c r="F240" s="47">
        <f>CPU!I691</f>
        <v>14.73</v>
      </c>
      <c r="G240" s="46">
        <f t="shared" si="26"/>
        <v>18.41</v>
      </c>
      <c r="H240" s="48">
        <f t="shared" si="27"/>
        <v>487.12</v>
      </c>
      <c r="I240" s="18">
        <v>26.46</v>
      </c>
      <c r="J240" s="53">
        <v>16.95</v>
      </c>
      <c r="R240" s="30"/>
    </row>
    <row r="241" spans="1:18" ht="21.75" customHeight="1">
      <c r="A241" s="69" t="s">
        <v>856</v>
      </c>
      <c r="B241" s="85">
        <v>89450</v>
      </c>
      <c r="C241" s="51" t="s">
        <v>389</v>
      </c>
      <c r="D241" s="52"/>
      <c r="E241" s="46">
        <f t="shared" si="25"/>
        <v>1.2</v>
      </c>
      <c r="F241" s="47">
        <f>CPU!I696</f>
        <v>24.470000000000002</v>
      </c>
      <c r="G241" s="46">
        <f t="shared" si="26"/>
        <v>30.58</v>
      </c>
      <c r="H241" s="48">
        <f t="shared" si="27"/>
        <v>36.69</v>
      </c>
      <c r="I241" s="18">
        <v>1.2</v>
      </c>
      <c r="J241" s="53">
        <v>28.05</v>
      </c>
      <c r="R241" s="30"/>
    </row>
    <row r="242" spans="1:18" ht="34.5" customHeight="1">
      <c r="A242" s="69" t="s">
        <v>857</v>
      </c>
      <c r="B242" s="85">
        <v>89546</v>
      </c>
      <c r="C242" s="51" t="s">
        <v>858</v>
      </c>
      <c r="D242" s="52" t="s">
        <v>524</v>
      </c>
      <c r="E242" s="46">
        <f t="shared" si="25"/>
        <v>1</v>
      </c>
      <c r="F242" s="47">
        <f>CPU!I701</f>
        <v>12.270000000000001</v>
      </c>
      <c r="G242" s="46">
        <f t="shared" si="26"/>
        <v>15.33</v>
      </c>
      <c r="H242" s="48">
        <f t="shared" si="27"/>
        <v>15.33</v>
      </c>
      <c r="I242" s="18">
        <v>1</v>
      </c>
      <c r="J242" s="53">
        <v>14.19</v>
      </c>
      <c r="R242" s="30"/>
    </row>
    <row r="243" spans="1:18" ht="27.75" customHeight="1">
      <c r="A243" s="69" t="s">
        <v>859</v>
      </c>
      <c r="B243" s="85">
        <v>89363</v>
      </c>
      <c r="C243" s="51" t="s">
        <v>395</v>
      </c>
      <c r="D243" s="52" t="s">
        <v>524</v>
      </c>
      <c r="E243" s="46">
        <f t="shared" si="25"/>
        <v>11</v>
      </c>
      <c r="F243" s="47">
        <f>CPU!I707</f>
        <v>6.92</v>
      </c>
      <c r="G243" s="46">
        <f t="shared" si="26"/>
        <v>8.65</v>
      </c>
      <c r="H243" s="48">
        <f t="shared" si="27"/>
        <v>95.15</v>
      </c>
      <c r="I243" s="18">
        <v>11</v>
      </c>
      <c r="J243" s="53">
        <v>8.3800000000000008</v>
      </c>
      <c r="L243" s="18" t="s">
        <v>860</v>
      </c>
      <c r="R243" s="30"/>
    </row>
    <row r="244" spans="1:18" ht="27.75" customHeight="1">
      <c r="A244" s="69" t="s">
        <v>861</v>
      </c>
      <c r="B244" s="85">
        <v>89367</v>
      </c>
      <c r="C244" s="51" t="s">
        <v>862</v>
      </c>
      <c r="D244" s="52" t="s">
        <v>524</v>
      </c>
      <c r="E244" s="46">
        <f t="shared" si="25"/>
        <v>8</v>
      </c>
      <c r="F244" s="47">
        <f>CPU!I714</f>
        <v>8.7800000000000011</v>
      </c>
      <c r="G244" s="46">
        <f t="shared" si="26"/>
        <v>10.97</v>
      </c>
      <c r="H244" s="48">
        <f t="shared" si="27"/>
        <v>87.76</v>
      </c>
      <c r="I244" s="18">
        <v>8</v>
      </c>
      <c r="J244" s="53">
        <v>10.61</v>
      </c>
      <c r="R244" s="30"/>
    </row>
    <row r="245" spans="1:18" ht="27.75" customHeight="1">
      <c r="A245" s="69" t="s">
        <v>863</v>
      </c>
      <c r="B245" s="85">
        <v>89501</v>
      </c>
      <c r="C245" s="51" t="s">
        <v>400</v>
      </c>
      <c r="D245" s="52" t="s">
        <v>864</v>
      </c>
      <c r="E245" s="46">
        <f t="shared" si="25"/>
        <v>8</v>
      </c>
      <c r="F245" s="47">
        <f>CPU!I721</f>
        <v>11.31</v>
      </c>
      <c r="G245" s="46">
        <f t="shared" si="26"/>
        <v>14.13</v>
      </c>
      <c r="H245" s="48">
        <f t="shared" si="27"/>
        <v>113.04</v>
      </c>
      <c r="I245" s="18">
        <v>8</v>
      </c>
      <c r="J245" s="53">
        <v>13.29</v>
      </c>
      <c r="R245" s="30"/>
    </row>
    <row r="246" spans="1:18" ht="21">
      <c r="A246" s="69" t="s">
        <v>865</v>
      </c>
      <c r="B246" s="85">
        <v>89502</v>
      </c>
      <c r="C246" s="51" t="s">
        <v>866</v>
      </c>
      <c r="D246" s="52" t="s">
        <v>524</v>
      </c>
      <c r="E246" s="46">
        <f t="shared" si="25"/>
        <v>2</v>
      </c>
      <c r="F246" s="47">
        <f>CPU!I728</f>
        <v>12.979999999999999</v>
      </c>
      <c r="G246" s="46">
        <f t="shared" si="26"/>
        <v>16.22</v>
      </c>
      <c r="H246" s="48">
        <f t="shared" si="27"/>
        <v>32.44</v>
      </c>
      <c r="I246" s="18">
        <v>2</v>
      </c>
      <c r="J246" s="53">
        <v>15.2</v>
      </c>
      <c r="R246" s="30"/>
    </row>
    <row r="247" spans="1:18" ht="34.5" customHeight="1">
      <c r="A247" s="69" t="s">
        <v>867</v>
      </c>
      <c r="B247" s="85">
        <v>94672</v>
      </c>
      <c r="C247" s="51" t="s">
        <v>868</v>
      </c>
      <c r="D247" s="52" t="s">
        <v>524</v>
      </c>
      <c r="E247" s="46">
        <f t="shared" si="25"/>
        <v>6</v>
      </c>
      <c r="F247" s="47">
        <f>CPU!I735</f>
        <v>8.27</v>
      </c>
      <c r="G247" s="46">
        <f t="shared" si="26"/>
        <v>10.33</v>
      </c>
      <c r="H247" s="48">
        <f t="shared" si="27"/>
        <v>61.98</v>
      </c>
      <c r="I247" s="18">
        <v>6</v>
      </c>
      <c r="J247" s="53">
        <v>9.83</v>
      </c>
      <c r="R247" s="30"/>
    </row>
    <row r="248" spans="1:18" ht="24.75" customHeight="1">
      <c r="A248" s="69" t="s">
        <v>869</v>
      </c>
      <c r="B248" s="85">
        <v>89445</v>
      </c>
      <c r="C248" s="51" t="s">
        <v>406</v>
      </c>
      <c r="D248" s="52" t="s">
        <v>524</v>
      </c>
      <c r="E248" s="46">
        <f t="shared" si="25"/>
        <v>1</v>
      </c>
      <c r="F248" s="47">
        <f>CPU!I742</f>
        <v>12.23</v>
      </c>
      <c r="G248" s="46">
        <f t="shared" si="26"/>
        <v>15.28</v>
      </c>
      <c r="H248" s="48">
        <f t="shared" si="27"/>
        <v>15.28</v>
      </c>
      <c r="I248" s="18">
        <v>1</v>
      </c>
      <c r="J248" s="53">
        <v>14.45</v>
      </c>
      <c r="R248" s="30"/>
    </row>
    <row r="249" spans="1:18" ht="28.5" customHeight="1">
      <c r="A249" s="69" t="s">
        <v>870</v>
      </c>
      <c r="B249" s="85">
        <v>89627</v>
      </c>
      <c r="C249" s="51" t="s">
        <v>408</v>
      </c>
      <c r="D249" s="52" t="s">
        <v>524</v>
      </c>
      <c r="E249" s="46">
        <f t="shared" si="25"/>
        <v>5</v>
      </c>
      <c r="F249" s="47">
        <f>CPU!I749</f>
        <v>16.89</v>
      </c>
      <c r="G249" s="46">
        <f t="shared" si="26"/>
        <v>21.11</v>
      </c>
      <c r="H249" s="48">
        <f t="shared" si="27"/>
        <v>105.55</v>
      </c>
      <c r="I249" s="18">
        <v>5</v>
      </c>
      <c r="J249" s="53">
        <v>19.79</v>
      </c>
      <c r="R249" s="30"/>
    </row>
    <row r="250" spans="1:18" ht="31.2">
      <c r="A250" s="69" t="s">
        <v>871</v>
      </c>
      <c r="B250" s="85">
        <v>94690</v>
      </c>
      <c r="C250" s="51" t="s">
        <v>872</v>
      </c>
      <c r="D250" s="52" t="s">
        <v>524</v>
      </c>
      <c r="E250" s="46">
        <f t="shared" si="25"/>
        <v>1</v>
      </c>
      <c r="F250" s="47">
        <f>CPU!I756</f>
        <v>10.91</v>
      </c>
      <c r="G250" s="46">
        <f t="shared" si="26"/>
        <v>13.63</v>
      </c>
      <c r="H250" s="48">
        <f t="shared" si="27"/>
        <v>13.63</v>
      </c>
      <c r="I250" s="18">
        <v>1</v>
      </c>
      <c r="J250" s="53">
        <v>12.99</v>
      </c>
      <c r="R250" s="30"/>
    </row>
    <row r="251" spans="1:18" ht="22.5" customHeight="1">
      <c r="A251" s="69" t="s">
        <v>873</v>
      </c>
      <c r="B251" s="85">
        <v>94694</v>
      </c>
      <c r="C251" s="51" t="s">
        <v>874</v>
      </c>
      <c r="D251" s="52" t="s">
        <v>524</v>
      </c>
      <c r="E251" s="46">
        <f t="shared" si="25"/>
        <v>1</v>
      </c>
      <c r="F251" s="47">
        <f>CPU!I763</f>
        <v>20.540000000000003</v>
      </c>
      <c r="G251" s="46">
        <f t="shared" si="26"/>
        <v>25.67</v>
      </c>
      <c r="H251" s="48">
        <f t="shared" si="27"/>
        <v>25.67</v>
      </c>
      <c r="I251" s="18">
        <v>1</v>
      </c>
      <c r="J251" s="53">
        <v>24.22</v>
      </c>
      <c r="R251" s="30"/>
    </row>
    <row r="252" spans="1:18" ht="22.5" customHeight="1">
      <c r="A252" s="69" t="s">
        <v>875</v>
      </c>
      <c r="B252" s="85">
        <v>89420</v>
      </c>
      <c r="C252" s="51" t="s">
        <v>876</v>
      </c>
      <c r="D252" s="52" t="s">
        <v>524</v>
      </c>
      <c r="E252" s="46">
        <f t="shared" si="25"/>
        <v>6</v>
      </c>
      <c r="F252" s="47">
        <f>CPU!I770</f>
        <v>7.2200000000000006</v>
      </c>
      <c r="G252" s="46">
        <f t="shared" si="26"/>
        <v>9.02</v>
      </c>
      <c r="H252" s="48">
        <f t="shared" si="27"/>
        <v>54.12</v>
      </c>
      <c r="I252" s="18">
        <v>6</v>
      </c>
      <c r="J252" s="53">
        <v>8.42</v>
      </c>
      <c r="R252" s="30"/>
    </row>
    <row r="253" spans="1:18" ht="26.25" customHeight="1">
      <c r="A253" s="69" t="s">
        <v>877</v>
      </c>
      <c r="B253" s="85">
        <v>94795</v>
      </c>
      <c r="C253" s="51" t="s">
        <v>416</v>
      </c>
      <c r="D253" s="52" t="s">
        <v>524</v>
      </c>
      <c r="E253" s="46">
        <f t="shared" si="25"/>
        <v>3</v>
      </c>
      <c r="F253" s="47">
        <f>CPU!I777</f>
        <v>36.930000000000007</v>
      </c>
      <c r="G253" s="46">
        <f t="shared" si="26"/>
        <v>46.16</v>
      </c>
      <c r="H253" s="48">
        <f t="shared" si="27"/>
        <v>138.47999999999999</v>
      </c>
      <c r="I253" s="18">
        <v>3</v>
      </c>
      <c r="J253" s="53">
        <v>42.63</v>
      </c>
      <c r="R253" s="30"/>
    </row>
    <row r="254" spans="1:18" ht="21">
      <c r="A254" s="69" t="s">
        <v>878</v>
      </c>
      <c r="B254" s="85">
        <v>102608</v>
      </c>
      <c r="C254" s="51" t="s">
        <v>418</v>
      </c>
      <c r="D254" s="52" t="s">
        <v>524</v>
      </c>
      <c r="E254" s="46">
        <f t="shared" si="25"/>
        <v>1</v>
      </c>
      <c r="F254" s="47">
        <f>CPU!I782</f>
        <v>772.8599999999999</v>
      </c>
      <c r="G254" s="46">
        <f t="shared" si="26"/>
        <v>966.07</v>
      </c>
      <c r="H254" s="48">
        <f t="shared" si="27"/>
        <v>966.07</v>
      </c>
      <c r="I254" s="18">
        <v>1</v>
      </c>
      <c r="J254" s="53">
        <v>884.68</v>
      </c>
      <c r="R254" s="30"/>
    </row>
    <row r="255" spans="1:18" ht="21">
      <c r="A255" s="69" t="s">
        <v>879</v>
      </c>
      <c r="B255" s="85">
        <v>102607</v>
      </c>
      <c r="C255" s="51" t="s">
        <v>420</v>
      </c>
      <c r="D255" s="52" t="s">
        <v>524</v>
      </c>
      <c r="E255" s="46">
        <f t="shared" si="25"/>
        <v>2</v>
      </c>
      <c r="F255" s="47">
        <f>CPU!I786</f>
        <v>382.04</v>
      </c>
      <c r="G255" s="46">
        <f t="shared" si="26"/>
        <v>477.55</v>
      </c>
      <c r="H255" s="48">
        <f t="shared" si="27"/>
        <v>955.1</v>
      </c>
      <c r="I255" s="18">
        <v>2</v>
      </c>
      <c r="J255" s="53">
        <v>437.48</v>
      </c>
      <c r="R255" s="30"/>
    </row>
    <row r="256" spans="1:18">
      <c r="A256" s="174"/>
      <c r="B256" s="175"/>
      <c r="C256" s="161" t="s">
        <v>880</v>
      </c>
      <c r="D256" s="52"/>
      <c r="E256" s="46"/>
      <c r="F256" s="47"/>
      <c r="G256" s="52"/>
      <c r="H256" s="48"/>
      <c r="J256" s="53"/>
    </row>
    <row r="257" spans="1:18" s="71" customFormat="1" ht="21">
      <c r="A257" s="52" t="s">
        <v>881</v>
      </c>
      <c r="B257" s="85">
        <v>95544</v>
      </c>
      <c r="C257" s="51" t="s">
        <v>422</v>
      </c>
      <c r="D257" s="52" t="s">
        <v>524</v>
      </c>
      <c r="E257" s="46">
        <f t="shared" ref="E257:E280" si="28">TRUNC(I257,2)</f>
        <v>4</v>
      </c>
      <c r="F257" s="47">
        <f>CPU!I790</f>
        <v>35.049999999999997</v>
      </c>
      <c r="G257" s="46">
        <f t="shared" ref="G257:G280" si="29">TRUNC(F257*J$7,2)</f>
        <v>43.81</v>
      </c>
      <c r="H257" s="48">
        <f t="shared" ref="H257:H280" si="30">TRUNC(E257*G257,2)</f>
        <v>175.24</v>
      </c>
      <c r="I257" s="18">
        <v>4</v>
      </c>
      <c r="J257" s="53">
        <v>40.46</v>
      </c>
      <c r="K257" s="18"/>
      <c r="L257" s="18"/>
      <c r="M257" s="18"/>
      <c r="N257" s="18">
        <f>27.92*1.03</f>
        <v>28.757600000000004</v>
      </c>
      <c r="O257" s="18"/>
      <c r="P257" s="29"/>
      <c r="Q257" s="18"/>
    </row>
    <row r="258" spans="1:18" s="71" customFormat="1" ht="25.5" customHeight="1">
      <c r="A258" s="52" t="s">
        <v>882</v>
      </c>
      <c r="B258" s="85">
        <v>95545</v>
      </c>
      <c r="C258" s="51" t="s">
        <v>424</v>
      </c>
      <c r="D258" s="52" t="s">
        <v>524</v>
      </c>
      <c r="E258" s="46">
        <f t="shared" si="28"/>
        <v>4</v>
      </c>
      <c r="F258" s="47">
        <f>CPU!I794</f>
        <v>34.33</v>
      </c>
      <c r="G258" s="46">
        <f t="shared" si="29"/>
        <v>42.91</v>
      </c>
      <c r="H258" s="48">
        <f t="shared" si="30"/>
        <v>171.64</v>
      </c>
      <c r="I258" s="18">
        <v>4</v>
      </c>
      <c r="J258" s="53">
        <v>39.64</v>
      </c>
      <c r="K258" s="18"/>
      <c r="L258" s="18"/>
      <c r="M258" s="18"/>
      <c r="N258" s="18">
        <f>29.22*1.03</f>
        <v>30.096599999999999</v>
      </c>
      <c r="O258" s="18"/>
      <c r="P258" s="29"/>
      <c r="Q258" s="18"/>
    </row>
    <row r="259" spans="1:18" ht="23.25" customHeight="1">
      <c r="A259" s="52" t="s">
        <v>883</v>
      </c>
      <c r="B259" s="85">
        <v>99253</v>
      </c>
      <c r="C259" s="51" t="s">
        <v>426</v>
      </c>
      <c r="D259" s="52" t="s">
        <v>524</v>
      </c>
      <c r="E259" s="46">
        <f t="shared" si="28"/>
        <v>8</v>
      </c>
      <c r="F259" s="47">
        <f>CPU!I798</f>
        <v>448.03</v>
      </c>
      <c r="G259" s="46">
        <f t="shared" si="29"/>
        <v>560.03</v>
      </c>
      <c r="H259" s="48">
        <f t="shared" si="30"/>
        <v>4480.24</v>
      </c>
      <c r="I259" s="18">
        <v>8</v>
      </c>
      <c r="J259" s="53">
        <v>534.77</v>
      </c>
      <c r="R259" s="30"/>
    </row>
    <row r="260" spans="1:18" ht="21.75" customHeight="1">
      <c r="A260" s="137" t="s">
        <v>884</v>
      </c>
      <c r="B260" s="85">
        <v>95469</v>
      </c>
      <c r="C260" s="51" t="s">
        <v>885</v>
      </c>
      <c r="D260" s="52" t="s">
        <v>524</v>
      </c>
      <c r="E260" s="46">
        <f t="shared" si="28"/>
        <v>2</v>
      </c>
      <c r="F260" s="47">
        <f>CPU!I809</f>
        <v>234.57999999999998</v>
      </c>
      <c r="G260" s="46">
        <f t="shared" si="29"/>
        <v>293.22000000000003</v>
      </c>
      <c r="H260" s="48">
        <f t="shared" si="30"/>
        <v>586.44000000000005</v>
      </c>
      <c r="I260" s="18">
        <v>2</v>
      </c>
      <c r="J260" s="53">
        <v>269.33999999999997</v>
      </c>
      <c r="R260" s="30"/>
    </row>
    <row r="261" spans="1:18" ht="36.75" customHeight="1">
      <c r="A261" s="137" t="s">
        <v>886</v>
      </c>
      <c r="B261" s="85">
        <v>95472</v>
      </c>
      <c r="C261" s="51" t="s">
        <v>435</v>
      </c>
      <c r="D261" s="52" t="s">
        <v>524</v>
      </c>
      <c r="E261" s="46">
        <f t="shared" si="28"/>
        <v>2</v>
      </c>
      <c r="F261" s="47">
        <f>CPU!I816</f>
        <v>607.94000000000005</v>
      </c>
      <c r="G261" s="46">
        <f t="shared" si="29"/>
        <v>759.92</v>
      </c>
      <c r="H261" s="48">
        <f t="shared" si="30"/>
        <v>1519.84</v>
      </c>
      <c r="I261" s="176">
        <v>2</v>
      </c>
      <c r="J261" s="18">
        <v>699.12</v>
      </c>
      <c r="R261" s="30"/>
    </row>
    <row r="262" spans="1:18" ht="24" customHeight="1">
      <c r="A262" s="52" t="s">
        <v>887</v>
      </c>
      <c r="B262" s="85" t="s">
        <v>888</v>
      </c>
      <c r="C262" s="51" t="s">
        <v>889</v>
      </c>
      <c r="D262" s="52" t="s">
        <v>524</v>
      </c>
      <c r="E262" s="46">
        <f t="shared" si="28"/>
        <v>4</v>
      </c>
      <c r="F262" s="47">
        <f>CPU!I819</f>
        <v>31.180000000000003</v>
      </c>
      <c r="G262" s="46">
        <f t="shared" si="29"/>
        <v>38.97</v>
      </c>
      <c r="H262" s="48">
        <f t="shared" si="30"/>
        <v>155.88</v>
      </c>
      <c r="I262" s="18">
        <v>4</v>
      </c>
      <c r="J262" s="53">
        <v>36.46</v>
      </c>
      <c r="R262" s="30"/>
    </row>
    <row r="263" spans="1:18" ht="26.25" customHeight="1">
      <c r="A263" s="137" t="s">
        <v>890</v>
      </c>
      <c r="B263" s="85">
        <v>100849</v>
      </c>
      <c r="C263" s="51" t="s">
        <v>441</v>
      </c>
      <c r="D263" s="52" t="s">
        <v>524</v>
      </c>
      <c r="E263" s="46">
        <f t="shared" si="28"/>
        <v>4</v>
      </c>
      <c r="F263" s="47">
        <f>CPU!I828</f>
        <v>41.75</v>
      </c>
      <c r="G263" s="46">
        <f t="shared" si="29"/>
        <v>52.18</v>
      </c>
      <c r="H263" s="48">
        <f t="shared" si="30"/>
        <v>208.72</v>
      </c>
      <c r="I263" s="18">
        <v>4</v>
      </c>
      <c r="J263" s="53">
        <v>47.93</v>
      </c>
      <c r="R263" s="30"/>
    </row>
    <row r="264" spans="1:18" s="71" customFormat="1" ht="22.5" customHeight="1">
      <c r="A264" s="52" t="s">
        <v>891</v>
      </c>
      <c r="B264" s="85" t="s">
        <v>892</v>
      </c>
      <c r="C264" s="177" t="s">
        <v>893</v>
      </c>
      <c r="D264" s="52" t="s">
        <v>584</v>
      </c>
      <c r="E264" s="46">
        <f t="shared" si="28"/>
        <v>57.34</v>
      </c>
      <c r="F264" s="47">
        <f>CPU!I832</f>
        <v>45.55</v>
      </c>
      <c r="G264" s="46">
        <f t="shared" si="29"/>
        <v>56.93</v>
      </c>
      <c r="H264" s="48">
        <f t="shared" si="30"/>
        <v>3264.36</v>
      </c>
      <c r="I264" s="18">
        <v>57.34</v>
      </c>
      <c r="J264" s="53">
        <v>54.44</v>
      </c>
      <c r="K264" s="18"/>
      <c r="L264" s="18"/>
      <c r="M264" s="18">
        <f>55+25+25+6</f>
        <v>111</v>
      </c>
      <c r="N264" s="18"/>
      <c r="O264" s="18">
        <f>17.86*1.3</f>
        <v>23.218</v>
      </c>
      <c r="P264" s="29"/>
      <c r="Q264" s="18"/>
      <c r="R264" s="18"/>
    </row>
    <row r="265" spans="1:18" s="71" customFormat="1" ht="22.5" customHeight="1">
      <c r="A265" s="52" t="s">
        <v>894</v>
      </c>
      <c r="B265" s="85" t="s">
        <v>895</v>
      </c>
      <c r="C265" s="177" t="s">
        <v>896</v>
      </c>
      <c r="D265" s="52" t="s">
        <v>584</v>
      </c>
      <c r="E265" s="46">
        <f t="shared" si="28"/>
        <v>6</v>
      </c>
      <c r="F265" s="47">
        <f>CPU!I839</f>
        <v>14.9</v>
      </c>
      <c r="G265" s="46">
        <f t="shared" si="29"/>
        <v>18.62</v>
      </c>
      <c r="H265" s="48">
        <f t="shared" si="30"/>
        <v>111.72</v>
      </c>
      <c r="I265" s="18">
        <v>6</v>
      </c>
      <c r="J265" s="53">
        <v>17.98</v>
      </c>
      <c r="K265" s="18"/>
      <c r="L265" s="18"/>
      <c r="M265" s="18"/>
      <c r="N265" s="18"/>
      <c r="O265" s="18">
        <f>5.06*1.3</f>
        <v>6.5779999999999994</v>
      </c>
      <c r="P265" s="29"/>
      <c r="Q265" s="18"/>
      <c r="R265" s="18"/>
    </row>
    <row r="266" spans="1:18" s="71" customFormat="1" ht="30.6">
      <c r="A266" s="52" t="s">
        <v>897</v>
      </c>
      <c r="B266" s="85">
        <v>89712</v>
      </c>
      <c r="C266" s="177" t="s">
        <v>447</v>
      </c>
      <c r="D266" s="52" t="s">
        <v>584</v>
      </c>
      <c r="E266" s="46">
        <f t="shared" si="28"/>
        <v>11.5</v>
      </c>
      <c r="F266" s="47">
        <f>CPU!I844</f>
        <v>23.450000000000003</v>
      </c>
      <c r="G266" s="46">
        <f t="shared" si="29"/>
        <v>29.31</v>
      </c>
      <c r="H266" s="48">
        <f t="shared" si="30"/>
        <v>337.06</v>
      </c>
      <c r="I266" s="18">
        <v>11.5</v>
      </c>
      <c r="J266" s="53">
        <v>28.02</v>
      </c>
      <c r="K266" s="18"/>
      <c r="L266" s="18"/>
      <c r="M266" s="18"/>
      <c r="N266" s="18"/>
      <c r="O266" s="18"/>
      <c r="P266" s="29"/>
      <c r="Q266" s="18"/>
      <c r="R266" s="18"/>
    </row>
    <row r="267" spans="1:18" s="71" customFormat="1" ht="39" customHeight="1">
      <c r="A267" s="52" t="s">
        <v>898</v>
      </c>
      <c r="B267" s="85">
        <v>94676</v>
      </c>
      <c r="C267" s="177" t="s">
        <v>899</v>
      </c>
      <c r="D267" s="52" t="s">
        <v>524</v>
      </c>
      <c r="E267" s="46">
        <f t="shared" si="28"/>
        <v>4</v>
      </c>
      <c r="F267" s="47">
        <f>CPU!I851</f>
        <v>12.78</v>
      </c>
      <c r="G267" s="46">
        <f t="shared" si="29"/>
        <v>15.97</v>
      </c>
      <c r="H267" s="48">
        <f t="shared" si="30"/>
        <v>63.88</v>
      </c>
      <c r="I267" s="18">
        <v>4</v>
      </c>
      <c r="J267" s="53">
        <v>15.15</v>
      </c>
      <c r="K267" s="18"/>
      <c r="L267" s="18">
        <f>E264+E265+E266</f>
        <v>74.84</v>
      </c>
      <c r="M267" s="18"/>
      <c r="N267" s="18"/>
      <c r="O267" s="18"/>
      <c r="P267" s="29"/>
      <c r="Q267" s="18"/>
      <c r="R267" s="18"/>
    </row>
    <row r="268" spans="1:18" s="71" customFormat="1" ht="30.75" customHeight="1">
      <c r="A268" s="52" t="s">
        <v>900</v>
      </c>
      <c r="B268" s="85">
        <v>89753</v>
      </c>
      <c r="C268" s="177" t="s">
        <v>451</v>
      </c>
      <c r="D268" s="52" t="s">
        <v>524</v>
      </c>
      <c r="E268" s="46">
        <f t="shared" si="28"/>
        <v>24</v>
      </c>
      <c r="F268" s="47">
        <f>CPU!I858</f>
        <v>8</v>
      </c>
      <c r="G268" s="46">
        <f t="shared" si="29"/>
        <v>10</v>
      </c>
      <c r="H268" s="48">
        <f t="shared" si="30"/>
        <v>240</v>
      </c>
      <c r="I268" s="18">
        <v>24</v>
      </c>
      <c r="J268" s="53">
        <v>9.85</v>
      </c>
      <c r="K268" s="18"/>
      <c r="L268" s="18"/>
      <c r="M268" s="18"/>
      <c r="N268" s="18"/>
      <c r="O268" s="18"/>
      <c r="P268" s="29"/>
      <c r="Q268" s="18"/>
      <c r="R268" s="18"/>
    </row>
    <row r="269" spans="1:18" s="71" customFormat="1" ht="33.75" customHeight="1">
      <c r="A269" s="52" t="s">
        <v>901</v>
      </c>
      <c r="B269" s="85">
        <v>89778</v>
      </c>
      <c r="C269" s="177" t="s">
        <v>902</v>
      </c>
      <c r="D269" s="52" t="s">
        <v>524</v>
      </c>
      <c r="E269" s="46">
        <f t="shared" si="28"/>
        <v>9</v>
      </c>
      <c r="F269" s="47">
        <f>CPU!I864</f>
        <v>17.05</v>
      </c>
      <c r="G269" s="46">
        <f t="shared" si="29"/>
        <v>21.31</v>
      </c>
      <c r="H269" s="48">
        <f t="shared" si="30"/>
        <v>191.79</v>
      </c>
      <c r="I269" s="18">
        <v>9</v>
      </c>
      <c r="J269" s="53">
        <v>20.329999999999998</v>
      </c>
      <c r="K269" s="18"/>
      <c r="L269" s="18"/>
      <c r="M269" s="18"/>
      <c r="N269" s="18"/>
      <c r="O269" s="18"/>
      <c r="P269" s="29"/>
      <c r="Q269" s="18"/>
      <c r="R269" s="18"/>
    </row>
    <row r="270" spans="1:18" ht="25.5" customHeight="1">
      <c r="A270" s="52" t="s">
        <v>903</v>
      </c>
      <c r="B270" s="85" t="s">
        <v>904</v>
      </c>
      <c r="C270" s="51" t="s">
        <v>456</v>
      </c>
      <c r="D270" s="52" t="s">
        <v>524</v>
      </c>
      <c r="E270" s="46">
        <f t="shared" si="28"/>
        <v>4</v>
      </c>
      <c r="F270" s="47">
        <f>CPU!I870</f>
        <v>17.75</v>
      </c>
      <c r="G270" s="46">
        <f t="shared" si="29"/>
        <v>22.18</v>
      </c>
      <c r="H270" s="48">
        <f t="shared" si="30"/>
        <v>88.72</v>
      </c>
      <c r="I270" s="18">
        <v>4</v>
      </c>
      <c r="J270" s="53">
        <v>20.73</v>
      </c>
      <c r="O270" s="18">
        <f>11.83*1.3</f>
        <v>15.379000000000001</v>
      </c>
      <c r="R270" s="30"/>
    </row>
    <row r="271" spans="1:18" ht="33.75" customHeight="1">
      <c r="A271" s="52" t="s">
        <v>905</v>
      </c>
      <c r="B271" s="85" t="s">
        <v>906</v>
      </c>
      <c r="C271" s="51" t="s">
        <v>907</v>
      </c>
      <c r="D271" s="52" t="s">
        <v>524</v>
      </c>
      <c r="E271" s="46">
        <f t="shared" si="28"/>
        <v>8</v>
      </c>
      <c r="F271" s="47">
        <f>CPU!I876</f>
        <v>8.6999999999999993</v>
      </c>
      <c r="G271" s="46">
        <f t="shared" si="29"/>
        <v>10.87</v>
      </c>
      <c r="H271" s="48">
        <f t="shared" si="30"/>
        <v>86.96</v>
      </c>
      <c r="I271" s="18">
        <v>8</v>
      </c>
      <c r="J271" s="53">
        <v>10.26</v>
      </c>
      <c r="O271" s="18">
        <f>4.38*1.3</f>
        <v>5.694</v>
      </c>
      <c r="R271" s="30"/>
    </row>
    <row r="272" spans="1:18" s="178" customFormat="1" ht="24.75" customHeight="1">
      <c r="A272" s="52" t="s">
        <v>908</v>
      </c>
      <c r="B272" s="85">
        <v>89567</v>
      </c>
      <c r="C272" s="51" t="s">
        <v>909</v>
      </c>
      <c r="D272" s="52" t="s">
        <v>524</v>
      </c>
      <c r="E272" s="46">
        <f t="shared" si="28"/>
        <v>5</v>
      </c>
      <c r="F272" s="47">
        <f>CPU!I883</f>
        <v>79.989999999999995</v>
      </c>
      <c r="G272" s="46">
        <f t="shared" si="29"/>
        <v>99.98</v>
      </c>
      <c r="H272" s="48">
        <f t="shared" si="30"/>
        <v>499.9</v>
      </c>
      <c r="I272" s="18">
        <v>5</v>
      </c>
      <c r="J272" s="53">
        <v>92.17</v>
      </c>
      <c r="K272" s="18"/>
      <c r="L272" s="18"/>
      <c r="M272" s="89"/>
      <c r="N272" s="89"/>
      <c r="O272" s="89"/>
      <c r="P272" s="90"/>
      <c r="Q272" s="89"/>
      <c r="R272" s="89"/>
    </row>
    <row r="273" spans="1:18" s="178" customFormat="1" ht="25.5" customHeight="1">
      <c r="A273" s="52" t="s">
        <v>910</v>
      </c>
      <c r="B273" s="85">
        <v>89825</v>
      </c>
      <c r="C273" s="51" t="s">
        <v>911</v>
      </c>
      <c r="D273" s="52" t="s">
        <v>524</v>
      </c>
      <c r="E273" s="46">
        <f t="shared" si="28"/>
        <v>5</v>
      </c>
      <c r="F273" s="47">
        <f>CPU!I889</f>
        <v>14.52</v>
      </c>
      <c r="G273" s="46">
        <f t="shared" si="29"/>
        <v>18.149999999999999</v>
      </c>
      <c r="H273" s="48">
        <f t="shared" si="30"/>
        <v>90.75</v>
      </c>
      <c r="I273" s="18">
        <v>5</v>
      </c>
      <c r="J273" s="53">
        <v>17.71</v>
      </c>
      <c r="K273" s="18"/>
      <c r="L273" s="18"/>
      <c r="M273" s="89"/>
      <c r="N273" s="89"/>
      <c r="O273" s="89"/>
      <c r="P273" s="90"/>
      <c r="Q273" s="89"/>
      <c r="R273" s="89"/>
    </row>
    <row r="274" spans="1:18" s="178" customFormat="1" ht="36.75" customHeight="1">
      <c r="A274" s="52" t="s">
        <v>912</v>
      </c>
      <c r="B274" s="85">
        <v>94678</v>
      </c>
      <c r="C274" s="51" t="s">
        <v>913</v>
      </c>
      <c r="D274" s="52" t="s">
        <v>524</v>
      </c>
      <c r="E274" s="46">
        <f t="shared" si="28"/>
        <v>10</v>
      </c>
      <c r="F274" s="47">
        <f>CPU!I895</f>
        <v>13.179999999999998</v>
      </c>
      <c r="G274" s="46">
        <f t="shared" si="29"/>
        <v>16.47</v>
      </c>
      <c r="H274" s="48">
        <f t="shared" si="30"/>
        <v>164.7</v>
      </c>
      <c r="I274" s="18">
        <v>10</v>
      </c>
      <c r="J274" s="53">
        <v>15.61</v>
      </c>
      <c r="K274" s="18"/>
      <c r="L274" s="18"/>
      <c r="M274" s="89"/>
      <c r="N274" s="89"/>
      <c r="O274" s="89"/>
      <c r="P274" s="90"/>
      <c r="Q274" s="89"/>
      <c r="R274" s="89"/>
    </row>
    <row r="275" spans="1:18" s="178" customFormat="1" ht="31.2">
      <c r="A275" s="52" t="s">
        <v>914</v>
      </c>
      <c r="B275" s="85">
        <v>89802</v>
      </c>
      <c r="C275" s="51" t="s">
        <v>465</v>
      </c>
      <c r="D275" s="52" t="s">
        <v>524</v>
      </c>
      <c r="E275" s="46">
        <f t="shared" si="28"/>
        <v>3</v>
      </c>
      <c r="F275" s="47">
        <f>CPU!I902</f>
        <v>7.1</v>
      </c>
      <c r="G275" s="46">
        <f t="shared" si="29"/>
        <v>8.8699999999999992</v>
      </c>
      <c r="H275" s="48">
        <f t="shared" si="30"/>
        <v>26.61</v>
      </c>
      <c r="I275" s="18">
        <v>3</v>
      </c>
      <c r="J275" s="53">
        <v>8.69</v>
      </c>
      <c r="K275" s="18"/>
      <c r="L275" s="18"/>
      <c r="M275" s="89"/>
      <c r="N275" s="89"/>
      <c r="O275" s="89"/>
      <c r="P275" s="90"/>
      <c r="Q275" s="89"/>
      <c r="R275" s="89"/>
    </row>
    <row r="276" spans="1:18" s="71" customFormat="1" ht="21">
      <c r="A276" s="52" t="s">
        <v>915</v>
      </c>
      <c r="B276" s="85">
        <v>36204</v>
      </c>
      <c r="C276" s="51" t="s">
        <v>916</v>
      </c>
      <c r="D276" s="73" t="s">
        <v>524</v>
      </c>
      <c r="E276" s="46">
        <f t="shared" si="28"/>
        <v>10</v>
      </c>
      <c r="F276" s="47">
        <f>CPU!I966</f>
        <v>162.4</v>
      </c>
      <c r="G276" s="46">
        <f t="shared" si="29"/>
        <v>203</v>
      </c>
      <c r="H276" s="48">
        <f t="shared" si="30"/>
        <v>2030</v>
      </c>
      <c r="I276" s="18">
        <v>10</v>
      </c>
      <c r="J276" s="53">
        <v>203.52</v>
      </c>
      <c r="K276" s="18"/>
      <c r="L276" s="18"/>
      <c r="M276" s="18"/>
      <c r="N276" s="18"/>
      <c r="O276" s="18"/>
      <c r="P276" s="29"/>
      <c r="Q276" s="18"/>
      <c r="R276" s="18"/>
    </row>
    <row r="277" spans="1:18" s="71" customFormat="1" ht="31.2">
      <c r="A277" s="52" t="s">
        <v>917</v>
      </c>
      <c r="B277" s="85">
        <v>98052</v>
      </c>
      <c r="C277" s="51" t="s">
        <v>467</v>
      </c>
      <c r="D277" s="179" t="s">
        <v>524</v>
      </c>
      <c r="E277" s="46">
        <f t="shared" si="28"/>
        <v>1</v>
      </c>
      <c r="F277" s="47">
        <f>CPU!I908</f>
        <v>1650.15</v>
      </c>
      <c r="G277" s="46">
        <f t="shared" si="29"/>
        <v>2062.6799999999998</v>
      </c>
      <c r="H277" s="48">
        <f t="shared" si="30"/>
        <v>2062.6799999999998</v>
      </c>
      <c r="I277" s="18">
        <v>1</v>
      </c>
      <c r="J277" s="129">
        <v>1878.49</v>
      </c>
      <c r="K277" s="18"/>
      <c r="L277" s="18"/>
      <c r="M277" s="18"/>
      <c r="N277" s="18"/>
      <c r="O277" s="18"/>
      <c r="P277" s="29"/>
      <c r="Q277" s="18"/>
      <c r="R277" s="18"/>
    </row>
    <row r="278" spans="1:18" s="71" customFormat="1" ht="31.2">
      <c r="A278" s="52" t="s">
        <v>918</v>
      </c>
      <c r="B278" s="85">
        <v>98062</v>
      </c>
      <c r="C278" s="51" t="s">
        <v>919</v>
      </c>
      <c r="D278" s="179" t="s">
        <v>524</v>
      </c>
      <c r="E278" s="46">
        <f t="shared" si="28"/>
        <v>1</v>
      </c>
      <c r="F278" s="47">
        <f>CPU!I918</f>
        <v>2338.7299999999996</v>
      </c>
      <c r="G278" s="46">
        <f t="shared" si="29"/>
        <v>2923.41</v>
      </c>
      <c r="H278" s="48">
        <f t="shared" si="30"/>
        <v>2923.41</v>
      </c>
      <c r="I278" s="18">
        <v>1</v>
      </c>
      <c r="J278" s="129">
        <v>2684.21</v>
      </c>
      <c r="K278" s="18"/>
      <c r="L278" s="18"/>
      <c r="M278" s="18"/>
      <c r="N278" s="18"/>
      <c r="O278" s="18"/>
      <c r="P278" s="29"/>
      <c r="Q278" s="18"/>
      <c r="R278" s="18"/>
    </row>
    <row r="279" spans="1:18" s="71" customFormat="1" ht="13.5" customHeight="1">
      <c r="A279" s="52" t="s">
        <v>920</v>
      </c>
      <c r="B279" s="70">
        <v>93358</v>
      </c>
      <c r="C279" s="94" t="s">
        <v>921</v>
      </c>
      <c r="D279" s="179" t="s">
        <v>540</v>
      </c>
      <c r="E279" s="46">
        <f t="shared" si="28"/>
        <v>11.22</v>
      </c>
      <c r="F279" s="47">
        <f>CPU!I54</f>
        <v>47.47</v>
      </c>
      <c r="G279" s="46">
        <f t="shared" si="29"/>
        <v>59.33</v>
      </c>
      <c r="H279" s="48">
        <f t="shared" si="30"/>
        <v>665.68</v>
      </c>
      <c r="I279" s="18">
        <f>74.84*0.3*0.5</f>
        <v>11.226000000000001</v>
      </c>
      <c r="J279" s="53">
        <v>63.37</v>
      </c>
      <c r="K279" s="18"/>
      <c r="L279" s="18"/>
      <c r="M279" s="18"/>
      <c r="N279" s="18"/>
      <c r="O279" s="18"/>
      <c r="P279" s="29"/>
      <c r="Q279" s="18"/>
      <c r="R279" s="18"/>
    </row>
    <row r="280" spans="1:18" s="71" customFormat="1" ht="35.25" customHeight="1" thickBot="1">
      <c r="A280" s="52" t="s">
        <v>922</v>
      </c>
      <c r="B280" s="70">
        <v>86919</v>
      </c>
      <c r="C280" s="51" t="s">
        <v>923</v>
      </c>
      <c r="D280" s="73" t="s">
        <v>524</v>
      </c>
      <c r="E280" s="46">
        <f t="shared" si="28"/>
        <v>1</v>
      </c>
      <c r="F280" s="47">
        <f>CPU!I928</f>
        <v>695.78</v>
      </c>
      <c r="G280" s="46">
        <f t="shared" si="29"/>
        <v>869.72</v>
      </c>
      <c r="H280" s="48">
        <f t="shared" si="30"/>
        <v>869.72</v>
      </c>
      <c r="I280" s="18">
        <v>1</v>
      </c>
      <c r="J280" s="53">
        <v>795.87</v>
      </c>
      <c r="K280" s="18"/>
      <c r="L280" s="18"/>
      <c r="M280" s="18"/>
      <c r="N280" s="18"/>
      <c r="O280" s="18"/>
      <c r="P280" s="29"/>
      <c r="Q280" s="18"/>
      <c r="R280" s="18"/>
    </row>
    <row r="281" spans="1:18" s="91" customFormat="1" thickBot="1">
      <c r="A281" s="58"/>
      <c r="B281" s="59"/>
      <c r="C281" s="33" t="s">
        <v>525</v>
      </c>
      <c r="D281" s="59"/>
      <c r="E281" s="59"/>
      <c r="F281" s="59"/>
      <c r="G281" s="59"/>
      <c r="H281" s="60">
        <f>SUM(H223:H280)</f>
        <v>31623.14000000001</v>
      </c>
      <c r="I281" s="87"/>
      <c r="J281" s="180"/>
      <c r="K281" s="87"/>
      <c r="L281" s="87"/>
      <c r="M281" s="89"/>
      <c r="N281" s="89"/>
      <c r="O281" s="89"/>
      <c r="P281" s="90"/>
      <c r="Q281" s="87"/>
      <c r="R281" s="87"/>
    </row>
    <row r="282" spans="1:18" s="91" customFormat="1" ht="6.75" customHeight="1" thickBot="1">
      <c r="A282" s="150"/>
      <c r="B282" s="151"/>
      <c r="C282" s="64"/>
      <c r="D282" s="168"/>
      <c r="E282" s="168"/>
      <c r="F282" s="168"/>
      <c r="G282" s="181"/>
      <c r="H282" s="182"/>
      <c r="I282" s="87"/>
      <c r="J282" s="37"/>
      <c r="K282" s="87"/>
      <c r="L282" s="87"/>
      <c r="M282" s="89"/>
      <c r="N282" s="89"/>
      <c r="O282" s="89"/>
      <c r="P282" s="90"/>
      <c r="Q282" s="87"/>
      <c r="R282" s="87"/>
    </row>
    <row r="283" spans="1:18" ht="14.4" thickBot="1">
      <c r="A283" s="58" t="s">
        <v>924</v>
      </c>
      <c r="B283" s="59"/>
      <c r="C283" s="33" t="s">
        <v>925</v>
      </c>
      <c r="D283" s="33"/>
      <c r="E283" s="59"/>
      <c r="F283" s="59"/>
      <c r="G283" s="33"/>
      <c r="H283" s="35"/>
      <c r="J283" s="53"/>
      <c r="N283" s="183"/>
      <c r="R283" s="30"/>
    </row>
    <row r="284" spans="1:18" ht="14.4" thickBot="1">
      <c r="A284" s="121" t="s">
        <v>926</v>
      </c>
      <c r="B284" s="122"/>
      <c r="C284" s="184" t="s">
        <v>927</v>
      </c>
      <c r="D284" s="122"/>
      <c r="E284" s="122"/>
      <c r="F284" s="122"/>
      <c r="G284" s="122"/>
      <c r="H284" s="141"/>
      <c r="J284" s="53"/>
      <c r="N284" s="183"/>
      <c r="R284" s="30"/>
    </row>
    <row r="285" spans="1:18" ht="41.4">
      <c r="A285" s="52" t="s">
        <v>928</v>
      </c>
      <c r="B285" s="44">
        <v>103328</v>
      </c>
      <c r="C285" s="185" t="s">
        <v>581</v>
      </c>
      <c r="D285" s="52" t="s">
        <v>521</v>
      </c>
      <c r="E285" s="186">
        <f t="shared" ref="E285:E296" si="31">TRUNC(I285,2)</f>
        <v>62.5</v>
      </c>
      <c r="F285" s="187">
        <f>CPU!I126</f>
        <v>64.3</v>
      </c>
      <c r="G285" s="46">
        <f t="shared" ref="G285:G296" si="32">TRUNC(F285*J$7,2)</f>
        <v>80.37</v>
      </c>
      <c r="H285" s="188">
        <f t="shared" ref="H285:H296" si="33">TRUNC(E285*G285,2)</f>
        <v>5023.12</v>
      </c>
      <c r="I285" s="18">
        <f>(40.34+23.5+40.34)*0.6</f>
        <v>62.508000000000003</v>
      </c>
      <c r="J285" s="53">
        <v>76.33</v>
      </c>
      <c r="N285" s="183"/>
      <c r="R285" s="30"/>
    </row>
    <row r="286" spans="1:18" ht="31.2">
      <c r="A286" s="52" t="s">
        <v>929</v>
      </c>
      <c r="B286" s="139">
        <v>92411</v>
      </c>
      <c r="C286" s="82" t="s">
        <v>82</v>
      </c>
      <c r="D286" s="189" t="s">
        <v>521</v>
      </c>
      <c r="E286" s="52">
        <f t="shared" si="31"/>
        <v>56.45</v>
      </c>
      <c r="F286" s="47">
        <f>CPU!I108</f>
        <v>138.06</v>
      </c>
      <c r="G286" s="46">
        <f t="shared" si="32"/>
        <v>172.57</v>
      </c>
      <c r="H286" s="86">
        <f t="shared" si="33"/>
        <v>9741.57</v>
      </c>
      <c r="I286" s="18">
        <f>(40.34+23.5+40.34)*0.3+70*(0.3+0.3)*0.6</f>
        <v>56.454000000000001</v>
      </c>
      <c r="J286" s="53">
        <v>160.24</v>
      </c>
      <c r="N286" s="183"/>
      <c r="P286" s="18"/>
      <c r="R286" s="30"/>
    </row>
    <row r="287" spans="1:18" ht="21">
      <c r="A287" s="52" t="s">
        <v>930</v>
      </c>
      <c r="B287" s="44">
        <v>94971</v>
      </c>
      <c r="C287" s="100" t="s">
        <v>560</v>
      </c>
      <c r="D287" s="190" t="s">
        <v>540</v>
      </c>
      <c r="E287" s="46">
        <f t="shared" si="31"/>
        <v>6.57</v>
      </c>
      <c r="F287" s="191">
        <f>CPU!I66</f>
        <v>374.14000000000004</v>
      </c>
      <c r="G287" s="46">
        <f t="shared" si="32"/>
        <v>467.67</v>
      </c>
      <c r="H287" s="48">
        <f t="shared" si="33"/>
        <v>3072.59</v>
      </c>
      <c r="I287" s="18">
        <f>(40.34+23.5+40.34)*0.3*0.15+70*(0.3*0.15)*0.6</f>
        <v>6.5781000000000001</v>
      </c>
      <c r="J287" s="192">
        <v>435.92</v>
      </c>
      <c r="N287" s="183"/>
      <c r="P287" s="18"/>
      <c r="R287" s="30"/>
    </row>
    <row r="288" spans="1:18" ht="28.5" customHeight="1">
      <c r="A288" s="52" t="s">
        <v>931</v>
      </c>
      <c r="B288" s="44">
        <v>103670</v>
      </c>
      <c r="C288" s="82" t="s">
        <v>55</v>
      </c>
      <c r="D288" s="190" t="s">
        <v>540</v>
      </c>
      <c r="E288" s="46">
        <f t="shared" si="31"/>
        <v>6.57</v>
      </c>
      <c r="F288" s="53">
        <f>CPU!I74</f>
        <v>173.87</v>
      </c>
      <c r="G288" s="46">
        <f t="shared" si="32"/>
        <v>217.33</v>
      </c>
      <c r="H288" s="48">
        <f t="shared" si="33"/>
        <v>1427.85</v>
      </c>
      <c r="I288" s="18">
        <f>I287</f>
        <v>6.5781000000000001</v>
      </c>
      <c r="J288" s="192">
        <v>217.85</v>
      </c>
      <c r="N288" s="183"/>
      <c r="R288" s="30"/>
    </row>
    <row r="289" spans="1:18" ht="36.75" customHeight="1">
      <c r="A289" s="52" t="s">
        <v>932</v>
      </c>
      <c r="B289" s="108">
        <v>92778</v>
      </c>
      <c r="C289" s="84" t="s">
        <v>84</v>
      </c>
      <c r="D289" s="193" t="s">
        <v>566</v>
      </c>
      <c r="E289" s="46">
        <f t="shared" si="31"/>
        <v>368.37</v>
      </c>
      <c r="F289" s="53">
        <f>CPU!I114</f>
        <v>12.73</v>
      </c>
      <c r="G289" s="46">
        <f t="shared" si="32"/>
        <v>15.91</v>
      </c>
      <c r="H289" s="48">
        <f t="shared" si="33"/>
        <v>5860.76</v>
      </c>
      <c r="I289" s="19">
        <f>I287*80*0.7</f>
        <v>368.37360000000001</v>
      </c>
      <c r="J289" s="53">
        <v>14.63</v>
      </c>
      <c r="N289" s="183"/>
      <c r="R289" s="30"/>
    </row>
    <row r="290" spans="1:18" ht="36.75" customHeight="1">
      <c r="A290" s="52" t="s">
        <v>933</v>
      </c>
      <c r="B290" s="103">
        <v>92776</v>
      </c>
      <c r="C290" s="194" t="s">
        <v>934</v>
      </c>
      <c r="D290" s="190" t="s">
        <v>566</v>
      </c>
      <c r="E290" s="78">
        <f t="shared" si="31"/>
        <v>157.87</v>
      </c>
      <c r="F290" s="53">
        <f>CPU!I933</f>
        <v>14.990000000000002</v>
      </c>
      <c r="G290" s="46">
        <f t="shared" si="32"/>
        <v>18.73</v>
      </c>
      <c r="H290" s="86">
        <f t="shared" si="33"/>
        <v>2956.9</v>
      </c>
      <c r="I290" s="102">
        <f>I287*80*0.3</f>
        <v>157.87440000000001</v>
      </c>
      <c r="J290" s="192">
        <v>17.29</v>
      </c>
      <c r="L290" s="19"/>
      <c r="M290" s="19"/>
      <c r="N290" s="195"/>
      <c r="O290" s="19"/>
      <c r="P290" s="104"/>
      <c r="Q290" s="106"/>
      <c r="R290" s="106"/>
    </row>
    <row r="291" spans="1:18" ht="34.5" customHeight="1">
      <c r="A291" s="52" t="s">
        <v>935</v>
      </c>
      <c r="B291" s="44">
        <v>87879</v>
      </c>
      <c r="C291" s="194" t="s">
        <v>625</v>
      </c>
      <c r="D291" s="52" t="s">
        <v>521</v>
      </c>
      <c r="E291" s="138">
        <f t="shared" si="31"/>
        <v>155.01</v>
      </c>
      <c r="F291" s="47">
        <f>CPU!I222</f>
        <v>2.95</v>
      </c>
      <c r="G291" s="46">
        <f t="shared" si="32"/>
        <v>3.68</v>
      </c>
      <c r="H291" s="48">
        <f t="shared" si="33"/>
        <v>570.42999999999995</v>
      </c>
      <c r="I291" s="18">
        <f>I285*2+30</f>
        <v>155.01600000000002</v>
      </c>
      <c r="J291" s="53">
        <v>3.44</v>
      </c>
      <c r="L291" s="108"/>
      <c r="M291" s="84"/>
      <c r="N291" s="190"/>
      <c r="O291" s="46"/>
      <c r="P291" s="53"/>
      <c r="Q291" s="52"/>
      <c r="R291" s="48"/>
    </row>
    <row r="292" spans="1:18" ht="46.5" customHeight="1">
      <c r="A292" s="52" t="s">
        <v>936</v>
      </c>
      <c r="B292" s="70" t="s">
        <v>628</v>
      </c>
      <c r="C292" s="94" t="s">
        <v>629</v>
      </c>
      <c r="D292" s="56" t="s">
        <v>521</v>
      </c>
      <c r="E292" s="46">
        <f t="shared" si="31"/>
        <v>155.01</v>
      </c>
      <c r="F292" s="47">
        <f>CPU!I226</f>
        <v>25.080000000000002</v>
      </c>
      <c r="G292" s="46">
        <f t="shared" si="32"/>
        <v>31.35</v>
      </c>
      <c r="H292" s="48">
        <f t="shared" si="33"/>
        <v>4859.5600000000004</v>
      </c>
      <c r="I292" s="18">
        <f>I291</f>
        <v>155.01600000000002</v>
      </c>
      <c r="J292" s="53">
        <v>29.67</v>
      </c>
      <c r="L292" s="103"/>
      <c r="M292" s="82"/>
      <c r="N292" s="196"/>
      <c r="O292" s="52"/>
      <c r="P292" s="53"/>
      <c r="Q292" s="52"/>
      <c r="R292" s="52"/>
    </row>
    <row r="293" spans="1:18" ht="19.5" customHeight="1">
      <c r="A293" s="52" t="s">
        <v>937</v>
      </c>
      <c r="B293" s="139" t="s">
        <v>519</v>
      </c>
      <c r="C293" s="82" t="s">
        <v>938</v>
      </c>
      <c r="D293" s="78" t="s">
        <v>524</v>
      </c>
      <c r="E293" s="56">
        <f t="shared" si="31"/>
        <v>2</v>
      </c>
      <c r="F293" s="47">
        <f>composições!F169</f>
        <v>303.87025</v>
      </c>
      <c r="G293" s="46">
        <f t="shared" si="32"/>
        <v>379.83</v>
      </c>
      <c r="H293" s="48">
        <f t="shared" si="33"/>
        <v>759.66</v>
      </c>
      <c r="I293" s="18">
        <v>2</v>
      </c>
      <c r="J293" s="53">
        <v>313.25</v>
      </c>
      <c r="L293" s="197"/>
      <c r="M293" s="198"/>
      <c r="N293" s="27"/>
      <c r="O293" s="199"/>
      <c r="P293" s="19"/>
      <c r="Q293" s="199"/>
      <c r="R293" s="199"/>
    </row>
    <row r="294" spans="1:18" ht="16.5" customHeight="1">
      <c r="A294" s="52" t="s">
        <v>939</v>
      </c>
      <c r="B294" s="44">
        <v>98504</v>
      </c>
      <c r="C294" s="200" t="s">
        <v>940</v>
      </c>
      <c r="D294" s="199" t="s">
        <v>521</v>
      </c>
      <c r="E294" s="52">
        <f t="shared" si="31"/>
        <v>29.55</v>
      </c>
      <c r="F294" s="201">
        <f>CPU!I939</f>
        <v>10.450000000000001</v>
      </c>
      <c r="G294" s="46">
        <f t="shared" si="32"/>
        <v>13.06</v>
      </c>
      <c r="H294" s="57">
        <f t="shared" si="33"/>
        <v>385.92</v>
      </c>
      <c r="I294" s="102">
        <f>18.81+10.74</f>
        <v>29.549999999999997</v>
      </c>
      <c r="J294" s="53">
        <v>13.16</v>
      </c>
      <c r="L294" s="197"/>
      <c r="M294" s="198"/>
      <c r="N294" s="27"/>
      <c r="O294" s="199"/>
      <c r="P294" s="19"/>
      <c r="Q294" s="199"/>
      <c r="R294" s="199"/>
    </row>
    <row r="295" spans="1:18" ht="34.5" customHeight="1">
      <c r="A295" s="52" t="s">
        <v>941</v>
      </c>
      <c r="B295" s="44">
        <v>94273</v>
      </c>
      <c r="C295" s="200" t="s">
        <v>484</v>
      </c>
      <c r="D295" s="157" t="s">
        <v>584</v>
      </c>
      <c r="E295" s="52">
        <f t="shared" si="31"/>
        <v>26</v>
      </c>
      <c r="F295" s="201">
        <f>CPU!I943</f>
        <v>41.949999999999996</v>
      </c>
      <c r="G295" s="46">
        <f t="shared" si="32"/>
        <v>52.43</v>
      </c>
      <c r="H295" s="52">
        <f t="shared" si="33"/>
        <v>1363.18</v>
      </c>
      <c r="I295" s="102">
        <v>26</v>
      </c>
      <c r="J295" s="53">
        <v>49.16</v>
      </c>
      <c r="L295" s="197"/>
      <c r="M295" s="198"/>
      <c r="N295" s="27"/>
      <c r="O295" s="199"/>
      <c r="P295" s="19"/>
      <c r="Q295" s="199"/>
      <c r="R295" s="199"/>
    </row>
    <row r="296" spans="1:18" s="38" customFormat="1" ht="49.5" customHeight="1" thickBot="1">
      <c r="A296" s="52" t="s">
        <v>942</v>
      </c>
      <c r="B296" s="54" t="s">
        <v>519</v>
      </c>
      <c r="C296" s="54" t="s">
        <v>943</v>
      </c>
      <c r="D296" s="55" t="s">
        <v>584</v>
      </c>
      <c r="E296" s="55">
        <f t="shared" si="31"/>
        <v>104.18</v>
      </c>
      <c r="F296" s="98">
        <f>composições!F182</f>
        <v>105.66</v>
      </c>
      <c r="G296" s="46">
        <f t="shared" si="32"/>
        <v>132.07</v>
      </c>
      <c r="H296" s="55">
        <f t="shared" si="33"/>
        <v>13759.05</v>
      </c>
      <c r="I296" s="18">
        <f>(40.34+23.5+40.34)</f>
        <v>104.18</v>
      </c>
      <c r="J296" s="53">
        <v>108.44</v>
      </c>
      <c r="K296" s="18"/>
      <c r="L296" s="18"/>
      <c r="M296" s="18"/>
      <c r="N296" s="18"/>
      <c r="O296" s="18"/>
      <c r="P296" s="29"/>
      <c r="Q296" s="36"/>
      <c r="R296" s="30"/>
    </row>
    <row r="297" spans="1:18" s="91" customFormat="1" thickBot="1">
      <c r="A297" s="58"/>
      <c r="B297" s="59"/>
      <c r="C297" s="33" t="s">
        <v>525</v>
      </c>
      <c r="D297" s="59"/>
      <c r="E297" s="59"/>
      <c r="F297" s="59"/>
      <c r="G297" s="59"/>
      <c r="H297" s="60">
        <f>SUM(H285:H296)</f>
        <v>49780.59</v>
      </c>
      <c r="I297" s="87"/>
      <c r="J297" s="37"/>
      <c r="K297" s="87"/>
      <c r="L297" s="87"/>
      <c r="M297" s="89"/>
      <c r="N297" s="202"/>
      <c r="O297" s="89"/>
      <c r="P297" s="90"/>
      <c r="Q297" s="87"/>
      <c r="R297" s="87"/>
    </row>
    <row r="298" spans="1:18" ht="6.75" customHeight="1" thickBot="1">
      <c r="A298" s="111"/>
      <c r="B298" s="112"/>
      <c r="C298" s="203"/>
      <c r="D298" s="67"/>
      <c r="E298" s="66"/>
      <c r="F298" s="66"/>
      <c r="G298" s="67"/>
      <c r="H298" s="93"/>
      <c r="J298" s="53"/>
      <c r="N298" s="183"/>
      <c r="R298" s="30"/>
    </row>
    <row r="299" spans="1:18" ht="14.4" thickBot="1">
      <c r="A299" s="121" t="s">
        <v>944</v>
      </c>
      <c r="B299" s="122"/>
      <c r="C299" s="123" t="s">
        <v>945</v>
      </c>
      <c r="D299" s="123"/>
      <c r="E299" s="122"/>
      <c r="F299" s="122"/>
      <c r="G299" s="123"/>
      <c r="H299" s="125"/>
      <c r="J299" s="53"/>
      <c r="N299" s="183"/>
      <c r="R299" s="30"/>
    </row>
    <row r="300" spans="1:18" s="206" customFormat="1" ht="14.4" thickBot="1">
      <c r="A300" s="204" t="s">
        <v>946</v>
      </c>
      <c r="B300" s="126"/>
      <c r="C300" s="126" t="s">
        <v>947</v>
      </c>
      <c r="D300" s="126"/>
      <c r="E300" s="126"/>
      <c r="F300" s="126"/>
      <c r="G300" s="126"/>
      <c r="H300" s="205"/>
      <c r="I300" s="19"/>
      <c r="J300" s="19"/>
      <c r="K300" s="19"/>
      <c r="L300" s="19"/>
      <c r="M300" s="19"/>
      <c r="N300" s="195"/>
      <c r="O300" s="19"/>
      <c r="P300" s="104"/>
      <c r="Q300" s="106"/>
      <c r="R300" s="106"/>
    </row>
    <row r="301" spans="1:18" s="206" customFormat="1">
      <c r="A301" s="69" t="s">
        <v>948</v>
      </c>
      <c r="B301" s="70">
        <v>93358</v>
      </c>
      <c r="C301" s="100" t="s">
        <v>921</v>
      </c>
      <c r="D301" s="46" t="s">
        <v>540</v>
      </c>
      <c r="E301" s="46">
        <f t="shared" ref="E301:E314" si="34">TRUNC(I301,2)</f>
        <v>8.5</v>
      </c>
      <c r="F301" s="95">
        <f>CPU!I54</f>
        <v>47.47</v>
      </c>
      <c r="G301" s="46">
        <f t="shared" ref="G301:G314" si="35">TRUNC(F301*J$7,2)</f>
        <v>59.33</v>
      </c>
      <c r="H301" s="48">
        <f t="shared" ref="H301:H314" si="36">TRUNC(E301*G301,2)</f>
        <v>504.3</v>
      </c>
      <c r="I301" s="18">
        <v>8.5</v>
      </c>
      <c r="J301" s="207">
        <v>63.37</v>
      </c>
      <c r="K301" s="19"/>
      <c r="L301" s="19"/>
      <c r="M301" s="19"/>
      <c r="N301" s="195"/>
      <c r="O301" s="19"/>
      <c r="P301" s="104"/>
      <c r="Q301" s="106"/>
      <c r="R301" s="106"/>
    </row>
    <row r="302" spans="1:18" s="206" customFormat="1" ht="45" customHeight="1">
      <c r="A302" s="69" t="s">
        <v>949</v>
      </c>
      <c r="B302" s="44">
        <v>103328</v>
      </c>
      <c r="C302" s="100" t="s">
        <v>581</v>
      </c>
      <c r="D302" s="46" t="s">
        <v>521</v>
      </c>
      <c r="E302" s="46">
        <f t="shared" si="34"/>
        <v>18.36</v>
      </c>
      <c r="F302" s="47">
        <f>CPU!I126</f>
        <v>64.3</v>
      </c>
      <c r="G302" s="46">
        <f t="shared" si="35"/>
        <v>80.37</v>
      </c>
      <c r="H302" s="48">
        <f t="shared" si="36"/>
        <v>1475.59</v>
      </c>
      <c r="I302" s="18">
        <f>3.1*1.7*2+3.1*1.7*2/2+1*1.7+1*1.7/2</f>
        <v>18.36</v>
      </c>
      <c r="J302" s="173">
        <v>76.33</v>
      </c>
      <c r="K302" s="19"/>
      <c r="L302" s="19"/>
      <c r="M302" s="19"/>
      <c r="N302" s="195"/>
      <c r="O302" s="19"/>
      <c r="P302" s="104"/>
      <c r="Q302" s="106"/>
      <c r="R302" s="106"/>
    </row>
    <row r="303" spans="1:18" s="206" customFormat="1" ht="31.2">
      <c r="A303" s="69" t="s">
        <v>950</v>
      </c>
      <c r="B303" s="44">
        <v>92411</v>
      </c>
      <c r="C303" s="82" t="s">
        <v>82</v>
      </c>
      <c r="D303" s="52" t="s">
        <v>521</v>
      </c>
      <c r="E303" s="46">
        <f t="shared" si="34"/>
        <v>17.82</v>
      </c>
      <c r="F303" s="47">
        <f>CPU!I108</f>
        <v>138.06</v>
      </c>
      <c r="G303" s="46">
        <f t="shared" si="35"/>
        <v>172.57</v>
      </c>
      <c r="H303" s="48">
        <f t="shared" si="36"/>
        <v>3075.19</v>
      </c>
      <c r="I303" s="18">
        <f>(6.2*2*0.3+1*2*0.3)*2+1.7*0.9*6</f>
        <v>17.82</v>
      </c>
      <c r="J303" s="173">
        <v>160.24</v>
      </c>
      <c r="K303" s="19"/>
      <c r="L303" s="19"/>
      <c r="M303" s="19"/>
      <c r="N303" s="195"/>
      <c r="O303" s="19"/>
      <c r="P303" s="104"/>
      <c r="Q303" s="106"/>
      <c r="R303" s="106"/>
    </row>
    <row r="304" spans="1:18" s="206" customFormat="1" ht="21">
      <c r="A304" s="69" t="s">
        <v>951</v>
      </c>
      <c r="B304" s="44">
        <v>94971</v>
      </c>
      <c r="C304" s="82" t="s">
        <v>560</v>
      </c>
      <c r="D304" s="46" t="s">
        <v>540</v>
      </c>
      <c r="E304" s="46">
        <f t="shared" si="34"/>
        <v>2.08</v>
      </c>
      <c r="F304" s="47">
        <f>CPU!I66</f>
        <v>374.14000000000004</v>
      </c>
      <c r="G304" s="46">
        <f t="shared" si="35"/>
        <v>467.67</v>
      </c>
      <c r="H304" s="48">
        <f t="shared" si="36"/>
        <v>972.75</v>
      </c>
      <c r="I304" s="18">
        <v>2.08</v>
      </c>
      <c r="J304" s="173">
        <v>435.92</v>
      </c>
      <c r="K304" s="19"/>
      <c r="L304" s="19"/>
      <c r="M304" s="19"/>
      <c r="N304" s="195"/>
      <c r="O304" s="19"/>
      <c r="P304" s="104"/>
      <c r="Q304" s="106"/>
      <c r="R304" s="106"/>
    </row>
    <row r="305" spans="1:18" s="206" customFormat="1" ht="27" customHeight="1">
      <c r="A305" s="69" t="s">
        <v>952</v>
      </c>
      <c r="B305" s="44">
        <v>103670</v>
      </c>
      <c r="C305" s="82" t="s">
        <v>55</v>
      </c>
      <c r="D305" s="52" t="s">
        <v>540</v>
      </c>
      <c r="E305" s="46">
        <f t="shared" si="34"/>
        <v>2.08</v>
      </c>
      <c r="F305" s="47">
        <f>CPU!I74</f>
        <v>173.87</v>
      </c>
      <c r="G305" s="46">
        <f t="shared" si="35"/>
        <v>217.33</v>
      </c>
      <c r="H305" s="48">
        <f t="shared" si="36"/>
        <v>452.04</v>
      </c>
      <c r="I305" s="208">
        <f>I304</f>
        <v>2.08</v>
      </c>
      <c r="J305" s="173">
        <v>217.85</v>
      </c>
      <c r="K305" s="19"/>
      <c r="L305" s="19"/>
      <c r="M305" s="19"/>
      <c r="N305" s="195"/>
      <c r="O305" s="19"/>
      <c r="P305" s="104"/>
      <c r="Q305" s="106"/>
      <c r="R305" s="106"/>
    </row>
    <row r="306" spans="1:18" s="206" customFormat="1" ht="33" customHeight="1">
      <c r="A306" s="69" t="s">
        <v>953</v>
      </c>
      <c r="B306" s="103">
        <v>92778</v>
      </c>
      <c r="C306" s="82" t="s">
        <v>84</v>
      </c>
      <c r="D306" s="52" t="s">
        <v>566</v>
      </c>
      <c r="E306" s="46">
        <f t="shared" si="34"/>
        <v>116.48</v>
      </c>
      <c r="F306" s="47">
        <f>CPU!I114</f>
        <v>12.73</v>
      </c>
      <c r="G306" s="46">
        <f t="shared" si="35"/>
        <v>15.91</v>
      </c>
      <c r="H306" s="48">
        <f t="shared" si="36"/>
        <v>1853.19</v>
      </c>
      <c r="I306" s="208">
        <f>I304*80*0.7</f>
        <v>116.47999999999999</v>
      </c>
      <c r="J306" s="173">
        <v>14.63</v>
      </c>
      <c r="K306" s="19"/>
      <c r="L306" s="19"/>
      <c r="M306" s="19"/>
      <c r="N306" s="195"/>
      <c r="O306" s="19"/>
      <c r="P306" s="104"/>
      <c r="Q306" s="106"/>
      <c r="R306" s="106"/>
    </row>
    <row r="307" spans="1:18" s="206" customFormat="1" ht="34.5" customHeight="1">
      <c r="A307" s="69" t="s">
        <v>954</v>
      </c>
      <c r="B307" s="103">
        <v>92776</v>
      </c>
      <c r="C307" s="82" t="s">
        <v>934</v>
      </c>
      <c r="D307" s="52" t="s">
        <v>566</v>
      </c>
      <c r="E307" s="46">
        <f t="shared" si="34"/>
        <v>49.92</v>
      </c>
      <c r="F307" s="47">
        <f>CPU!I933</f>
        <v>14.990000000000002</v>
      </c>
      <c r="G307" s="46">
        <f t="shared" si="35"/>
        <v>18.73</v>
      </c>
      <c r="H307" s="48">
        <f t="shared" si="36"/>
        <v>935</v>
      </c>
      <c r="I307" s="208">
        <f>I304*80*0.3</f>
        <v>49.92</v>
      </c>
      <c r="J307" s="173">
        <v>17.29</v>
      </c>
      <c r="K307" s="19"/>
      <c r="L307" s="19"/>
      <c r="M307" s="19"/>
      <c r="N307" s="195"/>
      <c r="O307" s="19"/>
      <c r="P307" s="104"/>
      <c r="Q307" s="106"/>
      <c r="R307" s="106"/>
    </row>
    <row r="308" spans="1:18" s="206" customFormat="1" ht="37.5" customHeight="1">
      <c r="A308" s="69" t="s">
        <v>955</v>
      </c>
      <c r="B308" s="70">
        <v>87879</v>
      </c>
      <c r="C308" s="82" t="s">
        <v>625</v>
      </c>
      <c r="D308" s="52" t="s">
        <v>521</v>
      </c>
      <c r="E308" s="46">
        <f t="shared" si="34"/>
        <v>15.81</v>
      </c>
      <c r="F308" s="47">
        <f>CPU!I222</f>
        <v>2.95</v>
      </c>
      <c r="G308" s="46">
        <f t="shared" si="35"/>
        <v>3.68</v>
      </c>
      <c r="H308" s="48">
        <f t="shared" si="36"/>
        <v>58.18</v>
      </c>
      <c r="I308" s="18">
        <f>3.1*1.7*2+3.1*1.7/2*2</f>
        <v>15.809999999999999</v>
      </c>
      <c r="J308" s="173">
        <v>3.44</v>
      </c>
      <c r="K308" s="19"/>
      <c r="L308" s="19"/>
      <c r="M308" s="19"/>
      <c r="N308" s="195"/>
      <c r="O308" s="19"/>
      <c r="P308" s="104"/>
      <c r="Q308" s="106"/>
      <c r="R308" s="106"/>
    </row>
    <row r="309" spans="1:18" s="206" customFormat="1" ht="48" customHeight="1">
      <c r="A309" s="69" t="s">
        <v>956</v>
      </c>
      <c r="B309" s="44" t="s">
        <v>628</v>
      </c>
      <c r="C309" s="82" t="s">
        <v>629</v>
      </c>
      <c r="D309" s="52" t="s">
        <v>521</v>
      </c>
      <c r="E309" s="46">
        <f t="shared" si="34"/>
        <v>17.809999999999999</v>
      </c>
      <c r="F309" s="47">
        <f>CPU!I226</f>
        <v>25.080000000000002</v>
      </c>
      <c r="G309" s="46">
        <f t="shared" si="35"/>
        <v>31.35</v>
      </c>
      <c r="H309" s="48">
        <f t="shared" si="36"/>
        <v>558.34</v>
      </c>
      <c r="I309" s="18">
        <v>17.809999999999999</v>
      </c>
      <c r="J309" s="173">
        <v>29.67</v>
      </c>
      <c r="K309" s="19"/>
      <c r="L309" s="19"/>
      <c r="M309" s="19"/>
      <c r="N309" s="195"/>
      <c r="O309" s="19"/>
      <c r="P309" s="104"/>
      <c r="Q309" s="106"/>
      <c r="R309" s="106"/>
    </row>
    <row r="310" spans="1:18" s="206" customFormat="1" ht="28.5" customHeight="1">
      <c r="A310" s="69" t="s">
        <v>957</v>
      </c>
      <c r="B310" s="44" t="s">
        <v>666</v>
      </c>
      <c r="C310" s="51" t="s">
        <v>197</v>
      </c>
      <c r="D310" s="52" t="s">
        <v>521</v>
      </c>
      <c r="E310" s="46">
        <f t="shared" si="34"/>
        <v>17.809999999999999</v>
      </c>
      <c r="F310" s="47">
        <f>CPU!I307</f>
        <v>10.440000000000001</v>
      </c>
      <c r="G310" s="46">
        <f t="shared" si="35"/>
        <v>13.05</v>
      </c>
      <c r="H310" s="48">
        <f t="shared" si="36"/>
        <v>232.42</v>
      </c>
      <c r="I310" s="18">
        <v>17.809999999999999</v>
      </c>
      <c r="J310" s="173">
        <v>12.41</v>
      </c>
      <c r="K310" s="19"/>
      <c r="L310" s="19"/>
      <c r="M310" s="19"/>
      <c r="N310" s="195"/>
      <c r="O310" s="19"/>
      <c r="P310" s="104"/>
      <c r="Q310" s="106"/>
      <c r="R310" s="106"/>
    </row>
    <row r="311" spans="1:18" s="206" customFormat="1" ht="26.25" customHeight="1">
      <c r="A311" s="69" t="s">
        <v>958</v>
      </c>
      <c r="B311" s="44">
        <v>98563</v>
      </c>
      <c r="C311" s="51" t="s">
        <v>486</v>
      </c>
      <c r="D311" s="52" t="s">
        <v>521</v>
      </c>
      <c r="E311" s="46">
        <f t="shared" si="34"/>
        <v>5.4</v>
      </c>
      <c r="F311" s="47">
        <f>CPU!I949</f>
        <v>25.46</v>
      </c>
      <c r="G311" s="46">
        <f t="shared" si="35"/>
        <v>31.82</v>
      </c>
      <c r="H311" s="48">
        <f t="shared" si="36"/>
        <v>171.82</v>
      </c>
      <c r="I311" s="208">
        <v>5.4</v>
      </c>
      <c r="J311" s="173">
        <v>29.55</v>
      </c>
      <c r="K311" s="19"/>
      <c r="L311" s="19"/>
      <c r="M311" s="19"/>
      <c r="N311" s="195"/>
      <c r="O311" s="19"/>
      <c r="P311" s="104"/>
      <c r="Q311" s="106"/>
      <c r="R311" s="106"/>
    </row>
    <row r="312" spans="1:18" s="206" customFormat="1" ht="26.25" customHeight="1">
      <c r="A312" s="69" t="s">
        <v>959</v>
      </c>
      <c r="B312" s="44">
        <v>98564</v>
      </c>
      <c r="C312" s="51" t="s">
        <v>489</v>
      </c>
      <c r="D312" s="52" t="s">
        <v>521</v>
      </c>
      <c r="E312" s="46">
        <f t="shared" si="34"/>
        <v>10.41</v>
      </c>
      <c r="F312" s="47">
        <f>CPU!I954</f>
        <v>37.109999999999992</v>
      </c>
      <c r="G312" s="46">
        <f t="shared" si="35"/>
        <v>46.38</v>
      </c>
      <c r="H312" s="48">
        <f t="shared" si="36"/>
        <v>482.81</v>
      </c>
      <c r="I312" s="208">
        <v>10.41</v>
      </c>
      <c r="J312" s="173">
        <v>41.71</v>
      </c>
      <c r="K312" s="19"/>
      <c r="L312" s="19"/>
      <c r="M312" s="19"/>
      <c r="N312" s="195"/>
      <c r="O312" s="19"/>
      <c r="P312" s="104"/>
      <c r="Q312" s="106"/>
      <c r="R312" s="106"/>
    </row>
    <row r="313" spans="1:18" s="206" customFormat="1" ht="22.5" customHeight="1">
      <c r="A313" s="69" t="s">
        <v>960</v>
      </c>
      <c r="B313" s="44">
        <v>98553</v>
      </c>
      <c r="C313" s="51" t="s">
        <v>491</v>
      </c>
      <c r="D313" s="52" t="s">
        <v>521</v>
      </c>
      <c r="E313" s="46">
        <f t="shared" si="34"/>
        <v>17.809999999999999</v>
      </c>
      <c r="F313" s="47">
        <f>CPU!I959</f>
        <v>87.690000000000012</v>
      </c>
      <c r="G313" s="46">
        <f t="shared" si="35"/>
        <v>109.61</v>
      </c>
      <c r="H313" s="48">
        <f t="shared" si="36"/>
        <v>1952.15</v>
      </c>
      <c r="I313" s="208">
        <f>I309</f>
        <v>17.809999999999999</v>
      </c>
      <c r="J313" s="173">
        <v>101.06</v>
      </c>
      <c r="K313" s="19"/>
      <c r="L313" s="19"/>
      <c r="M313" s="19"/>
      <c r="N313" s="195"/>
      <c r="O313" s="19"/>
      <c r="P313" s="104"/>
      <c r="Q313" s="106"/>
      <c r="R313" s="106"/>
    </row>
    <row r="314" spans="1:18" s="206" customFormat="1" ht="39.75" customHeight="1" thickBot="1">
      <c r="A314" s="69" t="s">
        <v>961</v>
      </c>
      <c r="B314" s="44" t="s">
        <v>519</v>
      </c>
      <c r="C314" s="82" t="s">
        <v>962</v>
      </c>
      <c r="D314" s="190" t="s">
        <v>524</v>
      </c>
      <c r="E314" s="46">
        <f t="shared" si="34"/>
        <v>1</v>
      </c>
      <c r="F314" s="47">
        <f>composições!F194</f>
        <v>1825.29</v>
      </c>
      <c r="G314" s="46">
        <f t="shared" si="35"/>
        <v>2281.61</v>
      </c>
      <c r="H314" s="48">
        <f t="shared" si="36"/>
        <v>2281.61</v>
      </c>
      <c r="I314" s="208">
        <v>1</v>
      </c>
      <c r="J314" s="207">
        <v>1838.74</v>
      </c>
      <c r="K314" s="19"/>
      <c r="L314" s="19"/>
      <c r="M314" s="19"/>
      <c r="N314" s="195"/>
      <c r="O314" s="19"/>
      <c r="P314" s="104"/>
      <c r="Q314" s="106"/>
      <c r="R314" s="106"/>
    </row>
    <row r="315" spans="1:18" ht="14.4" thickBot="1">
      <c r="A315" s="58"/>
      <c r="B315" s="59"/>
      <c r="C315" s="33" t="s">
        <v>525</v>
      </c>
      <c r="D315" s="59"/>
      <c r="E315" s="59"/>
      <c r="F315" s="59"/>
      <c r="G315" s="59"/>
      <c r="H315" s="60">
        <f>SUM(H301:H314)</f>
        <v>15005.39</v>
      </c>
      <c r="J315" s="53"/>
      <c r="N315" s="183"/>
      <c r="R315" s="30"/>
    </row>
    <row r="316" spans="1:18" ht="6" customHeight="1" thickBot="1">
      <c r="A316" s="111"/>
      <c r="B316" s="112"/>
      <c r="C316" s="209"/>
      <c r="D316" s="67"/>
      <c r="E316" s="168"/>
      <c r="F316" s="168"/>
      <c r="G316" s="67"/>
      <c r="H316" s="93"/>
      <c r="J316" s="53"/>
      <c r="N316" s="183"/>
      <c r="R316" s="30"/>
    </row>
    <row r="317" spans="1:18" ht="14.4" thickBot="1">
      <c r="A317" s="58" t="s">
        <v>963</v>
      </c>
      <c r="B317" s="59"/>
      <c r="C317" s="33" t="s">
        <v>964</v>
      </c>
      <c r="D317" s="33"/>
      <c r="E317" s="59"/>
      <c r="F317" s="59"/>
      <c r="G317" s="33"/>
      <c r="H317" s="35"/>
      <c r="J317" s="53"/>
      <c r="N317" s="183"/>
      <c r="R317" s="30"/>
    </row>
    <row r="318" spans="1:18" s="178" customFormat="1" ht="27" customHeight="1" thickBot="1">
      <c r="A318" s="109" t="s">
        <v>965</v>
      </c>
      <c r="B318" s="75">
        <v>99803</v>
      </c>
      <c r="C318" s="94" t="s">
        <v>495</v>
      </c>
      <c r="D318" s="56" t="s">
        <v>521</v>
      </c>
      <c r="E318" s="56">
        <f>TRUNC(I318,2)</f>
        <v>189</v>
      </c>
      <c r="F318" s="140">
        <f>CPU!J964</f>
        <v>1.1599999999999999</v>
      </c>
      <c r="G318" s="46">
        <f t="shared" ref="G318" si="37">TRUNC(F318*J$7,2)</f>
        <v>1.45</v>
      </c>
      <c r="H318" s="210">
        <f>TRUNC(E318*G318,2)</f>
        <v>274.05</v>
      </c>
      <c r="I318" s="18">
        <v>189</v>
      </c>
      <c r="J318" s="53">
        <v>1.55</v>
      </c>
      <c r="K318" s="18"/>
      <c r="L318" s="18"/>
      <c r="M318" s="89"/>
      <c r="N318" s="89"/>
      <c r="O318" s="89"/>
      <c r="P318" s="90"/>
      <c r="Q318" s="89"/>
      <c r="R318" s="89"/>
    </row>
    <row r="319" spans="1:18" s="91" customFormat="1" thickBot="1">
      <c r="A319" s="58"/>
      <c r="B319" s="33"/>
      <c r="C319" s="33" t="s">
        <v>525</v>
      </c>
      <c r="D319" s="33"/>
      <c r="E319" s="33"/>
      <c r="F319" s="34"/>
      <c r="G319" s="33"/>
      <c r="H319" s="35">
        <f>SUM(H318:H318)</f>
        <v>274.05</v>
      </c>
      <c r="I319" s="87"/>
      <c r="J319" s="88"/>
      <c r="K319" s="87"/>
      <c r="L319" s="87"/>
      <c r="M319" s="89"/>
      <c r="N319" s="202"/>
      <c r="O319" s="89"/>
      <c r="P319" s="90"/>
      <c r="Q319" s="87"/>
      <c r="R319" s="87"/>
    </row>
    <row r="320" spans="1:18" ht="6" customHeight="1" thickBot="1">
      <c r="A320" s="111"/>
      <c r="B320" s="211"/>
      <c r="C320" s="203"/>
      <c r="D320" s="67"/>
      <c r="E320" s="66"/>
      <c r="F320" s="66"/>
      <c r="G320" s="67"/>
      <c r="H320" s="93"/>
      <c r="J320" s="53"/>
      <c r="N320" s="183"/>
      <c r="R320" s="30"/>
    </row>
    <row r="321" spans="1:18" s="91" customFormat="1" thickBot="1">
      <c r="A321" s="32"/>
      <c r="B321" s="33"/>
      <c r="C321" s="33" t="s">
        <v>966</v>
      </c>
      <c r="D321" s="33"/>
      <c r="E321" s="33"/>
      <c r="F321" s="34"/>
      <c r="G321" s="33"/>
      <c r="H321" s="35">
        <f>H319+H315+H297+H281+H219+H187+H121+H107+H101+H92+H84+H69+H61+H55+H47+H37+H32+H16</f>
        <v>421221.99</v>
      </c>
      <c r="I321" s="87"/>
      <c r="J321" s="88"/>
      <c r="K321" s="87"/>
      <c r="L321" s="87"/>
      <c r="M321" s="87"/>
      <c r="N321" s="212"/>
      <c r="O321" s="87"/>
      <c r="P321" s="213"/>
      <c r="Q321" s="87"/>
      <c r="R321" s="87"/>
    </row>
    <row r="322" spans="1:18">
      <c r="J322" s="53"/>
    </row>
    <row r="323" spans="1:18" ht="36.75" customHeight="1">
      <c r="A323" s="577" t="s">
        <v>1254</v>
      </c>
      <c r="B323" s="577"/>
      <c r="C323" s="577"/>
      <c r="D323" s="577"/>
      <c r="E323" s="577"/>
      <c r="F323" s="577"/>
      <c r="G323" s="577"/>
      <c r="H323" s="577"/>
      <c r="I323" s="214"/>
      <c r="J323" s="215"/>
      <c r="K323" s="214"/>
      <c r="L323" s="214"/>
    </row>
  </sheetData>
  <mergeCells count="10">
    <mergeCell ref="E8:H8"/>
    <mergeCell ref="E9:H9"/>
    <mergeCell ref="A323:H323"/>
    <mergeCell ref="A3:H3"/>
    <mergeCell ref="E4:H4"/>
    <mergeCell ref="A5:C5"/>
    <mergeCell ref="A6:C6"/>
    <mergeCell ref="E6:H6"/>
    <mergeCell ref="A7:C7"/>
    <mergeCell ref="E7:H7"/>
  </mergeCells>
  <pageMargins left="0.35000000000000003" right="0.17007874015748004" top="1.3153543307086608" bottom="1.025196850393701" header="1.0200787401574798" footer="0.7299212598425201"/>
  <pageSetup scale="23" fitToWidth="0" fitToHeight="0" pageOrder="overThenDown" orientation="portrait" horizontalDpi="203" verticalDpi="20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5"/>
  <sheetViews>
    <sheetView view="pageBreakPreview" topLeftCell="A19" zoomScaleNormal="100" zoomScaleSheetLayoutView="100" workbookViewId="0">
      <selection activeCell="J6" sqref="J6"/>
    </sheetView>
  </sheetViews>
  <sheetFormatPr defaultColWidth="10" defaultRowHeight="13.8"/>
  <cols>
    <col min="1" max="1" width="5.33203125" style="31" customWidth="1"/>
    <col min="2" max="2" width="20.6640625" style="31" customWidth="1"/>
    <col min="3" max="3" width="6.33203125" style="258" customWidth="1"/>
    <col min="4" max="4" width="8.88671875" style="30" customWidth="1"/>
    <col min="5" max="5" width="6.109375" style="31" customWidth="1"/>
    <col min="6" max="6" width="8.33203125" style="30" customWidth="1"/>
    <col min="7" max="7" width="5.6640625" style="218" customWidth="1"/>
    <col min="8" max="8" width="8.33203125" style="18" customWidth="1"/>
    <col min="9" max="9" width="7.33203125" style="18" customWidth="1"/>
    <col min="10" max="10" width="8.33203125" style="18" customWidth="1"/>
    <col min="11" max="11" width="5.44140625" style="18" customWidth="1"/>
    <col min="12" max="12" width="8.33203125" style="18" customWidth="1"/>
    <col min="13" max="13" width="5.5546875" style="218" customWidth="1"/>
    <col min="14" max="14" width="8.44140625" style="18" customWidth="1"/>
    <col min="15" max="15" width="6.109375" style="218" customWidth="1"/>
    <col min="16" max="16" width="8.6640625" style="18" customWidth="1"/>
    <col min="17" max="17" width="9.5546875" style="30" customWidth="1"/>
    <col min="18" max="18" width="9.33203125" style="31" customWidth="1"/>
    <col min="19" max="19" width="14.88671875" style="71" customWidth="1"/>
    <col min="20" max="20" width="9.44140625" style="217" customWidth="1"/>
    <col min="21" max="1028" width="9.33203125" style="31" customWidth="1"/>
    <col min="1029" max="1029" width="10" style="31" customWidth="1"/>
    <col min="1030" max="16384" width="10" style="31"/>
  </cols>
  <sheetData>
    <row r="1" spans="1:20" ht="7.5" customHeight="1">
      <c r="A1" s="26"/>
      <c r="B1" s="26"/>
      <c r="C1" s="26"/>
      <c r="D1" s="26"/>
      <c r="E1" s="26"/>
      <c r="F1" s="26"/>
      <c r="S1" s="216"/>
    </row>
    <row r="2" spans="1:20" ht="18.75" customHeight="1">
      <c r="A2" s="26"/>
      <c r="B2" s="26"/>
      <c r="C2" s="583" t="s">
        <v>967</v>
      </c>
      <c r="D2" s="583"/>
      <c r="E2" s="583"/>
      <c r="F2" s="583"/>
      <c r="G2" s="583"/>
      <c r="H2" s="583"/>
      <c r="I2" s="583"/>
      <c r="J2" s="583"/>
      <c r="K2" s="583"/>
      <c r="L2" s="583"/>
      <c r="M2" s="583"/>
      <c r="N2" s="583"/>
      <c r="O2" s="583"/>
      <c r="P2" s="583"/>
      <c r="S2" s="216"/>
    </row>
    <row r="3" spans="1:20" s="440" customFormat="1" ht="18.75" customHeight="1">
      <c r="A3" s="14" t="s">
        <v>1256</v>
      </c>
      <c r="B3" s="15"/>
      <c r="C3" s="16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441"/>
      <c r="Q3" s="30"/>
      <c r="S3" s="216"/>
      <c r="T3" s="217"/>
    </row>
    <row r="4" spans="1:20" s="440" customFormat="1" ht="18.75" customHeight="1">
      <c r="A4" s="14" t="s">
        <v>1255</v>
      </c>
      <c r="B4" s="15"/>
      <c r="C4" s="16"/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441"/>
      <c r="O4" s="441"/>
      <c r="P4" s="441"/>
      <c r="Q4" s="30"/>
      <c r="S4" s="216"/>
      <c r="T4" s="217"/>
    </row>
    <row r="5" spans="1:20" ht="15">
      <c r="A5" s="675" t="s">
        <v>968</v>
      </c>
      <c r="B5" s="678"/>
      <c r="C5" s="675"/>
      <c r="D5" s="675"/>
      <c r="E5" s="675"/>
      <c r="F5" s="675"/>
      <c r="G5" s="681"/>
      <c r="H5" s="675"/>
      <c r="I5" s="675"/>
      <c r="J5" s="675"/>
      <c r="K5" s="675"/>
      <c r="L5" s="675"/>
      <c r="M5" s="681"/>
      <c r="N5" s="675"/>
      <c r="O5" s="681"/>
      <c r="P5" s="675"/>
      <c r="Q5" s="677"/>
      <c r="S5" s="216"/>
    </row>
    <row r="6" spans="1:20" ht="15">
      <c r="A6" s="675" t="s">
        <v>969</v>
      </c>
      <c r="C6" s="676"/>
      <c r="D6" s="677"/>
      <c r="E6" s="678"/>
      <c r="F6" s="677"/>
      <c r="G6" s="679"/>
      <c r="H6" s="680"/>
      <c r="I6" s="680"/>
      <c r="J6" s="680"/>
      <c r="K6" s="680"/>
      <c r="L6" s="680"/>
      <c r="M6" s="679"/>
      <c r="N6" s="680" t="s">
        <v>970</v>
      </c>
      <c r="O6" s="679"/>
      <c r="P6" s="680"/>
      <c r="Q6" s="221"/>
      <c r="S6" s="216"/>
    </row>
    <row r="7" spans="1:20" ht="15">
      <c r="A7" s="219" t="s">
        <v>971</v>
      </c>
      <c r="C7" s="219"/>
      <c r="D7" s="219"/>
      <c r="E7" s="219"/>
      <c r="F7" s="219"/>
      <c r="G7" s="220"/>
      <c r="H7" s="219"/>
      <c r="I7" s="219"/>
      <c r="J7" s="219"/>
      <c r="K7" s="219"/>
      <c r="L7" s="219"/>
      <c r="M7" s="18"/>
      <c r="N7" s="18" t="s">
        <v>501</v>
      </c>
      <c r="O7" s="18"/>
      <c r="P7" s="219"/>
      <c r="Q7" s="221"/>
      <c r="S7" s="216"/>
    </row>
    <row r="8" spans="1:20" ht="9" customHeight="1" thickBot="1">
      <c r="A8" s="222"/>
      <c r="B8" s="163"/>
      <c r="C8" s="163"/>
      <c r="D8" s="163"/>
      <c r="E8" s="18"/>
      <c r="F8" s="163"/>
      <c r="Q8" s="221"/>
      <c r="S8" s="216"/>
    </row>
    <row r="9" spans="1:20" s="224" customFormat="1" thickBot="1">
      <c r="A9" s="584" t="s">
        <v>502</v>
      </c>
      <c r="B9" s="585" t="s">
        <v>972</v>
      </c>
      <c r="C9" s="223" t="s">
        <v>973</v>
      </c>
      <c r="D9" s="586" t="s">
        <v>974</v>
      </c>
      <c r="E9" s="587" t="s">
        <v>975</v>
      </c>
      <c r="F9" s="587"/>
      <c r="G9" s="587"/>
      <c r="H9" s="587"/>
      <c r="I9" s="587"/>
      <c r="J9" s="587"/>
      <c r="K9" s="587"/>
      <c r="L9" s="587"/>
      <c r="M9" s="587"/>
      <c r="N9" s="587"/>
      <c r="O9" s="587"/>
      <c r="P9" s="587"/>
      <c r="Q9" s="581" t="s">
        <v>976</v>
      </c>
      <c r="S9" s="38"/>
      <c r="T9" s="225"/>
    </row>
    <row r="10" spans="1:20" s="224" customFormat="1" thickBot="1">
      <c r="A10" s="584"/>
      <c r="B10" s="585"/>
      <c r="C10" s="226" t="s">
        <v>502</v>
      </c>
      <c r="D10" s="586"/>
      <c r="E10" s="227" t="s">
        <v>973</v>
      </c>
      <c r="F10" s="228" t="s">
        <v>977</v>
      </c>
      <c r="G10" s="229" t="s">
        <v>973</v>
      </c>
      <c r="H10" s="230" t="s">
        <v>978</v>
      </c>
      <c r="I10" s="231" t="s">
        <v>973</v>
      </c>
      <c r="J10" s="230" t="s">
        <v>979</v>
      </c>
      <c r="K10" s="231" t="s">
        <v>973</v>
      </c>
      <c r="L10" s="230" t="s">
        <v>980</v>
      </c>
      <c r="M10" s="231" t="s">
        <v>973</v>
      </c>
      <c r="N10" s="230" t="s">
        <v>981</v>
      </c>
      <c r="O10" s="231" t="s">
        <v>973</v>
      </c>
      <c r="P10" s="230" t="s">
        <v>982</v>
      </c>
      <c r="Q10" s="581"/>
      <c r="S10" s="38"/>
      <c r="T10" s="225"/>
    </row>
    <row r="11" spans="1:20" s="239" customFormat="1" ht="4.5" customHeight="1">
      <c r="A11" s="232"/>
      <c r="B11" s="233"/>
      <c r="C11" s="234"/>
      <c r="D11" s="235"/>
      <c r="E11" s="236"/>
      <c r="F11" s="237"/>
      <c r="G11" s="234"/>
      <c r="H11" s="237"/>
      <c r="I11" s="237"/>
      <c r="J11" s="237"/>
      <c r="K11" s="237"/>
      <c r="L11" s="237"/>
      <c r="M11" s="234"/>
      <c r="N11" s="237"/>
      <c r="O11" s="234"/>
      <c r="P11" s="237"/>
      <c r="Q11" s="238"/>
      <c r="S11" s="71"/>
      <c r="T11" s="234"/>
    </row>
    <row r="12" spans="1:20" s="239" customFormat="1" ht="13.2">
      <c r="A12" s="240" t="s">
        <v>509</v>
      </c>
      <c r="B12" s="241" t="str">
        <f>[1]orcam!C21</f>
        <v>SERVIÇOS PRELIMINARES</v>
      </c>
      <c r="C12" s="242">
        <f>D12/D49</f>
        <v>6.6664040972789648E-2</v>
      </c>
      <c r="D12" s="241">
        <f>orcam!H16</f>
        <v>28080.359999999997</v>
      </c>
      <c r="E12" s="243">
        <v>0.16</v>
      </c>
      <c r="F12" s="241">
        <f>E12*D12</f>
        <v>4492.8575999999994</v>
      </c>
      <c r="G12" s="243">
        <v>0.16</v>
      </c>
      <c r="H12" s="241">
        <f>G12*D12</f>
        <v>4492.8575999999994</v>
      </c>
      <c r="I12" s="243">
        <v>0.16</v>
      </c>
      <c r="J12" s="241">
        <f>I12*D12</f>
        <v>4492.8575999999994</v>
      </c>
      <c r="K12" s="243">
        <v>0.16</v>
      </c>
      <c r="L12" s="241">
        <f>K12*D12</f>
        <v>4492.8575999999994</v>
      </c>
      <c r="M12" s="243">
        <v>0.16</v>
      </c>
      <c r="N12" s="241">
        <f>M12*D12</f>
        <v>4492.8575999999994</v>
      </c>
      <c r="O12" s="242">
        <v>0.2</v>
      </c>
      <c r="P12" s="241">
        <f>O12*D12</f>
        <v>5616.0720000000001</v>
      </c>
      <c r="Q12" s="244">
        <f>F12+H12+J12+L12+N12+P12</f>
        <v>28080.359999999997</v>
      </c>
      <c r="S12" s="18"/>
      <c r="T12" s="234"/>
    </row>
    <row r="13" spans="1:20" s="239" customFormat="1" ht="6" customHeight="1">
      <c r="A13" s="240"/>
      <c r="B13" s="241"/>
      <c r="C13" s="242"/>
      <c r="D13" s="241"/>
      <c r="E13" s="245"/>
      <c r="F13" s="246"/>
      <c r="G13" s="245"/>
      <c r="H13" s="246"/>
      <c r="I13" s="246"/>
      <c r="J13" s="246"/>
      <c r="K13" s="245"/>
      <c r="L13" s="246"/>
      <c r="M13" s="246"/>
      <c r="N13" s="246"/>
      <c r="O13" s="247"/>
      <c r="P13" s="246"/>
      <c r="Q13" s="244"/>
      <c r="S13" s="18"/>
      <c r="T13" s="234"/>
    </row>
    <row r="14" spans="1:20" s="239" customFormat="1" ht="13.2">
      <c r="A14" s="248" t="s">
        <v>526</v>
      </c>
      <c r="B14" s="241" t="str">
        <f>[1]orcam!C28</f>
        <v>RETIRADAS E DEMOLIÇÕES</v>
      </c>
      <c r="C14" s="242">
        <f>D14/D49</f>
        <v>1.5691464730984248E-2</v>
      </c>
      <c r="D14" s="241">
        <f>orcam!H32</f>
        <v>6609.59</v>
      </c>
      <c r="E14" s="243">
        <v>1</v>
      </c>
      <c r="F14" s="249">
        <f>E14*D14</f>
        <v>6609.59</v>
      </c>
      <c r="G14" s="250">
        <v>0</v>
      </c>
      <c r="H14" s="249">
        <f>G14*D14</f>
        <v>0</v>
      </c>
      <c r="I14" s="250">
        <v>0</v>
      </c>
      <c r="J14" s="249">
        <f>I14*D14</f>
        <v>0</v>
      </c>
      <c r="K14" s="243">
        <v>0</v>
      </c>
      <c r="L14" s="241">
        <f>K14*D14</f>
        <v>0</v>
      </c>
      <c r="M14" s="243">
        <v>0</v>
      </c>
      <c r="N14" s="249">
        <f>M14*D14</f>
        <v>0</v>
      </c>
      <c r="O14" s="251">
        <v>0</v>
      </c>
      <c r="P14" s="249">
        <f>O14*D14</f>
        <v>0</v>
      </c>
      <c r="Q14" s="244">
        <f>F14+H14+J14+L14+N14+P14</f>
        <v>6609.59</v>
      </c>
      <c r="S14" s="18"/>
      <c r="T14" s="234"/>
    </row>
    <row r="15" spans="1:20" s="239" customFormat="1" ht="6" customHeight="1">
      <c r="A15" s="240"/>
      <c r="B15" s="241"/>
      <c r="C15" s="242"/>
      <c r="D15" s="241"/>
      <c r="E15" s="245"/>
      <c r="F15" s="246"/>
      <c r="G15" s="250"/>
      <c r="H15" s="249"/>
      <c r="I15" s="249"/>
      <c r="J15" s="249"/>
      <c r="K15" s="243"/>
      <c r="L15" s="241"/>
      <c r="M15" s="249"/>
      <c r="N15" s="249"/>
      <c r="O15" s="251"/>
      <c r="P15" s="249"/>
      <c r="Q15" s="244"/>
      <c r="S15" s="18"/>
      <c r="T15" s="234"/>
    </row>
    <row r="16" spans="1:20" s="239" customFormat="1" ht="13.2">
      <c r="A16" s="248" t="s">
        <v>550</v>
      </c>
      <c r="B16" s="241" t="str">
        <f>[1]orcam!C44</f>
        <v>MOVIMENTO DE TERRA</v>
      </c>
      <c r="C16" s="242">
        <f>D16/D49</f>
        <v>3.6268286942949007E-4</v>
      </c>
      <c r="D16" s="241">
        <f>orcam!H37</f>
        <v>152.76999999999998</v>
      </c>
      <c r="E16" s="243">
        <v>1</v>
      </c>
      <c r="F16" s="249">
        <f>E16*D16</f>
        <v>152.76999999999998</v>
      </c>
      <c r="G16" s="250">
        <v>0</v>
      </c>
      <c r="H16" s="249">
        <f>G16*D16</f>
        <v>0</v>
      </c>
      <c r="I16" s="250">
        <v>0</v>
      </c>
      <c r="J16" s="249">
        <f>I16*D16</f>
        <v>0</v>
      </c>
      <c r="K16" s="243">
        <v>0</v>
      </c>
      <c r="L16" s="241">
        <f>K16*D16</f>
        <v>0</v>
      </c>
      <c r="M16" s="243">
        <v>0</v>
      </c>
      <c r="N16" s="249">
        <f>M16*D16</f>
        <v>0</v>
      </c>
      <c r="O16" s="251">
        <v>0</v>
      </c>
      <c r="P16" s="249">
        <f>O16*D16</f>
        <v>0</v>
      </c>
      <c r="Q16" s="244">
        <f>F16+H16+J16+L16+N16+P16</f>
        <v>152.76999999999998</v>
      </c>
      <c r="S16" s="18"/>
      <c r="T16" s="234"/>
    </row>
    <row r="17" spans="1:21" s="239" customFormat="1" ht="6" customHeight="1">
      <c r="A17" s="240"/>
      <c r="B17" s="241"/>
      <c r="C17" s="242"/>
      <c r="D17" s="241"/>
      <c r="E17" s="245"/>
      <c r="F17" s="246"/>
      <c r="G17" s="250"/>
      <c r="H17" s="249"/>
      <c r="I17" s="249"/>
      <c r="J17" s="249"/>
      <c r="K17" s="243"/>
      <c r="L17" s="241"/>
      <c r="M17" s="249"/>
      <c r="N17" s="249"/>
      <c r="O17" s="251"/>
      <c r="P17" s="249"/>
      <c r="Q17" s="244"/>
      <c r="S17" s="18"/>
      <c r="T17" s="234"/>
    </row>
    <row r="18" spans="1:21" s="239" customFormat="1" ht="13.5" customHeight="1">
      <c r="A18" s="240" t="s">
        <v>555</v>
      </c>
      <c r="B18" s="241" t="str">
        <f>[1]orcam!C49</f>
        <v>FUNDAÇÕES</v>
      </c>
      <c r="C18" s="242">
        <f>D18/D49</f>
        <v>4.4709204284420195E-3</v>
      </c>
      <c r="D18" s="241">
        <f>orcam!H47</f>
        <v>1883.2500000000002</v>
      </c>
      <c r="E18" s="243">
        <v>0.4</v>
      </c>
      <c r="F18" s="249">
        <f>E18*D18</f>
        <v>753.30000000000018</v>
      </c>
      <c r="G18" s="250">
        <v>0.6</v>
      </c>
      <c r="H18" s="249">
        <f>G18*D18</f>
        <v>1129.95</v>
      </c>
      <c r="I18" s="250">
        <v>0</v>
      </c>
      <c r="J18" s="249">
        <f>I18*D18</f>
        <v>0</v>
      </c>
      <c r="K18" s="243">
        <v>0</v>
      </c>
      <c r="L18" s="241">
        <f>K18*D18</f>
        <v>0</v>
      </c>
      <c r="M18" s="243">
        <v>0</v>
      </c>
      <c r="N18" s="249">
        <f>M18*D18</f>
        <v>0</v>
      </c>
      <c r="O18" s="251">
        <v>0</v>
      </c>
      <c r="P18" s="249">
        <f>O18*D18</f>
        <v>0</v>
      </c>
      <c r="Q18" s="244">
        <f>F18+H18+J18+L18+N18+P18</f>
        <v>1883.2500000000002</v>
      </c>
      <c r="S18" s="18"/>
      <c r="T18" s="234"/>
    </row>
    <row r="19" spans="1:21" s="239" customFormat="1" ht="6" customHeight="1">
      <c r="A19" s="240"/>
      <c r="B19" s="241"/>
      <c r="C19" s="242"/>
      <c r="D19" s="241"/>
      <c r="E19" s="245"/>
      <c r="F19" s="246"/>
      <c r="G19" s="245"/>
      <c r="H19" s="246"/>
      <c r="I19" s="249"/>
      <c r="J19" s="249"/>
      <c r="K19" s="243"/>
      <c r="L19" s="241"/>
      <c r="M19" s="249"/>
      <c r="N19" s="249"/>
      <c r="O19" s="251"/>
      <c r="P19" s="249"/>
      <c r="Q19" s="244"/>
      <c r="S19" s="18"/>
      <c r="T19" s="234"/>
    </row>
    <row r="20" spans="1:21" s="239" customFormat="1" ht="13.2">
      <c r="A20" s="248" t="s">
        <v>571</v>
      </c>
      <c r="B20" s="241" t="str">
        <f>[1]orcam!C59</f>
        <v>ESTRUTURA</v>
      </c>
      <c r="C20" s="242">
        <f>D20/D49</f>
        <v>9.3403243263724192E-3</v>
      </c>
      <c r="D20" s="241">
        <f>orcam!H55</f>
        <v>3934.3500000000004</v>
      </c>
      <c r="E20" s="243">
        <v>0</v>
      </c>
      <c r="F20" s="249">
        <f>E20*D20</f>
        <v>0</v>
      </c>
      <c r="G20" s="250">
        <v>0.2</v>
      </c>
      <c r="H20" s="249">
        <f>G20*D20</f>
        <v>786.87000000000012</v>
      </c>
      <c r="I20" s="250">
        <v>0.4</v>
      </c>
      <c r="J20" s="249">
        <f>I20*D20</f>
        <v>1573.7400000000002</v>
      </c>
      <c r="K20" s="243">
        <v>0.4</v>
      </c>
      <c r="L20" s="241">
        <f>K20*D20</f>
        <v>1573.7400000000002</v>
      </c>
      <c r="M20" s="243">
        <v>0</v>
      </c>
      <c r="N20" s="249">
        <f>M20*D20</f>
        <v>0</v>
      </c>
      <c r="O20" s="251">
        <v>0</v>
      </c>
      <c r="P20" s="249">
        <f>O20*D20</f>
        <v>0</v>
      </c>
      <c r="Q20" s="244">
        <f>F20+H20+J20+L20+N20+P20</f>
        <v>3934.3500000000008</v>
      </c>
      <c r="S20" s="18"/>
      <c r="T20" s="234"/>
      <c r="U20" s="239">
        <f>100/6</f>
        <v>16.666666666666668</v>
      </c>
    </row>
    <row r="21" spans="1:21" s="239" customFormat="1" ht="6" customHeight="1">
      <c r="A21" s="240"/>
      <c r="B21" s="241"/>
      <c r="C21" s="242"/>
      <c r="D21" s="241"/>
      <c r="E21" s="243"/>
      <c r="F21" s="249"/>
      <c r="G21" s="250"/>
      <c r="H21" s="249"/>
      <c r="I21" s="249"/>
      <c r="J21" s="249"/>
      <c r="K21" s="243"/>
      <c r="L21" s="241"/>
      <c r="M21" s="250"/>
      <c r="N21" s="249"/>
      <c r="O21" s="251"/>
      <c r="P21" s="249"/>
      <c r="Q21" s="244"/>
      <c r="S21" s="18"/>
      <c r="T21" s="234"/>
    </row>
    <row r="22" spans="1:21" s="239" customFormat="1" ht="13.2">
      <c r="A22" s="248" t="s">
        <v>578</v>
      </c>
      <c r="B22" s="241" t="str">
        <f>[1]orcam!C67</f>
        <v>ALVENARIA</v>
      </c>
      <c r="C22" s="242">
        <f>D22/D49</f>
        <v>1.8505539086409045E-2</v>
      </c>
      <c r="D22" s="241">
        <f>orcam!H61</f>
        <v>7794.9400000000005</v>
      </c>
      <c r="E22" s="243">
        <v>0</v>
      </c>
      <c r="F22" s="249">
        <f>E22*D22</f>
        <v>0</v>
      </c>
      <c r="G22" s="250">
        <v>0.2</v>
      </c>
      <c r="H22" s="249">
        <f>G22*D22</f>
        <v>1558.9880000000003</v>
      </c>
      <c r="I22" s="250">
        <v>0.4</v>
      </c>
      <c r="J22" s="249">
        <f>I22*D22</f>
        <v>3117.9760000000006</v>
      </c>
      <c r="K22" s="243">
        <v>0.4</v>
      </c>
      <c r="L22" s="241">
        <f>K22*D22</f>
        <v>3117.9760000000006</v>
      </c>
      <c r="M22" s="243">
        <v>0</v>
      </c>
      <c r="N22" s="249">
        <f>M22*D22</f>
        <v>0</v>
      </c>
      <c r="O22" s="251">
        <v>0</v>
      </c>
      <c r="P22" s="249">
        <f>O22*D22</f>
        <v>0</v>
      </c>
      <c r="Q22" s="244">
        <f>F22+H22+J22+L22+N22+P22</f>
        <v>7794.9400000000014</v>
      </c>
      <c r="S22" s="18"/>
      <c r="T22" s="234"/>
    </row>
    <row r="23" spans="1:21" s="239" customFormat="1" ht="6" customHeight="1">
      <c r="A23" s="240"/>
      <c r="B23" s="241"/>
      <c r="C23" s="242"/>
      <c r="D23" s="241"/>
      <c r="E23" s="243"/>
      <c r="F23" s="249"/>
      <c r="G23" s="245"/>
      <c r="H23" s="246"/>
      <c r="I23" s="246"/>
      <c r="J23" s="246"/>
      <c r="K23" s="245"/>
      <c r="L23" s="241"/>
      <c r="M23" s="250"/>
      <c r="N23" s="249"/>
      <c r="O23" s="251"/>
      <c r="P23" s="249"/>
      <c r="Q23" s="244"/>
      <c r="S23" s="18"/>
      <c r="T23" s="234"/>
    </row>
    <row r="24" spans="1:21" s="239" customFormat="1" ht="13.2">
      <c r="A24" s="248" t="s">
        <v>587</v>
      </c>
      <c r="B24" s="241" t="str">
        <f>[1]orcam!C73</f>
        <v>COBERTURA</v>
      </c>
      <c r="C24" s="242">
        <f>D24/D49</f>
        <v>0.21399378983039322</v>
      </c>
      <c r="D24" s="241">
        <f>orcam!H69</f>
        <v>90138.89</v>
      </c>
      <c r="E24" s="243">
        <v>0</v>
      </c>
      <c r="F24" s="249">
        <f>E24*D24</f>
        <v>0</v>
      </c>
      <c r="G24" s="250">
        <v>0</v>
      </c>
      <c r="H24" s="249">
        <f>G24*D24</f>
        <v>0</v>
      </c>
      <c r="I24" s="250">
        <v>0.5</v>
      </c>
      <c r="J24" s="249">
        <f>I24*D24</f>
        <v>45069.445</v>
      </c>
      <c r="K24" s="243">
        <v>0.5</v>
      </c>
      <c r="L24" s="241">
        <f>K24*D24</f>
        <v>45069.445</v>
      </c>
      <c r="M24" s="243">
        <v>0</v>
      </c>
      <c r="N24" s="249">
        <f>M24*D24</f>
        <v>0</v>
      </c>
      <c r="O24" s="251">
        <v>0</v>
      </c>
      <c r="P24" s="249">
        <f>O24*D24</f>
        <v>0</v>
      </c>
      <c r="Q24" s="244">
        <f>F24+H24+J24+L24+N24+P24</f>
        <v>90138.89</v>
      </c>
      <c r="S24" s="18"/>
      <c r="T24" s="234"/>
    </row>
    <row r="25" spans="1:21" s="239" customFormat="1" ht="6" customHeight="1">
      <c r="A25" s="240"/>
      <c r="B25" s="241"/>
      <c r="C25" s="242"/>
      <c r="D25" s="241"/>
      <c r="E25" s="243"/>
      <c r="F25" s="249"/>
      <c r="G25" s="250"/>
      <c r="H25" s="249"/>
      <c r="I25" s="246"/>
      <c r="J25" s="246"/>
      <c r="K25" s="245"/>
      <c r="L25" s="241"/>
      <c r="M25" s="250"/>
      <c r="N25" s="249"/>
      <c r="O25" s="251"/>
      <c r="P25" s="249"/>
      <c r="Q25" s="244"/>
      <c r="S25" s="18"/>
      <c r="T25" s="234"/>
    </row>
    <row r="26" spans="1:21" s="239" customFormat="1" ht="13.2">
      <c r="A26" s="240" t="s">
        <v>598</v>
      </c>
      <c r="B26" s="241" t="str">
        <f>[1]orcam!C81</f>
        <v>ESQUDRIAS</v>
      </c>
      <c r="C26" s="242">
        <f>D26/D49</f>
        <v>0.10025920061770753</v>
      </c>
      <c r="D26" s="241">
        <f>orcam!H84</f>
        <v>42231.38</v>
      </c>
      <c r="E26" s="243">
        <v>0</v>
      </c>
      <c r="F26" s="249">
        <f>E26*D26</f>
        <v>0</v>
      </c>
      <c r="G26" s="250">
        <v>0</v>
      </c>
      <c r="H26" s="249">
        <f>G26*D26</f>
        <v>0</v>
      </c>
      <c r="I26" s="250">
        <v>0.2</v>
      </c>
      <c r="J26" s="249">
        <f>I26*D26</f>
        <v>8446.2759999999998</v>
      </c>
      <c r="K26" s="243">
        <v>0.4</v>
      </c>
      <c r="L26" s="241">
        <f>K26*D26</f>
        <v>16892.552</v>
      </c>
      <c r="M26" s="243">
        <v>0.4</v>
      </c>
      <c r="N26" s="249">
        <f>M26*D26</f>
        <v>16892.552</v>
      </c>
      <c r="O26" s="251">
        <v>0</v>
      </c>
      <c r="P26" s="249">
        <f>O26*D26</f>
        <v>0</v>
      </c>
      <c r="Q26" s="244">
        <f>F26+H26+J26+L26+N26+P26</f>
        <v>42231.380000000005</v>
      </c>
      <c r="S26" s="18"/>
      <c r="T26" s="234"/>
    </row>
    <row r="27" spans="1:21" s="239" customFormat="1" ht="6" customHeight="1">
      <c r="A27" s="240"/>
      <c r="B27" s="241"/>
      <c r="C27" s="242"/>
      <c r="D27" s="241"/>
      <c r="E27" s="243"/>
      <c r="F27" s="249"/>
      <c r="G27" s="250"/>
      <c r="H27" s="249"/>
      <c r="I27" s="252"/>
      <c r="J27" s="252"/>
      <c r="K27" s="253"/>
      <c r="L27" s="252"/>
      <c r="M27" s="253"/>
      <c r="N27" s="252"/>
      <c r="O27" s="251"/>
      <c r="P27" s="249"/>
      <c r="Q27" s="244"/>
      <c r="S27" s="18"/>
      <c r="T27" s="234"/>
    </row>
    <row r="28" spans="1:21" s="239" customFormat="1" ht="13.2">
      <c r="A28" s="248" t="s">
        <v>622</v>
      </c>
      <c r="B28" s="241" t="str">
        <f>[1]orcam!C96</f>
        <v>REVESTIMENTO</v>
      </c>
      <c r="C28" s="242">
        <f>D28/D49</f>
        <v>4.9863849700724307E-2</v>
      </c>
      <c r="D28" s="241">
        <f>orcam!H92</f>
        <v>21003.75</v>
      </c>
      <c r="E28" s="243">
        <v>0</v>
      </c>
      <c r="F28" s="249">
        <f>E28*D28</f>
        <v>0</v>
      </c>
      <c r="G28" s="250">
        <v>0</v>
      </c>
      <c r="H28" s="249">
        <f>G28*D28</f>
        <v>0</v>
      </c>
      <c r="I28" s="250">
        <v>0.1</v>
      </c>
      <c r="J28" s="249">
        <f>I28*D28</f>
        <v>2100.375</v>
      </c>
      <c r="K28" s="243">
        <v>0.2</v>
      </c>
      <c r="L28" s="241">
        <f>K28*D28</f>
        <v>4200.75</v>
      </c>
      <c r="M28" s="243">
        <v>0.7</v>
      </c>
      <c r="N28" s="249">
        <f>M28*D28</f>
        <v>14702.624999999998</v>
      </c>
      <c r="O28" s="251">
        <v>0</v>
      </c>
      <c r="P28" s="249">
        <f>O28*D28</f>
        <v>0</v>
      </c>
      <c r="Q28" s="244">
        <f>F28+H28+J28+L28+N28+P28</f>
        <v>21003.75</v>
      </c>
      <c r="S28" s="18"/>
      <c r="T28" s="234"/>
    </row>
    <row r="29" spans="1:21" s="239" customFormat="1" ht="6" customHeight="1">
      <c r="A29" s="248"/>
      <c r="B29" s="241"/>
      <c r="C29" s="242"/>
      <c r="D29" s="241"/>
      <c r="E29" s="243"/>
      <c r="F29" s="249"/>
      <c r="G29" s="250"/>
      <c r="H29" s="249"/>
      <c r="I29" s="246"/>
      <c r="J29" s="246"/>
      <c r="K29" s="245"/>
      <c r="L29" s="246"/>
      <c r="M29" s="245"/>
      <c r="N29" s="246"/>
      <c r="O29" s="251"/>
      <c r="P29" s="249"/>
      <c r="Q29" s="244"/>
      <c r="S29" s="18"/>
      <c r="T29" s="234"/>
    </row>
    <row r="30" spans="1:21" s="239" customFormat="1" ht="11.25" customHeight="1">
      <c r="A30" s="240" t="s">
        <v>635</v>
      </c>
      <c r="B30" s="241" t="str">
        <f>[1]orcam!C104</f>
        <v>PISOS E RODAPES</v>
      </c>
      <c r="C30" s="242">
        <f>D30/D49</f>
        <v>8.3833704883261181E-2</v>
      </c>
      <c r="D30" s="241">
        <f>orcam!H101</f>
        <v>35312.6</v>
      </c>
      <c r="E30" s="243">
        <v>0</v>
      </c>
      <c r="F30" s="249">
        <f>E30*D30</f>
        <v>0</v>
      </c>
      <c r="G30" s="250">
        <v>0</v>
      </c>
      <c r="H30" s="249">
        <f>G30*D30</f>
        <v>0</v>
      </c>
      <c r="I30" s="250">
        <v>0.1</v>
      </c>
      <c r="J30" s="249">
        <f>I30*D30</f>
        <v>3531.26</v>
      </c>
      <c r="K30" s="243">
        <v>0.1</v>
      </c>
      <c r="L30" s="241">
        <f>K30*D30</f>
        <v>3531.26</v>
      </c>
      <c r="M30" s="250">
        <v>0.5</v>
      </c>
      <c r="N30" s="249">
        <f>M30*D30</f>
        <v>17656.3</v>
      </c>
      <c r="O30" s="251">
        <v>0.3</v>
      </c>
      <c r="P30" s="249">
        <f>O30*D30</f>
        <v>10593.779999999999</v>
      </c>
      <c r="Q30" s="244">
        <f>F30+H30+J30+L30+N30+P30</f>
        <v>35312.6</v>
      </c>
      <c r="S30" s="18"/>
      <c r="T30" s="234"/>
    </row>
    <row r="31" spans="1:21" s="239" customFormat="1" ht="6" customHeight="1">
      <c r="A31" s="240"/>
      <c r="B31" s="241"/>
      <c r="C31" s="242"/>
      <c r="D31" s="241"/>
      <c r="E31" s="243"/>
      <c r="F31" s="249"/>
      <c r="G31" s="250"/>
      <c r="H31" s="249"/>
      <c r="I31" s="246"/>
      <c r="J31" s="246"/>
      <c r="K31" s="245"/>
      <c r="L31" s="246"/>
      <c r="M31" s="245"/>
      <c r="N31" s="246"/>
      <c r="O31" s="247"/>
      <c r="P31" s="249"/>
      <c r="Q31" s="244"/>
      <c r="S31" s="18"/>
      <c r="T31" s="234"/>
    </row>
    <row r="32" spans="1:21" s="239" customFormat="1" ht="13.2">
      <c r="A32" s="248" t="s">
        <v>649</v>
      </c>
      <c r="B32" s="241" t="str">
        <f>[1]orcam!C113</f>
        <v>VIDROS</v>
      </c>
      <c r="C32" s="242">
        <f>D32/D49</f>
        <v>2.1206442712072084E-2</v>
      </c>
      <c r="D32" s="241">
        <f>orcam!H107</f>
        <v>8932.6200000000008</v>
      </c>
      <c r="E32" s="243">
        <v>0</v>
      </c>
      <c r="F32" s="249">
        <f>E32*D32</f>
        <v>0</v>
      </c>
      <c r="G32" s="250">
        <v>0</v>
      </c>
      <c r="H32" s="249">
        <f>G32*D32</f>
        <v>0</v>
      </c>
      <c r="I32" s="250">
        <v>0</v>
      </c>
      <c r="J32" s="249">
        <f>I32*D32</f>
        <v>0</v>
      </c>
      <c r="K32" s="243">
        <v>0</v>
      </c>
      <c r="L32" s="241">
        <f>K32*D32</f>
        <v>0</v>
      </c>
      <c r="M32" s="250">
        <v>0.6</v>
      </c>
      <c r="N32" s="249">
        <f>M32*D32</f>
        <v>5359.5720000000001</v>
      </c>
      <c r="O32" s="251">
        <v>0.4</v>
      </c>
      <c r="P32" s="249">
        <f>O32*D32</f>
        <v>3573.0480000000007</v>
      </c>
      <c r="Q32" s="244">
        <f>F32+H32+J32+L32+N32+P32</f>
        <v>8932.6200000000008</v>
      </c>
      <c r="S32" s="18"/>
      <c r="T32" s="234"/>
    </row>
    <row r="33" spans="1:20" s="239" customFormat="1" ht="6" customHeight="1">
      <c r="A33" s="240"/>
      <c r="B33" s="241"/>
      <c r="C33" s="242"/>
      <c r="D33" s="241"/>
      <c r="E33" s="243"/>
      <c r="F33" s="249"/>
      <c r="G33" s="250"/>
      <c r="H33" s="249"/>
      <c r="I33" s="249"/>
      <c r="J33" s="249"/>
      <c r="K33" s="243"/>
      <c r="L33" s="241"/>
      <c r="M33" s="245"/>
      <c r="N33" s="246"/>
      <c r="O33" s="247"/>
      <c r="P33" s="246"/>
      <c r="Q33" s="244"/>
      <c r="S33" s="18"/>
      <c r="T33" s="234"/>
    </row>
    <row r="34" spans="1:20" s="239" customFormat="1" ht="13.5" customHeight="1">
      <c r="A34" s="240" t="s">
        <v>656</v>
      </c>
      <c r="B34" s="241" t="str">
        <f>[1]orcam!C119</f>
        <v>PINTURA</v>
      </c>
      <c r="C34" s="242">
        <f>D34/D49</f>
        <v>4.0737118211705892E-2</v>
      </c>
      <c r="D34" s="241">
        <f>orcam!H121</f>
        <v>17159.37</v>
      </c>
      <c r="E34" s="243">
        <v>0</v>
      </c>
      <c r="F34" s="249">
        <f>E34*D34</f>
        <v>0</v>
      </c>
      <c r="G34" s="250">
        <v>0</v>
      </c>
      <c r="H34" s="249">
        <f>G34*D34</f>
        <v>0</v>
      </c>
      <c r="I34" s="250">
        <v>0</v>
      </c>
      <c r="J34" s="249">
        <f>I34*D34</f>
        <v>0</v>
      </c>
      <c r="K34" s="243">
        <v>0.2</v>
      </c>
      <c r="L34" s="241">
        <f>K34*D34</f>
        <v>3431.8739999999998</v>
      </c>
      <c r="M34" s="243">
        <v>0.3</v>
      </c>
      <c r="N34" s="249">
        <f>M34*D34</f>
        <v>5147.8109999999997</v>
      </c>
      <c r="O34" s="251">
        <v>0.5</v>
      </c>
      <c r="P34" s="249">
        <f>O34*D34</f>
        <v>8579.6849999999995</v>
      </c>
      <c r="Q34" s="244">
        <f>F34+H34+J34+L34+N34+P34</f>
        <v>17159.37</v>
      </c>
      <c r="S34" s="18"/>
      <c r="T34" s="234"/>
    </row>
    <row r="35" spans="1:20" s="239" customFormat="1" ht="6" customHeight="1">
      <c r="A35" s="240"/>
      <c r="B35" s="241"/>
      <c r="C35" s="242"/>
      <c r="D35" s="241"/>
      <c r="E35" s="243"/>
      <c r="F35" s="249"/>
      <c r="G35" s="250"/>
      <c r="H35" s="249"/>
      <c r="I35" s="249"/>
      <c r="J35" s="249"/>
      <c r="K35" s="245"/>
      <c r="L35" s="246"/>
      <c r="M35" s="245"/>
      <c r="N35" s="246"/>
      <c r="O35" s="247"/>
      <c r="P35" s="246"/>
      <c r="Q35" s="244"/>
      <c r="S35" s="18"/>
      <c r="T35" s="234"/>
    </row>
    <row r="36" spans="1:20" s="239" customFormat="1" ht="13.2">
      <c r="A36" s="248" t="s">
        <v>678</v>
      </c>
      <c r="B36" s="241" t="str">
        <f>[1]orcam!C133</f>
        <v>INSTALAÇÕES ELÉTRICAS</v>
      </c>
      <c r="C36" s="242">
        <f>D36/D49</f>
        <v>0.11802182977199266</v>
      </c>
      <c r="D36" s="241">
        <f>orcam!H187</f>
        <v>49713.39</v>
      </c>
      <c r="E36" s="243">
        <v>0</v>
      </c>
      <c r="F36" s="249">
        <f>E36*D36</f>
        <v>0</v>
      </c>
      <c r="G36" s="250">
        <v>0.05</v>
      </c>
      <c r="H36" s="249">
        <f>G36*D36</f>
        <v>2485.6695</v>
      </c>
      <c r="I36" s="250">
        <v>0.1</v>
      </c>
      <c r="J36" s="249">
        <f>I36*D36</f>
        <v>4971.3389999999999</v>
      </c>
      <c r="K36" s="243">
        <v>0.3</v>
      </c>
      <c r="L36" s="241">
        <f>K36*D36</f>
        <v>14914.017</v>
      </c>
      <c r="M36" s="243">
        <v>0.3</v>
      </c>
      <c r="N36" s="249">
        <f>M36*D36</f>
        <v>14914.017</v>
      </c>
      <c r="O36" s="251">
        <v>0.25</v>
      </c>
      <c r="P36" s="249">
        <f>O36*D36</f>
        <v>12428.3475</v>
      </c>
      <c r="Q36" s="244">
        <f>F36+H36+J36+L36+N36+P36</f>
        <v>49713.39</v>
      </c>
      <c r="S36" s="18"/>
      <c r="T36" s="234"/>
    </row>
    <row r="37" spans="1:20" s="239" customFormat="1" ht="6" customHeight="1">
      <c r="A37" s="240"/>
      <c r="B37" s="241"/>
      <c r="C37" s="242"/>
      <c r="D37" s="241"/>
      <c r="E37" s="250"/>
      <c r="F37" s="249"/>
      <c r="G37" s="245"/>
      <c r="H37" s="246"/>
      <c r="I37" s="246"/>
      <c r="J37" s="246"/>
      <c r="K37" s="245"/>
      <c r="L37" s="246"/>
      <c r="M37" s="245"/>
      <c r="N37" s="246"/>
      <c r="O37" s="247"/>
      <c r="P37" s="246"/>
      <c r="Q37" s="244"/>
      <c r="S37" s="18"/>
      <c r="T37" s="234"/>
    </row>
    <row r="38" spans="1:20" s="239" customFormat="1" ht="19.8">
      <c r="A38" s="248" t="s">
        <v>779</v>
      </c>
      <c r="B38" s="254" t="str">
        <f>[1]orcam!C199</f>
        <v>INSTALAÇÃOES DE LÓGICA/TELEFONIA</v>
      </c>
      <c r="C38" s="242">
        <f>D38/D49</f>
        <v>2.7518886181607E-2</v>
      </c>
      <c r="D38" s="241">
        <f>orcam!H219</f>
        <v>11591.560000000003</v>
      </c>
      <c r="E38" s="243">
        <v>0</v>
      </c>
      <c r="F38" s="249">
        <f>E38*D38</f>
        <v>0</v>
      </c>
      <c r="G38" s="250">
        <v>0.05</v>
      </c>
      <c r="H38" s="249">
        <f>G38*D38</f>
        <v>579.5780000000002</v>
      </c>
      <c r="I38" s="250">
        <v>0.1</v>
      </c>
      <c r="J38" s="249">
        <f>I38*D38</f>
        <v>1159.1560000000004</v>
      </c>
      <c r="K38" s="243">
        <v>0.3</v>
      </c>
      <c r="L38" s="241">
        <f>K38*D38</f>
        <v>3477.4680000000008</v>
      </c>
      <c r="M38" s="250">
        <v>0.3</v>
      </c>
      <c r="N38" s="249">
        <f>M38*D38</f>
        <v>3477.4680000000008</v>
      </c>
      <c r="O38" s="251">
        <v>0.25</v>
      </c>
      <c r="P38" s="249">
        <f>O38*D38</f>
        <v>2897.8900000000008</v>
      </c>
      <c r="Q38" s="244">
        <f>F38+H38+J38+L38+N38+P38</f>
        <v>11591.560000000003</v>
      </c>
      <c r="S38" s="18"/>
      <c r="T38" s="234"/>
    </row>
    <row r="39" spans="1:20" s="239" customFormat="1" ht="6" customHeight="1">
      <c r="A39" s="240"/>
      <c r="B39" s="241"/>
      <c r="C39" s="242"/>
      <c r="D39" s="241"/>
      <c r="E39" s="243"/>
      <c r="F39" s="249"/>
      <c r="G39" s="245"/>
      <c r="H39" s="246"/>
      <c r="I39" s="246"/>
      <c r="J39" s="246"/>
      <c r="K39" s="245"/>
      <c r="L39" s="246"/>
      <c r="M39" s="245"/>
      <c r="N39" s="246"/>
      <c r="O39" s="247"/>
      <c r="P39" s="246"/>
      <c r="Q39" s="244"/>
      <c r="S39" s="18"/>
      <c r="T39" s="234"/>
    </row>
    <row r="40" spans="1:20" s="239" customFormat="1" ht="19.8">
      <c r="A40" s="248" t="s">
        <v>821</v>
      </c>
      <c r="B40" s="254" t="str">
        <f>[1]orcam!C231</f>
        <v>INSTALAÇÃO HIDRÁULICA E SANITÁRIA</v>
      </c>
      <c r="C40" s="242">
        <f>D40/D49</f>
        <v>7.5074760460630288E-2</v>
      </c>
      <c r="D40" s="241">
        <f>orcam!H281</f>
        <v>31623.14000000001</v>
      </c>
      <c r="E40" s="243">
        <v>0</v>
      </c>
      <c r="F40" s="249">
        <f>E40*D40</f>
        <v>0</v>
      </c>
      <c r="G40" s="250">
        <v>0</v>
      </c>
      <c r="H40" s="249">
        <f>G40*D40</f>
        <v>0</v>
      </c>
      <c r="I40" s="250">
        <v>0.15</v>
      </c>
      <c r="J40" s="249">
        <f>I40*D40</f>
        <v>4743.4710000000014</v>
      </c>
      <c r="K40" s="243">
        <v>0.15</v>
      </c>
      <c r="L40" s="241">
        <f>K40*D40</f>
        <v>4743.4710000000014</v>
      </c>
      <c r="M40" s="243">
        <v>0.4</v>
      </c>
      <c r="N40" s="249">
        <f>M40*D40</f>
        <v>12649.256000000005</v>
      </c>
      <c r="O40" s="251">
        <v>0.3</v>
      </c>
      <c r="P40" s="249">
        <f>O40*D40</f>
        <v>9486.9420000000027</v>
      </c>
      <c r="Q40" s="244">
        <f>F40+H40+J40+L40+N40+P40</f>
        <v>31623.14000000001</v>
      </c>
      <c r="S40" s="18"/>
      <c r="T40" s="234"/>
    </row>
    <row r="41" spans="1:20" s="239" customFormat="1" ht="6" customHeight="1">
      <c r="A41" s="240"/>
      <c r="B41" s="241"/>
      <c r="C41" s="242"/>
      <c r="D41" s="241"/>
      <c r="E41" s="243"/>
      <c r="F41" s="249"/>
      <c r="G41" s="245"/>
      <c r="H41" s="246"/>
      <c r="I41" s="246"/>
      <c r="J41" s="246"/>
      <c r="K41" s="245"/>
      <c r="L41" s="246"/>
      <c r="M41" s="245"/>
      <c r="N41" s="246"/>
      <c r="O41" s="247"/>
      <c r="P41" s="246"/>
      <c r="Q41" s="244"/>
      <c r="S41" s="18"/>
      <c r="T41" s="234"/>
    </row>
    <row r="42" spans="1:20" s="239" customFormat="1" ht="20.25" customHeight="1">
      <c r="A42" s="248" t="s">
        <v>924</v>
      </c>
      <c r="B42" s="254" t="str">
        <f>[1]orcam!C293</f>
        <v>IMPLANTAÇÃO/URBANIZAÇÃO</v>
      </c>
      <c r="C42" s="242">
        <f>D42/D49</f>
        <v>0.1181813656024938</v>
      </c>
      <c r="D42" s="241">
        <f>orcam!H297</f>
        <v>49780.59</v>
      </c>
      <c r="E42" s="243">
        <v>0</v>
      </c>
      <c r="F42" s="249">
        <f>E42*D42</f>
        <v>0</v>
      </c>
      <c r="G42" s="250">
        <v>0</v>
      </c>
      <c r="H42" s="249">
        <f>G42*D42</f>
        <v>0</v>
      </c>
      <c r="I42" s="250">
        <v>0</v>
      </c>
      <c r="J42" s="249">
        <f>I42*D42</f>
        <v>0</v>
      </c>
      <c r="K42" s="243">
        <v>0</v>
      </c>
      <c r="L42" s="241">
        <f>K42*D42</f>
        <v>0</v>
      </c>
      <c r="M42" s="243">
        <v>0.5</v>
      </c>
      <c r="N42" s="249">
        <f>M42*D42</f>
        <v>24890.294999999998</v>
      </c>
      <c r="O42" s="251">
        <v>0.5</v>
      </c>
      <c r="P42" s="249">
        <f>O42*D42</f>
        <v>24890.294999999998</v>
      </c>
      <c r="Q42" s="244">
        <f>F42+H42+J42+L42+N42+P42</f>
        <v>49780.59</v>
      </c>
      <c r="S42" s="18"/>
      <c r="T42" s="234"/>
    </row>
    <row r="43" spans="1:20" s="239" customFormat="1" ht="6" customHeight="1">
      <c r="A43" s="240"/>
      <c r="B43" s="241"/>
      <c r="C43" s="242"/>
      <c r="D43" s="241"/>
      <c r="E43" s="243"/>
      <c r="F43" s="249"/>
      <c r="G43" s="250"/>
      <c r="H43" s="249"/>
      <c r="I43" s="249"/>
      <c r="J43" s="249"/>
      <c r="K43" s="243"/>
      <c r="L43" s="249"/>
      <c r="M43" s="245"/>
      <c r="N43" s="246"/>
      <c r="O43" s="247"/>
      <c r="P43" s="246"/>
      <c r="Q43" s="244"/>
      <c r="S43" s="18"/>
      <c r="T43" s="234"/>
    </row>
    <row r="44" spans="1:20" s="239" customFormat="1" ht="13.2">
      <c r="A44" s="248" t="s">
        <v>944</v>
      </c>
      <c r="B44" s="241" t="str">
        <f>[1]orcam!C309</f>
        <v>SERVIÇOS COMPLEMENTARES</v>
      </c>
      <c r="C44" s="242">
        <f>D44/D49</f>
        <v>3.5623472554222532E-2</v>
      </c>
      <c r="D44" s="241">
        <f>orcam!H315</f>
        <v>15005.39</v>
      </c>
      <c r="E44" s="243">
        <v>0</v>
      </c>
      <c r="F44" s="249">
        <f>E44*D44</f>
        <v>0</v>
      </c>
      <c r="G44" s="250">
        <v>0</v>
      </c>
      <c r="H44" s="249">
        <f>G44*D44</f>
        <v>0</v>
      </c>
      <c r="I44" s="250">
        <v>0</v>
      </c>
      <c r="J44" s="249">
        <f>I44*D44</f>
        <v>0</v>
      </c>
      <c r="K44" s="243">
        <v>0</v>
      </c>
      <c r="L44" s="241">
        <f>K44*D44</f>
        <v>0</v>
      </c>
      <c r="M44" s="243">
        <v>0.5</v>
      </c>
      <c r="N44" s="249">
        <f>M44*D44</f>
        <v>7502.6949999999997</v>
      </c>
      <c r="O44" s="251">
        <v>0.5</v>
      </c>
      <c r="P44" s="249">
        <f>O44*D44</f>
        <v>7502.6949999999997</v>
      </c>
      <c r="Q44" s="244">
        <f>F44+H44+J44+L44+N44+P44</f>
        <v>15005.39</v>
      </c>
      <c r="S44" s="18"/>
      <c r="T44" s="234"/>
    </row>
    <row r="45" spans="1:20" s="239" customFormat="1" ht="6" customHeight="1">
      <c r="A45" s="240"/>
      <c r="B45" s="241"/>
      <c r="C45" s="242"/>
      <c r="D45" s="241"/>
      <c r="E45" s="243"/>
      <c r="F45" s="249"/>
      <c r="G45" s="250"/>
      <c r="H45" s="249"/>
      <c r="I45" s="249"/>
      <c r="J45" s="249"/>
      <c r="K45" s="243"/>
      <c r="L45" s="241"/>
      <c r="M45" s="245"/>
      <c r="N45" s="246"/>
      <c r="O45" s="247"/>
      <c r="P45" s="246"/>
      <c r="Q45" s="244"/>
      <c r="S45" s="18"/>
      <c r="T45" s="234"/>
    </row>
    <row r="46" spans="1:20" s="239" customFormat="1" ht="13.2">
      <c r="A46" s="248" t="s">
        <v>963</v>
      </c>
      <c r="B46" s="241" t="str">
        <f>[1]orcam!C327</f>
        <v>LIMPEZA FINAL DA OBRA</v>
      </c>
      <c r="C46" s="242">
        <f>D46/D49</f>
        <v>6.5060705876253042E-4</v>
      </c>
      <c r="D46" s="241">
        <f>orcam!H319</f>
        <v>274.05</v>
      </c>
      <c r="E46" s="243">
        <v>0</v>
      </c>
      <c r="F46" s="249">
        <f>E46*D46</f>
        <v>0</v>
      </c>
      <c r="G46" s="250">
        <v>0</v>
      </c>
      <c r="H46" s="249">
        <f>G46*D46</f>
        <v>0</v>
      </c>
      <c r="I46" s="250">
        <v>0</v>
      </c>
      <c r="J46" s="249">
        <f>I46*D46</f>
        <v>0</v>
      </c>
      <c r="K46" s="243">
        <v>0</v>
      </c>
      <c r="L46" s="241">
        <f>K46*D46</f>
        <v>0</v>
      </c>
      <c r="M46" s="250">
        <v>0</v>
      </c>
      <c r="N46" s="249">
        <f>M46*D46</f>
        <v>0</v>
      </c>
      <c r="O46" s="251">
        <v>1</v>
      </c>
      <c r="P46" s="249">
        <f>O46*D46</f>
        <v>274.05</v>
      </c>
      <c r="Q46" s="244">
        <f>F46+H46+J46+L46+N46+P46</f>
        <v>274.05</v>
      </c>
      <c r="S46" s="18"/>
      <c r="T46" s="234"/>
    </row>
    <row r="47" spans="1:20" s="239" customFormat="1" ht="6" customHeight="1">
      <c r="A47" s="240"/>
      <c r="B47" s="241"/>
      <c r="C47" s="242"/>
      <c r="D47" s="241"/>
      <c r="E47" s="243"/>
      <c r="F47" s="249"/>
      <c r="G47" s="250"/>
      <c r="H47" s="249"/>
      <c r="I47" s="249"/>
      <c r="J47" s="249"/>
      <c r="K47" s="249"/>
      <c r="L47" s="249"/>
      <c r="M47" s="250"/>
      <c r="N47" s="249"/>
      <c r="O47" s="251"/>
      <c r="P47" s="249"/>
      <c r="Q47" s="244"/>
      <c r="S47" s="18"/>
      <c r="T47" s="234"/>
    </row>
    <row r="48" spans="1:20" s="239" customFormat="1" ht="6" customHeight="1">
      <c r="A48" s="240"/>
      <c r="B48" s="241"/>
      <c r="C48" s="242"/>
      <c r="D48" s="241"/>
      <c r="E48" s="243"/>
      <c r="F48" s="241"/>
      <c r="G48" s="242"/>
      <c r="H48" s="241"/>
      <c r="I48" s="241"/>
      <c r="J48" s="241"/>
      <c r="K48" s="241"/>
      <c r="L48" s="241"/>
      <c r="M48" s="242"/>
      <c r="N48" s="241"/>
      <c r="O48" s="242"/>
      <c r="P48" s="241"/>
      <c r="Q48" s="244"/>
      <c r="S48" s="18"/>
      <c r="T48" s="234"/>
    </row>
    <row r="49" spans="1:20" s="239" customFormat="1" thickBot="1">
      <c r="A49" s="582" t="s">
        <v>983</v>
      </c>
      <c r="B49" s="582"/>
      <c r="C49" s="255">
        <f>SUM(C12:C48)</f>
        <v>1</v>
      </c>
      <c r="D49" s="256">
        <f>SUM(D12:D48)</f>
        <v>421221.99000000005</v>
      </c>
      <c r="E49" s="255">
        <f>F49/D49</f>
        <v>2.850876232743689E-2</v>
      </c>
      <c r="F49" s="256">
        <f>SUM(F12:F48)</f>
        <v>12008.517599999999</v>
      </c>
      <c r="G49" s="255">
        <f>H49/D49</f>
        <v>2.6195007292947832E-2</v>
      </c>
      <c r="H49" s="256">
        <f>SUM(H12:H48)</f>
        <v>11033.9131</v>
      </c>
      <c r="I49" s="255">
        <f>J49/D49</f>
        <v>0.18803836808235005</v>
      </c>
      <c r="J49" s="256">
        <f>SUM(J12:J48)</f>
        <v>79205.895599999989</v>
      </c>
      <c r="K49" s="255">
        <f>L49/D49</f>
        <v>0.25033216000902514</v>
      </c>
      <c r="L49" s="256">
        <f>SUM(L12:L48)</f>
        <v>105445.41059999999</v>
      </c>
      <c r="M49" s="255">
        <f>N49/D49</f>
        <v>0.30313101317431218</v>
      </c>
      <c r="N49" s="256">
        <f>SUM(N12:N48)</f>
        <v>127685.4486</v>
      </c>
      <c r="O49" s="255">
        <f>P49/D49</f>
        <v>0.20379468911392778</v>
      </c>
      <c r="P49" s="256">
        <f>SUM(P12:P48)</f>
        <v>85842.804500000013</v>
      </c>
      <c r="Q49" s="257">
        <f>SUM(Q12:Q46)</f>
        <v>421221.99000000005</v>
      </c>
      <c r="S49" s="18"/>
      <c r="T49" s="234"/>
    </row>
    <row r="50" spans="1:20" s="30" customFormat="1">
      <c r="G50" s="18"/>
      <c r="H50" s="18"/>
      <c r="I50" s="18"/>
      <c r="J50" s="18"/>
      <c r="K50" s="18"/>
      <c r="L50" s="18"/>
      <c r="M50" s="18"/>
      <c r="N50" s="18"/>
      <c r="O50" s="218"/>
      <c r="P50" s="18"/>
      <c r="S50" s="18"/>
      <c r="T50" s="217"/>
    </row>
    <row r="51" spans="1:20" s="30" customFormat="1">
      <c r="G51" s="18"/>
      <c r="H51" s="18"/>
      <c r="I51" s="18"/>
      <c r="J51" s="18"/>
      <c r="K51" s="18"/>
      <c r="L51" s="18"/>
      <c r="M51" s="18"/>
      <c r="N51" s="18"/>
      <c r="O51" s="218"/>
      <c r="P51" s="18"/>
      <c r="S51" s="18"/>
      <c r="T51" s="217"/>
    </row>
    <row r="52" spans="1:20" s="30" customFormat="1">
      <c r="G52" s="18"/>
      <c r="H52" s="18"/>
      <c r="I52" s="18"/>
      <c r="J52" s="18"/>
      <c r="K52" s="18"/>
      <c r="L52" s="18"/>
      <c r="M52" s="18"/>
      <c r="N52" s="18"/>
      <c r="O52" s="218"/>
      <c r="P52" s="18"/>
      <c r="S52" s="18"/>
      <c r="T52" s="217"/>
    </row>
    <row r="53" spans="1:20" s="30" customFormat="1">
      <c r="G53" s="18"/>
      <c r="H53" s="18"/>
      <c r="I53" s="18"/>
      <c r="J53" s="18"/>
      <c r="K53" s="18"/>
      <c r="L53" s="18"/>
      <c r="M53" s="18"/>
      <c r="N53" s="18"/>
      <c r="O53" s="218"/>
      <c r="P53" s="18"/>
      <c r="S53" s="18"/>
      <c r="T53" s="217"/>
    </row>
    <row r="54" spans="1:20" s="30" customFormat="1">
      <c r="G54" s="18"/>
      <c r="H54" s="18"/>
      <c r="I54" s="18"/>
      <c r="J54" s="18"/>
      <c r="K54" s="18"/>
      <c r="L54" s="18"/>
      <c r="M54" s="18"/>
      <c r="N54" s="18"/>
      <c r="O54" s="218"/>
      <c r="P54" s="18"/>
      <c r="S54" s="18"/>
      <c r="T54" s="217"/>
    </row>
    <row r="55" spans="1:20" s="30" customFormat="1">
      <c r="G55" s="18"/>
      <c r="H55" s="18"/>
      <c r="I55" s="18"/>
      <c r="J55" s="18"/>
      <c r="K55" s="18"/>
      <c r="L55" s="18"/>
      <c r="M55" s="18"/>
      <c r="N55" s="18"/>
      <c r="O55" s="218"/>
      <c r="P55" s="18"/>
      <c r="S55" s="18"/>
      <c r="T55" s="217"/>
    </row>
  </sheetData>
  <mergeCells count="7">
    <mergeCell ref="Q9:Q10"/>
    <mergeCell ref="A49:B49"/>
    <mergeCell ref="C2:P2"/>
    <mergeCell ref="A9:A10"/>
    <mergeCell ref="B9:B10"/>
    <mergeCell ref="D9:D10"/>
    <mergeCell ref="E9:P9"/>
  </mergeCells>
  <pageMargins left="0.55984251968503906" right="0.27992125984252003" top="0.57519685039370105" bottom="0.50511811023622" header="0.27992125984252003" footer="0.209842519685039"/>
  <pageSetup scale="94" fitToWidth="0" fitToHeight="0" pageOrder="overThenDown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5A3EA-EA01-41E1-A9C5-B3102657F101}">
  <dimension ref="A1:I38"/>
  <sheetViews>
    <sheetView view="pageBreakPreview" zoomScale="90" zoomScaleNormal="100" zoomScaleSheetLayoutView="90" workbookViewId="0">
      <selection activeCell="M15" sqref="M15"/>
    </sheetView>
  </sheetViews>
  <sheetFormatPr defaultRowHeight="13.2"/>
  <cols>
    <col min="1" max="1" width="10.44140625" style="443" customWidth="1"/>
    <col min="2" max="2" width="28.44140625" style="443" customWidth="1"/>
    <col min="3" max="4" width="8" style="443" customWidth="1"/>
    <col min="5" max="5" width="15.6640625" style="443" customWidth="1"/>
    <col min="6" max="6" width="8" style="443" customWidth="1"/>
    <col min="7" max="8" width="15.5546875" style="443" customWidth="1"/>
    <col min="9" max="9" width="24.109375" style="443" bestFit="1" customWidth="1"/>
    <col min="10" max="256" width="8.88671875" style="443"/>
    <col min="257" max="257" width="10.44140625" style="443" customWidth="1"/>
    <col min="258" max="258" width="28.44140625" style="443" customWidth="1"/>
    <col min="259" max="260" width="8" style="443" customWidth="1"/>
    <col min="261" max="261" width="15.6640625" style="443" customWidth="1"/>
    <col min="262" max="262" width="8" style="443" customWidth="1"/>
    <col min="263" max="264" width="15.5546875" style="443" customWidth="1"/>
    <col min="265" max="265" width="24.109375" style="443" bestFit="1" customWidth="1"/>
    <col min="266" max="512" width="8.88671875" style="443"/>
    <col min="513" max="513" width="10.44140625" style="443" customWidth="1"/>
    <col min="514" max="514" width="28.44140625" style="443" customWidth="1"/>
    <col min="515" max="516" width="8" style="443" customWidth="1"/>
    <col min="517" max="517" width="15.6640625" style="443" customWidth="1"/>
    <col min="518" max="518" width="8" style="443" customWidth="1"/>
    <col min="519" max="520" width="15.5546875" style="443" customWidth="1"/>
    <col min="521" max="521" width="24.109375" style="443" bestFit="1" customWidth="1"/>
    <col min="522" max="768" width="8.88671875" style="443"/>
    <col min="769" max="769" width="10.44140625" style="443" customWidth="1"/>
    <col min="770" max="770" width="28.44140625" style="443" customWidth="1"/>
    <col min="771" max="772" width="8" style="443" customWidth="1"/>
    <col min="773" max="773" width="15.6640625" style="443" customWidth="1"/>
    <col min="774" max="774" width="8" style="443" customWidth="1"/>
    <col min="775" max="776" width="15.5546875" style="443" customWidth="1"/>
    <col min="777" max="777" width="24.109375" style="443" bestFit="1" customWidth="1"/>
    <col min="778" max="1024" width="8.88671875" style="443"/>
    <col min="1025" max="1025" width="10.44140625" style="443" customWidth="1"/>
    <col min="1026" max="1026" width="28.44140625" style="443" customWidth="1"/>
    <col min="1027" max="1028" width="8" style="443" customWidth="1"/>
    <col min="1029" max="1029" width="15.6640625" style="443" customWidth="1"/>
    <col min="1030" max="1030" width="8" style="443" customWidth="1"/>
    <col min="1031" max="1032" width="15.5546875" style="443" customWidth="1"/>
    <col min="1033" max="1033" width="24.109375" style="443" bestFit="1" customWidth="1"/>
    <col min="1034" max="1280" width="8.88671875" style="443"/>
    <col min="1281" max="1281" width="10.44140625" style="443" customWidth="1"/>
    <col min="1282" max="1282" width="28.44140625" style="443" customWidth="1"/>
    <col min="1283" max="1284" width="8" style="443" customWidth="1"/>
    <col min="1285" max="1285" width="15.6640625" style="443" customWidth="1"/>
    <col min="1286" max="1286" width="8" style="443" customWidth="1"/>
    <col min="1287" max="1288" width="15.5546875" style="443" customWidth="1"/>
    <col min="1289" max="1289" width="24.109375" style="443" bestFit="1" customWidth="1"/>
    <col min="1290" max="1536" width="8.88671875" style="443"/>
    <col min="1537" max="1537" width="10.44140625" style="443" customWidth="1"/>
    <col min="1538" max="1538" width="28.44140625" style="443" customWidth="1"/>
    <col min="1539" max="1540" width="8" style="443" customWidth="1"/>
    <col min="1541" max="1541" width="15.6640625" style="443" customWidth="1"/>
    <col min="1542" max="1542" width="8" style="443" customWidth="1"/>
    <col min="1543" max="1544" width="15.5546875" style="443" customWidth="1"/>
    <col min="1545" max="1545" width="24.109375" style="443" bestFit="1" customWidth="1"/>
    <col min="1546" max="1792" width="8.88671875" style="443"/>
    <col min="1793" max="1793" width="10.44140625" style="443" customWidth="1"/>
    <col min="1794" max="1794" width="28.44140625" style="443" customWidth="1"/>
    <col min="1795" max="1796" width="8" style="443" customWidth="1"/>
    <col min="1797" max="1797" width="15.6640625" style="443" customWidth="1"/>
    <col min="1798" max="1798" width="8" style="443" customWidth="1"/>
    <col min="1799" max="1800" width="15.5546875" style="443" customWidth="1"/>
    <col min="1801" max="1801" width="24.109375" style="443" bestFit="1" customWidth="1"/>
    <col min="1802" max="2048" width="8.88671875" style="443"/>
    <col min="2049" max="2049" width="10.44140625" style="443" customWidth="1"/>
    <col min="2050" max="2050" width="28.44140625" style="443" customWidth="1"/>
    <col min="2051" max="2052" width="8" style="443" customWidth="1"/>
    <col min="2053" max="2053" width="15.6640625" style="443" customWidth="1"/>
    <col min="2054" max="2054" width="8" style="443" customWidth="1"/>
    <col min="2055" max="2056" width="15.5546875" style="443" customWidth="1"/>
    <col min="2057" max="2057" width="24.109375" style="443" bestFit="1" customWidth="1"/>
    <col min="2058" max="2304" width="8.88671875" style="443"/>
    <col min="2305" max="2305" width="10.44140625" style="443" customWidth="1"/>
    <col min="2306" max="2306" width="28.44140625" style="443" customWidth="1"/>
    <col min="2307" max="2308" width="8" style="443" customWidth="1"/>
    <col min="2309" max="2309" width="15.6640625" style="443" customWidth="1"/>
    <col min="2310" max="2310" width="8" style="443" customWidth="1"/>
    <col min="2311" max="2312" width="15.5546875" style="443" customWidth="1"/>
    <col min="2313" max="2313" width="24.109375" style="443" bestFit="1" customWidth="1"/>
    <col min="2314" max="2560" width="8.88671875" style="443"/>
    <col min="2561" max="2561" width="10.44140625" style="443" customWidth="1"/>
    <col min="2562" max="2562" width="28.44140625" style="443" customWidth="1"/>
    <col min="2563" max="2564" width="8" style="443" customWidth="1"/>
    <col min="2565" max="2565" width="15.6640625" style="443" customWidth="1"/>
    <col min="2566" max="2566" width="8" style="443" customWidth="1"/>
    <col min="2567" max="2568" width="15.5546875" style="443" customWidth="1"/>
    <col min="2569" max="2569" width="24.109375" style="443" bestFit="1" customWidth="1"/>
    <col min="2570" max="2816" width="8.88671875" style="443"/>
    <col min="2817" max="2817" width="10.44140625" style="443" customWidth="1"/>
    <col min="2818" max="2818" width="28.44140625" style="443" customWidth="1"/>
    <col min="2819" max="2820" width="8" style="443" customWidth="1"/>
    <col min="2821" max="2821" width="15.6640625" style="443" customWidth="1"/>
    <col min="2822" max="2822" width="8" style="443" customWidth="1"/>
    <col min="2823" max="2824" width="15.5546875" style="443" customWidth="1"/>
    <col min="2825" max="2825" width="24.109375" style="443" bestFit="1" customWidth="1"/>
    <col min="2826" max="3072" width="8.88671875" style="443"/>
    <col min="3073" max="3073" width="10.44140625" style="443" customWidth="1"/>
    <col min="3074" max="3074" width="28.44140625" style="443" customWidth="1"/>
    <col min="3075" max="3076" width="8" style="443" customWidth="1"/>
    <col min="3077" max="3077" width="15.6640625" style="443" customWidth="1"/>
    <col min="3078" max="3078" width="8" style="443" customWidth="1"/>
    <col min="3079" max="3080" width="15.5546875" style="443" customWidth="1"/>
    <col min="3081" max="3081" width="24.109375" style="443" bestFit="1" customWidth="1"/>
    <col min="3082" max="3328" width="8.88671875" style="443"/>
    <col min="3329" max="3329" width="10.44140625" style="443" customWidth="1"/>
    <col min="3330" max="3330" width="28.44140625" style="443" customWidth="1"/>
    <col min="3331" max="3332" width="8" style="443" customWidth="1"/>
    <col min="3333" max="3333" width="15.6640625" style="443" customWidth="1"/>
    <col min="3334" max="3334" width="8" style="443" customWidth="1"/>
    <col min="3335" max="3336" width="15.5546875" style="443" customWidth="1"/>
    <col min="3337" max="3337" width="24.109375" style="443" bestFit="1" customWidth="1"/>
    <col min="3338" max="3584" width="8.88671875" style="443"/>
    <col min="3585" max="3585" width="10.44140625" style="443" customWidth="1"/>
    <col min="3586" max="3586" width="28.44140625" style="443" customWidth="1"/>
    <col min="3587" max="3588" width="8" style="443" customWidth="1"/>
    <col min="3589" max="3589" width="15.6640625" style="443" customWidth="1"/>
    <col min="3590" max="3590" width="8" style="443" customWidth="1"/>
    <col min="3591" max="3592" width="15.5546875" style="443" customWidth="1"/>
    <col min="3593" max="3593" width="24.109375" style="443" bestFit="1" customWidth="1"/>
    <col min="3594" max="3840" width="8.88671875" style="443"/>
    <col min="3841" max="3841" width="10.44140625" style="443" customWidth="1"/>
    <col min="3842" max="3842" width="28.44140625" style="443" customWidth="1"/>
    <col min="3843" max="3844" width="8" style="443" customWidth="1"/>
    <col min="3845" max="3845" width="15.6640625" style="443" customWidth="1"/>
    <col min="3846" max="3846" width="8" style="443" customWidth="1"/>
    <col min="3847" max="3848" width="15.5546875" style="443" customWidth="1"/>
    <col min="3849" max="3849" width="24.109375" style="443" bestFit="1" customWidth="1"/>
    <col min="3850" max="4096" width="8.88671875" style="443"/>
    <col min="4097" max="4097" width="10.44140625" style="443" customWidth="1"/>
    <col min="4098" max="4098" width="28.44140625" style="443" customWidth="1"/>
    <col min="4099" max="4100" width="8" style="443" customWidth="1"/>
    <col min="4101" max="4101" width="15.6640625" style="443" customWidth="1"/>
    <col min="4102" max="4102" width="8" style="443" customWidth="1"/>
    <col min="4103" max="4104" width="15.5546875" style="443" customWidth="1"/>
    <col min="4105" max="4105" width="24.109375" style="443" bestFit="1" customWidth="1"/>
    <col min="4106" max="4352" width="8.88671875" style="443"/>
    <col min="4353" max="4353" width="10.44140625" style="443" customWidth="1"/>
    <col min="4354" max="4354" width="28.44140625" style="443" customWidth="1"/>
    <col min="4355" max="4356" width="8" style="443" customWidth="1"/>
    <col min="4357" max="4357" width="15.6640625" style="443" customWidth="1"/>
    <col min="4358" max="4358" width="8" style="443" customWidth="1"/>
    <col min="4359" max="4360" width="15.5546875" style="443" customWidth="1"/>
    <col min="4361" max="4361" width="24.109375" style="443" bestFit="1" customWidth="1"/>
    <col min="4362" max="4608" width="8.88671875" style="443"/>
    <col min="4609" max="4609" width="10.44140625" style="443" customWidth="1"/>
    <col min="4610" max="4610" width="28.44140625" style="443" customWidth="1"/>
    <col min="4611" max="4612" width="8" style="443" customWidth="1"/>
    <col min="4613" max="4613" width="15.6640625" style="443" customWidth="1"/>
    <col min="4614" max="4614" width="8" style="443" customWidth="1"/>
    <col min="4615" max="4616" width="15.5546875" style="443" customWidth="1"/>
    <col min="4617" max="4617" width="24.109375" style="443" bestFit="1" customWidth="1"/>
    <col min="4618" max="4864" width="8.88671875" style="443"/>
    <col min="4865" max="4865" width="10.44140625" style="443" customWidth="1"/>
    <col min="4866" max="4866" width="28.44140625" style="443" customWidth="1"/>
    <col min="4867" max="4868" width="8" style="443" customWidth="1"/>
    <col min="4869" max="4869" width="15.6640625" style="443" customWidth="1"/>
    <col min="4870" max="4870" width="8" style="443" customWidth="1"/>
    <col min="4871" max="4872" width="15.5546875" style="443" customWidth="1"/>
    <col min="4873" max="4873" width="24.109375" style="443" bestFit="1" customWidth="1"/>
    <col min="4874" max="5120" width="8.88671875" style="443"/>
    <col min="5121" max="5121" width="10.44140625" style="443" customWidth="1"/>
    <col min="5122" max="5122" width="28.44140625" style="443" customWidth="1"/>
    <col min="5123" max="5124" width="8" style="443" customWidth="1"/>
    <col min="5125" max="5125" width="15.6640625" style="443" customWidth="1"/>
    <col min="5126" max="5126" width="8" style="443" customWidth="1"/>
    <col min="5127" max="5128" width="15.5546875" style="443" customWidth="1"/>
    <col min="5129" max="5129" width="24.109375" style="443" bestFit="1" customWidth="1"/>
    <col min="5130" max="5376" width="8.88671875" style="443"/>
    <col min="5377" max="5377" width="10.44140625" style="443" customWidth="1"/>
    <col min="5378" max="5378" width="28.44140625" style="443" customWidth="1"/>
    <col min="5379" max="5380" width="8" style="443" customWidth="1"/>
    <col min="5381" max="5381" width="15.6640625" style="443" customWidth="1"/>
    <col min="5382" max="5382" width="8" style="443" customWidth="1"/>
    <col min="5383" max="5384" width="15.5546875" style="443" customWidth="1"/>
    <col min="5385" max="5385" width="24.109375" style="443" bestFit="1" customWidth="1"/>
    <col min="5386" max="5632" width="8.88671875" style="443"/>
    <col min="5633" max="5633" width="10.44140625" style="443" customWidth="1"/>
    <col min="5634" max="5634" width="28.44140625" style="443" customWidth="1"/>
    <col min="5635" max="5636" width="8" style="443" customWidth="1"/>
    <col min="5637" max="5637" width="15.6640625" style="443" customWidth="1"/>
    <col min="5638" max="5638" width="8" style="443" customWidth="1"/>
    <col min="5639" max="5640" width="15.5546875" style="443" customWidth="1"/>
    <col min="5641" max="5641" width="24.109375" style="443" bestFit="1" customWidth="1"/>
    <col min="5642" max="5888" width="8.88671875" style="443"/>
    <col min="5889" max="5889" width="10.44140625" style="443" customWidth="1"/>
    <col min="5890" max="5890" width="28.44140625" style="443" customWidth="1"/>
    <col min="5891" max="5892" width="8" style="443" customWidth="1"/>
    <col min="5893" max="5893" width="15.6640625" style="443" customWidth="1"/>
    <col min="5894" max="5894" width="8" style="443" customWidth="1"/>
    <col min="5895" max="5896" width="15.5546875" style="443" customWidth="1"/>
    <col min="5897" max="5897" width="24.109375" style="443" bestFit="1" customWidth="1"/>
    <col min="5898" max="6144" width="8.88671875" style="443"/>
    <col min="6145" max="6145" width="10.44140625" style="443" customWidth="1"/>
    <col min="6146" max="6146" width="28.44140625" style="443" customWidth="1"/>
    <col min="6147" max="6148" width="8" style="443" customWidth="1"/>
    <col min="6149" max="6149" width="15.6640625" style="443" customWidth="1"/>
    <col min="6150" max="6150" width="8" style="443" customWidth="1"/>
    <col min="6151" max="6152" width="15.5546875" style="443" customWidth="1"/>
    <col min="6153" max="6153" width="24.109375" style="443" bestFit="1" customWidth="1"/>
    <col min="6154" max="6400" width="8.88671875" style="443"/>
    <col min="6401" max="6401" width="10.44140625" style="443" customWidth="1"/>
    <col min="6402" max="6402" width="28.44140625" style="443" customWidth="1"/>
    <col min="6403" max="6404" width="8" style="443" customWidth="1"/>
    <col min="6405" max="6405" width="15.6640625" style="443" customWidth="1"/>
    <col min="6406" max="6406" width="8" style="443" customWidth="1"/>
    <col min="6407" max="6408" width="15.5546875" style="443" customWidth="1"/>
    <col min="6409" max="6409" width="24.109375" style="443" bestFit="1" customWidth="1"/>
    <col min="6410" max="6656" width="8.88671875" style="443"/>
    <col min="6657" max="6657" width="10.44140625" style="443" customWidth="1"/>
    <col min="6658" max="6658" width="28.44140625" style="443" customWidth="1"/>
    <col min="6659" max="6660" width="8" style="443" customWidth="1"/>
    <col min="6661" max="6661" width="15.6640625" style="443" customWidth="1"/>
    <col min="6662" max="6662" width="8" style="443" customWidth="1"/>
    <col min="6663" max="6664" width="15.5546875" style="443" customWidth="1"/>
    <col min="6665" max="6665" width="24.109375" style="443" bestFit="1" customWidth="1"/>
    <col min="6666" max="6912" width="8.88671875" style="443"/>
    <col min="6913" max="6913" width="10.44140625" style="443" customWidth="1"/>
    <col min="6914" max="6914" width="28.44140625" style="443" customWidth="1"/>
    <col min="6915" max="6916" width="8" style="443" customWidth="1"/>
    <col min="6917" max="6917" width="15.6640625" style="443" customWidth="1"/>
    <col min="6918" max="6918" width="8" style="443" customWidth="1"/>
    <col min="6919" max="6920" width="15.5546875" style="443" customWidth="1"/>
    <col min="6921" max="6921" width="24.109375" style="443" bestFit="1" customWidth="1"/>
    <col min="6922" max="7168" width="8.88671875" style="443"/>
    <col min="7169" max="7169" width="10.44140625" style="443" customWidth="1"/>
    <col min="7170" max="7170" width="28.44140625" style="443" customWidth="1"/>
    <col min="7171" max="7172" width="8" style="443" customWidth="1"/>
    <col min="7173" max="7173" width="15.6640625" style="443" customWidth="1"/>
    <col min="7174" max="7174" width="8" style="443" customWidth="1"/>
    <col min="7175" max="7176" width="15.5546875" style="443" customWidth="1"/>
    <col min="7177" max="7177" width="24.109375" style="443" bestFit="1" customWidth="1"/>
    <col min="7178" max="7424" width="8.88671875" style="443"/>
    <col min="7425" max="7425" width="10.44140625" style="443" customWidth="1"/>
    <col min="7426" max="7426" width="28.44140625" style="443" customWidth="1"/>
    <col min="7427" max="7428" width="8" style="443" customWidth="1"/>
    <col min="7429" max="7429" width="15.6640625" style="443" customWidth="1"/>
    <col min="7430" max="7430" width="8" style="443" customWidth="1"/>
    <col min="7431" max="7432" width="15.5546875" style="443" customWidth="1"/>
    <col min="7433" max="7433" width="24.109375" style="443" bestFit="1" customWidth="1"/>
    <col min="7434" max="7680" width="8.88671875" style="443"/>
    <col min="7681" max="7681" width="10.44140625" style="443" customWidth="1"/>
    <col min="7682" max="7682" width="28.44140625" style="443" customWidth="1"/>
    <col min="7683" max="7684" width="8" style="443" customWidth="1"/>
    <col min="7685" max="7685" width="15.6640625" style="443" customWidth="1"/>
    <col min="7686" max="7686" width="8" style="443" customWidth="1"/>
    <col min="7687" max="7688" width="15.5546875" style="443" customWidth="1"/>
    <col min="7689" max="7689" width="24.109375" style="443" bestFit="1" customWidth="1"/>
    <col min="7690" max="7936" width="8.88671875" style="443"/>
    <col min="7937" max="7937" width="10.44140625" style="443" customWidth="1"/>
    <col min="7938" max="7938" width="28.44140625" style="443" customWidth="1"/>
    <col min="7939" max="7940" width="8" style="443" customWidth="1"/>
    <col min="7941" max="7941" width="15.6640625" style="443" customWidth="1"/>
    <col min="7942" max="7942" width="8" style="443" customWidth="1"/>
    <col min="7943" max="7944" width="15.5546875" style="443" customWidth="1"/>
    <col min="7945" max="7945" width="24.109375" style="443" bestFit="1" customWidth="1"/>
    <col min="7946" max="8192" width="8.88671875" style="443"/>
    <col min="8193" max="8193" width="10.44140625" style="443" customWidth="1"/>
    <col min="8194" max="8194" width="28.44140625" style="443" customWidth="1"/>
    <col min="8195" max="8196" width="8" style="443" customWidth="1"/>
    <col min="8197" max="8197" width="15.6640625" style="443" customWidth="1"/>
    <col min="8198" max="8198" width="8" style="443" customWidth="1"/>
    <col min="8199" max="8200" width="15.5546875" style="443" customWidth="1"/>
    <col min="8201" max="8201" width="24.109375" style="443" bestFit="1" customWidth="1"/>
    <col min="8202" max="8448" width="8.88671875" style="443"/>
    <col min="8449" max="8449" width="10.44140625" style="443" customWidth="1"/>
    <col min="8450" max="8450" width="28.44140625" style="443" customWidth="1"/>
    <col min="8451" max="8452" width="8" style="443" customWidth="1"/>
    <col min="8453" max="8453" width="15.6640625" style="443" customWidth="1"/>
    <col min="8454" max="8454" width="8" style="443" customWidth="1"/>
    <col min="8455" max="8456" width="15.5546875" style="443" customWidth="1"/>
    <col min="8457" max="8457" width="24.109375" style="443" bestFit="1" customWidth="1"/>
    <col min="8458" max="8704" width="8.88671875" style="443"/>
    <col min="8705" max="8705" width="10.44140625" style="443" customWidth="1"/>
    <col min="8706" max="8706" width="28.44140625" style="443" customWidth="1"/>
    <col min="8707" max="8708" width="8" style="443" customWidth="1"/>
    <col min="8709" max="8709" width="15.6640625" style="443" customWidth="1"/>
    <col min="8710" max="8710" width="8" style="443" customWidth="1"/>
    <col min="8711" max="8712" width="15.5546875" style="443" customWidth="1"/>
    <col min="8713" max="8713" width="24.109375" style="443" bestFit="1" customWidth="1"/>
    <col min="8714" max="8960" width="8.88671875" style="443"/>
    <col min="8961" max="8961" width="10.44140625" style="443" customWidth="1"/>
    <col min="8962" max="8962" width="28.44140625" style="443" customWidth="1"/>
    <col min="8963" max="8964" width="8" style="443" customWidth="1"/>
    <col min="8965" max="8965" width="15.6640625" style="443" customWidth="1"/>
    <col min="8966" max="8966" width="8" style="443" customWidth="1"/>
    <col min="8967" max="8968" width="15.5546875" style="443" customWidth="1"/>
    <col min="8969" max="8969" width="24.109375" style="443" bestFit="1" customWidth="1"/>
    <col min="8970" max="9216" width="8.88671875" style="443"/>
    <col min="9217" max="9217" width="10.44140625" style="443" customWidth="1"/>
    <col min="9218" max="9218" width="28.44140625" style="443" customWidth="1"/>
    <col min="9219" max="9220" width="8" style="443" customWidth="1"/>
    <col min="9221" max="9221" width="15.6640625" style="443" customWidth="1"/>
    <col min="9222" max="9222" width="8" style="443" customWidth="1"/>
    <col min="9223" max="9224" width="15.5546875" style="443" customWidth="1"/>
    <col min="9225" max="9225" width="24.109375" style="443" bestFit="1" customWidth="1"/>
    <col min="9226" max="9472" width="8.88671875" style="443"/>
    <col min="9473" max="9473" width="10.44140625" style="443" customWidth="1"/>
    <col min="9474" max="9474" width="28.44140625" style="443" customWidth="1"/>
    <col min="9475" max="9476" width="8" style="443" customWidth="1"/>
    <col min="9477" max="9477" width="15.6640625" style="443" customWidth="1"/>
    <col min="9478" max="9478" width="8" style="443" customWidth="1"/>
    <col min="9479" max="9480" width="15.5546875" style="443" customWidth="1"/>
    <col min="9481" max="9481" width="24.109375" style="443" bestFit="1" customWidth="1"/>
    <col min="9482" max="9728" width="8.88671875" style="443"/>
    <col min="9729" max="9729" width="10.44140625" style="443" customWidth="1"/>
    <col min="9730" max="9730" width="28.44140625" style="443" customWidth="1"/>
    <col min="9731" max="9732" width="8" style="443" customWidth="1"/>
    <col min="9733" max="9733" width="15.6640625" style="443" customWidth="1"/>
    <col min="9734" max="9734" width="8" style="443" customWidth="1"/>
    <col min="9735" max="9736" width="15.5546875" style="443" customWidth="1"/>
    <col min="9737" max="9737" width="24.109375" style="443" bestFit="1" customWidth="1"/>
    <col min="9738" max="9984" width="8.88671875" style="443"/>
    <col min="9985" max="9985" width="10.44140625" style="443" customWidth="1"/>
    <col min="9986" max="9986" width="28.44140625" style="443" customWidth="1"/>
    <col min="9987" max="9988" width="8" style="443" customWidth="1"/>
    <col min="9989" max="9989" width="15.6640625" style="443" customWidth="1"/>
    <col min="9990" max="9990" width="8" style="443" customWidth="1"/>
    <col min="9991" max="9992" width="15.5546875" style="443" customWidth="1"/>
    <col min="9993" max="9993" width="24.109375" style="443" bestFit="1" customWidth="1"/>
    <col min="9994" max="10240" width="8.88671875" style="443"/>
    <col min="10241" max="10241" width="10.44140625" style="443" customWidth="1"/>
    <col min="10242" max="10242" width="28.44140625" style="443" customWidth="1"/>
    <col min="10243" max="10244" width="8" style="443" customWidth="1"/>
    <col min="10245" max="10245" width="15.6640625" style="443" customWidth="1"/>
    <col min="10246" max="10246" width="8" style="443" customWidth="1"/>
    <col min="10247" max="10248" width="15.5546875" style="443" customWidth="1"/>
    <col min="10249" max="10249" width="24.109375" style="443" bestFit="1" customWidth="1"/>
    <col min="10250" max="10496" width="8.88671875" style="443"/>
    <col min="10497" max="10497" width="10.44140625" style="443" customWidth="1"/>
    <col min="10498" max="10498" width="28.44140625" style="443" customWidth="1"/>
    <col min="10499" max="10500" width="8" style="443" customWidth="1"/>
    <col min="10501" max="10501" width="15.6640625" style="443" customWidth="1"/>
    <col min="10502" max="10502" width="8" style="443" customWidth="1"/>
    <col min="10503" max="10504" width="15.5546875" style="443" customWidth="1"/>
    <col min="10505" max="10505" width="24.109375" style="443" bestFit="1" customWidth="1"/>
    <col min="10506" max="10752" width="8.88671875" style="443"/>
    <col min="10753" max="10753" width="10.44140625" style="443" customWidth="1"/>
    <col min="10754" max="10754" width="28.44140625" style="443" customWidth="1"/>
    <col min="10755" max="10756" width="8" style="443" customWidth="1"/>
    <col min="10757" max="10757" width="15.6640625" style="443" customWidth="1"/>
    <col min="10758" max="10758" width="8" style="443" customWidth="1"/>
    <col min="10759" max="10760" width="15.5546875" style="443" customWidth="1"/>
    <col min="10761" max="10761" width="24.109375" style="443" bestFit="1" customWidth="1"/>
    <col min="10762" max="11008" width="8.88671875" style="443"/>
    <col min="11009" max="11009" width="10.44140625" style="443" customWidth="1"/>
    <col min="11010" max="11010" width="28.44140625" style="443" customWidth="1"/>
    <col min="11011" max="11012" width="8" style="443" customWidth="1"/>
    <col min="11013" max="11013" width="15.6640625" style="443" customWidth="1"/>
    <col min="11014" max="11014" width="8" style="443" customWidth="1"/>
    <col min="11015" max="11016" width="15.5546875" style="443" customWidth="1"/>
    <col min="11017" max="11017" width="24.109375" style="443" bestFit="1" customWidth="1"/>
    <col min="11018" max="11264" width="8.88671875" style="443"/>
    <col min="11265" max="11265" width="10.44140625" style="443" customWidth="1"/>
    <col min="11266" max="11266" width="28.44140625" style="443" customWidth="1"/>
    <col min="11267" max="11268" width="8" style="443" customWidth="1"/>
    <col min="11269" max="11269" width="15.6640625" style="443" customWidth="1"/>
    <col min="11270" max="11270" width="8" style="443" customWidth="1"/>
    <col min="11271" max="11272" width="15.5546875" style="443" customWidth="1"/>
    <col min="11273" max="11273" width="24.109375" style="443" bestFit="1" customWidth="1"/>
    <col min="11274" max="11520" width="8.88671875" style="443"/>
    <col min="11521" max="11521" width="10.44140625" style="443" customWidth="1"/>
    <col min="11522" max="11522" width="28.44140625" style="443" customWidth="1"/>
    <col min="11523" max="11524" width="8" style="443" customWidth="1"/>
    <col min="11525" max="11525" width="15.6640625" style="443" customWidth="1"/>
    <col min="11526" max="11526" width="8" style="443" customWidth="1"/>
    <col min="11527" max="11528" width="15.5546875" style="443" customWidth="1"/>
    <col min="11529" max="11529" width="24.109375" style="443" bestFit="1" customWidth="1"/>
    <col min="11530" max="11776" width="8.88671875" style="443"/>
    <col min="11777" max="11777" width="10.44140625" style="443" customWidth="1"/>
    <col min="11778" max="11778" width="28.44140625" style="443" customWidth="1"/>
    <col min="11779" max="11780" width="8" style="443" customWidth="1"/>
    <col min="11781" max="11781" width="15.6640625" style="443" customWidth="1"/>
    <col min="11782" max="11782" width="8" style="443" customWidth="1"/>
    <col min="11783" max="11784" width="15.5546875" style="443" customWidth="1"/>
    <col min="11785" max="11785" width="24.109375" style="443" bestFit="1" customWidth="1"/>
    <col min="11786" max="12032" width="8.88671875" style="443"/>
    <col min="12033" max="12033" width="10.44140625" style="443" customWidth="1"/>
    <col min="12034" max="12034" width="28.44140625" style="443" customWidth="1"/>
    <col min="12035" max="12036" width="8" style="443" customWidth="1"/>
    <col min="12037" max="12037" width="15.6640625" style="443" customWidth="1"/>
    <col min="12038" max="12038" width="8" style="443" customWidth="1"/>
    <col min="12039" max="12040" width="15.5546875" style="443" customWidth="1"/>
    <col min="12041" max="12041" width="24.109375" style="443" bestFit="1" customWidth="1"/>
    <col min="12042" max="12288" width="8.88671875" style="443"/>
    <col min="12289" max="12289" width="10.44140625" style="443" customWidth="1"/>
    <col min="12290" max="12290" width="28.44140625" style="443" customWidth="1"/>
    <col min="12291" max="12292" width="8" style="443" customWidth="1"/>
    <col min="12293" max="12293" width="15.6640625" style="443" customWidth="1"/>
    <col min="12294" max="12294" width="8" style="443" customWidth="1"/>
    <col min="12295" max="12296" width="15.5546875" style="443" customWidth="1"/>
    <col min="12297" max="12297" width="24.109375" style="443" bestFit="1" customWidth="1"/>
    <col min="12298" max="12544" width="8.88671875" style="443"/>
    <col min="12545" max="12545" width="10.44140625" style="443" customWidth="1"/>
    <col min="12546" max="12546" width="28.44140625" style="443" customWidth="1"/>
    <col min="12547" max="12548" width="8" style="443" customWidth="1"/>
    <col min="12549" max="12549" width="15.6640625" style="443" customWidth="1"/>
    <col min="12550" max="12550" width="8" style="443" customWidth="1"/>
    <col min="12551" max="12552" width="15.5546875" style="443" customWidth="1"/>
    <col min="12553" max="12553" width="24.109375" style="443" bestFit="1" customWidth="1"/>
    <col min="12554" max="12800" width="8.88671875" style="443"/>
    <col min="12801" max="12801" width="10.44140625" style="443" customWidth="1"/>
    <col min="12802" max="12802" width="28.44140625" style="443" customWidth="1"/>
    <col min="12803" max="12804" width="8" style="443" customWidth="1"/>
    <col min="12805" max="12805" width="15.6640625" style="443" customWidth="1"/>
    <col min="12806" max="12806" width="8" style="443" customWidth="1"/>
    <col min="12807" max="12808" width="15.5546875" style="443" customWidth="1"/>
    <col min="12809" max="12809" width="24.109375" style="443" bestFit="1" customWidth="1"/>
    <col min="12810" max="13056" width="8.88671875" style="443"/>
    <col min="13057" max="13057" width="10.44140625" style="443" customWidth="1"/>
    <col min="13058" max="13058" width="28.44140625" style="443" customWidth="1"/>
    <col min="13059" max="13060" width="8" style="443" customWidth="1"/>
    <col min="13061" max="13061" width="15.6640625" style="443" customWidth="1"/>
    <col min="13062" max="13062" width="8" style="443" customWidth="1"/>
    <col min="13063" max="13064" width="15.5546875" style="443" customWidth="1"/>
    <col min="13065" max="13065" width="24.109375" style="443" bestFit="1" customWidth="1"/>
    <col min="13066" max="13312" width="8.88671875" style="443"/>
    <col min="13313" max="13313" width="10.44140625" style="443" customWidth="1"/>
    <col min="13314" max="13314" width="28.44140625" style="443" customWidth="1"/>
    <col min="13315" max="13316" width="8" style="443" customWidth="1"/>
    <col min="13317" max="13317" width="15.6640625" style="443" customWidth="1"/>
    <col min="13318" max="13318" width="8" style="443" customWidth="1"/>
    <col min="13319" max="13320" width="15.5546875" style="443" customWidth="1"/>
    <col min="13321" max="13321" width="24.109375" style="443" bestFit="1" customWidth="1"/>
    <col min="13322" max="13568" width="8.88671875" style="443"/>
    <col min="13569" max="13569" width="10.44140625" style="443" customWidth="1"/>
    <col min="13570" max="13570" width="28.44140625" style="443" customWidth="1"/>
    <col min="13571" max="13572" width="8" style="443" customWidth="1"/>
    <col min="13573" max="13573" width="15.6640625" style="443" customWidth="1"/>
    <col min="13574" max="13574" width="8" style="443" customWidth="1"/>
    <col min="13575" max="13576" width="15.5546875" style="443" customWidth="1"/>
    <col min="13577" max="13577" width="24.109375" style="443" bestFit="1" customWidth="1"/>
    <col min="13578" max="13824" width="8.88671875" style="443"/>
    <col min="13825" max="13825" width="10.44140625" style="443" customWidth="1"/>
    <col min="13826" max="13826" width="28.44140625" style="443" customWidth="1"/>
    <col min="13827" max="13828" width="8" style="443" customWidth="1"/>
    <col min="13829" max="13829" width="15.6640625" style="443" customWidth="1"/>
    <col min="13830" max="13830" width="8" style="443" customWidth="1"/>
    <col min="13831" max="13832" width="15.5546875" style="443" customWidth="1"/>
    <col min="13833" max="13833" width="24.109375" style="443" bestFit="1" customWidth="1"/>
    <col min="13834" max="14080" width="8.88671875" style="443"/>
    <col min="14081" max="14081" width="10.44140625" style="443" customWidth="1"/>
    <col min="14082" max="14082" width="28.44140625" style="443" customWidth="1"/>
    <col min="14083" max="14084" width="8" style="443" customWidth="1"/>
    <col min="14085" max="14085" width="15.6640625" style="443" customWidth="1"/>
    <col min="14086" max="14086" width="8" style="443" customWidth="1"/>
    <col min="14087" max="14088" width="15.5546875" style="443" customWidth="1"/>
    <col min="14089" max="14089" width="24.109375" style="443" bestFit="1" customWidth="1"/>
    <col min="14090" max="14336" width="8.88671875" style="443"/>
    <col min="14337" max="14337" width="10.44140625" style="443" customWidth="1"/>
    <col min="14338" max="14338" width="28.44140625" style="443" customWidth="1"/>
    <col min="14339" max="14340" width="8" style="443" customWidth="1"/>
    <col min="14341" max="14341" width="15.6640625" style="443" customWidth="1"/>
    <col min="14342" max="14342" width="8" style="443" customWidth="1"/>
    <col min="14343" max="14344" width="15.5546875" style="443" customWidth="1"/>
    <col min="14345" max="14345" width="24.109375" style="443" bestFit="1" customWidth="1"/>
    <col min="14346" max="14592" width="8.88671875" style="443"/>
    <col min="14593" max="14593" width="10.44140625" style="443" customWidth="1"/>
    <col min="14594" max="14594" width="28.44140625" style="443" customWidth="1"/>
    <col min="14595" max="14596" width="8" style="443" customWidth="1"/>
    <col min="14597" max="14597" width="15.6640625" style="443" customWidth="1"/>
    <col min="14598" max="14598" width="8" style="443" customWidth="1"/>
    <col min="14599" max="14600" width="15.5546875" style="443" customWidth="1"/>
    <col min="14601" max="14601" width="24.109375" style="443" bestFit="1" customWidth="1"/>
    <col min="14602" max="14848" width="8.88671875" style="443"/>
    <col min="14849" max="14849" width="10.44140625" style="443" customWidth="1"/>
    <col min="14850" max="14850" width="28.44140625" style="443" customWidth="1"/>
    <col min="14851" max="14852" width="8" style="443" customWidth="1"/>
    <col min="14853" max="14853" width="15.6640625" style="443" customWidth="1"/>
    <col min="14854" max="14854" width="8" style="443" customWidth="1"/>
    <col min="14855" max="14856" width="15.5546875" style="443" customWidth="1"/>
    <col min="14857" max="14857" width="24.109375" style="443" bestFit="1" customWidth="1"/>
    <col min="14858" max="15104" width="8.88671875" style="443"/>
    <col min="15105" max="15105" width="10.44140625" style="443" customWidth="1"/>
    <col min="15106" max="15106" width="28.44140625" style="443" customWidth="1"/>
    <col min="15107" max="15108" width="8" style="443" customWidth="1"/>
    <col min="15109" max="15109" width="15.6640625" style="443" customWidth="1"/>
    <col min="15110" max="15110" width="8" style="443" customWidth="1"/>
    <col min="15111" max="15112" width="15.5546875" style="443" customWidth="1"/>
    <col min="15113" max="15113" width="24.109375" style="443" bestFit="1" customWidth="1"/>
    <col min="15114" max="15360" width="8.88671875" style="443"/>
    <col min="15361" max="15361" width="10.44140625" style="443" customWidth="1"/>
    <col min="15362" max="15362" width="28.44140625" style="443" customWidth="1"/>
    <col min="15363" max="15364" width="8" style="443" customWidth="1"/>
    <col min="15365" max="15365" width="15.6640625" style="443" customWidth="1"/>
    <col min="15366" max="15366" width="8" style="443" customWidth="1"/>
    <col min="15367" max="15368" width="15.5546875" style="443" customWidth="1"/>
    <col min="15369" max="15369" width="24.109375" style="443" bestFit="1" customWidth="1"/>
    <col min="15370" max="15616" width="8.88671875" style="443"/>
    <col min="15617" max="15617" width="10.44140625" style="443" customWidth="1"/>
    <col min="15618" max="15618" width="28.44140625" style="443" customWidth="1"/>
    <col min="15619" max="15620" width="8" style="443" customWidth="1"/>
    <col min="15621" max="15621" width="15.6640625" style="443" customWidth="1"/>
    <col min="15622" max="15622" width="8" style="443" customWidth="1"/>
    <col min="15623" max="15624" width="15.5546875" style="443" customWidth="1"/>
    <col min="15625" max="15625" width="24.109375" style="443" bestFit="1" customWidth="1"/>
    <col min="15626" max="15872" width="8.88671875" style="443"/>
    <col min="15873" max="15873" width="10.44140625" style="443" customWidth="1"/>
    <col min="15874" max="15874" width="28.44140625" style="443" customWidth="1"/>
    <col min="15875" max="15876" width="8" style="443" customWidth="1"/>
    <col min="15877" max="15877" width="15.6640625" style="443" customWidth="1"/>
    <col min="15878" max="15878" width="8" style="443" customWidth="1"/>
    <col min="15879" max="15880" width="15.5546875" style="443" customWidth="1"/>
    <col min="15881" max="15881" width="24.109375" style="443" bestFit="1" customWidth="1"/>
    <col min="15882" max="16128" width="8.88671875" style="443"/>
    <col min="16129" max="16129" width="10.44140625" style="443" customWidth="1"/>
    <col min="16130" max="16130" width="28.44140625" style="443" customWidth="1"/>
    <col min="16131" max="16132" width="8" style="443" customWidth="1"/>
    <col min="16133" max="16133" width="15.6640625" style="443" customWidth="1"/>
    <col min="16134" max="16134" width="8" style="443" customWidth="1"/>
    <col min="16135" max="16136" width="15.5546875" style="443" customWidth="1"/>
    <col min="16137" max="16137" width="24.109375" style="443" bestFit="1" customWidth="1"/>
    <col min="16138" max="16384" width="8.88671875" style="443"/>
  </cols>
  <sheetData>
    <row r="1" spans="1:9" ht="14.4" customHeight="1">
      <c r="A1" s="602" t="s">
        <v>1256</v>
      </c>
      <c r="B1" s="602"/>
      <c r="C1" s="602"/>
      <c r="D1" s="602"/>
      <c r="E1" s="602"/>
      <c r="F1" s="602"/>
      <c r="G1" s="602"/>
      <c r="H1" s="602"/>
      <c r="I1" s="603"/>
    </row>
    <row r="2" spans="1:9" ht="13.8" customHeight="1">
      <c r="A2" s="602" t="s">
        <v>1255</v>
      </c>
      <c r="B2" s="602"/>
      <c r="C2" s="602"/>
      <c r="D2" s="602"/>
      <c r="E2" s="602"/>
      <c r="F2" s="602"/>
      <c r="G2" s="602"/>
      <c r="H2" s="602"/>
      <c r="I2" s="603"/>
    </row>
    <row r="3" spans="1:9" ht="13.8" customHeight="1">
      <c r="A3" s="444"/>
      <c r="B3" s="445"/>
      <c r="C3" s="507"/>
      <c r="D3" s="507"/>
      <c r="E3" s="507"/>
      <c r="F3" s="507"/>
      <c r="G3" s="507"/>
      <c r="H3" s="507"/>
      <c r="I3" s="508"/>
    </row>
    <row r="4" spans="1:9">
      <c r="A4" s="639" t="str">
        <f>orcam!A3</f>
        <v>PLANILHA DE REFORMA  DA  15ª  CIRETRAN POCONÉ</v>
      </c>
      <c r="B4" s="640"/>
      <c r="C4" s="640"/>
      <c r="D4" s="640"/>
      <c r="E4" s="640"/>
      <c r="F4" s="640"/>
      <c r="G4" s="640"/>
      <c r="H4" s="640"/>
      <c r="I4" s="641"/>
    </row>
    <row r="5" spans="1:9" ht="14.4" thickBot="1">
      <c r="A5" s="642" t="s">
        <v>1257</v>
      </c>
      <c r="B5" s="601"/>
      <c r="C5" s="601"/>
      <c r="D5" s="643"/>
      <c r="E5" s="601"/>
      <c r="F5" s="601"/>
      <c r="G5" s="643"/>
      <c r="H5" s="601"/>
      <c r="I5" s="644"/>
    </row>
    <row r="6" spans="1:9" ht="16.5" customHeight="1">
      <c r="A6" s="645" t="s">
        <v>1258</v>
      </c>
      <c r="B6" s="646"/>
      <c r="C6" s="646"/>
      <c r="D6" s="646"/>
      <c r="E6" s="646"/>
      <c r="F6" s="646"/>
      <c r="G6" s="646"/>
      <c r="H6" s="646"/>
      <c r="I6" s="647"/>
    </row>
    <row r="7" spans="1:9" ht="16.5" customHeight="1" thickBot="1">
      <c r="A7" s="648"/>
      <c r="B7" s="649"/>
      <c r="C7" s="649"/>
      <c r="D7" s="649"/>
      <c r="E7" s="649"/>
      <c r="F7" s="649"/>
      <c r="G7" s="649"/>
      <c r="H7" s="649"/>
      <c r="I7" s="650"/>
    </row>
    <row r="8" spans="1:9" ht="14.4">
      <c r="A8" s="628" t="s">
        <v>502</v>
      </c>
      <c r="B8" s="630" t="s">
        <v>1259</v>
      </c>
      <c r="C8" s="631"/>
      <c r="D8" s="632"/>
      <c r="E8" s="446" t="s">
        <v>1260</v>
      </c>
      <c r="F8" s="446" t="s">
        <v>1261</v>
      </c>
      <c r="G8" s="446" t="s">
        <v>1262</v>
      </c>
      <c r="H8" s="446" t="s">
        <v>1263</v>
      </c>
      <c r="I8" s="447" t="s">
        <v>1264</v>
      </c>
    </row>
    <row r="9" spans="1:9" ht="15" thickBot="1">
      <c r="A9" s="629"/>
      <c r="B9" s="633"/>
      <c r="C9" s="634"/>
      <c r="D9" s="635"/>
      <c r="E9" s="448" t="s">
        <v>1265</v>
      </c>
      <c r="F9" s="448" t="s">
        <v>1266</v>
      </c>
      <c r="G9" s="448" t="s">
        <v>1266</v>
      </c>
      <c r="H9" s="448" t="s">
        <v>1266</v>
      </c>
      <c r="I9" s="449" t="s">
        <v>1266</v>
      </c>
    </row>
    <row r="10" spans="1:9" ht="14.4">
      <c r="A10" s="450" t="s">
        <v>509</v>
      </c>
      <c r="B10" s="636" t="s">
        <v>1267</v>
      </c>
      <c r="C10" s="637"/>
      <c r="D10" s="638"/>
      <c r="E10" s="451">
        <f>SUM(E11:E14)</f>
        <v>6.1199999999999992</v>
      </c>
      <c r="F10" s="451"/>
      <c r="G10" s="452"/>
      <c r="H10" s="453"/>
      <c r="I10" s="454"/>
    </row>
    <row r="11" spans="1:9" ht="14.4">
      <c r="A11" s="455" t="s">
        <v>513</v>
      </c>
      <c r="B11" s="608" t="s">
        <v>1268</v>
      </c>
      <c r="C11" s="609"/>
      <c r="D11" s="610"/>
      <c r="E11" s="456">
        <v>3.8</v>
      </c>
      <c r="F11" s="456"/>
      <c r="G11" s="456"/>
      <c r="H11" s="457"/>
      <c r="I11" s="458"/>
    </row>
    <row r="12" spans="1:9" ht="14.4">
      <c r="A12" s="455" t="s">
        <v>516</v>
      </c>
      <c r="B12" s="459" t="s">
        <v>1269</v>
      </c>
      <c r="C12" s="460"/>
      <c r="D12" s="461"/>
      <c r="E12" s="456">
        <v>0.72</v>
      </c>
      <c r="F12" s="456"/>
      <c r="G12" s="456"/>
      <c r="H12" s="457"/>
      <c r="I12" s="458"/>
    </row>
    <row r="13" spans="1:9" ht="14.4">
      <c r="A13" s="455" t="s">
        <v>518</v>
      </c>
      <c r="B13" s="608" t="s">
        <v>1270</v>
      </c>
      <c r="C13" s="609"/>
      <c r="D13" s="610"/>
      <c r="E13" s="456">
        <v>0.8</v>
      </c>
      <c r="F13" s="456"/>
      <c r="G13" s="456"/>
      <c r="H13" s="457"/>
      <c r="I13" s="458"/>
    </row>
    <row r="14" spans="1:9" ht="14.4">
      <c r="A14" s="455" t="s">
        <v>522</v>
      </c>
      <c r="B14" s="608" t="s">
        <v>1271</v>
      </c>
      <c r="C14" s="609"/>
      <c r="D14" s="610"/>
      <c r="E14" s="456">
        <v>0.8</v>
      </c>
      <c r="F14" s="456"/>
      <c r="G14" s="456"/>
      <c r="H14" s="457"/>
      <c r="I14" s="458"/>
    </row>
    <row r="15" spans="1:9" ht="14.4">
      <c r="A15" s="462"/>
      <c r="B15" s="622"/>
      <c r="C15" s="623"/>
      <c r="D15" s="624"/>
      <c r="E15" s="463"/>
      <c r="F15" s="464"/>
      <c r="G15" s="463"/>
      <c r="H15" s="465"/>
      <c r="I15" s="466"/>
    </row>
    <row r="16" spans="1:9" ht="14.4">
      <c r="A16" s="467" t="s">
        <v>526</v>
      </c>
      <c r="B16" s="613" t="s">
        <v>1272</v>
      </c>
      <c r="C16" s="609"/>
      <c r="D16" s="610"/>
      <c r="E16" s="468">
        <f>E17</f>
        <v>5.8</v>
      </c>
      <c r="F16" s="468"/>
      <c r="G16" s="456"/>
      <c r="H16" s="457"/>
      <c r="I16" s="458"/>
    </row>
    <row r="17" spans="1:9" ht="14.4">
      <c r="A17" s="455" t="s">
        <v>528</v>
      </c>
      <c r="B17" s="608" t="s">
        <v>1273</v>
      </c>
      <c r="C17" s="609"/>
      <c r="D17" s="610"/>
      <c r="E17" s="456">
        <v>5.8</v>
      </c>
      <c r="F17" s="456"/>
      <c r="G17" s="456"/>
      <c r="H17" s="457"/>
      <c r="I17" s="458"/>
    </row>
    <row r="18" spans="1:9" ht="14.4">
      <c r="A18" s="469"/>
      <c r="B18" s="625"/>
      <c r="C18" s="626"/>
      <c r="D18" s="627"/>
      <c r="E18" s="470"/>
      <c r="F18" s="471"/>
      <c r="G18" s="470"/>
      <c r="H18" s="472"/>
      <c r="I18" s="473"/>
    </row>
    <row r="19" spans="1:9" ht="14.4">
      <c r="A19" s="467" t="s">
        <v>550</v>
      </c>
      <c r="B19" s="613" t="s">
        <v>1274</v>
      </c>
      <c r="C19" s="609"/>
      <c r="D19" s="610"/>
      <c r="E19" s="468">
        <f>E20+E21+E23+E22</f>
        <v>10.15</v>
      </c>
      <c r="F19" s="468"/>
      <c r="G19" s="456"/>
      <c r="H19" s="474"/>
      <c r="I19" s="458"/>
    </row>
    <row r="20" spans="1:9" ht="14.4">
      <c r="A20" s="455" t="s">
        <v>552</v>
      </c>
      <c r="B20" s="608" t="s">
        <v>1275</v>
      </c>
      <c r="C20" s="609"/>
      <c r="D20" s="610"/>
      <c r="E20" s="475">
        <v>0.65</v>
      </c>
      <c r="F20" s="456"/>
      <c r="G20" s="456"/>
      <c r="H20" s="474"/>
      <c r="I20" s="458"/>
    </row>
    <row r="21" spans="1:9" ht="14.4">
      <c r="A21" s="455" t="s">
        <v>554</v>
      </c>
      <c r="B21" s="608" t="s">
        <v>1276</v>
      </c>
      <c r="C21" s="609"/>
      <c r="D21" s="610"/>
      <c r="E21" s="456">
        <v>3</v>
      </c>
      <c r="F21" s="456"/>
      <c r="G21" s="456"/>
      <c r="H21" s="474"/>
      <c r="I21" s="458"/>
    </row>
    <row r="22" spans="1:9" ht="14.4">
      <c r="A22" s="455" t="s">
        <v>1277</v>
      </c>
      <c r="B22" s="608" t="s">
        <v>1278</v>
      </c>
      <c r="C22" s="611"/>
      <c r="D22" s="612"/>
      <c r="E22" s="456">
        <v>2</v>
      </c>
      <c r="F22" s="456"/>
      <c r="G22" s="456"/>
      <c r="H22" s="474"/>
      <c r="I22" s="458"/>
    </row>
    <row r="23" spans="1:9" ht="14.4">
      <c r="A23" s="455" t="s">
        <v>1279</v>
      </c>
      <c r="B23" s="608" t="s">
        <v>1280</v>
      </c>
      <c r="C23" s="609"/>
      <c r="D23" s="610"/>
      <c r="E23" s="456">
        <v>4.5</v>
      </c>
      <c r="F23" s="456"/>
      <c r="G23" s="456"/>
      <c r="H23" s="457"/>
      <c r="I23" s="458"/>
    </row>
    <row r="24" spans="1:9" ht="13.8">
      <c r="A24" s="455"/>
      <c r="B24" s="613" t="s">
        <v>1281</v>
      </c>
      <c r="C24" s="609"/>
      <c r="D24" s="610"/>
      <c r="E24" s="476"/>
      <c r="F24" s="476"/>
      <c r="G24" s="477"/>
      <c r="H24" s="478"/>
      <c r="I24" s="479"/>
    </row>
    <row r="25" spans="1:9">
      <c r="A25" s="614" t="s">
        <v>1282</v>
      </c>
      <c r="B25" s="615"/>
      <c r="C25" s="615"/>
      <c r="D25" s="616"/>
      <c r="E25" s="620">
        <f>TRUNC((((1+((E11+E12+E13)/100))*(1+((E14)/100))*(1+((E16/100)))/(1-((E20+E21+E22+E23)/100)))-1),4)</f>
        <v>0.25</v>
      </c>
      <c r="F25" s="604"/>
      <c r="G25" s="604"/>
      <c r="H25" s="604"/>
      <c r="I25" s="606">
        <v>0</v>
      </c>
    </row>
    <row r="26" spans="1:9" ht="23.25" customHeight="1" thickBot="1">
      <c r="A26" s="617"/>
      <c r="B26" s="618"/>
      <c r="C26" s="618"/>
      <c r="D26" s="619"/>
      <c r="E26" s="621"/>
      <c r="F26" s="605"/>
      <c r="G26" s="605"/>
      <c r="H26" s="605"/>
      <c r="I26" s="607"/>
    </row>
    <row r="27" spans="1:9" ht="13.8">
      <c r="A27" s="480"/>
      <c r="B27" s="481"/>
      <c r="C27" s="482"/>
      <c r="D27" s="482"/>
      <c r="E27" s="481"/>
      <c r="F27" s="483"/>
      <c r="G27" s="484"/>
      <c r="H27" s="484"/>
      <c r="I27" s="485"/>
    </row>
    <row r="28" spans="1:9" ht="12.75" customHeight="1">
      <c r="A28" s="486" t="s">
        <v>1283</v>
      </c>
      <c r="B28" s="487"/>
      <c r="C28" s="488"/>
      <c r="D28" s="488"/>
      <c r="E28" s="488"/>
      <c r="F28" s="489"/>
      <c r="G28" s="490"/>
      <c r="H28" s="491"/>
      <c r="I28" s="492"/>
    </row>
    <row r="29" spans="1:9" ht="13.8">
      <c r="A29" s="486"/>
      <c r="B29" s="488"/>
      <c r="C29" s="493"/>
      <c r="D29" s="493"/>
      <c r="E29" s="488"/>
      <c r="F29" s="489"/>
      <c r="G29" s="491"/>
      <c r="H29" s="491"/>
      <c r="I29" s="492"/>
    </row>
    <row r="30" spans="1:9" ht="15.6">
      <c r="A30" s="486"/>
      <c r="B30" s="488"/>
      <c r="C30" s="488"/>
      <c r="D30" s="488"/>
      <c r="E30" s="488"/>
      <c r="F30" s="489"/>
      <c r="G30" s="598"/>
      <c r="H30" s="598"/>
      <c r="I30" s="494"/>
    </row>
    <row r="31" spans="1:9" ht="15.6">
      <c r="A31" s="486"/>
      <c r="B31" s="596"/>
      <c r="C31" s="597"/>
      <c r="D31" s="597"/>
      <c r="E31" s="597"/>
      <c r="F31" s="495"/>
      <c r="G31" s="598"/>
      <c r="H31" s="598"/>
      <c r="I31" s="494"/>
    </row>
    <row r="32" spans="1:9" ht="15.6">
      <c r="A32" s="486"/>
      <c r="B32" s="597"/>
      <c r="C32" s="597"/>
      <c r="D32" s="597"/>
      <c r="E32" s="597"/>
      <c r="F32" s="489"/>
      <c r="G32" s="598"/>
      <c r="H32" s="598"/>
      <c r="I32" s="494"/>
    </row>
    <row r="33" spans="1:9" ht="15.6">
      <c r="A33" s="486"/>
      <c r="B33" s="600"/>
      <c r="C33" s="597"/>
      <c r="D33" s="597"/>
      <c r="E33" s="597"/>
      <c r="F33" s="489"/>
      <c r="G33" s="598"/>
      <c r="H33" s="599"/>
      <c r="I33" s="494"/>
    </row>
    <row r="34" spans="1:9" ht="14.4" thickBot="1">
      <c r="A34" s="496"/>
      <c r="B34" s="601"/>
      <c r="C34" s="601"/>
      <c r="D34" s="601"/>
      <c r="E34" s="601"/>
      <c r="F34" s="497"/>
      <c r="G34" s="498"/>
      <c r="H34" s="499"/>
      <c r="I34" s="500"/>
    </row>
    <row r="35" spans="1:9">
      <c r="A35" s="501"/>
      <c r="B35" s="502"/>
      <c r="I35" s="503"/>
    </row>
    <row r="36" spans="1:9">
      <c r="A36" s="501"/>
      <c r="B36" s="502"/>
      <c r="I36" s="503"/>
    </row>
    <row r="37" spans="1:9">
      <c r="A37" s="501"/>
      <c r="B37" s="502"/>
      <c r="I37" s="503"/>
    </row>
    <row r="38" spans="1:9" ht="13.8" thickBot="1">
      <c r="A38" s="504"/>
      <c r="B38" s="505"/>
      <c r="C38" s="505"/>
      <c r="D38" s="505"/>
      <c r="E38" s="505"/>
      <c r="F38" s="505"/>
      <c r="G38" s="505"/>
      <c r="H38" s="505"/>
      <c r="I38" s="506"/>
    </row>
  </sheetData>
  <mergeCells count="35">
    <mergeCell ref="B14:D14"/>
    <mergeCell ref="A4:I4"/>
    <mergeCell ref="A5:C5"/>
    <mergeCell ref="D5:F5"/>
    <mergeCell ref="G5:I5"/>
    <mergeCell ref="A6:I7"/>
    <mergeCell ref="A8:A9"/>
    <mergeCell ref="B8:D9"/>
    <mergeCell ref="B10:D10"/>
    <mergeCell ref="B11:D11"/>
    <mergeCell ref="B13:D13"/>
    <mergeCell ref="A25:D26"/>
    <mergeCell ref="E25:E26"/>
    <mergeCell ref="B15:D15"/>
    <mergeCell ref="B16:D16"/>
    <mergeCell ref="B17:D17"/>
    <mergeCell ref="B18:D18"/>
    <mergeCell ref="B19:D19"/>
    <mergeCell ref="B20:D20"/>
    <mergeCell ref="B31:E32"/>
    <mergeCell ref="G32:G33"/>
    <mergeCell ref="H32:H33"/>
    <mergeCell ref="B33:E34"/>
    <mergeCell ref="A1:I1"/>
    <mergeCell ref="A2:I2"/>
    <mergeCell ref="F25:F26"/>
    <mergeCell ref="G25:G26"/>
    <mergeCell ref="H25:H26"/>
    <mergeCell ref="I25:I26"/>
    <mergeCell ref="G30:G31"/>
    <mergeCell ref="H30:H31"/>
    <mergeCell ref="B21:D21"/>
    <mergeCell ref="B22:D22"/>
    <mergeCell ref="B23:D23"/>
    <mergeCell ref="B24:D24"/>
  </mergeCells>
  <pageMargins left="0.511811024" right="0.511811024" top="0.78740157499999996" bottom="0.78740157499999996" header="0.31496062000000002" footer="0.31496062000000002"/>
  <pageSetup paperSize="9" scale="6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A19B7-C0EF-4168-B3D4-1F31703C74BC}">
  <sheetPr>
    <pageSetUpPr fitToPage="1"/>
  </sheetPr>
  <dimension ref="A1:E45"/>
  <sheetViews>
    <sheetView showOutlineSymbols="0" showWhiteSpace="0" view="pageBreakPreview" topLeftCell="A16" zoomScale="99" zoomScaleNormal="90" zoomScaleSheetLayoutView="99" workbookViewId="0">
      <selection activeCell="H37" sqref="H37"/>
    </sheetView>
  </sheetViews>
  <sheetFormatPr defaultColWidth="9.109375" defaultRowHeight="13.8"/>
  <cols>
    <col min="1" max="1" width="17.88671875" style="565" customWidth="1"/>
    <col min="2" max="2" width="81.44140625" style="548" customWidth="1"/>
    <col min="3" max="4" width="13.6640625" style="548" bestFit="1" customWidth="1"/>
    <col min="5" max="16384" width="9.109375" style="548"/>
  </cols>
  <sheetData>
    <row r="1" spans="1:5">
      <c r="A1" s="14" t="s">
        <v>1256</v>
      </c>
      <c r="B1" s="15"/>
      <c r="C1" s="16"/>
    </row>
    <row r="2" spans="1:5">
      <c r="A2" s="14" t="s">
        <v>1255</v>
      </c>
      <c r="B2" s="15"/>
      <c r="C2" s="16"/>
    </row>
    <row r="3" spans="1:5" ht="15" customHeight="1">
      <c r="A3" s="658"/>
      <c r="B3" s="659"/>
      <c r="C3" s="659"/>
      <c r="D3" s="660"/>
    </row>
    <row r="4" spans="1:5">
      <c r="A4" s="661"/>
      <c r="B4" s="662"/>
      <c r="C4" s="662"/>
      <c r="D4" s="663"/>
    </row>
    <row r="5" spans="1:5" ht="15" customHeight="1">
      <c r="A5" s="661"/>
      <c r="B5" s="662"/>
      <c r="C5" s="662"/>
      <c r="D5" s="663"/>
    </row>
    <row r="6" spans="1:5" ht="30" customHeight="1">
      <c r="A6" s="664" t="s">
        <v>1353</v>
      </c>
      <c r="B6" s="665"/>
      <c r="C6" s="665"/>
      <c r="D6" s="666"/>
    </row>
    <row r="7" spans="1:5" ht="27.6">
      <c r="A7" s="549" t="s">
        <v>1354</v>
      </c>
      <c r="B7" s="549" t="s">
        <v>1355</v>
      </c>
      <c r="C7" s="549" t="s">
        <v>1356</v>
      </c>
      <c r="D7" s="549" t="s">
        <v>1357</v>
      </c>
    </row>
    <row r="8" spans="1:5" ht="14.4">
      <c r="A8" s="571">
        <v>2706</v>
      </c>
      <c r="B8" s="572" t="s">
        <v>8</v>
      </c>
      <c r="C8" s="573" t="s">
        <v>6</v>
      </c>
      <c r="D8" s="572">
        <v>60</v>
      </c>
      <c r="E8" s="566"/>
    </row>
    <row r="9" spans="1:5" ht="14.4">
      <c r="A9" s="571">
        <v>4083</v>
      </c>
      <c r="B9" s="572" t="s">
        <v>16</v>
      </c>
      <c r="C9" s="573" t="s">
        <v>6</v>
      </c>
      <c r="D9" s="572">
        <v>16</v>
      </c>
      <c r="E9" s="566"/>
    </row>
    <row r="10" spans="1:5" ht="14.4">
      <c r="A10" s="571">
        <v>88316</v>
      </c>
      <c r="B10" s="572" t="s">
        <v>22</v>
      </c>
      <c r="C10" s="573" t="s">
        <v>6</v>
      </c>
      <c r="D10" s="572">
        <v>12</v>
      </c>
      <c r="E10" s="566"/>
    </row>
    <row r="11" spans="1:5" ht="14.4">
      <c r="A11" s="571">
        <v>88323</v>
      </c>
      <c r="B11" s="572" t="s">
        <v>23</v>
      </c>
      <c r="C11" s="573" t="s">
        <v>6</v>
      </c>
      <c r="D11" s="574">
        <v>17</v>
      </c>
      <c r="E11" s="566"/>
    </row>
    <row r="12" spans="1:5" ht="14.4">
      <c r="A12" s="571">
        <v>88278</v>
      </c>
      <c r="B12" s="572" t="s">
        <v>26</v>
      </c>
      <c r="C12" s="573" t="s">
        <v>6</v>
      </c>
      <c r="D12" s="574">
        <v>12</v>
      </c>
      <c r="E12" s="566"/>
    </row>
    <row r="13" spans="1:5" ht="14.4">
      <c r="A13" s="571">
        <v>88256</v>
      </c>
      <c r="B13" s="572" t="s">
        <v>28</v>
      </c>
      <c r="C13" s="573" t="s">
        <v>6</v>
      </c>
      <c r="D13" s="574">
        <v>17</v>
      </c>
      <c r="E13" s="566"/>
    </row>
    <row r="14" spans="1:5" ht="14.4">
      <c r="A14" s="571">
        <v>88309</v>
      </c>
      <c r="B14" s="572" t="s">
        <v>32</v>
      </c>
      <c r="C14" s="573" t="s">
        <v>6</v>
      </c>
      <c r="D14" s="574">
        <v>17</v>
      </c>
      <c r="E14" s="566"/>
    </row>
    <row r="15" spans="1:5" ht="14.4">
      <c r="A15" s="571">
        <v>88267</v>
      </c>
      <c r="B15" s="572" t="s">
        <v>37</v>
      </c>
      <c r="C15" s="573" t="s">
        <v>6</v>
      </c>
      <c r="D15" s="574">
        <v>17</v>
      </c>
      <c r="E15" s="566"/>
    </row>
    <row r="16" spans="1:5" ht="14.4">
      <c r="A16" s="571">
        <v>88377</v>
      </c>
      <c r="B16" s="572" t="s">
        <v>47</v>
      </c>
      <c r="C16" s="573" t="s">
        <v>6</v>
      </c>
      <c r="D16" s="574">
        <v>12</v>
      </c>
      <c r="E16" s="566"/>
    </row>
    <row r="17" spans="1:5" ht="14.4">
      <c r="A17" s="571">
        <v>88262</v>
      </c>
      <c r="B17" s="572" t="s">
        <v>56</v>
      </c>
      <c r="C17" s="573" t="s">
        <v>6</v>
      </c>
      <c r="D17" s="574">
        <v>17</v>
      </c>
      <c r="E17" s="566"/>
    </row>
    <row r="18" spans="1:5" ht="14.4">
      <c r="A18" s="571">
        <v>88239</v>
      </c>
      <c r="B18" s="572" t="s">
        <v>68</v>
      </c>
      <c r="C18" s="573" t="s">
        <v>6</v>
      </c>
      <c r="D18" s="574">
        <v>12</v>
      </c>
      <c r="E18" s="566"/>
    </row>
    <row r="19" spans="1:5" ht="14.4">
      <c r="A19" s="571">
        <v>88245</v>
      </c>
      <c r="B19" s="572" t="s">
        <v>75</v>
      </c>
      <c r="C19" s="573" t="s">
        <v>6</v>
      </c>
      <c r="D19" s="574">
        <v>17</v>
      </c>
      <c r="E19" s="566"/>
    </row>
    <row r="20" spans="1:5" ht="14.4">
      <c r="A20" s="571">
        <v>88238</v>
      </c>
      <c r="B20" s="572" t="s">
        <v>74</v>
      </c>
      <c r="C20" s="573" t="s">
        <v>6</v>
      </c>
      <c r="D20" s="574">
        <v>12</v>
      </c>
      <c r="E20" s="566"/>
    </row>
    <row r="21" spans="1:5" ht="14.4">
      <c r="A21" s="571">
        <v>88261</v>
      </c>
      <c r="B21" s="572" t="s">
        <v>128</v>
      </c>
      <c r="C21" s="573" t="s">
        <v>6</v>
      </c>
      <c r="D21" s="574">
        <v>17</v>
      </c>
      <c r="E21" s="566"/>
    </row>
    <row r="22" spans="1:5" ht="14.4">
      <c r="A22" s="571">
        <v>88251</v>
      </c>
      <c r="B22" s="572" t="s">
        <v>143</v>
      </c>
      <c r="C22" s="573" t="s">
        <v>6</v>
      </c>
      <c r="D22" s="574">
        <v>12</v>
      </c>
      <c r="E22" s="566"/>
    </row>
    <row r="23" spans="1:5" ht="14.4">
      <c r="A23" s="571">
        <v>88315</v>
      </c>
      <c r="B23" s="572" t="s">
        <v>144</v>
      </c>
      <c r="C23" s="573" t="s">
        <v>6</v>
      </c>
      <c r="D23" s="574">
        <v>17</v>
      </c>
      <c r="E23" s="566"/>
    </row>
    <row r="24" spans="1:5" ht="14.4">
      <c r="A24" s="571">
        <v>88256</v>
      </c>
      <c r="B24" s="572" t="s">
        <v>28</v>
      </c>
      <c r="C24" s="573" t="s">
        <v>6</v>
      </c>
      <c r="D24" s="574">
        <v>17</v>
      </c>
      <c r="E24" s="566"/>
    </row>
    <row r="25" spans="1:5" ht="14.4">
      <c r="A25" s="571">
        <v>88274</v>
      </c>
      <c r="B25" s="572" t="s">
        <v>163</v>
      </c>
      <c r="C25" s="573" t="s">
        <v>6</v>
      </c>
      <c r="D25" s="574">
        <v>17</v>
      </c>
      <c r="E25" s="566"/>
    </row>
    <row r="26" spans="1:5" ht="14.4">
      <c r="A26" s="571">
        <v>88325</v>
      </c>
      <c r="B26" s="572" t="s">
        <v>189</v>
      </c>
      <c r="C26" s="573" t="s">
        <v>6</v>
      </c>
      <c r="D26" s="574">
        <v>17</v>
      </c>
      <c r="E26" s="566"/>
    </row>
    <row r="27" spans="1:5" ht="14.4">
      <c r="A27" s="571">
        <v>88310</v>
      </c>
      <c r="B27" s="572" t="s">
        <v>196</v>
      </c>
      <c r="C27" s="573" t="s">
        <v>6</v>
      </c>
      <c r="D27" s="574">
        <v>17</v>
      </c>
      <c r="E27" s="566"/>
    </row>
    <row r="28" spans="1:5" ht="14.4">
      <c r="A28" s="571">
        <v>88247</v>
      </c>
      <c r="B28" s="572" t="s">
        <v>218</v>
      </c>
      <c r="C28" s="573" t="s">
        <v>6</v>
      </c>
      <c r="D28" s="574">
        <v>12</v>
      </c>
      <c r="E28" s="566"/>
    </row>
    <row r="29" spans="1:5" ht="14.4">
      <c r="A29" s="571">
        <v>88264</v>
      </c>
      <c r="B29" s="572" t="s">
        <v>219</v>
      </c>
      <c r="C29" s="573" t="s">
        <v>6</v>
      </c>
      <c r="D29" s="574">
        <v>17</v>
      </c>
      <c r="E29" s="566"/>
    </row>
    <row r="30" spans="1:5" ht="14.4">
      <c r="A30" s="571">
        <v>88248</v>
      </c>
      <c r="B30" s="572" t="s">
        <v>237</v>
      </c>
      <c r="C30" s="573" t="s">
        <v>6</v>
      </c>
      <c r="D30" s="574">
        <v>12</v>
      </c>
      <c r="E30" s="566"/>
    </row>
    <row r="31" spans="1:5" ht="14.4">
      <c r="A31" s="571">
        <v>88441</v>
      </c>
      <c r="B31" s="572" t="s">
        <v>483</v>
      </c>
      <c r="C31" s="573" t="s">
        <v>6</v>
      </c>
      <c r="D31" s="574">
        <v>15</v>
      </c>
      <c r="E31" s="566"/>
    </row>
    <row r="32" spans="1:5" ht="14.4">
      <c r="A32" s="571">
        <v>88243</v>
      </c>
      <c r="B32" s="572" t="s">
        <v>493</v>
      </c>
      <c r="C32" s="573" t="s">
        <v>6</v>
      </c>
      <c r="D32" s="574">
        <v>12</v>
      </c>
      <c r="E32" s="566"/>
    </row>
    <row r="33" spans="1:5" ht="14.4">
      <c r="A33" s="571">
        <v>88270</v>
      </c>
      <c r="B33" s="572" t="s">
        <v>494</v>
      </c>
      <c r="C33" s="573" t="s">
        <v>6</v>
      </c>
      <c r="D33" s="574">
        <v>15</v>
      </c>
      <c r="E33" s="566"/>
    </row>
    <row r="34" spans="1:5">
      <c r="A34" s="567"/>
      <c r="B34" s="568"/>
      <c r="C34" s="569"/>
      <c r="D34" s="570"/>
    </row>
    <row r="35" spans="1:5">
      <c r="A35" s="550"/>
      <c r="B35" s="551"/>
      <c r="C35" s="552"/>
      <c r="D35" s="553"/>
    </row>
    <row r="36" spans="1:5">
      <c r="A36" s="550"/>
      <c r="B36" s="551"/>
      <c r="C36" s="552"/>
      <c r="D36" s="553"/>
    </row>
    <row r="37" spans="1:5">
      <c r="A37" s="550"/>
      <c r="B37" s="551"/>
      <c r="C37" s="552"/>
      <c r="D37" s="553"/>
    </row>
    <row r="38" spans="1:5">
      <c r="A38" s="550"/>
      <c r="B38" s="551"/>
      <c r="C38" s="552"/>
      <c r="D38" s="553"/>
    </row>
    <row r="39" spans="1:5">
      <c r="A39" s="550"/>
      <c r="B39" s="551"/>
      <c r="C39" s="552"/>
      <c r="D39" s="553"/>
    </row>
    <row r="40" spans="1:5">
      <c r="A40" s="550"/>
      <c r="B40" s="551"/>
      <c r="C40" s="552"/>
      <c r="D40" s="553"/>
    </row>
    <row r="41" spans="1:5">
      <c r="A41" s="550"/>
      <c r="B41" s="551"/>
      <c r="C41" s="552"/>
      <c r="D41" s="553"/>
    </row>
    <row r="42" spans="1:5">
      <c r="A42" s="554"/>
      <c r="B42" s="555"/>
      <c r="C42" s="556"/>
      <c r="D42" s="557"/>
    </row>
    <row r="43" spans="1:5">
      <c r="A43" s="558"/>
      <c r="B43" s="559"/>
      <c r="C43" s="560"/>
      <c r="D43" s="561"/>
    </row>
    <row r="44" spans="1:5">
      <c r="A44" s="562"/>
      <c r="B44" s="563"/>
      <c r="C44" s="562"/>
      <c r="D44" s="562"/>
    </row>
    <row r="45" spans="1:5">
      <c r="A45" s="564"/>
    </row>
  </sheetData>
  <mergeCells count="2">
    <mergeCell ref="A3:D5"/>
    <mergeCell ref="A6:D6"/>
  </mergeCells>
  <printOptions horizontalCentered="1"/>
  <pageMargins left="0.51181102362204722" right="0.51181102362204722" top="1.5748031496062993" bottom="0.82677165354330717" header="0.51181102362204722" footer="0.51181102362204722"/>
  <pageSetup paperSize="9" scale="7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13BD5-02C4-4BBE-B8B2-B62561DC766C}">
  <sheetPr>
    <pageSetUpPr fitToPage="1"/>
  </sheetPr>
  <dimension ref="A1:F46"/>
  <sheetViews>
    <sheetView tabSelected="1" view="pageBreakPreview" topLeftCell="A34" zoomScale="99" zoomScaleNormal="100" zoomScaleSheetLayoutView="99" workbookViewId="0">
      <selection activeCell="H47" sqref="H47"/>
    </sheetView>
  </sheetViews>
  <sheetFormatPr defaultColWidth="9.109375" defaultRowHeight="13.2"/>
  <cols>
    <col min="1" max="1" width="14.109375" style="511" customWidth="1"/>
    <col min="2" max="2" width="66.109375" style="511" customWidth="1"/>
    <col min="3" max="4" width="15.6640625" style="511" customWidth="1"/>
    <col min="5" max="16384" width="9.109375" style="511"/>
  </cols>
  <sheetData>
    <row r="1" spans="1:5" ht="15.6">
      <c r="A1" s="14" t="s">
        <v>1256</v>
      </c>
      <c r="B1" s="509"/>
      <c r="C1" s="509"/>
      <c r="D1" s="509"/>
      <c r="E1" s="510"/>
    </row>
    <row r="2" spans="1:5" ht="15.6">
      <c r="A2" s="14" t="s">
        <v>1255</v>
      </c>
      <c r="B2" s="509"/>
      <c r="C2" s="509"/>
      <c r="D2" s="509"/>
      <c r="E2" s="510"/>
    </row>
    <row r="3" spans="1:5" ht="15.6">
      <c r="A3" s="509"/>
      <c r="B3" s="512"/>
      <c r="C3" s="510"/>
      <c r="D3" s="510"/>
      <c r="E3" s="510"/>
    </row>
    <row r="4" spans="1:5" ht="15.6">
      <c r="A4" s="669" t="s">
        <v>1284</v>
      </c>
      <c r="B4" s="669"/>
      <c r="C4" s="669"/>
      <c r="D4" s="669"/>
    </row>
    <row r="5" spans="1:5" ht="17.399999999999999">
      <c r="A5" s="670" t="s">
        <v>1285</v>
      </c>
      <c r="B5" s="670"/>
      <c r="C5" s="670"/>
      <c r="D5" s="670"/>
    </row>
    <row r="6" spans="1:5" ht="18" thickBot="1">
      <c r="B6" s="513"/>
      <c r="C6" s="513"/>
      <c r="D6" s="513"/>
    </row>
    <row r="7" spans="1:5" s="514" customFormat="1" ht="20.100000000000001" customHeight="1" thickBot="1">
      <c r="A7" s="671" t="s">
        <v>1286</v>
      </c>
      <c r="B7" s="671" t="s">
        <v>504</v>
      </c>
      <c r="C7" s="673" t="s">
        <v>1287</v>
      </c>
      <c r="D7" s="674"/>
    </row>
    <row r="8" spans="1:5" s="514" customFormat="1" ht="20.100000000000001" customHeight="1" thickBot="1">
      <c r="A8" s="672"/>
      <c r="B8" s="672"/>
      <c r="C8" s="515" t="s">
        <v>1288</v>
      </c>
      <c r="D8" s="516" t="s">
        <v>1289</v>
      </c>
    </row>
    <row r="9" spans="1:5" s="514" customFormat="1" ht="20.100000000000001" customHeight="1" thickBot="1">
      <c r="A9" s="517" t="s">
        <v>1290</v>
      </c>
      <c r="B9" s="518" t="s">
        <v>1291</v>
      </c>
      <c r="C9" s="667" t="s">
        <v>1287</v>
      </c>
      <c r="D9" s="668"/>
    </row>
    <row r="10" spans="1:5" ht="15" customHeight="1">
      <c r="A10" s="519" t="s">
        <v>1292</v>
      </c>
      <c r="B10" s="520" t="s">
        <v>1293</v>
      </c>
      <c r="C10" s="521">
        <v>0</v>
      </c>
      <c r="D10" s="521">
        <v>0</v>
      </c>
    </row>
    <row r="11" spans="1:5" ht="15" customHeight="1">
      <c r="A11" s="519" t="s">
        <v>1294</v>
      </c>
      <c r="B11" s="522" t="s">
        <v>1295</v>
      </c>
      <c r="C11" s="523">
        <v>1.4999999999999999E-2</v>
      </c>
      <c r="D11" s="523">
        <v>1.4999999999999999E-2</v>
      </c>
    </row>
    <row r="12" spans="1:5" ht="15" customHeight="1">
      <c r="A12" s="524" t="s">
        <v>1296</v>
      </c>
      <c r="B12" s="522" t="s">
        <v>1297</v>
      </c>
      <c r="C12" s="523">
        <v>0.01</v>
      </c>
      <c r="D12" s="523">
        <v>0.01</v>
      </c>
    </row>
    <row r="13" spans="1:5" ht="15" customHeight="1">
      <c r="A13" s="524" t="s">
        <v>1298</v>
      </c>
      <c r="B13" s="522" t="s">
        <v>1299</v>
      </c>
      <c r="C13" s="523">
        <v>2E-3</v>
      </c>
      <c r="D13" s="523">
        <v>2E-3</v>
      </c>
    </row>
    <row r="14" spans="1:5" ht="15" customHeight="1">
      <c r="A14" s="524" t="s">
        <v>1300</v>
      </c>
      <c r="B14" s="522" t="s">
        <v>1301</v>
      </c>
      <c r="C14" s="523">
        <v>6.0000000000000001E-3</v>
      </c>
      <c r="D14" s="523">
        <v>6.0000000000000001E-3</v>
      </c>
    </row>
    <row r="15" spans="1:5" ht="15" customHeight="1">
      <c r="A15" s="524" t="s">
        <v>1302</v>
      </c>
      <c r="B15" s="522" t="s">
        <v>1303</v>
      </c>
      <c r="C15" s="523">
        <v>2.5000000000000001E-2</v>
      </c>
      <c r="D15" s="523">
        <v>2.5000000000000001E-2</v>
      </c>
    </row>
    <row r="16" spans="1:5" ht="15" customHeight="1">
      <c r="A16" s="524" t="s">
        <v>1304</v>
      </c>
      <c r="B16" s="522" t="s">
        <v>1305</v>
      </c>
      <c r="C16" s="523">
        <v>0.03</v>
      </c>
      <c r="D16" s="523">
        <v>0.03</v>
      </c>
    </row>
    <row r="17" spans="1:6" ht="15" customHeight="1">
      <c r="A17" s="524" t="s">
        <v>1306</v>
      </c>
      <c r="B17" s="522" t="s">
        <v>1307</v>
      </c>
      <c r="C17" s="523">
        <v>0.08</v>
      </c>
      <c r="D17" s="523">
        <v>0.08</v>
      </c>
    </row>
    <row r="18" spans="1:6" ht="15" customHeight="1">
      <c r="A18" s="525"/>
      <c r="B18" s="526" t="s">
        <v>1308</v>
      </c>
      <c r="C18" s="527">
        <f>SUM(C10:C17)</f>
        <v>0.16799999999999998</v>
      </c>
      <c r="D18" s="527">
        <f>SUM(D10:D17)</f>
        <v>0.16799999999999998</v>
      </c>
      <c r="F18" s="528"/>
    </row>
    <row r="19" spans="1:6" ht="15" customHeight="1">
      <c r="A19" s="525"/>
      <c r="B19" s="526"/>
      <c r="C19" s="526"/>
      <c r="D19" s="527"/>
    </row>
    <row r="20" spans="1:6" ht="20.100000000000001" customHeight="1">
      <c r="A20" s="529" t="s">
        <v>1309</v>
      </c>
      <c r="B20" s="530" t="s">
        <v>1310</v>
      </c>
      <c r="C20" s="667" t="s">
        <v>1287</v>
      </c>
      <c r="D20" s="668"/>
    </row>
    <row r="21" spans="1:6" ht="15" customHeight="1">
      <c r="A21" s="524" t="s">
        <v>1311</v>
      </c>
      <c r="B21" s="522" t="s">
        <v>1312</v>
      </c>
      <c r="C21" s="531">
        <v>0.17780000000000001</v>
      </c>
      <c r="D21" s="523">
        <v>0</v>
      </c>
    </row>
    <row r="22" spans="1:6" ht="15" customHeight="1">
      <c r="A22" s="524" t="s">
        <v>1313</v>
      </c>
      <c r="B22" s="522" t="s">
        <v>1314</v>
      </c>
      <c r="C22" s="531">
        <v>3.6700000000000003E-2</v>
      </c>
      <c r="D22" s="523">
        <v>0</v>
      </c>
    </row>
    <row r="23" spans="1:6" ht="15" customHeight="1">
      <c r="A23" s="524" t="s">
        <v>1315</v>
      </c>
      <c r="B23" s="522" t="s">
        <v>1316</v>
      </c>
      <c r="C23" s="531">
        <v>8.9999999999999993E-3</v>
      </c>
      <c r="D23" s="523">
        <v>6.8999999999999999E-3</v>
      </c>
    </row>
    <row r="24" spans="1:6" ht="15" customHeight="1">
      <c r="A24" s="524" t="s">
        <v>1317</v>
      </c>
      <c r="B24" s="522" t="s">
        <v>1318</v>
      </c>
      <c r="C24" s="531">
        <v>0.1085</v>
      </c>
      <c r="D24" s="523">
        <v>8.3299999999999999E-2</v>
      </c>
    </row>
    <row r="25" spans="1:6" ht="15" customHeight="1">
      <c r="A25" s="524" t="s">
        <v>1319</v>
      </c>
      <c r="B25" s="522" t="s">
        <v>1320</v>
      </c>
      <c r="C25" s="532">
        <v>6.9999999999999999E-4</v>
      </c>
      <c r="D25" s="523">
        <v>5.9999999999999995E-4</v>
      </c>
    </row>
    <row r="26" spans="1:6" ht="15" customHeight="1">
      <c r="A26" s="524" t="s">
        <v>1321</v>
      </c>
      <c r="B26" s="522" t="s">
        <v>1322</v>
      </c>
      <c r="C26" s="532">
        <v>7.1999999999999998E-3</v>
      </c>
      <c r="D26" s="523">
        <v>5.5999999999999999E-3</v>
      </c>
    </row>
    <row r="27" spans="1:6" ht="15" customHeight="1">
      <c r="A27" s="524" t="s">
        <v>1323</v>
      </c>
      <c r="B27" s="522" t="s">
        <v>1324</v>
      </c>
      <c r="C27" s="532">
        <v>1.15E-2</v>
      </c>
      <c r="D27" s="523">
        <v>0</v>
      </c>
    </row>
    <row r="28" spans="1:6" ht="15" customHeight="1">
      <c r="A28" s="524" t="s">
        <v>1325</v>
      </c>
      <c r="B28" s="522" t="s">
        <v>1326</v>
      </c>
      <c r="C28" s="532">
        <v>1.1000000000000001E-3</v>
      </c>
      <c r="D28" s="523">
        <v>8.9999999999999998E-4</v>
      </c>
    </row>
    <row r="29" spans="1:6">
      <c r="A29" s="524" t="s">
        <v>1327</v>
      </c>
      <c r="B29" s="522" t="s">
        <v>1328</v>
      </c>
      <c r="C29" s="533">
        <v>0.1022</v>
      </c>
      <c r="D29" s="523">
        <v>7.85E-2</v>
      </c>
    </row>
    <row r="30" spans="1:6">
      <c r="A30" s="524" t="s">
        <v>1329</v>
      </c>
      <c r="B30" s="522" t="s">
        <v>1330</v>
      </c>
      <c r="C30" s="533">
        <v>2.9999999999999997E-4</v>
      </c>
      <c r="D30" s="523">
        <v>2.9999999999999997E-4</v>
      </c>
    </row>
    <row r="31" spans="1:6" ht="15" customHeight="1">
      <c r="A31" s="525"/>
      <c r="B31" s="526" t="s">
        <v>1331</v>
      </c>
      <c r="C31" s="534">
        <f>SUM(C20:C30)</f>
        <v>0.45500000000000002</v>
      </c>
      <c r="D31" s="527">
        <f>SUM(D21:D30)</f>
        <v>0.17610000000000001</v>
      </c>
    </row>
    <row r="32" spans="1:6" ht="15" customHeight="1">
      <c r="A32" s="525"/>
      <c r="B32" s="535"/>
      <c r="C32" s="536"/>
      <c r="D32" s="527"/>
    </row>
    <row r="33" spans="1:4" ht="27" customHeight="1">
      <c r="A33" s="529" t="s">
        <v>1332</v>
      </c>
      <c r="B33" s="537" t="s">
        <v>1333</v>
      </c>
      <c r="C33" s="667" t="s">
        <v>1287</v>
      </c>
      <c r="D33" s="668"/>
    </row>
    <row r="34" spans="1:4">
      <c r="A34" s="524" t="s">
        <v>1334</v>
      </c>
      <c r="B34" s="538" t="s">
        <v>1335</v>
      </c>
      <c r="C34" s="532">
        <v>5.96E-2</v>
      </c>
      <c r="D34" s="523">
        <v>4.58E-2</v>
      </c>
    </row>
    <row r="35" spans="1:4" ht="15" customHeight="1">
      <c r="A35" s="524" t="s">
        <v>1336</v>
      </c>
      <c r="B35" s="538" t="s">
        <v>1337</v>
      </c>
      <c r="C35" s="532">
        <v>1.4E-3</v>
      </c>
      <c r="D35" s="523">
        <v>1.1000000000000001E-3</v>
      </c>
    </row>
    <row r="36" spans="1:4" ht="15" customHeight="1">
      <c r="A36" s="524" t="s">
        <v>1338</v>
      </c>
      <c r="B36" s="522" t="s">
        <v>1339</v>
      </c>
      <c r="C36" s="532">
        <v>3.3399999999999999E-2</v>
      </c>
      <c r="D36" s="523">
        <v>2.5700000000000001E-2</v>
      </c>
    </row>
    <row r="37" spans="1:4" ht="15" customHeight="1">
      <c r="A37" s="524" t="s">
        <v>1340</v>
      </c>
      <c r="B37" s="522" t="s">
        <v>1341</v>
      </c>
      <c r="C37" s="532">
        <v>3.6799999999999999E-2</v>
      </c>
      <c r="D37" s="523">
        <v>2.8299999999999999E-2</v>
      </c>
    </row>
    <row r="38" spans="1:4" ht="15" customHeight="1">
      <c r="A38" s="524" t="s">
        <v>1342</v>
      </c>
      <c r="B38" s="522" t="s">
        <v>1343</v>
      </c>
      <c r="C38" s="532">
        <v>5.0000000000000001E-3</v>
      </c>
      <c r="D38" s="523">
        <v>3.8999999999999998E-3</v>
      </c>
    </row>
    <row r="39" spans="1:4" ht="25.5" customHeight="1">
      <c r="A39" s="525"/>
      <c r="B39" s="539" t="s">
        <v>1344</v>
      </c>
      <c r="C39" s="534">
        <f>SUM(C34:C38)</f>
        <v>0.13619999999999999</v>
      </c>
      <c r="D39" s="527">
        <f>SUM(D34:D38)</f>
        <v>0.10479999999999999</v>
      </c>
    </row>
    <row r="40" spans="1:4" ht="15" customHeight="1">
      <c r="A40" s="525"/>
      <c r="B40" s="540"/>
      <c r="C40" s="526"/>
      <c r="D40" s="527"/>
    </row>
    <row r="41" spans="1:4" ht="20.100000000000001" customHeight="1">
      <c r="A41" s="529" t="s">
        <v>1345</v>
      </c>
      <c r="B41" s="541" t="s">
        <v>1346</v>
      </c>
      <c r="C41" s="667" t="s">
        <v>1287</v>
      </c>
      <c r="D41" s="668"/>
    </row>
    <row r="42" spans="1:4" ht="20.100000000000001" customHeight="1">
      <c r="A42" s="529" t="s">
        <v>1347</v>
      </c>
      <c r="B42" s="520" t="s">
        <v>1348</v>
      </c>
      <c r="C42" s="533">
        <v>7.6399999999999996E-2</v>
      </c>
      <c r="D42" s="533">
        <v>2.9600000000000001E-2</v>
      </c>
    </row>
    <row r="43" spans="1:4" ht="26.4">
      <c r="A43" s="529" t="s">
        <v>1349</v>
      </c>
      <c r="B43" s="542" t="s">
        <v>1350</v>
      </c>
      <c r="C43" s="533">
        <v>5.0000000000000001E-3</v>
      </c>
      <c r="D43" s="533">
        <v>3.8E-3</v>
      </c>
    </row>
    <row r="44" spans="1:4" ht="20.100000000000001" customHeight="1">
      <c r="A44" s="529"/>
      <c r="B44" s="541" t="s">
        <v>1351</v>
      </c>
      <c r="C44" s="534">
        <f>SUM(C42:C43)</f>
        <v>8.14E-2</v>
      </c>
      <c r="D44" s="527">
        <f>SUM(D42:D43)</f>
        <v>3.3399999999999999E-2</v>
      </c>
    </row>
    <row r="45" spans="1:4" ht="20.100000000000001" customHeight="1">
      <c r="A45" s="529"/>
      <c r="B45" s="543"/>
      <c r="C45" s="529"/>
      <c r="D45" s="544"/>
    </row>
    <row r="46" spans="1:4" ht="20.100000000000001" customHeight="1" thickBot="1">
      <c r="A46" s="545"/>
      <c r="B46" s="546" t="s">
        <v>1352</v>
      </c>
      <c r="C46" s="547">
        <f>C18+C31+C39+C44</f>
        <v>0.84060000000000001</v>
      </c>
      <c r="D46" s="547">
        <f>D18+D31+D39+D44</f>
        <v>0.48229999999999995</v>
      </c>
    </row>
  </sheetData>
  <mergeCells count="9">
    <mergeCell ref="C20:D20"/>
    <mergeCell ref="C33:D33"/>
    <mergeCell ref="C41:D41"/>
    <mergeCell ref="A4:D4"/>
    <mergeCell ref="A5:D5"/>
    <mergeCell ref="A7:A8"/>
    <mergeCell ref="B7:B8"/>
    <mergeCell ref="C7:D7"/>
    <mergeCell ref="C9:D9"/>
  </mergeCells>
  <printOptions horizontalCentered="1"/>
  <pageMargins left="0.98425196850393704" right="0.59055118110236227" top="0.59055118110236227" bottom="0.78740157480314965" header="0" footer="0"/>
  <pageSetup paperSize="9" scale="76" orientation="portrait" verticalDpi="18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968"/>
  <sheetViews>
    <sheetView zoomScale="110" zoomScaleNormal="110" workbookViewId="0">
      <pane ySplit="8" topLeftCell="A9" activePane="bottomLeft" state="frozen"/>
      <selection pane="bottomLeft" activeCell="C397" sqref="C397:F397"/>
    </sheetView>
  </sheetViews>
  <sheetFormatPr defaultRowHeight="14.4"/>
  <cols>
    <col min="1" max="1" width="18.33203125" customWidth="1"/>
    <col min="2" max="2" width="12.33203125" customWidth="1"/>
    <col min="3" max="3" width="80.6640625" customWidth="1"/>
    <col min="4" max="5" width="9.33203125" customWidth="1"/>
    <col min="6" max="6" width="10.44140625" customWidth="1"/>
    <col min="7" max="7" width="12.33203125" customWidth="1"/>
    <col min="8" max="8" width="9.88671875" customWidth="1"/>
    <col min="9" max="9" width="14.33203125" customWidth="1"/>
    <col min="10" max="10" width="13.6640625" customWidth="1"/>
  </cols>
  <sheetData>
    <row r="1" spans="1:10" ht="5.0999999999999996" customHeight="1"/>
    <row r="2" spans="1:10">
      <c r="A2" s="14" t="s">
        <v>1256</v>
      </c>
      <c r="B2" s="15"/>
      <c r="C2" s="16"/>
      <c r="D2" s="4"/>
      <c r="E2" s="4" t="s">
        <v>0</v>
      </c>
      <c r="F2" s="4"/>
      <c r="G2" s="4"/>
      <c r="H2" s="4"/>
      <c r="I2" s="4"/>
      <c r="J2" s="5"/>
    </row>
    <row r="3" spans="1:10" s="423" customFormat="1">
      <c r="A3" s="14" t="s">
        <v>1255</v>
      </c>
      <c r="B3" s="15"/>
      <c r="C3" s="16"/>
      <c r="D3" s="442"/>
      <c r="E3" s="442"/>
      <c r="F3" s="442"/>
      <c r="G3" s="442"/>
      <c r="H3" s="442"/>
      <c r="I3" s="442"/>
      <c r="J3" s="424"/>
    </row>
    <row r="4" spans="1:10">
      <c r="A4" s="3" t="s">
        <v>1</v>
      </c>
      <c r="B4" s="1"/>
      <c r="C4" s="1"/>
      <c r="D4" s="1"/>
      <c r="E4" s="1" t="s">
        <v>2</v>
      </c>
      <c r="F4" s="1"/>
      <c r="G4" s="1"/>
      <c r="H4" s="1"/>
      <c r="I4" s="1"/>
      <c r="J4" s="2"/>
    </row>
    <row r="5" spans="1:10">
      <c r="A5" s="592" t="s">
        <v>3</v>
      </c>
      <c r="B5" s="593"/>
      <c r="C5" s="593"/>
      <c r="D5" s="593"/>
      <c r="E5" s="1"/>
      <c r="F5" s="1"/>
      <c r="G5" s="1"/>
      <c r="H5" s="1"/>
      <c r="I5" s="1"/>
      <c r="J5" s="2"/>
    </row>
    <row r="6" spans="1:10" ht="20.100000000000001" customHeight="1">
      <c r="A6" s="594" t="s">
        <v>1358</v>
      </c>
      <c r="B6" s="593"/>
      <c r="C6" s="593"/>
      <c r="D6" s="593"/>
      <c r="E6" s="593"/>
      <c r="F6" s="593"/>
      <c r="G6" s="593"/>
      <c r="H6" s="593"/>
      <c r="I6" s="593"/>
      <c r="J6" s="595"/>
    </row>
    <row r="7" spans="1:10">
      <c r="A7" s="6"/>
      <c r="B7" s="7"/>
      <c r="C7" s="7"/>
      <c r="D7" s="7"/>
      <c r="E7" s="7"/>
      <c r="F7" s="7"/>
      <c r="G7" s="7"/>
      <c r="H7" s="7"/>
      <c r="I7" s="7"/>
      <c r="J7" s="8"/>
    </row>
    <row r="8" spans="1:10" ht="8.1" customHeight="1"/>
    <row r="9" spans="1:10" ht="28.8">
      <c r="A9" s="10" t="s">
        <v>4</v>
      </c>
      <c r="B9" s="11">
        <v>90777</v>
      </c>
      <c r="C9" s="589" t="s">
        <v>5</v>
      </c>
      <c r="D9" s="590"/>
      <c r="E9" s="590"/>
      <c r="F9" s="590"/>
      <c r="G9" s="11" t="s">
        <v>6</v>
      </c>
      <c r="H9" s="11"/>
      <c r="I9" s="12">
        <f>SUM(J10:J15,2)</f>
        <v>64.169999999999987</v>
      </c>
      <c r="J9" s="12"/>
    </row>
    <row r="10" spans="1:10">
      <c r="A10" t="s">
        <v>7</v>
      </c>
      <c r="B10" s="9">
        <v>2706</v>
      </c>
      <c r="C10" s="588" t="s">
        <v>8</v>
      </c>
      <c r="D10" s="588"/>
      <c r="E10" s="588"/>
      <c r="F10" s="588"/>
      <c r="G10" s="9" t="s">
        <v>6</v>
      </c>
      <c r="H10" s="9">
        <v>1</v>
      </c>
      <c r="I10" s="13">
        <v>60</v>
      </c>
      <c r="J10" s="13">
        <f t="shared" ref="J10:J15" si="0">TRUNC((H10*I10),2)</f>
        <v>60</v>
      </c>
    </row>
    <row r="11" spans="1:10">
      <c r="A11" t="s">
        <v>7</v>
      </c>
      <c r="B11" s="9">
        <v>37372</v>
      </c>
      <c r="C11" s="588" t="s">
        <v>9</v>
      </c>
      <c r="D11" s="588"/>
      <c r="E11" s="588"/>
      <c r="F11" s="588"/>
      <c r="G11" s="9" t="s">
        <v>6</v>
      </c>
      <c r="H11" s="9">
        <v>1</v>
      </c>
      <c r="I11" s="13">
        <v>0.71</v>
      </c>
      <c r="J11" s="13">
        <f t="shared" si="0"/>
        <v>0.71</v>
      </c>
    </row>
    <row r="12" spans="1:10">
      <c r="A12" t="s">
        <v>7</v>
      </c>
      <c r="B12" s="9">
        <v>37373</v>
      </c>
      <c r="C12" s="588" t="s">
        <v>10</v>
      </c>
      <c r="D12" s="588"/>
      <c r="E12" s="588"/>
      <c r="F12" s="588"/>
      <c r="G12" s="9" t="s">
        <v>6</v>
      </c>
      <c r="H12" s="9">
        <v>1</v>
      </c>
      <c r="I12" s="13">
        <v>0.05</v>
      </c>
      <c r="J12" s="13">
        <f t="shared" si="0"/>
        <v>0.05</v>
      </c>
    </row>
    <row r="13" spans="1:10">
      <c r="A13" t="s">
        <v>7</v>
      </c>
      <c r="B13" s="9">
        <v>43462</v>
      </c>
      <c r="C13" s="588" t="s">
        <v>11</v>
      </c>
      <c r="D13" s="588"/>
      <c r="E13" s="588"/>
      <c r="F13" s="588"/>
      <c r="G13" s="9" t="s">
        <v>6</v>
      </c>
      <c r="H13" s="9">
        <v>1</v>
      </c>
      <c r="I13" s="13">
        <v>0.01</v>
      </c>
      <c r="J13" s="13">
        <f t="shared" si="0"/>
        <v>0.01</v>
      </c>
    </row>
    <row r="14" spans="1:10">
      <c r="A14" t="s">
        <v>7</v>
      </c>
      <c r="B14" s="9">
        <v>43486</v>
      </c>
      <c r="C14" s="588" t="s">
        <v>12</v>
      </c>
      <c r="D14" s="588"/>
      <c r="E14" s="588"/>
      <c r="F14" s="588"/>
      <c r="G14" s="9" t="s">
        <v>6</v>
      </c>
      <c r="H14" s="9">
        <v>1</v>
      </c>
      <c r="I14" s="13">
        <v>0.57999999999999996</v>
      </c>
      <c r="J14" s="13">
        <f t="shared" si="0"/>
        <v>0.57999999999999996</v>
      </c>
    </row>
    <row r="15" spans="1:10">
      <c r="A15" t="s">
        <v>13</v>
      </c>
      <c r="B15" s="9">
        <v>95402</v>
      </c>
      <c r="C15" s="588" t="s">
        <v>14</v>
      </c>
      <c r="D15" s="588"/>
      <c r="E15" s="588"/>
      <c r="F15" s="588"/>
      <c r="G15" s="9" t="s">
        <v>6</v>
      </c>
      <c r="H15" s="9">
        <v>1</v>
      </c>
      <c r="I15" s="13">
        <v>0.82</v>
      </c>
      <c r="J15" s="13">
        <f t="shared" si="0"/>
        <v>0.82</v>
      </c>
    </row>
    <row r="16" spans="1:10" ht="28.8">
      <c r="A16" s="10" t="s">
        <v>4</v>
      </c>
      <c r="B16" s="11">
        <v>90776</v>
      </c>
      <c r="C16" s="589" t="s">
        <v>15</v>
      </c>
      <c r="D16" s="590"/>
      <c r="E16" s="590"/>
      <c r="F16" s="590"/>
      <c r="G16" s="11" t="s">
        <v>6</v>
      </c>
      <c r="H16" s="11"/>
      <c r="I16" s="12">
        <f>SUM(J17:J22,2)</f>
        <v>20.090000000000003</v>
      </c>
      <c r="J16" s="12"/>
    </row>
    <row r="17" spans="1:10">
      <c r="A17" t="s">
        <v>7</v>
      </c>
      <c r="B17" s="9">
        <v>4083</v>
      </c>
      <c r="C17" s="588" t="s">
        <v>16</v>
      </c>
      <c r="D17" s="588"/>
      <c r="E17" s="588"/>
      <c r="F17" s="588"/>
      <c r="G17" s="9" t="s">
        <v>6</v>
      </c>
      <c r="H17" s="9">
        <v>1</v>
      </c>
      <c r="I17" s="13">
        <v>16</v>
      </c>
      <c r="J17" s="13">
        <f t="shared" ref="J17:J22" si="1">TRUNC((H17*I17),2)</f>
        <v>16</v>
      </c>
    </row>
    <row r="18" spans="1:10">
      <c r="A18" t="s">
        <v>7</v>
      </c>
      <c r="B18" s="9">
        <v>37372</v>
      </c>
      <c r="C18" s="588" t="s">
        <v>9</v>
      </c>
      <c r="D18" s="588"/>
      <c r="E18" s="588"/>
      <c r="F18" s="588"/>
      <c r="G18" s="9" t="s">
        <v>6</v>
      </c>
      <c r="H18" s="9">
        <v>1</v>
      </c>
      <c r="I18" s="13">
        <v>0.71</v>
      </c>
      <c r="J18" s="13">
        <f t="shared" si="1"/>
        <v>0.71</v>
      </c>
    </row>
    <row r="19" spans="1:10">
      <c r="A19" t="s">
        <v>7</v>
      </c>
      <c r="B19" s="9">
        <v>37373</v>
      </c>
      <c r="C19" s="588" t="s">
        <v>10</v>
      </c>
      <c r="D19" s="588"/>
      <c r="E19" s="588"/>
      <c r="F19" s="588"/>
      <c r="G19" s="9" t="s">
        <v>6</v>
      </c>
      <c r="H19" s="9">
        <v>1</v>
      </c>
      <c r="I19" s="13">
        <v>0.05</v>
      </c>
      <c r="J19" s="13">
        <f t="shared" si="1"/>
        <v>0.05</v>
      </c>
    </row>
    <row r="20" spans="1:10">
      <c r="A20" t="s">
        <v>7</v>
      </c>
      <c r="B20" s="9">
        <v>43463</v>
      </c>
      <c r="C20" s="588" t="s">
        <v>17</v>
      </c>
      <c r="D20" s="588"/>
      <c r="E20" s="588"/>
      <c r="F20" s="588"/>
      <c r="G20" s="9" t="s">
        <v>6</v>
      </c>
      <c r="H20" s="9">
        <v>1</v>
      </c>
      <c r="I20" s="13">
        <v>0.09</v>
      </c>
      <c r="J20" s="13">
        <f t="shared" si="1"/>
        <v>0.09</v>
      </c>
    </row>
    <row r="21" spans="1:10">
      <c r="A21" t="s">
        <v>7</v>
      </c>
      <c r="B21" s="9">
        <v>43487</v>
      </c>
      <c r="C21" s="588" t="s">
        <v>18</v>
      </c>
      <c r="D21" s="588"/>
      <c r="E21" s="588"/>
      <c r="F21" s="588"/>
      <c r="G21" s="9" t="s">
        <v>6</v>
      </c>
      <c r="H21" s="9">
        <v>1</v>
      </c>
      <c r="I21" s="13">
        <v>0.94</v>
      </c>
      <c r="J21" s="13">
        <f t="shared" si="1"/>
        <v>0.94</v>
      </c>
    </row>
    <row r="22" spans="1:10">
      <c r="A22" t="s">
        <v>13</v>
      </c>
      <c r="B22" s="9">
        <v>95401</v>
      </c>
      <c r="C22" s="588" t="s">
        <v>19</v>
      </c>
      <c r="D22" s="588"/>
      <c r="E22" s="588"/>
      <c r="F22" s="588"/>
      <c r="G22" s="9" t="s">
        <v>6</v>
      </c>
      <c r="H22" s="9">
        <v>1</v>
      </c>
      <c r="I22" s="13">
        <v>0.3</v>
      </c>
      <c r="J22" s="13">
        <f t="shared" si="1"/>
        <v>0.3</v>
      </c>
    </row>
    <row r="23" spans="1:10" ht="28.8">
      <c r="A23" s="10" t="s">
        <v>4</v>
      </c>
      <c r="B23" s="11">
        <v>97647</v>
      </c>
      <c r="C23" s="589" t="s">
        <v>20</v>
      </c>
      <c r="D23" s="590"/>
      <c r="E23" s="590"/>
      <c r="F23" s="590"/>
      <c r="G23" s="11" t="s">
        <v>21</v>
      </c>
      <c r="H23" s="11"/>
      <c r="I23" s="12">
        <f>J24+J25</f>
        <v>1.9899999999999998</v>
      </c>
      <c r="J23" s="12"/>
    </row>
    <row r="24" spans="1:10">
      <c r="A24" t="s">
        <v>13</v>
      </c>
      <c r="B24" s="9">
        <v>88316</v>
      </c>
      <c r="C24" s="588" t="s">
        <v>22</v>
      </c>
      <c r="D24" s="588"/>
      <c r="E24" s="588"/>
      <c r="F24" s="588"/>
      <c r="G24" s="9" t="s">
        <v>6</v>
      </c>
      <c r="H24" s="9">
        <v>9.7100000000000006E-2</v>
      </c>
      <c r="I24" s="13">
        <v>12</v>
      </c>
      <c r="J24" s="13">
        <f>TRUNC((H24*I24),2)</f>
        <v>1.1599999999999999</v>
      </c>
    </row>
    <row r="25" spans="1:10">
      <c r="A25" t="s">
        <v>13</v>
      </c>
      <c r="B25" s="9">
        <v>88323</v>
      </c>
      <c r="C25" s="588" t="s">
        <v>23</v>
      </c>
      <c r="D25" s="588"/>
      <c r="E25" s="588"/>
      <c r="F25" s="588"/>
      <c r="G25" s="9" t="s">
        <v>6</v>
      </c>
      <c r="H25" s="9">
        <v>4.9399999999999999E-2</v>
      </c>
      <c r="I25" s="13">
        <v>17</v>
      </c>
      <c r="J25" s="13">
        <f>TRUNC((H25*I25),2)</f>
        <v>0.83</v>
      </c>
    </row>
    <row r="26" spans="1:10" ht="28.8">
      <c r="A26" s="10" t="s">
        <v>4</v>
      </c>
      <c r="B26" s="11">
        <v>97650</v>
      </c>
      <c r="C26" s="589" t="s">
        <v>24</v>
      </c>
      <c r="D26" s="590"/>
      <c r="E26" s="590"/>
      <c r="F26" s="590"/>
      <c r="G26" s="11" t="s">
        <v>21</v>
      </c>
      <c r="H26" s="11"/>
      <c r="I26" s="12">
        <f>J27+J28</f>
        <v>4.3</v>
      </c>
      <c r="J26" s="12"/>
    </row>
    <row r="27" spans="1:10">
      <c r="A27" t="s">
        <v>13</v>
      </c>
      <c r="B27" s="9">
        <v>88316</v>
      </c>
      <c r="C27" s="588" t="s">
        <v>22</v>
      </c>
      <c r="D27" s="588"/>
      <c r="E27" s="588"/>
      <c r="F27" s="588"/>
      <c r="G27" s="9" t="s">
        <v>6</v>
      </c>
      <c r="H27" s="9">
        <v>0.20860000000000001</v>
      </c>
      <c r="I27" s="13">
        <v>12</v>
      </c>
      <c r="J27" s="13">
        <f>TRUNC((H27*I27),2)</f>
        <v>2.5</v>
      </c>
    </row>
    <row r="28" spans="1:10">
      <c r="A28" t="s">
        <v>13</v>
      </c>
      <c r="B28" s="9">
        <v>88323</v>
      </c>
      <c r="C28" s="588" t="s">
        <v>23</v>
      </c>
      <c r="D28" s="588"/>
      <c r="E28" s="588"/>
      <c r="F28" s="588"/>
      <c r="G28" s="9" t="s">
        <v>6</v>
      </c>
      <c r="H28" s="9">
        <v>0.1062</v>
      </c>
      <c r="I28" s="13">
        <v>17</v>
      </c>
      <c r="J28" s="13">
        <f>TRUNC((H28*I28),2)</f>
        <v>1.8</v>
      </c>
    </row>
    <row r="29" spans="1:10" ht="28.8">
      <c r="A29" s="10" t="s">
        <v>4</v>
      </c>
      <c r="B29" s="11">
        <v>97640</v>
      </c>
      <c r="C29" s="589" t="s">
        <v>25</v>
      </c>
      <c r="D29" s="590"/>
      <c r="E29" s="590"/>
      <c r="F29" s="590"/>
      <c r="G29" s="11" t="s">
        <v>21</v>
      </c>
      <c r="H29" s="11"/>
      <c r="I29" s="12">
        <f>J30+J31</f>
        <v>0.89999999999999991</v>
      </c>
      <c r="J29" s="12"/>
    </row>
    <row r="30" spans="1:10">
      <c r="A30" t="s">
        <v>13</v>
      </c>
      <c r="B30" s="9">
        <v>88278</v>
      </c>
      <c r="C30" s="588" t="s">
        <v>26</v>
      </c>
      <c r="D30" s="588"/>
      <c r="E30" s="588"/>
      <c r="F30" s="588"/>
      <c r="G30" s="9" t="s">
        <v>6</v>
      </c>
      <c r="H30" s="9">
        <v>2.58E-2</v>
      </c>
      <c r="I30" s="13">
        <v>12</v>
      </c>
      <c r="J30" s="13">
        <f>TRUNC((H30*I30),2)</f>
        <v>0.3</v>
      </c>
    </row>
    <row r="31" spans="1:10">
      <c r="A31" t="s">
        <v>13</v>
      </c>
      <c r="B31" s="9">
        <v>88316</v>
      </c>
      <c r="C31" s="588" t="s">
        <v>22</v>
      </c>
      <c r="D31" s="588"/>
      <c r="E31" s="588"/>
      <c r="F31" s="588"/>
      <c r="G31" s="9" t="s">
        <v>6</v>
      </c>
      <c r="H31" s="9">
        <v>5.0700000000000002E-2</v>
      </c>
      <c r="I31" s="13">
        <v>12</v>
      </c>
      <c r="J31" s="13">
        <f>TRUNC((H31*I31),2)</f>
        <v>0.6</v>
      </c>
    </row>
    <row r="32" spans="1:10" ht="28.8">
      <c r="A32" s="10" t="s">
        <v>4</v>
      </c>
      <c r="B32" s="11">
        <v>97633</v>
      </c>
      <c r="C32" s="589" t="s">
        <v>27</v>
      </c>
      <c r="D32" s="590"/>
      <c r="E32" s="590"/>
      <c r="F32" s="590"/>
      <c r="G32" s="11" t="s">
        <v>21</v>
      </c>
      <c r="H32" s="11"/>
      <c r="I32" s="12">
        <f>J33+J34</f>
        <v>12.97</v>
      </c>
      <c r="J32" s="12"/>
    </row>
    <row r="33" spans="1:10">
      <c r="A33" t="s">
        <v>13</v>
      </c>
      <c r="B33" s="9">
        <v>88256</v>
      </c>
      <c r="C33" s="588" t="s">
        <v>28</v>
      </c>
      <c r="D33" s="588"/>
      <c r="E33" s="588"/>
      <c r="F33" s="588"/>
      <c r="G33" s="9" t="s">
        <v>6</v>
      </c>
      <c r="H33" s="9">
        <v>0.25530000000000003</v>
      </c>
      <c r="I33" s="13">
        <v>17</v>
      </c>
      <c r="J33" s="13">
        <f>TRUNC((H33*I33),2)</f>
        <v>4.34</v>
      </c>
    </row>
    <row r="34" spans="1:10">
      <c r="A34" t="s">
        <v>13</v>
      </c>
      <c r="B34" s="9">
        <v>88316</v>
      </c>
      <c r="C34" s="588" t="s">
        <v>22</v>
      </c>
      <c r="D34" s="588"/>
      <c r="E34" s="588"/>
      <c r="F34" s="588"/>
      <c r="G34" s="9" t="s">
        <v>6</v>
      </c>
      <c r="H34" s="9">
        <v>0.71950000000000003</v>
      </c>
      <c r="I34" s="13">
        <v>12</v>
      </c>
      <c r="J34" s="13">
        <f>TRUNC((H34*I34),2)</f>
        <v>8.6300000000000008</v>
      </c>
    </row>
    <row r="35" spans="1:10" ht="28.8">
      <c r="A35" s="10" t="s">
        <v>4</v>
      </c>
      <c r="B35" s="11">
        <v>97645</v>
      </c>
      <c r="C35" s="589" t="s">
        <v>29</v>
      </c>
      <c r="D35" s="590"/>
      <c r="E35" s="590"/>
      <c r="F35" s="590"/>
      <c r="G35" s="11" t="s">
        <v>21</v>
      </c>
      <c r="H35" s="11"/>
      <c r="I35" s="12">
        <f>J36+J37</f>
        <v>11.63</v>
      </c>
      <c r="J35" s="12"/>
    </row>
    <row r="36" spans="1:10">
      <c r="A36" t="s">
        <v>7</v>
      </c>
      <c r="B36" s="9">
        <v>41954</v>
      </c>
      <c r="C36" s="588" t="s">
        <v>30</v>
      </c>
      <c r="D36" s="588"/>
      <c r="E36" s="588"/>
      <c r="F36" s="588"/>
      <c r="G36" s="9" t="s">
        <v>31</v>
      </c>
      <c r="H36" s="9">
        <v>9.8400000000000001E-2</v>
      </c>
      <c r="I36" s="13">
        <v>55.335819935700002</v>
      </c>
      <c r="J36" s="13">
        <f>TRUNC((H36*I36),2)</f>
        <v>5.44</v>
      </c>
    </row>
    <row r="37" spans="1:10">
      <c r="A37" t="s">
        <v>13</v>
      </c>
      <c r="B37" s="9">
        <v>88309</v>
      </c>
      <c r="C37" s="588" t="s">
        <v>32</v>
      </c>
      <c r="D37" s="588"/>
      <c r="E37" s="588"/>
      <c r="F37" s="588"/>
      <c r="G37" s="9" t="s">
        <v>6</v>
      </c>
      <c r="H37" s="9">
        <v>0.36430000000000001</v>
      </c>
      <c r="I37" s="13">
        <v>17</v>
      </c>
      <c r="J37" s="13">
        <f>TRUNC((H37*I37),2)</f>
        <v>6.19</v>
      </c>
    </row>
    <row r="38" spans="1:10">
      <c r="A38" t="s">
        <v>13</v>
      </c>
      <c r="B38" s="9">
        <v>88316</v>
      </c>
      <c r="C38" s="588" t="s">
        <v>22</v>
      </c>
      <c r="D38" s="588"/>
      <c r="E38" s="588"/>
      <c r="F38" s="588"/>
      <c r="G38" s="9" t="s">
        <v>6</v>
      </c>
      <c r="H38" s="9">
        <v>0.71560000000000001</v>
      </c>
      <c r="I38" s="13">
        <v>12</v>
      </c>
      <c r="J38" s="13">
        <f>TRUNC((H38*I38),2)</f>
        <v>8.58</v>
      </c>
    </row>
    <row r="39" spans="1:10" ht="28.8">
      <c r="A39" s="10" t="s">
        <v>4</v>
      </c>
      <c r="B39" s="11">
        <v>97644</v>
      </c>
      <c r="C39" s="589" t="s">
        <v>33</v>
      </c>
      <c r="D39" s="590"/>
      <c r="E39" s="590"/>
      <c r="F39" s="590"/>
      <c r="G39" s="11" t="s">
        <v>21</v>
      </c>
      <c r="H39" s="11"/>
      <c r="I39" s="12">
        <f>J40+J41</f>
        <v>5.32</v>
      </c>
      <c r="J39" s="12"/>
    </row>
    <row r="40" spans="1:10">
      <c r="A40" t="s">
        <v>13</v>
      </c>
      <c r="B40" s="9">
        <v>88309</v>
      </c>
      <c r="C40" s="588" t="s">
        <v>32</v>
      </c>
      <c r="D40" s="588"/>
      <c r="E40" s="588"/>
      <c r="F40" s="588"/>
      <c r="G40" s="9" t="s">
        <v>6</v>
      </c>
      <c r="H40" s="9">
        <v>0.13150000000000001</v>
      </c>
      <c r="I40" s="13">
        <v>17</v>
      </c>
      <c r="J40" s="13">
        <f>TRUNC((H40*I40),2)</f>
        <v>2.23</v>
      </c>
    </row>
    <row r="41" spans="1:10">
      <c r="A41" t="s">
        <v>13</v>
      </c>
      <c r="B41" s="9">
        <v>88316</v>
      </c>
      <c r="C41" s="588" t="s">
        <v>22</v>
      </c>
      <c r="D41" s="588"/>
      <c r="E41" s="588"/>
      <c r="F41" s="588"/>
      <c r="G41" s="9" t="s">
        <v>6</v>
      </c>
      <c r="H41" s="9">
        <v>0.25819999999999999</v>
      </c>
      <c r="I41" s="13">
        <v>12</v>
      </c>
      <c r="J41" s="13">
        <f>TRUNC((H41*I41),2)</f>
        <v>3.09</v>
      </c>
    </row>
    <row r="42" spans="1:10" ht="28.8">
      <c r="A42" s="10" t="s">
        <v>4</v>
      </c>
      <c r="B42" s="11">
        <v>97631</v>
      </c>
      <c r="C42" s="589" t="s">
        <v>34</v>
      </c>
      <c r="D42" s="590"/>
      <c r="E42" s="590"/>
      <c r="F42" s="590"/>
      <c r="G42" s="11" t="s">
        <v>21</v>
      </c>
      <c r="H42" s="11"/>
      <c r="I42" s="12">
        <f>J43+J44</f>
        <v>1.8900000000000001</v>
      </c>
      <c r="J42" s="12"/>
    </row>
    <row r="43" spans="1:10">
      <c r="A43" t="s">
        <v>13</v>
      </c>
      <c r="B43" s="9">
        <v>88309</v>
      </c>
      <c r="C43" s="588" t="s">
        <v>32</v>
      </c>
      <c r="D43" s="588"/>
      <c r="E43" s="588"/>
      <c r="F43" s="588"/>
      <c r="G43" s="9" t="s">
        <v>6</v>
      </c>
      <c r="H43" s="9">
        <v>3.7400000000000003E-2</v>
      </c>
      <c r="I43" s="13">
        <v>17</v>
      </c>
      <c r="J43" s="13">
        <f>TRUNC((H43*I43),2)</f>
        <v>0.63</v>
      </c>
    </row>
    <row r="44" spans="1:10">
      <c r="A44" t="s">
        <v>13</v>
      </c>
      <c r="B44" s="9">
        <v>88316</v>
      </c>
      <c r="C44" s="588" t="s">
        <v>22</v>
      </c>
      <c r="D44" s="588"/>
      <c r="E44" s="588"/>
      <c r="F44" s="588"/>
      <c r="G44" s="9" t="s">
        <v>6</v>
      </c>
      <c r="H44" s="9">
        <v>0.1053</v>
      </c>
      <c r="I44" s="13">
        <v>12</v>
      </c>
      <c r="J44" s="13">
        <f>TRUNC((H44*I44),2)</f>
        <v>1.26</v>
      </c>
    </row>
    <row r="45" spans="1:10" ht="28.8">
      <c r="A45" s="10" t="s">
        <v>4</v>
      </c>
      <c r="B45" s="11">
        <v>97666</v>
      </c>
      <c r="C45" s="589" t="s">
        <v>35</v>
      </c>
      <c r="D45" s="590"/>
      <c r="E45" s="590"/>
      <c r="F45" s="590"/>
      <c r="G45" s="11" t="s">
        <v>36</v>
      </c>
      <c r="H45" s="11"/>
      <c r="I45" s="12">
        <f>J46+J47</f>
        <v>5.18</v>
      </c>
      <c r="J45" s="12"/>
    </row>
    <row r="46" spans="1:10">
      <c r="A46" t="s">
        <v>13</v>
      </c>
      <c r="B46" s="9">
        <v>88267</v>
      </c>
      <c r="C46" s="588" t="s">
        <v>37</v>
      </c>
      <c r="D46" s="588"/>
      <c r="E46" s="588"/>
      <c r="F46" s="588"/>
      <c r="G46" s="9" t="s">
        <v>6</v>
      </c>
      <c r="H46" s="9">
        <v>0.128</v>
      </c>
      <c r="I46" s="13">
        <v>17</v>
      </c>
      <c r="J46" s="13">
        <f>TRUNC((H46*I46),2)</f>
        <v>2.17</v>
      </c>
    </row>
    <row r="47" spans="1:10">
      <c r="A47" t="s">
        <v>13</v>
      </c>
      <c r="B47" s="9">
        <v>88316</v>
      </c>
      <c r="C47" s="588" t="s">
        <v>22</v>
      </c>
      <c r="D47" s="588"/>
      <c r="E47" s="588"/>
      <c r="F47" s="588"/>
      <c r="G47" s="9" t="s">
        <v>6</v>
      </c>
      <c r="H47" s="9">
        <v>0.25140000000000001</v>
      </c>
      <c r="I47" s="13">
        <v>12</v>
      </c>
      <c r="J47" s="13">
        <f>TRUNC((H47*I47),2)</f>
        <v>3.01</v>
      </c>
    </row>
    <row r="48" spans="1:10" ht="28.8">
      <c r="A48" s="10" t="s">
        <v>4</v>
      </c>
      <c r="B48" s="11">
        <v>97622</v>
      </c>
      <c r="C48" s="589" t="s">
        <v>38</v>
      </c>
      <c r="D48" s="590"/>
      <c r="E48" s="590"/>
      <c r="F48" s="590"/>
      <c r="G48" s="11" t="s">
        <v>39</v>
      </c>
      <c r="H48" s="11"/>
      <c r="I48" s="12">
        <f>J49+J50</f>
        <v>31.71</v>
      </c>
      <c r="J48" s="12"/>
    </row>
    <row r="49" spans="1:10">
      <c r="A49" t="s">
        <v>13</v>
      </c>
      <c r="B49" s="9">
        <v>88309</v>
      </c>
      <c r="C49" s="588" t="s">
        <v>32</v>
      </c>
      <c r="D49" s="588"/>
      <c r="E49" s="588"/>
      <c r="F49" s="588"/>
      <c r="G49" s="9" t="s">
        <v>6</v>
      </c>
      <c r="H49" s="9">
        <v>0.22500000000000001</v>
      </c>
      <c r="I49" s="13">
        <v>17</v>
      </c>
      <c r="J49" s="13">
        <f>TRUNC((H49*I49),2)</f>
        <v>3.82</v>
      </c>
    </row>
    <row r="50" spans="1:10">
      <c r="A50" t="s">
        <v>13</v>
      </c>
      <c r="B50" s="9">
        <v>88316</v>
      </c>
      <c r="C50" s="588" t="s">
        <v>22</v>
      </c>
      <c r="D50" s="588"/>
      <c r="E50" s="588"/>
      <c r="F50" s="588"/>
      <c r="G50" s="9" t="s">
        <v>6</v>
      </c>
      <c r="H50" s="9">
        <v>2.3248000000000002</v>
      </c>
      <c r="I50" s="13">
        <v>12</v>
      </c>
      <c r="J50" s="13">
        <f>TRUNC((H50*I50),2)</f>
        <v>27.89</v>
      </c>
    </row>
    <row r="51" spans="1:10" ht="28.8">
      <c r="A51" s="10" t="s">
        <v>4</v>
      </c>
      <c r="B51" s="11">
        <v>97663</v>
      </c>
      <c r="C51" s="589" t="s">
        <v>40</v>
      </c>
      <c r="D51" s="590"/>
      <c r="E51" s="590"/>
      <c r="F51" s="590"/>
      <c r="G51" s="11" t="s">
        <v>36</v>
      </c>
      <c r="H51" s="11"/>
      <c r="I51" s="12">
        <f>J52+J53</f>
        <v>7.1099999999999994</v>
      </c>
      <c r="J51" s="12"/>
    </row>
    <row r="52" spans="1:10">
      <c r="A52" t="s">
        <v>13</v>
      </c>
      <c r="B52" s="9">
        <v>88267</v>
      </c>
      <c r="C52" s="588" t="s">
        <v>37</v>
      </c>
      <c r="D52" s="588"/>
      <c r="E52" s="588"/>
      <c r="F52" s="588"/>
      <c r="G52" s="9" t="s">
        <v>6</v>
      </c>
      <c r="H52" s="9">
        <v>0.17549999999999999</v>
      </c>
      <c r="I52" s="13">
        <v>17</v>
      </c>
      <c r="J52" s="13">
        <f>TRUNC((H52*I52),2)</f>
        <v>2.98</v>
      </c>
    </row>
    <row r="53" spans="1:10">
      <c r="A53" t="s">
        <v>13</v>
      </c>
      <c r="B53" s="9">
        <v>88316</v>
      </c>
      <c r="C53" s="588" t="s">
        <v>22</v>
      </c>
      <c r="D53" s="588"/>
      <c r="E53" s="588"/>
      <c r="F53" s="588"/>
      <c r="G53" s="9" t="s">
        <v>6</v>
      </c>
      <c r="H53" s="9">
        <v>0.3448</v>
      </c>
      <c r="I53" s="13">
        <v>12</v>
      </c>
      <c r="J53" s="13">
        <f>TRUNC((H53*I53),2)</f>
        <v>4.13</v>
      </c>
    </row>
    <row r="54" spans="1:10" ht="28.8">
      <c r="A54" s="10" t="s">
        <v>4</v>
      </c>
      <c r="B54" s="11">
        <v>93358</v>
      </c>
      <c r="C54" s="589" t="s">
        <v>41</v>
      </c>
      <c r="D54" s="590"/>
      <c r="E54" s="590"/>
      <c r="F54" s="590"/>
      <c r="G54" s="11" t="s">
        <v>39</v>
      </c>
      <c r="H54" s="11"/>
      <c r="I54" s="12">
        <f>J55</f>
        <v>47.47</v>
      </c>
      <c r="J54" s="12"/>
    </row>
    <row r="55" spans="1:10">
      <c r="A55" t="s">
        <v>13</v>
      </c>
      <c r="B55" s="9">
        <v>88316</v>
      </c>
      <c r="C55" s="588" t="s">
        <v>22</v>
      </c>
      <c r="D55" s="588"/>
      <c r="E55" s="588"/>
      <c r="F55" s="588"/>
      <c r="G55" s="9" t="s">
        <v>6</v>
      </c>
      <c r="H55" s="9">
        <v>3.956</v>
      </c>
      <c r="I55" s="13">
        <v>12</v>
      </c>
      <c r="J55" s="13">
        <f>TRUNC((H55*I55),2)</f>
        <v>47.47</v>
      </c>
    </row>
    <row r="56" spans="1:10" ht="28.8">
      <c r="A56" s="10" t="s">
        <v>4</v>
      </c>
      <c r="B56" s="11">
        <v>96995</v>
      </c>
      <c r="C56" s="589" t="s">
        <v>42</v>
      </c>
      <c r="D56" s="590"/>
      <c r="E56" s="590"/>
      <c r="F56" s="590"/>
      <c r="G56" s="11" t="s">
        <v>39</v>
      </c>
      <c r="H56" s="11"/>
      <c r="I56" s="12">
        <f>J57</f>
        <v>28.78</v>
      </c>
      <c r="J56" s="12"/>
    </row>
    <row r="57" spans="1:10">
      <c r="A57" t="s">
        <v>13</v>
      </c>
      <c r="B57" s="9">
        <v>88316</v>
      </c>
      <c r="C57" s="588" t="s">
        <v>22</v>
      </c>
      <c r="D57" s="588"/>
      <c r="E57" s="588"/>
      <c r="F57" s="588"/>
      <c r="G57" s="9" t="s">
        <v>6</v>
      </c>
      <c r="H57" s="9">
        <v>2.3986000000000001</v>
      </c>
      <c r="I57" s="13">
        <v>12</v>
      </c>
      <c r="J57" s="13">
        <f>TRUNC((H57*I57),2)</f>
        <v>28.78</v>
      </c>
    </row>
    <row r="58" spans="1:10" ht="28.8">
      <c r="A58" s="10" t="s">
        <v>4</v>
      </c>
      <c r="B58" s="11">
        <v>94962</v>
      </c>
      <c r="C58" s="589" t="s">
        <v>43</v>
      </c>
      <c r="D58" s="590"/>
      <c r="E58" s="590"/>
      <c r="F58" s="590"/>
      <c r="G58" s="11" t="s">
        <v>39</v>
      </c>
      <c r="H58" s="11"/>
      <c r="I58" s="12">
        <f>SUM(J59:J65)</f>
        <v>289.23</v>
      </c>
      <c r="J58" s="12"/>
    </row>
    <row r="59" spans="1:10">
      <c r="A59" t="s">
        <v>7</v>
      </c>
      <c r="B59" s="9">
        <v>370</v>
      </c>
      <c r="C59" s="588" t="s">
        <v>44</v>
      </c>
      <c r="D59" s="588"/>
      <c r="E59" s="588"/>
      <c r="F59" s="588"/>
      <c r="G59" s="9" t="s">
        <v>39</v>
      </c>
      <c r="H59" s="9">
        <v>0.82689999999999997</v>
      </c>
      <c r="I59" s="13">
        <v>80</v>
      </c>
      <c r="J59" s="13">
        <f t="shared" ref="J59:J65" si="2">TRUNC((H59*I59),2)</f>
        <v>66.150000000000006</v>
      </c>
    </row>
    <row r="60" spans="1:10">
      <c r="A60" t="s">
        <v>7</v>
      </c>
      <c r="B60" s="9">
        <v>1379</v>
      </c>
      <c r="C60" s="588" t="s">
        <v>45</v>
      </c>
      <c r="D60" s="588"/>
      <c r="E60" s="588"/>
      <c r="F60" s="588"/>
      <c r="G60" s="9" t="s">
        <v>31</v>
      </c>
      <c r="H60" s="9">
        <v>212.01939999999999</v>
      </c>
      <c r="I60" s="439">
        <v>0.63</v>
      </c>
      <c r="J60" s="13">
        <f t="shared" si="2"/>
        <v>133.57</v>
      </c>
    </row>
    <row r="61" spans="1:10">
      <c r="A61" t="s">
        <v>7</v>
      </c>
      <c r="B61" s="9">
        <v>4721</v>
      </c>
      <c r="C61" s="588" t="s">
        <v>46</v>
      </c>
      <c r="D61" s="588"/>
      <c r="E61" s="588"/>
      <c r="F61" s="588"/>
      <c r="G61" s="9" t="s">
        <v>39</v>
      </c>
      <c r="H61" s="9">
        <v>0.57820000000000005</v>
      </c>
      <c r="I61" s="13">
        <v>73</v>
      </c>
      <c r="J61" s="13">
        <f t="shared" si="2"/>
        <v>42.2</v>
      </c>
    </row>
    <row r="62" spans="1:10">
      <c r="A62" t="s">
        <v>13</v>
      </c>
      <c r="B62" s="9">
        <v>88316</v>
      </c>
      <c r="C62" s="588" t="s">
        <v>22</v>
      </c>
      <c r="D62" s="588"/>
      <c r="E62" s="588"/>
      <c r="F62" s="588"/>
      <c r="G62" s="9" t="s">
        <v>6</v>
      </c>
      <c r="H62" s="9">
        <v>2.3433000000000002</v>
      </c>
      <c r="I62" s="13">
        <v>12</v>
      </c>
      <c r="J62" s="13">
        <f t="shared" si="2"/>
        <v>28.11</v>
      </c>
    </row>
    <row r="63" spans="1:10">
      <c r="A63" t="s">
        <v>13</v>
      </c>
      <c r="B63" s="9">
        <v>88377</v>
      </c>
      <c r="C63" s="588" t="s">
        <v>47</v>
      </c>
      <c r="D63" s="588"/>
      <c r="E63" s="588"/>
      <c r="F63" s="588"/>
      <c r="G63" s="9" t="s">
        <v>6</v>
      </c>
      <c r="H63" s="9">
        <v>1.4811000000000001</v>
      </c>
      <c r="I63" s="13">
        <v>12</v>
      </c>
      <c r="J63" s="13">
        <f t="shared" si="2"/>
        <v>17.77</v>
      </c>
    </row>
    <row r="64" spans="1:10">
      <c r="A64" t="s">
        <v>13</v>
      </c>
      <c r="B64" s="9">
        <v>88830</v>
      </c>
      <c r="C64" s="588" t="s">
        <v>48</v>
      </c>
      <c r="D64" s="588"/>
      <c r="E64" s="588"/>
      <c r="F64" s="588"/>
      <c r="G64" s="9" t="s">
        <v>49</v>
      </c>
      <c r="H64" s="9">
        <v>0.76229999999999998</v>
      </c>
      <c r="I64" s="13">
        <v>1.5766423357999999</v>
      </c>
      <c r="J64" s="13">
        <f t="shared" si="2"/>
        <v>1.2</v>
      </c>
    </row>
    <row r="65" spans="1:10">
      <c r="A65" t="s">
        <v>13</v>
      </c>
      <c r="B65" s="9">
        <v>88831</v>
      </c>
      <c r="C65" s="588" t="s">
        <v>50</v>
      </c>
      <c r="D65" s="588"/>
      <c r="E65" s="588"/>
      <c r="F65" s="588"/>
      <c r="G65" s="9" t="s">
        <v>51</v>
      </c>
      <c r="H65" s="9">
        <v>0.71879999999999999</v>
      </c>
      <c r="I65" s="13">
        <v>0.32730769230000001</v>
      </c>
      <c r="J65" s="13">
        <f t="shared" si="2"/>
        <v>0.23</v>
      </c>
    </row>
    <row r="66" spans="1:10" ht="28.8">
      <c r="A66" s="10" t="s">
        <v>4</v>
      </c>
      <c r="B66" s="11">
        <v>94971</v>
      </c>
      <c r="C66" s="589" t="s">
        <v>52</v>
      </c>
      <c r="D66" s="590"/>
      <c r="E66" s="590"/>
      <c r="F66" s="590"/>
      <c r="G66" s="11" t="s">
        <v>39</v>
      </c>
      <c r="H66" s="11"/>
      <c r="I66" s="12">
        <f>J67+J68+J69+J70+J71+J72+J73</f>
        <v>374.14000000000004</v>
      </c>
      <c r="J66" s="12"/>
    </row>
    <row r="67" spans="1:10">
      <c r="A67" t="s">
        <v>7</v>
      </c>
      <c r="B67" s="9">
        <v>370</v>
      </c>
      <c r="C67" s="588" t="s">
        <v>44</v>
      </c>
      <c r="D67" s="588"/>
      <c r="E67" s="588"/>
      <c r="F67" s="588"/>
      <c r="G67" s="9" t="s">
        <v>39</v>
      </c>
      <c r="H67" s="9">
        <v>0.72750000000000004</v>
      </c>
      <c r="I67" s="13">
        <v>80</v>
      </c>
      <c r="J67" s="13">
        <f t="shared" ref="J67:J73" si="3">TRUNC((H67*I67),2)</f>
        <v>58.2</v>
      </c>
    </row>
    <row r="68" spans="1:10">
      <c r="A68" t="s">
        <v>7</v>
      </c>
      <c r="B68" s="9">
        <v>1379</v>
      </c>
      <c r="C68" s="588" t="s">
        <v>45</v>
      </c>
      <c r="D68" s="588"/>
      <c r="E68" s="588"/>
      <c r="F68" s="588"/>
      <c r="G68" s="9" t="s">
        <v>31</v>
      </c>
      <c r="H68" s="9">
        <v>364.94330000000002</v>
      </c>
      <c r="I68" s="13">
        <v>0.63</v>
      </c>
      <c r="J68" s="13">
        <f t="shared" si="3"/>
        <v>229.91</v>
      </c>
    </row>
    <row r="69" spans="1:10">
      <c r="A69" t="s">
        <v>7</v>
      </c>
      <c r="B69" s="9">
        <v>4721</v>
      </c>
      <c r="C69" s="588" t="s">
        <v>46</v>
      </c>
      <c r="D69" s="588"/>
      <c r="E69" s="588"/>
      <c r="F69" s="588"/>
      <c r="G69" s="9" t="s">
        <v>39</v>
      </c>
      <c r="H69" s="9">
        <v>0.59719999999999995</v>
      </c>
      <c r="I69" s="13">
        <v>73</v>
      </c>
      <c r="J69" s="13">
        <f t="shared" si="3"/>
        <v>43.59</v>
      </c>
    </row>
    <row r="70" spans="1:10">
      <c r="A70" t="s">
        <v>13</v>
      </c>
      <c r="B70" s="9">
        <v>88316</v>
      </c>
      <c r="C70" s="588" t="s">
        <v>22</v>
      </c>
      <c r="D70" s="588"/>
      <c r="E70" s="588"/>
      <c r="F70" s="588"/>
      <c r="G70" s="9" t="s">
        <v>6</v>
      </c>
      <c r="H70" s="9">
        <v>1.9792000000000001</v>
      </c>
      <c r="I70" s="13">
        <v>12</v>
      </c>
      <c r="J70" s="13">
        <f t="shared" si="3"/>
        <v>23.75</v>
      </c>
    </row>
    <row r="71" spans="1:10">
      <c r="A71" t="s">
        <v>13</v>
      </c>
      <c r="B71" s="9">
        <v>88377</v>
      </c>
      <c r="C71" s="588" t="s">
        <v>47</v>
      </c>
      <c r="D71" s="588"/>
      <c r="E71" s="588"/>
      <c r="F71" s="588"/>
      <c r="G71" s="9" t="s">
        <v>6</v>
      </c>
      <c r="H71" s="9">
        <v>1.2501</v>
      </c>
      <c r="I71" s="13">
        <v>12</v>
      </c>
      <c r="J71" s="13">
        <f t="shared" si="3"/>
        <v>15</v>
      </c>
    </row>
    <row r="72" spans="1:10">
      <c r="A72" t="s">
        <v>13</v>
      </c>
      <c r="B72" s="9">
        <v>89225</v>
      </c>
      <c r="C72" s="588" t="s">
        <v>53</v>
      </c>
      <c r="D72" s="588"/>
      <c r="E72" s="588"/>
      <c r="F72" s="588"/>
      <c r="G72" s="9" t="s">
        <v>49</v>
      </c>
      <c r="H72" s="9">
        <v>0.64339999999999997</v>
      </c>
      <c r="I72" s="13">
        <v>4.4965256798000004</v>
      </c>
      <c r="J72" s="13">
        <f t="shared" si="3"/>
        <v>2.89</v>
      </c>
    </row>
    <row r="73" spans="1:10">
      <c r="A73" t="s">
        <v>13</v>
      </c>
      <c r="B73" s="9">
        <v>89226</v>
      </c>
      <c r="C73" s="588" t="s">
        <v>54</v>
      </c>
      <c r="D73" s="588"/>
      <c r="E73" s="588"/>
      <c r="F73" s="588"/>
      <c r="G73" s="9" t="s">
        <v>51</v>
      </c>
      <c r="H73" s="9">
        <v>0.60670000000000002</v>
      </c>
      <c r="I73" s="13">
        <v>1.3304347826</v>
      </c>
      <c r="J73" s="13">
        <f t="shared" si="3"/>
        <v>0.8</v>
      </c>
    </row>
    <row r="74" spans="1:10" ht="28.8">
      <c r="A74" s="10" t="s">
        <v>4</v>
      </c>
      <c r="B74" s="11">
        <v>103670</v>
      </c>
      <c r="C74" s="589" t="s">
        <v>55</v>
      </c>
      <c r="D74" s="590"/>
      <c r="E74" s="590"/>
      <c r="F74" s="590"/>
      <c r="G74" s="11" t="s">
        <v>39</v>
      </c>
      <c r="H74" s="11"/>
      <c r="I74" s="12">
        <f>J75+J76+J77+J78+J79</f>
        <v>173.87</v>
      </c>
      <c r="J74" s="12"/>
    </row>
    <row r="75" spans="1:10">
      <c r="A75" t="s">
        <v>13</v>
      </c>
      <c r="B75" s="9">
        <v>88262</v>
      </c>
      <c r="C75" s="588" t="s">
        <v>56</v>
      </c>
      <c r="D75" s="588"/>
      <c r="E75" s="588"/>
      <c r="F75" s="588"/>
      <c r="G75" s="9" t="s">
        <v>6</v>
      </c>
      <c r="H75" s="9">
        <v>2.4590000000000001</v>
      </c>
      <c r="I75" s="13">
        <v>17</v>
      </c>
      <c r="J75" s="13">
        <f>TRUNC((H75*I75),2)</f>
        <v>41.8</v>
      </c>
    </row>
    <row r="76" spans="1:10">
      <c r="A76" t="s">
        <v>13</v>
      </c>
      <c r="B76" s="9">
        <v>88309</v>
      </c>
      <c r="C76" s="588" t="s">
        <v>32</v>
      </c>
      <c r="D76" s="588"/>
      <c r="E76" s="588"/>
      <c r="F76" s="588"/>
      <c r="G76" s="9" t="s">
        <v>6</v>
      </c>
      <c r="H76" s="9">
        <v>2.4590000000000001</v>
      </c>
      <c r="I76" s="13">
        <v>17</v>
      </c>
      <c r="J76" s="13">
        <f>TRUNC((H76*I76),2)</f>
        <v>41.8</v>
      </c>
    </row>
    <row r="77" spans="1:10">
      <c r="A77" t="s">
        <v>13</v>
      </c>
      <c r="B77" s="9">
        <v>88316</v>
      </c>
      <c r="C77" s="588" t="s">
        <v>22</v>
      </c>
      <c r="D77" s="588"/>
      <c r="E77" s="588"/>
      <c r="F77" s="588"/>
      <c r="G77" s="9" t="s">
        <v>6</v>
      </c>
      <c r="H77" s="9">
        <v>7.3769999999999998</v>
      </c>
      <c r="I77" s="13">
        <v>12</v>
      </c>
      <c r="J77" s="13">
        <f>TRUNC((H77*I77),2)</f>
        <v>88.52</v>
      </c>
    </row>
    <row r="78" spans="1:10">
      <c r="A78" t="s">
        <v>13</v>
      </c>
      <c r="B78" s="9">
        <v>90586</v>
      </c>
      <c r="C78" s="588" t="s">
        <v>57</v>
      </c>
      <c r="D78" s="588"/>
      <c r="E78" s="588"/>
      <c r="F78" s="588"/>
      <c r="G78" s="9" t="s">
        <v>49</v>
      </c>
      <c r="H78" s="9">
        <v>1.042</v>
      </c>
      <c r="I78" s="13">
        <v>1.1064393938999999</v>
      </c>
      <c r="J78" s="13">
        <f>TRUNC((H78*I78),2)</f>
        <v>1.1499999999999999</v>
      </c>
    </row>
    <row r="79" spans="1:10">
      <c r="A79" t="s">
        <v>13</v>
      </c>
      <c r="B79" s="9">
        <v>90587</v>
      </c>
      <c r="C79" s="588" t="s">
        <v>58</v>
      </c>
      <c r="D79" s="588"/>
      <c r="E79" s="588"/>
      <c r="F79" s="588"/>
      <c r="G79" s="9" t="s">
        <v>51</v>
      </c>
      <c r="H79" s="9">
        <v>1.417</v>
      </c>
      <c r="I79" s="13">
        <v>0.4260869565</v>
      </c>
      <c r="J79" s="13">
        <f>TRUNC((H79*I79),2)</f>
        <v>0.6</v>
      </c>
    </row>
    <row r="80" spans="1:10" ht="28.8">
      <c r="A80" s="10" t="s">
        <v>4</v>
      </c>
      <c r="B80" s="11">
        <v>96536</v>
      </c>
      <c r="C80" s="589" t="s">
        <v>59</v>
      </c>
      <c r="D80" s="590"/>
      <c r="E80" s="590"/>
      <c r="F80" s="590"/>
      <c r="G80" s="11" t="s">
        <v>21</v>
      </c>
      <c r="H80" s="11"/>
      <c r="I80" s="12">
        <f>J81+J82+J83+J84+J85+J86+J87+J88+J89+J90</f>
        <v>53.790000000000006</v>
      </c>
      <c r="J80" s="12"/>
    </row>
    <row r="81" spans="1:10">
      <c r="A81" t="s">
        <v>7</v>
      </c>
      <c r="B81" s="9">
        <v>2692</v>
      </c>
      <c r="C81" s="588" t="s">
        <v>60</v>
      </c>
      <c r="D81" s="588"/>
      <c r="E81" s="588"/>
      <c r="F81" s="588"/>
      <c r="G81" s="9" t="s">
        <v>61</v>
      </c>
      <c r="H81" s="9">
        <v>1.7000000000000001E-2</v>
      </c>
      <c r="I81" s="13">
        <v>4.585</v>
      </c>
      <c r="J81" s="13">
        <f t="shared" ref="J81:J90" si="4">TRUNC((H81*I81),2)</f>
        <v>7.0000000000000007E-2</v>
      </c>
    </row>
    <row r="82" spans="1:10">
      <c r="A82" t="s">
        <v>7</v>
      </c>
      <c r="B82" s="9">
        <v>4491</v>
      </c>
      <c r="C82" s="588" t="s">
        <v>62</v>
      </c>
      <c r="D82" s="588"/>
      <c r="E82" s="588"/>
      <c r="F82" s="588"/>
      <c r="G82" s="9" t="s">
        <v>63</v>
      </c>
      <c r="H82" s="9">
        <v>0.60499999999999998</v>
      </c>
      <c r="I82" s="13">
        <v>7.8975824175999998</v>
      </c>
      <c r="J82" s="13">
        <f t="shared" si="4"/>
        <v>4.7699999999999996</v>
      </c>
    </row>
    <row r="83" spans="1:10">
      <c r="A83" t="s">
        <v>7</v>
      </c>
      <c r="B83" s="9">
        <v>4517</v>
      </c>
      <c r="C83" s="588" t="s">
        <v>64</v>
      </c>
      <c r="D83" s="588"/>
      <c r="E83" s="588"/>
      <c r="F83" s="588"/>
      <c r="G83" s="9" t="s">
        <v>63</v>
      </c>
      <c r="H83" s="9">
        <v>0.56699999999999995</v>
      </c>
      <c r="I83" s="13">
        <v>2.7539664803999999</v>
      </c>
      <c r="J83" s="13">
        <f t="shared" si="4"/>
        <v>1.56</v>
      </c>
    </row>
    <row r="84" spans="1:10">
      <c r="A84" t="s">
        <v>7</v>
      </c>
      <c r="B84" s="9">
        <v>5073</v>
      </c>
      <c r="C84" s="588" t="s">
        <v>65</v>
      </c>
      <c r="D84" s="588"/>
      <c r="E84" s="588"/>
      <c r="F84" s="588"/>
      <c r="G84" s="9" t="s">
        <v>31</v>
      </c>
      <c r="H84" s="9">
        <v>2.5999999999999999E-2</v>
      </c>
      <c r="I84" s="13">
        <v>21.284126984099998</v>
      </c>
      <c r="J84" s="13">
        <f t="shared" si="4"/>
        <v>0.55000000000000004</v>
      </c>
    </row>
    <row r="85" spans="1:10">
      <c r="A85" t="s">
        <v>7</v>
      </c>
      <c r="B85" s="9">
        <v>6189</v>
      </c>
      <c r="C85" s="588" t="s">
        <v>66</v>
      </c>
      <c r="D85" s="588"/>
      <c r="E85" s="588"/>
      <c r="F85" s="588"/>
      <c r="G85" s="9" t="s">
        <v>63</v>
      </c>
      <c r="H85" s="9">
        <v>1.008</v>
      </c>
      <c r="I85" s="13">
        <v>20.2826347305</v>
      </c>
      <c r="J85" s="13">
        <f t="shared" si="4"/>
        <v>20.440000000000001</v>
      </c>
    </row>
    <row r="86" spans="1:10">
      <c r="A86" t="s">
        <v>7</v>
      </c>
      <c r="B86" s="9">
        <v>40304</v>
      </c>
      <c r="C86" s="588" t="s">
        <v>67</v>
      </c>
      <c r="D86" s="588"/>
      <c r="E86" s="588"/>
      <c r="F86" s="588"/>
      <c r="G86" s="9" t="s">
        <v>31</v>
      </c>
      <c r="H86" s="9">
        <v>3.4000000000000002E-2</v>
      </c>
      <c r="I86" s="13">
        <v>25.682400000000001</v>
      </c>
      <c r="J86" s="13">
        <f t="shared" si="4"/>
        <v>0.87</v>
      </c>
    </row>
    <row r="87" spans="1:10">
      <c r="A87" t="s">
        <v>13</v>
      </c>
      <c r="B87" s="9">
        <v>88239</v>
      </c>
      <c r="C87" s="588" t="s">
        <v>68</v>
      </c>
      <c r="D87" s="588"/>
      <c r="E87" s="588"/>
      <c r="F87" s="588"/>
      <c r="G87" s="9" t="s">
        <v>6</v>
      </c>
      <c r="H87" s="9">
        <v>0.47099999999999997</v>
      </c>
      <c r="I87" s="13">
        <v>12</v>
      </c>
      <c r="J87" s="13">
        <f t="shared" si="4"/>
        <v>5.65</v>
      </c>
    </row>
    <row r="88" spans="1:10">
      <c r="A88" t="s">
        <v>13</v>
      </c>
      <c r="B88" s="9">
        <v>88262</v>
      </c>
      <c r="C88" s="588" t="s">
        <v>56</v>
      </c>
      <c r="D88" s="588"/>
      <c r="E88" s="588"/>
      <c r="F88" s="588"/>
      <c r="G88" s="9" t="s">
        <v>6</v>
      </c>
      <c r="H88" s="9">
        <v>1.145</v>
      </c>
      <c r="I88" s="13">
        <v>17</v>
      </c>
      <c r="J88" s="13">
        <f t="shared" si="4"/>
        <v>19.46</v>
      </c>
    </row>
    <row r="89" spans="1:10">
      <c r="A89" t="s">
        <v>13</v>
      </c>
      <c r="B89" s="9">
        <v>91692</v>
      </c>
      <c r="C89" s="588" t="s">
        <v>69</v>
      </c>
      <c r="D89" s="588"/>
      <c r="E89" s="588"/>
      <c r="F89" s="588"/>
      <c r="G89" s="9" t="s">
        <v>49</v>
      </c>
      <c r="H89" s="9">
        <v>1.7000000000000001E-2</v>
      </c>
      <c r="I89" s="13">
        <v>14.22</v>
      </c>
      <c r="J89" s="13">
        <f t="shared" si="4"/>
        <v>0.24</v>
      </c>
    </row>
    <row r="90" spans="1:10">
      <c r="A90" t="s">
        <v>13</v>
      </c>
      <c r="B90" s="9">
        <v>91693</v>
      </c>
      <c r="C90" s="588" t="s">
        <v>70</v>
      </c>
      <c r="D90" s="588"/>
      <c r="E90" s="588"/>
      <c r="F90" s="588"/>
      <c r="G90" s="9" t="s">
        <v>51</v>
      </c>
      <c r="H90" s="9">
        <v>1.4E-2</v>
      </c>
      <c r="I90" s="13">
        <v>13.1657142857</v>
      </c>
      <c r="J90" s="13">
        <f t="shared" si="4"/>
        <v>0.18</v>
      </c>
    </row>
    <row r="91" spans="1:10" ht="28.8">
      <c r="A91" s="10" t="s">
        <v>4</v>
      </c>
      <c r="B91" s="11">
        <v>92919</v>
      </c>
      <c r="C91" s="589" t="s">
        <v>71</v>
      </c>
      <c r="D91" s="590"/>
      <c r="E91" s="590"/>
      <c r="F91" s="590"/>
      <c r="G91" s="11" t="s">
        <v>31</v>
      </c>
      <c r="H91" s="11"/>
      <c r="I91" s="12">
        <f>J92+J93+J94+J95+J96</f>
        <v>12.33</v>
      </c>
      <c r="J91" s="12"/>
    </row>
    <row r="92" spans="1:10">
      <c r="A92" t="s">
        <v>7</v>
      </c>
      <c r="B92" s="9">
        <v>39017</v>
      </c>
      <c r="C92" s="588" t="s">
        <v>72</v>
      </c>
      <c r="D92" s="588"/>
      <c r="E92" s="588"/>
      <c r="F92" s="588"/>
      <c r="G92" s="9" t="s">
        <v>36</v>
      </c>
      <c r="H92" s="9">
        <v>0.54300000000000004</v>
      </c>
      <c r="I92" s="13">
        <v>0.2</v>
      </c>
      <c r="J92" s="13">
        <f>TRUNC((H92*I92),2)</f>
        <v>0.1</v>
      </c>
    </row>
    <row r="93" spans="1:10">
      <c r="A93" t="s">
        <v>7</v>
      </c>
      <c r="B93" s="9">
        <v>43132</v>
      </c>
      <c r="C93" s="588" t="s">
        <v>73</v>
      </c>
      <c r="D93" s="588"/>
      <c r="E93" s="588"/>
      <c r="F93" s="588"/>
      <c r="G93" s="9" t="s">
        <v>31</v>
      </c>
      <c r="H93" s="9">
        <v>2.5000000000000001E-2</v>
      </c>
      <c r="I93" s="13">
        <v>17.600000000000001</v>
      </c>
      <c r="J93" s="13">
        <f>TRUNC((H93*I93),2)</f>
        <v>0.44</v>
      </c>
    </row>
    <row r="94" spans="1:10">
      <c r="A94" t="s">
        <v>13</v>
      </c>
      <c r="B94" s="9">
        <v>88238</v>
      </c>
      <c r="C94" s="588" t="s">
        <v>74</v>
      </c>
      <c r="D94" s="588"/>
      <c r="E94" s="588"/>
      <c r="F94" s="588"/>
      <c r="G94" s="9" t="s">
        <v>6</v>
      </c>
      <c r="H94" s="9">
        <v>1.21E-2</v>
      </c>
      <c r="I94" s="13">
        <v>12</v>
      </c>
      <c r="J94" s="13">
        <f>TRUNC((H94*I94),2)</f>
        <v>0.14000000000000001</v>
      </c>
    </row>
    <row r="95" spans="1:10">
      <c r="A95" t="s">
        <v>13</v>
      </c>
      <c r="B95" s="9">
        <v>88245</v>
      </c>
      <c r="C95" s="588" t="s">
        <v>75</v>
      </c>
      <c r="D95" s="588"/>
      <c r="E95" s="588"/>
      <c r="F95" s="588"/>
      <c r="G95" s="9" t="s">
        <v>6</v>
      </c>
      <c r="H95" s="9">
        <v>7.4300000000000005E-2</v>
      </c>
      <c r="I95" s="13">
        <v>17</v>
      </c>
      <c r="J95" s="13">
        <f>TRUNC((H95*I95),2)</f>
        <v>1.26</v>
      </c>
    </row>
    <row r="96" spans="1:10">
      <c r="A96" t="s">
        <v>13</v>
      </c>
      <c r="B96" s="9">
        <v>92794</v>
      </c>
      <c r="C96" s="588" t="s">
        <v>76</v>
      </c>
      <c r="D96" s="588"/>
      <c r="E96" s="588"/>
      <c r="F96" s="588"/>
      <c r="G96" s="9" t="s">
        <v>31</v>
      </c>
      <c r="H96" s="9">
        <v>1</v>
      </c>
      <c r="I96" s="13">
        <v>10.39</v>
      </c>
      <c r="J96" s="13">
        <f>TRUNC((H96*I96),2)</f>
        <v>10.39</v>
      </c>
    </row>
    <row r="97" spans="1:10" ht="28.8">
      <c r="A97" s="10" t="s">
        <v>4</v>
      </c>
      <c r="B97" s="11">
        <v>92916</v>
      </c>
      <c r="C97" s="589" t="s">
        <v>77</v>
      </c>
      <c r="D97" s="590"/>
      <c r="E97" s="590"/>
      <c r="F97" s="590"/>
      <c r="G97" s="11" t="s">
        <v>31</v>
      </c>
      <c r="H97" s="11"/>
      <c r="I97" s="12">
        <f>J98+J99+J100+J101+J102</f>
        <v>14.280000000000001</v>
      </c>
      <c r="J97" s="12"/>
    </row>
    <row r="98" spans="1:10">
      <c r="A98" t="s">
        <v>7</v>
      </c>
      <c r="B98" s="9">
        <v>39017</v>
      </c>
      <c r="C98" s="588" t="s">
        <v>72</v>
      </c>
      <c r="D98" s="588"/>
      <c r="E98" s="588"/>
      <c r="F98" s="588"/>
      <c r="G98" s="9" t="s">
        <v>36</v>
      </c>
      <c r="H98" s="9">
        <v>0.97</v>
      </c>
      <c r="I98" s="13">
        <v>0.2</v>
      </c>
      <c r="J98" s="13">
        <f>TRUNC((H98*I98),2)</f>
        <v>0.19</v>
      </c>
    </row>
    <row r="99" spans="1:10">
      <c r="A99" t="s">
        <v>7</v>
      </c>
      <c r="B99" s="9">
        <v>43132</v>
      </c>
      <c r="C99" s="588" t="s">
        <v>73</v>
      </c>
      <c r="D99" s="588"/>
      <c r="E99" s="588"/>
      <c r="F99" s="588"/>
      <c r="G99" s="9" t="s">
        <v>31</v>
      </c>
      <c r="H99" s="9">
        <v>2.5000000000000001E-2</v>
      </c>
      <c r="I99" s="13">
        <v>17.600000000000001</v>
      </c>
      <c r="J99" s="13">
        <f>TRUNC((H99*I99),2)</f>
        <v>0.44</v>
      </c>
    </row>
    <row r="100" spans="1:10">
      <c r="A100" t="s">
        <v>13</v>
      </c>
      <c r="B100" s="9">
        <v>88238</v>
      </c>
      <c r="C100" s="588" t="s">
        <v>74</v>
      </c>
      <c r="D100" s="588"/>
      <c r="E100" s="588"/>
      <c r="F100" s="588"/>
      <c r="G100" s="9" t="s">
        <v>6</v>
      </c>
      <c r="H100" s="9">
        <v>2.18E-2</v>
      </c>
      <c r="I100" s="13">
        <v>12</v>
      </c>
      <c r="J100" s="13">
        <f>TRUNC((H100*I100),2)</f>
        <v>0.26</v>
      </c>
    </row>
    <row r="101" spans="1:10">
      <c r="A101" t="s">
        <v>13</v>
      </c>
      <c r="B101" s="9">
        <v>88245</v>
      </c>
      <c r="C101" s="588" t="s">
        <v>75</v>
      </c>
      <c r="D101" s="588"/>
      <c r="E101" s="588"/>
      <c r="F101" s="588"/>
      <c r="G101" s="9" t="s">
        <v>6</v>
      </c>
      <c r="H101" s="9">
        <v>0.13300000000000001</v>
      </c>
      <c r="I101" s="13">
        <v>17</v>
      </c>
      <c r="J101" s="13">
        <f>TRUNC((H101*I101),2)</f>
        <v>2.2599999999999998</v>
      </c>
    </row>
    <row r="102" spans="1:10">
      <c r="A102" t="s">
        <v>13</v>
      </c>
      <c r="B102" s="9">
        <v>92792</v>
      </c>
      <c r="C102" s="588" t="s">
        <v>78</v>
      </c>
      <c r="D102" s="588"/>
      <c r="E102" s="588"/>
      <c r="F102" s="588"/>
      <c r="G102" s="9" t="s">
        <v>31</v>
      </c>
      <c r="H102" s="9">
        <v>1</v>
      </c>
      <c r="I102" s="13">
        <v>11.13</v>
      </c>
      <c r="J102" s="13">
        <f>TRUNC((H102*I102),2)</f>
        <v>11.13</v>
      </c>
    </row>
    <row r="103" spans="1:10" ht="28.8">
      <c r="A103" s="10" t="s">
        <v>4</v>
      </c>
      <c r="B103" s="11">
        <v>101165</v>
      </c>
      <c r="C103" s="589" t="s">
        <v>79</v>
      </c>
      <c r="D103" s="590"/>
      <c r="E103" s="590"/>
      <c r="F103" s="590"/>
      <c r="G103" s="11" t="s">
        <v>39</v>
      </c>
      <c r="H103" s="11"/>
      <c r="I103" s="12">
        <f>J104+J105+J106+J107</f>
        <v>653.62</v>
      </c>
      <c r="J103" s="12"/>
    </row>
    <row r="104" spans="1:10">
      <c r="A104" t="s">
        <v>7</v>
      </c>
      <c r="B104" s="9">
        <v>34566</v>
      </c>
      <c r="C104" s="588" t="s">
        <v>80</v>
      </c>
      <c r="D104" s="588"/>
      <c r="E104" s="588"/>
      <c r="F104" s="588"/>
      <c r="G104" s="9" t="s">
        <v>36</v>
      </c>
      <c r="H104" s="9">
        <v>122.27</v>
      </c>
      <c r="I104" s="13">
        <v>2.9898828200000001</v>
      </c>
      <c r="J104" s="13">
        <f>TRUNC((H104*I104),2)</f>
        <v>365.57</v>
      </c>
    </row>
    <row r="105" spans="1:10">
      <c r="A105" t="s">
        <v>13</v>
      </c>
      <c r="B105" s="9">
        <v>87292</v>
      </c>
      <c r="C105" s="588" t="s">
        <v>81</v>
      </c>
      <c r="D105" s="588"/>
      <c r="E105" s="588"/>
      <c r="F105" s="588"/>
      <c r="G105" s="9" t="s">
        <v>39</v>
      </c>
      <c r="H105" s="9">
        <v>0.13</v>
      </c>
      <c r="I105" s="13">
        <v>400</v>
      </c>
      <c r="J105" s="13">
        <f>TRUNC((H105*I105),2)</f>
        <v>52</v>
      </c>
    </row>
    <row r="106" spans="1:10">
      <c r="A106" t="s">
        <v>13</v>
      </c>
      <c r="B106" s="9">
        <v>88309</v>
      </c>
      <c r="C106" s="588" t="s">
        <v>32</v>
      </c>
      <c r="D106" s="588"/>
      <c r="E106" s="588"/>
      <c r="F106" s="588"/>
      <c r="G106" s="9" t="s">
        <v>6</v>
      </c>
      <c r="H106" s="9">
        <v>10.263</v>
      </c>
      <c r="I106" s="13">
        <v>17</v>
      </c>
      <c r="J106" s="13">
        <f>TRUNC((H106*I106),2)</f>
        <v>174.47</v>
      </c>
    </row>
    <row r="107" spans="1:10">
      <c r="A107" t="s">
        <v>13</v>
      </c>
      <c r="B107" s="9">
        <v>88316</v>
      </c>
      <c r="C107" s="588" t="s">
        <v>22</v>
      </c>
      <c r="D107" s="588"/>
      <c r="E107" s="588"/>
      <c r="F107" s="588"/>
      <c r="G107" s="9" t="s">
        <v>6</v>
      </c>
      <c r="H107" s="9">
        <v>5.1319999999999997</v>
      </c>
      <c r="I107" s="13">
        <v>12</v>
      </c>
      <c r="J107" s="13">
        <f>TRUNC((H107*I107),2)</f>
        <v>61.58</v>
      </c>
    </row>
    <row r="108" spans="1:10" ht="28.8">
      <c r="A108" s="10" t="s">
        <v>4</v>
      </c>
      <c r="B108" s="11">
        <v>92411</v>
      </c>
      <c r="C108" s="589" t="s">
        <v>82</v>
      </c>
      <c r="D108" s="590"/>
      <c r="E108" s="590"/>
      <c r="F108" s="590"/>
      <c r="G108" s="11" t="s">
        <v>21</v>
      </c>
      <c r="H108" s="11"/>
      <c r="I108" s="12">
        <f>J109+J110+J111+J112+J113</f>
        <v>138.06</v>
      </c>
      <c r="J108" s="12"/>
    </row>
    <row r="109" spans="1:10">
      <c r="A109" t="s">
        <v>7</v>
      </c>
      <c r="B109" s="9">
        <v>2692</v>
      </c>
      <c r="C109" s="588" t="s">
        <v>60</v>
      </c>
      <c r="D109" s="588"/>
      <c r="E109" s="588"/>
      <c r="F109" s="588"/>
      <c r="G109" s="9" t="s">
        <v>61</v>
      </c>
      <c r="H109" s="9">
        <v>1.7000000000000001E-2</v>
      </c>
      <c r="I109" s="13">
        <v>4.585</v>
      </c>
      <c r="J109" s="13">
        <f>TRUNC((H109*I109),2)</f>
        <v>7.0000000000000007E-2</v>
      </c>
    </row>
    <row r="110" spans="1:10">
      <c r="A110" t="s">
        <v>7</v>
      </c>
      <c r="B110" s="9">
        <v>40304</v>
      </c>
      <c r="C110" s="588" t="s">
        <v>67</v>
      </c>
      <c r="D110" s="588"/>
      <c r="E110" s="588"/>
      <c r="F110" s="588"/>
      <c r="G110" s="9" t="s">
        <v>31</v>
      </c>
      <c r="H110" s="9">
        <v>2.7E-2</v>
      </c>
      <c r="I110" s="13">
        <v>25.783291139199999</v>
      </c>
      <c r="J110" s="13">
        <f>TRUNC((H110*I110),2)</f>
        <v>0.69</v>
      </c>
    </row>
    <row r="111" spans="1:10">
      <c r="A111" t="s">
        <v>13</v>
      </c>
      <c r="B111" s="9">
        <v>88239</v>
      </c>
      <c r="C111" s="588" t="s">
        <v>68</v>
      </c>
      <c r="D111" s="588"/>
      <c r="E111" s="588"/>
      <c r="F111" s="588"/>
      <c r="G111" s="9" t="s">
        <v>6</v>
      </c>
      <c r="H111" s="9">
        <v>0.48899999999999999</v>
      </c>
      <c r="I111" s="13">
        <v>12</v>
      </c>
      <c r="J111" s="13">
        <f>TRUNC((H111*I111),2)</f>
        <v>5.86</v>
      </c>
    </row>
    <row r="112" spans="1:10">
      <c r="A112" t="s">
        <v>13</v>
      </c>
      <c r="B112" s="9">
        <v>88262</v>
      </c>
      <c r="C112" s="588" t="s">
        <v>56</v>
      </c>
      <c r="D112" s="588"/>
      <c r="E112" s="588"/>
      <c r="F112" s="588"/>
      <c r="G112" s="9" t="s">
        <v>6</v>
      </c>
      <c r="H112" s="9">
        <v>2.6680000000000001</v>
      </c>
      <c r="I112" s="13">
        <v>17</v>
      </c>
      <c r="J112" s="13">
        <f>TRUNC((H112*I112),2)</f>
        <v>45.35</v>
      </c>
    </row>
    <row r="113" spans="1:10">
      <c r="A113" t="s">
        <v>13</v>
      </c>
      <c r="B113" s="9">
        <v>92269</v>
      </c>
      <c r="C113" s="588" t="s">
        <v>83</v>
      </c>
      <c r="D113" s="588"/>
      <c r="E113" s="588"/>
      <c r="F113" s="588"/>
      <c r="G113" s="9" t="s">
        <v>21</v>
      </c>
      <c r="H113" s="9">
        <v>0.53</v>
      </c>
      <c r="I113" s="13">
        <v>162.44154955319999</v>
      </c>
      <c r="J113" s="13">
        <f>TRUNC((H113*I113),2)</f>
        <v>86.09</v>
      </c>
    </row>
    <row r="114" spans="1:10" ht="28.8">
      <c r="A114" s="10" t="s">
        <v>4</v>
      </c>
      <c r="B114" s="11">
        <v>92778</v>
      </c>
      <c r="C114" s="589" t="s">
        <v>84</v>
      </c>
      <c r="D114" s="590"/>
      <c r="E114" s="590"/>
      <c r="F114" s="590"/>
      <c r="G114" s="11" t="s">
        <v>31</v>
      </c>
      <c r="H114" s="11"/>
      <c r="I114" s="12">
        <f>J115+J116+J117+J118+J119</f>
        <v>12.73</v>
      </c>
      <c r="J114" s="12"/>
    </row>
    <row r="115" spans="1:10">
      <c r="A115" t="s">
        <v>7</v>
      </c>
      <c r="B115" s="9">
        <v>39017</v>
      </c>
      <c r="C115" s="588" t="s">
        <v>72</v>
      </c>
      <c r="D115" s="588"/>
      <c r="E115" s="588"/>
      <c r="F115" s="588"/>
      <c r="G115" s="9" t="s">
        <v>36</v>
      </c>
      <c r="H115" s="9">
        <v>0.54300000000000004</v>
      </c>
      <c r="I115" s="13">
        <v>0.2</v>
      </c>
      <c r="J115" s="13">
        <f>TRUNC((H115*I115),2)</f>
        <v>0.1</v>
      </c>
    </row>
    <row r="116" spans="1:10">
      <c r="A116" t="s">
        <v>7</v>
      </c>
      <c r="B116" s="9">
        <v>43132</v>
      </c>
      <c r="C116" s="588" t="s">
        <v>73</v>
      </c>
      <c r="D116" s="588"/>
      <c r="E116" s="588"/>
      <c r="F116" s="588"/>
      <c r="G116" s="9" t="s">
        <v>31</v>
      </c>
      <c r="H116" s="9">
        <v>2.5000000000000001E-2</v>
      </c>
      <c r="I116" s="13">
        <v>17.600000000000001</v>
      </c>
      <c r="J116" s="13">
        <f>TRUNC((H116*I116),2)</f>
        <v>0.44</v>
      </c>
    </row>
    <row r="117" spans="1:10">
      <c r="A117" t="s">
        <v>13</v>
      </c>
      <c r="B117" s="9">
        <v>88238</v>
      </c>
      <c r="C117" s="588" t="s">
        <v>74</v>
      </c>
      <c r="D117" s="588"/>
      <c r="E117" s="588"/>
      <c r="F117" s="588"/>
      <c r="G117" s="9" t="s">
        <v>6</v>
      </c>
      <c r="H117" s="9">
        <v>1.5599999999999999E-2</v>
      </c>
      <c r="I117" s="13">
        <v>12</v>
      </c>
      <c r="J117" s="13">
        <f>TRUNC((H117*I117),2)</f>
        <v>0.18</v>
      </c>
    </row>
    <row r="118" spans="1:10">
      <c r="A118" t="s">
        <v>13</v>
      </c>
      <c r="B118" s="9">
        <v>88245</v>
      </c>
      <c r="C118" s="588" t="s">
        <v>75</v>
      </c>
      <c r="D118" s="588"/>
      <c r="E118" s="588"/>
      <c r="F118" s="588"/>
      <c r="G118" s="9" t="s">
        <v>6</v>
      </c>
      <c r="H118" s="9">
        <v>9.5600000000000004E-2</v>
      </c>
      <c r="I118" s="13">
        <v>17</v>
      </c>
      <c r="J118" s="13">
        <f>TRUNC((H118*I118),2)</f>
        <v>1.62</v>
      </c>
    </row>
    <row r="119" spans="1:10">
      <c r="A119" t="s">
        <v>13</v>
      </c>
      <c r="B119" s="9">
        <v>92794</v>
      </c>
      <c r="C119" s="588" t="s">
        <v>76</v>
      </c>
      <c r="D119" s="588"/>
      <c r="E119" s="588"/>
      <c r="F119" s="588"/>
      <c r="G119" s="9" t="s">
        <v>31</v>
      </c>
      <c r="H119" s="9">
        <v>1</v>
      </c>
      <c r="I119" s="13">
        <v>10.39</v>
      </c>
      <c r="J119" s="13">
        <f>TRUNC((H119*I119),2)</f>
        <v>10.39</v>
      </c>
    </row>
    <row r="120" spans="1:10" ht="28.8">
      <c r="A120" s="10" t="s">
        <v>4</v>
      </c>
      <c r="B120" s="11">
        <v>92775</v>
      </c>
      <c r="C120" s="589" t="s">
        <v>85</v>
      </c>
      <c r="D120" s="590"/>
      <c r="E120" s="590"/>
      <c r="F120" s="590"/>
      <c r="G120" s="11" t="s">
        <v>31</v>
      </c>
      <c r="H120" s="11"/>
      <c r="I120" s="12">
        <f>J121+J122+J123+J124+J125</f>
        <v>15.66</v>
      </c>
      <c r="J120" s="12"/>
    </row>
    <row r="121" spans="1:10">
      <c r="A121" t="s">
        <v>7</v>
      </c>
      <c r="B121" s="9">
        <v>39017</v>
      </c>
      <c r="C121" s="588" t="s">
        <v>72</v>
      </c>
      <c r="D121" s="588"/>
      <c r="E121" s="588"/>
      <c r="F121" s="588"/>
      <c r="G121" s="9" t="s">
        <v>36</v>
      </c>
      <c r="H121" s="9">
        <v>1.19</v>
      </c>
      <c r="I121" s="13">
        <v>0.2</v>
      </c>
      <c r="J121" s="13">
        <f>TRUNC((H121*I121),2)</f>
        <v>0.23</v>
      </c>
    </row>
    <row r="122" spans="1:10">
      <c r="A122" t="s">
        <v>7</v>
      </c>
      <c r="B122" s="9">
        <v>43132</v>
      </c>
      <c r="C122" s="588" t="s">
        <v>73</v>
      </c>
      <c r="D122" s="588"/>
      <c r="E122" s="588"/>
      <c r="F122" s="588"/>
      <c r="G122" s="9" t="s">
        <v>31</v>
      </c>
      <c r="H122" s="9">
        <v>2.5000000000000001E-2</v>
      </c>
      <c r="I122" s="13">
        <v>17.600000000000001</v>
      </c>
      <c r="J122" s="13">
        <f>TRUNC((H122*I122),2)</f>
        <v>0.44</v>
      </c>
    </row>
    <row r="123" spans="1:10">
      <c r="A123" t="s">
        <v>13</v>
      </c>
      <c r="B123" s="9">
        <v>88238</v>
      </c>
      <c r="C123" s="588" t="s">
        <v>74</v>
      </c>
      <c r="D123" s="588"/>
      <c r="E123" s="588"/>
      <c r="F123" s="588"/>
      <c r="G123" s="9" t="s">
        <v>6</v>
      </c>
      <c r="H123" s="9">
        <v>3.6700000000000003E-2</v>
      </c>
      <c r="I123" s="13">
        <v>12</v>
      </c>
      <c r="J123" s="13">
        <f>TRUNC((H123*I123),2)</f>
        <v>0.44</v>
      </c>
    </row>
    <row r="124" spans="1:10">
      <c r="A124" t="s">
        <v>13</v>
      </c>
      <c r="B124" s="9">
        <v>88245</v>
      </c>
      <c r="C124" s="588" t="s">
        <v>75</v>
      </c>
      <c r="D124" s="588"/>
      <c r="E124" s="588"/>
      <c r="F124" s="588"/>
      <c r="G124" s="9" t="s">
        <v>6</v>
      </c>
      <c r="H124" s="9">
        <v>0.22450000000000001</v>
      </c>
      <c r="I124" s="13">
        <v>17</v>
      </c>
      <c r="J124" s="13">
        <f>TRUNC((H124*I124),2)</f>
        <v>3.81</v>
      </c>
    </row>
    <row r="125" spans="1:10">
      <c r="A125" t="s">
        <v>13</v>
      </c>
      <c r="B125" s="9">
        <v>92791</v>
      </c>
      <c r="C125" s="588" t="s">
        <v>86</v>
      </c>
      <c r="D125" s="588"/>
      <c r="E125" s="588"/>
      <c r="F125" s="588"/>
      <c r="G125" s="9" t="s">
        <v>31</v>
      </c>
      <c r="H125" s="9">
        <v>1</v>
      </c>
      <c r="I125" s="13">
        <v>10.74</v>
      </c>
      <c r="J125" s="13">
        <f>TRUNC((H125*I125),2)</f>
        <v>10.74</v>
      </c>
    </row>
    <row r="126" spans="1:10" ht="28.8">
      <c r="A126" s="10" t="s">
        <v>4</v>
      </c>
      <c r="B126" s="11">
        <v>103328</v>
      </c>
      <c r="C126" s="589" t="s">
        <v>87</v>
      </c>
      <c r="D126" s="590"/>
      <c r="E126" s="590"/>
      <c r="F126" s="590"/>
      <c r="G126" s="11" t="s">
        <v>21</v>
      </c>
      <c r="H126" s="11"/>
      <c r="I126" s="12">
        <f>J127+J128+J129+J130+J131+J132</f>
        <v>64.3</v>
      </c>
      <c r="J126" s="12"/>
    </row>
    <row r="127" spans="1:10">
      <c r="A127" t="s">
        <v>7</v>
      </c>
      <c r="B127" s="9">
        <v>7271</v>
      </c>
      <c r="C127" s="588" t="s">
        <v>88</v>
      </c>
      <c r="D127" s="588"/>
      <c r="E127" s="588"/>
      <c r="F127" s="588"/>
      <c r="G127" s="9" t="s">
        <v>36</v>
      </c>
      <c r="H127" s="9">
        <v>28.31</v>
      </c>
      <c r="I127" s="13">
        <v>0.77799920600000005</v>
      </c>
      <c r="J127" s="13">
        <f t="shared" ref="J127:J132" si="5">TRUNC((H127*I127),2)</f>
        <v>22.02</v>
      </c>
    </row>
    <row r="128" spans="1:10">
      <c r="A128" t="s">
        <v>7</v>
      </c>
      <c r="B128" s="9">
        <v>34557</v>
      </c>
      <c r="C128" s="588" t="s">
        <v>89</v>
      </c>
      <c r="D128" s="588"/>
      <c r="E128" s="588"/>
      <c r="F128" s="588"/>
      <c r="G128" s="9" t="s">
        <v>63</v>
      </c>
      <c r="H128" s="9">
        <v>0.42</v>
      </c>
      <c r="I128" s="13">
        <v>3.4385454544999998</v>
      </c>
      <c r="J128" s="13">
        <f t="shared" si="5"/>
        <v>1.44</v>
      </c>
    </row>
    <row r="129" spans="1:10">
      <c r="A129" t="s">
        <v>7</v>
      </c>
      <c r="B129" s="9">
        <v>37395</v>
      </c>
      <c r="C129" s="588" t="s">
        <v>90</v>
      </c>
      <c r="D129" s="588"/>
      <c r="E129" s="588"/>
      <c r="F129" s="588"/>
      <c r="G129" s="9" t="s">
        <v>91</v>
      </c>
      <c r="H129" s="9">
        <v>5.0000000000000001E-3</v>
      </c>
      <c r="I129" s="13">
        <v>34.662999999999997</v>
      </c>
      <c r="J129" s="13">
        <f t="shared" si="5"/>
        <v>0.17</v>
      </c>
    </row>
    <row r="130" spans="1:10">
      <c r="A130" t="s">
        <v>13</v>
      </c>
      <c r="B130" s="9">
        <v>87292</v>
      </c>
      <c r="C130" s="588" t="s">
        <v>81</v>
      </c>
      <c r="D130" s="588"/>
      <c r="E130" s="588"/>
      <c r="F130" s="588"/>
      <c r="G130" s="9" t="s">
        <v>39</v>
      </c>
      <c r="H130" s="9">
        <v>9.1000000000000004E-3</v>
      </c>
      <c r="I130" s="13">
        <v>400</v>
      </c>
      <c r="J130" s="13">
        <f t="shared" si="5"/>
        <v>3.64</v>
      </c>
    </row>
    <row r="131" spans="1:10">
      <c r="A131" t="s">
        <v>13</v>
      </c>
      <c r="B131" s="9">
        <v>88309</v>
      </c>
      <c r="C131" s="588" t="s">
        <v>32</v>
      </c>
      <c r="D131" s="588"/>
      <c r="E131" s="588"/>
      <c r="F131" s="588"/>
      <c r="G131" s="9" t="s">
        <v>6</v>
      </c>
      <c r="H131" s="9">
        <v>1.61</v>
      </c>
      <c r="I131" s="13">
        <v>17</v>
      </c>
      <c r="J131" s="13">
        <f t="shared" si="5"/>
        <v>27.37</v>
      </c>
    </row>
    <row r="132" spans="1:10">
      <c r="A132" t="s">
        <v>13</v>
      </c>
      <c r="B132" s="9">
        <v>88316</v>
      </c>
      <c r="C132" s="588" t="s">
        <v>22</v>
      </c>
      <c r="D132" s="588"/>
      <c r="E132" s="588"/>
      <c r="F132" s="588"/>
      <c r="G132" s="9" t="s">
        <v>6</v>
      </c>
      <c r="H132" s="9">
        <v>0.80500000000000005</v>
      </c>
      <c r="I132" s="13">
        <v>12</v>
      </c>
      <c r="J132" s="13">
        <f t="shared" si="5"/>
        <v>9.66</v>
      </c>
    </row>
    <row r="133" spans="1:10" ht="28.8">
      <c r="A133" s="10" t="s">
        <v>4</v>
      </c>
      <c r="B133" s="11">
        <v>93182</v>
      </c>
      <c r="C133" s="589" t="s">
        <v>92</v>
      </c>
      <c r="D133" s="590"/>
      <c r="E133" s="590"/>
      <c r="F133" s="590"/>
      <c r="G133" s="11" t="s">
        <v>63</v>
      </c>
      <c r="H133" s="11"/>
      <c r="I133" s="12">
        <f>J134+J135+J136+J137+J138+J139+J140+J141</f>
        <v>37.71</v>
      </c>
      <c r="J133" s="12"/>
    </row>
    <row r="134" spans="1:10">
      <c r="A134" t="s">
        <v>7</v>
      </c>
      <c r="B134" s="9">
        <v>2692</v>
      </c>
      <c r="C134" s="588" t="s">
        <v>60</v>
      </c>
      <c r="D134" s="588"/>
      <c r="E134" s="588"/>
      <c r="F134" s="588"/>
      <c r="G134" s="9" t="s">
        <v>61</v>
      </c>
      <c r="H134" s="9">
        <v>6.0000000000000001E-3</v>
      </c>
      <c r="I134" s="13">
        <v>5.24</v>
      </c>
      <c r="J134" s="13">
        <f t="shared" ref="J134:J141" si="6">TRUNC((H134*I134),2)</f>
        <v>0.03</v>
      </c>
    </row>
    <row r="135" spans="1:10">
      <c r="A135" t="s">
        <v>7</v>
      </c>
      <c r="B135" s="9">
        <v>39017</v>
      </c>
      <c r="C135" s="588" t="s">
        <v>72</v>
      </c>
      <c r="D135" s="588"/>
      <c r="E135" s="588"/>
      <c r="F135" s="588"/>
      <c r="G135" s="9" t="s">
        <v>36</v>
      </c>
      <c r="H135" s="9">
        <v>6</v>
      </c>
      <c r="I135" s="13">
        <v>0.2</v>
      </c>
      <c r="J135" s="13">
        <f t="shared" si="6"/>
        <v>1.2</v>
      </c>
    </row>
    <row r="136" spans="1:10">
      <c r="A136" t="s">
        <v>13</v>
      </c>
      <c r="B136" s="9">
        <v>87294</v>
      </c>
      <c r="C136" s="588" t="s">
        <v>93</v>
      </c>
      <c r="D136" s="588"/>
      <c r="E136" s="588"/>
      <c r="F136" s="588"/>
      <c r="G136" s="9" t="s">
        <v>39</v>
      </c>
      <c r="H136" s="9">
        <v>1.9E-3</v>
      </c>
      <c r="I136" s="13">
        <v>388.50773809520001</v>
      </c>
      <c r="J136" s="13">
        <f t="shared" si="6"/>
        <v>0.73</v>
      </c>
    </row>
    <row r="137" spans="1:10">
      <c r="A137" t="s">
        <v>13</v>
      </c>
      <c r="B137" s="9">
        <v>88309</v>
      </c>
      <c r="C137" s="588" t="s">
        <v>32</v>
      </c>
      <c r="D137" s="588"/>
      <c r="E137" s="588"/>
      <c r="F137" s="588"/>
      <c r="G137" s="9" t="s">
        <v>6</v>
      </c>
      <c r="H137" s="9">
        <v>8.4000000000000005E-2</v>
      </c>
      <c r="I137" s="13">
        <v>17</v>
      </c>
      <c r="J137" s="13">
        <f t="shared" si="6"/>
        <v>1.42</v>
      </c>
    </row>
    <row r="138" spans="1:10">
      <c r="A138" t="s">
        <v>13</v>
      </c>
      <c r="B138" s="9">
        <v>88316</v>
      </c>
      <c r="C138" s="588" t="s">
        <v>22</v>
      </c>
      <c r="D138" s="588"/>
      <c r="E138" s="588"/>
      <c r="F138" s="588"/>
      <c r="G138" s="9" t="s">
        <v>6</v>
      </c>
      <c r="H138" s="9">
        <v>0.10199999999999999</v>
      </c>
      <c r="I138" s="13">
        <v>12</v>
      </c>
      <c r="J138" s="13">
        <f t="shared" si="6"/>
        <v>1.22</v>
      </c>
    </row>
    <row r="139" spans="1:10">
      <c r="A139" t="s">
        <v>13</v>
      </c>
      <c r="B139" s="9">
        <v>92270</v>
      </c>
      <c r="C139" s="588" t="s">
        <v>94</v>
      </c>
      <c r="D139" s="588"/>
      <c r="E139" s="588"/>
      <c r="F139" s="588"/>
      <c r="G139" s="9" t="s">
        <v>21</v>
      </c>
      <c r="H139" s="9">
        <v>0.17</v>
      </c>
      <c r="I139" s="13">
        <v>124.6660849835</v>
      </c>
      <c r="J139" s="13">
        <f t="shared" si="6"/>
        <v>21.19</v>
      </c>
    </row>
    <row r="140" spans="1:10">
      <c r="A140" t="s">
        <v>13</v>
      </c>
      <c r="B140" s="9">
        <v>92792</v>
      </c>
      <c r="C140" s="588" t="s">
        <v>78</v>
      </c>
      <c r="D140" s="588"/>
      <c r="E140" s="588"/>
      <c r="F140" s="588"/>
      <c r="G140" s="9" t="s">
        <v>31</v>
      </c>
      <c r="H140" s="9">
        <v>0.49</v>
      </c>
      <c r="I140" s="13">
        <v>11.1270833333</v>
      </c>
      <c r="J140" s="13">
        <f t="shared" si="6"/>
        <v>5.45</v>
      </c>
    </row>
    <row r="141" spans="1:10">
      <c r="A141" t="s">
        <v>13</v>
      </c>
      <c r="B141" s="9">
        <v>94970</v>
      </c>
      <c r="C141" s="588" t="s">
        <v>95</v>
      </c>
      <c r="D141" s="588"/>
      <c r="E141" s="588"/>
      <c r="F141" s="588"/>
      <c r="G141" s="9" t="s">
        <v>39</v>
      </c>
      <c r="H141" s="9">
        <v>1.7999999999999999E-2</v>
      </c>
      <c r="I141" s="13">
        <v>359.48718918920002</v>
      </c>
      <c r="J141" s="13">
        <f t="shared" si="6"/>
        <v>6.47</v>
      </c>
    </row>
    <row r="142" spans="1:10" ht="28.8">
      <c r="A142" s="10" t="s">
        <v>4</v>
      </c>
      <c r="B142" s="11">
        <v>92618</v>
      </c>
      <c r="C142" s="589" t="s">
        <v>96</v>
      </c>
      <c r="D142" s="590"/>
      <c r="E142" s="590"/>
      <c r="F142" s="590"/>
      <c r="G142" s="11" t="s">
        <v>36</v>
      </c>
      <c r="H142" s="11"/>
      <c r="I142" s="12">
        <f>J143+J144+J145+J146+J147+J148</f>
        <v>1878.3399999999997</v>
      </c>
      <c r="J142" s="12"/>
    </row>
    <row r="143" spans="1:10">
      <c r="A143" t="s">
        <v>7</v>
      </c>
      <c r="B143" s="9">
        <v>4777</v>
      </c>
      <c r="C143" s="588" t="s">
        <v>97</v>
      </c>
      <c r="D143" s="588"/>
      <c r="E143" s="588"/>
      <c r="F143" s="588"/>
      <c r="G143" s="9" t="s">
        <v>31</v>
      </c>
      <c r="H143" s="9">
        <v>50.2</v>
      </c>
      <c r="I143" s="13">
        <v>8.9783565124999996</v>
      </c>
      <c r="J143" s="13">
        <f t="shared" ref="J143:J148" si="7">TRUNC((H143*I143),2)</f>
        <v>450.71</v>
      </c>
    </row>
    <row r="144" spans="1:10">
      <c r="A144" t="s">
        <v>7</v>
      </c>
      <c r="B144" s="9">
        <v>10997</v>
      </c>
      <c r="C144" s="588" t="s">
        <v>98</v>
      </c>
      <c r="D144" s="588"/>
      <c r="E144" s="588"/>
      <c r="F144" s="588"/>
      <c r="G144" s="9" t="s">
        <v>31</v>
      </c>
      <c r="H144" s="9">
        <v>0.52200000000000002</v>
      </c>
      <c r="I144" s="13">
        <v>25.226976744200002</v>
      </c>
      <c r="J144" s="13">
        <f t="shared" si="7"/>
        <v>13.16</v>
      </c>
    </row>
    <row r="145" spans="1:10">
      <c r="A145" t="s">
        <v>7</v>
      </c>
      <c r="B145" s="9">
        <v>40598</v>
      </c>
      <c r="C145" s="588" t="s">
        <v>99</v>
      </c>
      <c r="D145" s="588"/>
      <c r="E145" s="588"/>
      <c r="F145" s="588"/>
      <c r="G145" s="9" t="s">
        <v>31</v>
      </c>
      <c r="H145" s="9">
        <v>123.12</v>
      </c>
      <c r="I145" s="13">
        <v>9.4505059657999997</v>
      </c>
      <c r="J145" s="13">
        <f t="shared" si="7"/>
        <v>1163.54</v>
      </c>
    </row>
    <row r="146" spans="1:10">
      <c r="A146" t="s">
        <v>13</v>
      </c>
      <c r="B146" s="9">
        <v>88278</v>
      </c>
      <c r="C146" s="588" t="s">
        <v>26</v>
      </c>
      <c r="D146" s="588"/>
      <c r="E146" s="588"/>
      <c r="F146" s="588"/>
      <c r="G146" s="9" t="s">
        <v>6</v>
      </c>
      <c r="H146" s="9">
        <v>2.8439999999999999</v>
      </c>
      <c r="I146" s="13">
        <v>12</v>
      </c>
      <c r="J146" s="13">
        <f t="shared" si="7"/>
        <v>34.119999999999997</v>
      </c>
    </row>
    <row r="147" spans="1:10">
      <c r="A147" t="s">
        <v>13</v>
      </c>
      <c r="B147" s="9">
        <v>88316</v>
      </c>
      <c r="C147" s="588" t="s">
        <v>22</v>
      </c>
      <c r="D147" s="588"/>
      <c r="E147" s="588"/>
      <c r="F147" s="588"/>
      <c r="G147" s="9" t="s">
        <v>6</v>
      </c>
      <c r="H147" s="9">
        <v>0.65600000000000003</v>
      </c>
      <c r="I147" s="13">
        <v>12</v>
      </c>
      <c r="J147" s="13">
        <f t="shared" si="7"/>
        <v>7.87</v>
      </c>
    </row>
    <row r="148" spans="1:10">
      <c r="A148" t="s">
        <v>13</v>
      </c>
      <c r="B148" s="9">
        <v>92258</v>
      </c>
      <c r="C148" s="588" t="s">
        <v>100</v>
      </c>
      <c r="D148" s="588"/>
      <c r="E148" s="588"/>
      <c r="F148" s="588"/>
      <c r="G148" s="9" t="s">
        <v>36</v>
      </c>
      <c r="H148" s="9">
        <v>1</v>
      </c>
      <c r="I148" s="13">
        <v>208.94</v>
      </c>
      <c r="J148" s="13">
        <f t="shared" si="7"/>
        <v>208.94</v>
      </c>
    </row>
    <row r="149" spans="1:10" ht="28.8">
      <c r="A149" s="10" t="s">
        <v>4</v>
      </c>
      <c r="B149" s="11">
        <v>94216</v>
      </c>
      <c r="C149" s="589" t="s">
        <v>101</v>
      </c>
      <c r="D149" s="590"/>
      <c r="E149" s="590"/>
      <c r="F149" s="590"/>
      <c r="G149" s="11" t="s">
        <v>21</v>
      </c>
      <c r="H149" s="11"/>
      <c r="I149" s="12">
        <f>J150+J151+J152+J153+J154+J155</f>
        <v>191.1</v>
      </c>
      <c r="J149" s="12"/>
    </row>
    <row r="150" spans="1:10">
      <c r="A150" t="s">
        <v>7</v>
      </c>
      <c r="B150" s="9">
        <v>11029</v>
      </c>
      <c r="C150" s="588" t="s">
        <v>102</v>
      </c>
      <c r="D150" s="588"/>
      <c r="E150" s="588"/>
      <c r="F150" s="588"/>
      <c r="G150" s="9" t="s">
        <v>103</v>
      </c>
      <c r="H150" s="9">
        <v>4.1500000000000004</v>
      </c>
      <c r="I150" s="13">
        <v>1.4549127906999999</v>
      </c>
      <c r="J150" s="13">
        <f t="shared" ref="J150:J155" si="8">TRUNC((H150*I150),2)</f>
        <v>6.03</v>
      </c>
    </row>
    <row r="151" spans="1:10">
      <c r="A151" t="s">
        <v>7</v>
      </c>
      <c r="B151" s="9">
        <v>40740</v>
      </c>
      <c r="C151" s="588" t="s">
        <v>104</v>
      </c>
      <c r="D151" s="588"/>
      <c r="E151" s="588"/>
      <c r="F151" s="588"/>
      <c r="G151" s="9" t="s">
        <v>21</v>
      </c>
      <c r="H151" s="9">
        <v>1.1459999999999999</v>
      </c>
      <c r="I151" s="13">
        <v>160</v>
      </c>
      <c r="J151" s="13">
        <f t="shared" si="8"/>
        <v>183.36</v>
      </c>
    </row>
    <row r="152" spans="1:10">
      <c r="A152" t="s">
        <v>13</v>
      </c>
      <c r="B152" s="9">
        <v>88316</v>
      </c>
      <c r="C152" s="588" t="s">
        <v>22</v>
      </c>
      <c r="D152" s="588"/>
      <c r="E152" s="588"/>
      <c r="F152" s="588"/>
      <c r="G152" s="9" t="s">
        <v>6</v>
      </c>
      <c r="H152" s="9">
        <v>6.2E-2</v>
      </c>
      <c r="I152" s="13">
        <v>12</v>
      </c>
      <c r="J152" s="13">
        <f t="shared" si="8"/>
        <v>0.74</v>
      </c>
    </row>
    <row r="153" spans="1:10">
      <c r="A153" t="s">
        <v>13</v>
      </c>
      <c r="B153" s="9">
        <v>88323</v>
      </c>
      <c r="C153" s="588" t="s">
        <v>23</v>
      </c>
      <c r="D153" s="588"/>
      <c r="E153" s="588"/>
      <c r="F153" s="588"/>
      <c r="G153" s="9" t="s">
        <v>6</v>
      </c>
      <c r="H153" s="9">
        <v>5.6000000000000001E-2</v>
      </c>
      <c r="I153" s="13">
        <v>17</v>
      </c>
      <c r="J153" s="13">
        <f t="shared" si="8"/>
        <v>0.95</v>
      </c>
    </row>
    <row r="154" spans="1:10">
      <c r="A154" t="s">
        <v>13</v>
      </c>
      <c r="B154" s="9">
        <v>93281</v>
      </c>
      <c r="C154" s="588" t="s">
        <v>105</v>
      </c>
      <c r="D154" s="588"/>
      <c r="E154" s="588"/>
      <c r="F154" s="588"/>
      <c r="G154" s="9" t="s">
        <v>49</v>
      </c>
      <c r="H154" s="9">
        <v>8.9999999999999998E-4</v>
      </c>
      <c r="I154" s="13">
        <v>15.97</v>
      </c>
      <c r="J154" s="13">
        <f t="shared" si="8"/>
        <v>0.01</v>
      </c>
    </row>
    <row r="155" spans="1:10">
      <c r="A155" t="s">
        <v>13</v>
      </c>
      <c r="B155" s="9">
        <v>93282</v>
      </c>
      <c r="C155" s="588" t="s">
        <v>106</v>
      </c>
      <c r="D155" s="588"/>
      <c r="E155" s="588"/>
      <c r="F155" s="588"/>
      <c r="G155" s="9" t="s">
        <v>51</v>
      </c>
      <c r="H155" s="9">
        <v>1.1999999999999999E-3</v>
      </c>
      <c r="I155" s="13">
        <v>15</v>
      </c>
      <c r="J155" s="13">
        <f t="shared" si="8"/>
        <v>0.01</v>
      </c>
    </row>
    <row r="156" spans="1:10" ht="28.8">
      <c r="A156" s="10" t="s">
        <v>4</v>
      </c>
      <c r="B156" s="11">
        <v>94227</v>
      </c>
      <c r="C156" s="589" t="s">
        <v>107</v>
      </c>
      <c r="D156" s="590"/>
      <c r="E156" s="590"/>
      <c r="F156" s="590"/>
      <c r="G156" s="11" t="s">
        <v>63</v>
      </c>
      <c r="H156" s="11"/>
      <c r="I156" s="12">
        <f>J157+J158+J159+J160+J161+J162+J163+J164+J165</f>
        <v>64.550000000000011</v>
      </c>
      <c r="J156" s="12"/>
    </row>
    <row r="157" spans="1:10">
      <c r="A157" t="s">
        <v>7</v>
      </c>
      <c r="B157" s="9">
        <v>142</v>
      </c>
      <c r="C157" s="588" t="s">
        <v>108</v>
      </c>
      <c r="D157" s="588"/>
      <c r="E157" s="588"/>
      <c r="F157" s="588"/>
      <c r="G157" s="9" t="s">
        <v>109</v>
      </c>
      <c r="H157" s="9">
        <v>5.2999999999999999E-2</v>
      </c>
      <c r="I157" s="13">
        <v>22.9549275362</v>
      </c>
      <c r="J157" s="13">
        <f t="shared" ref="J157:J165" si="9">TRUNC((H157*I157),2)</f>
        <v>1.21</v>
      </c>
    </row>
    <row r="158" spans="1:10">
      <c r="A158" t="s">
        <v>7</v>
      </c>
      <c r="B158" s="9">
        <v>5061</v>
      </c>
      <c r="C158" s="588" t="s">
        <v>110</v>
      </c>
      <c r="D158" s="588"/>
      <c r="E158" s="588"/>
      <c r="F158" s="588"/>
      <c r="G158" s="9" t="s">
        <v>31</v>
      </c>
      <c r="H158" s="9">
        <v>8.0000000000000002E-3</v>
      </c>
      <c r="I158" s="13">
        <v>20.897777777799998</v>
      </c>
      <c r="J158" s="13">
        <f t="shared" si="9"/>
        <v>0.16</v>
      </c>
    </row>
    <row r="159" spans="1:10">
      <c r="A159" t="s">
        <v>7</v>
      </c>
      <c r="B159" s="9">
        <v>5104</v>
      </c>
      <c r="C159" s="588" t="s">
        <v>111</v>
      </c>
      <c r="D159" s="588"/>
      <c r="E159" s="588"/>
      <c r="F159" s="588"/>
      <c r="G159" s="9" t="s">
        <v>31</v>
      </c>
      <c r="H159" s="9">
        <v>1.6000000000000001E-3</v>
      </c>
      <c r="I159" s="13">
        <v>65.445454545499999</v>
      </c>
      <c r="J159" s="13">
        <f t="shared" si="9"/>
        <v>0.1</v>
      </c>
    </row>
    <row r="160" spans="1:10">
      <c r="A160" t="s">
        <v>7</v>
      </c>
      <c r="B160" s="9">
        <v>13388</v>
      </c>
      <c r="C160" s="588" t="s">
        <v>112</v>
      </c>
      <c r="D160" s="588"/>
      <c r="E160" s="588"/>
      <c r="F160" s="588"/>
      <c r="G160" s="9" t="s">
        <v>31</v>
      </c>
      <c r="H160" s="9">
        <v>5.8999999999999997E-2</v>
      </c>
      <c r="I160" s="13">
        <v>122.75647343</v>
      </c>
      <c r="J160" s="13">
        <f t="shared" si="9"/>
        <v>7.24</v>
      </c>
    </row>
    <row r="161" spans="1:10">
      <c r="A161" t="s">
        <v>7</v>
      </c>
      <c r="B161" s="9">
        <v>40782</v>
      </c>
      <c r="C161" s="588" t="s">
        <v>113</v>
      </c>
      <c r="D161" s="588"/>
      <c r="E161" s="588"/>
      <c r="F161" s="588"/>
      <c r="G161" s="9" t="s">
        <v>63</v>
      </c>
      <c r="H161" s="9">
        <v>1.05</v>
      </c>
      <c r="I161" s="13">
        <v>46.524642090199997</v>
      </c>
      <c r="J161" s="13">
        <f t="shared" si="9"/>
        <v>48.85</v>
      </c>
    </row>
    <row r="162" spans="1:10">
      <c r="A162" t="s">
        <v>13</v>
      </c>
      <c r="B162" s="9">
        <v>88316</v>
      </c>
      <c r="C162" s="588" t="s">
        <v>22</v>
      </c>
      <c r="D162" s="588"/>
      <c r="E162" s="588"/>
      <c r="F162" s="588"/>
      <c r="G162" s="9" t="s">
        <v>6</v>
      </c>
      <c r="H162" s="9">
        <v>0.28199999999999997</v>
      </c>
      <c r="I162" s="13">
        <v>12</v>
      </c>
      <c r="J162" s="13">
        <f t="shared" si="9"/>
        <v>3.38</v>
      </c>
    </row>
    <row r="163" spans="1:10">
      <c r="A163" t="s">
        <v>13</v>
      </c>
      <c r="B163" s="9">
        <v>88323</v>
      </c>
      <c r="C163" s="588" t="s">
        <v>23</v>
      </c>
      <c r="D163" s="588"/>
      <c r="E163" s="588"/>
      <c r="F163" s="588"/>
      <c r="G163" s="9" t="s">
        <v>6</v>
      </c>
      <c r="H163" s="9">
        <v>0.188</v>
      </c>
      <c r="I163" s="13">
        <v>17</v>
      </c>
      <c r="J163" s="13">
        <f t="shared" si="9"/>
        <v>3.19</v>
      </c>
    </row>
    <row r="164" spans="1:10">
      <c r="A164" t="s">
        <v>13</v>
      </c>
      <c r="B164" s="9">
        <v>93281</v>
      </c>
      <c r="C164" s="588" t="s">
        <v>105</v>
      </c>
      <c r="D164" s="588"/>
      <c r="E164" s="588"/>
      <c r="F164" s="588"/>
      <c r="G164" s="9" t="s">
        <v>49</v>
      </c>
      <c r="H164" s="9">
        <v>1.32E-2</v>
      </c>
      <c r="I164" s="13">
        <v>13.6885714286</v>
      </c>
      <c r="J164" s="13">
        <f t="shared" si="9"/>
        <v>0.18</v>
      </c>
    </row>
    <row r="165" spans="1:10">
      <c r="A165" t="s">
        <v>13</v>
      </c>
      <c r="B165" s="9">
        <v>93282</v>
      </c>
      <c r="C165" s="588" t="s">
        <v>106</v>
      </c>
      <c r="D165" s="588"/>
      <c r="E165" s="588"/>
      <c r="F165" s="588"/>
      <c r="G165" s="9" t="s">
        <v>51</v>
      </c>
      <c r="H165" s="9">
        <v>1.83E-2</v>
      </c>
      <c r="I165" s="13">
        <v>13.333333333300001</v>
      </c>
      <c r="J165" s="13">
        <f t="shared" si="9"/>
        <v>0.24</v>
      </c>
    </row>
    <row r="166" spans="1:10" ht="28.8">
      <c r="A166" s="10" t="s">
        <v>4</v>
      </c>
      <c r="B166" s="11">
        <v>96116</v>
      </c>
      <c r="C166" s="589" t="s">
        <v>114</v>
      </c>
      <c r="D166" s="590"/>
      <c r="E166" s="590"/>
      <c r="F166" s="590"/>
      <c r="G166" s="11" t="s">
        <v>21</v>
      </c>
      <c r="H166" s="11"/>
      <c r="I166" s="12">
        <f>J167+J168+J169+J170+J171+J172+J173+J174</f>
        <v>66.5</v>
      </c>
      <c r="J166" s="12"/>
    </row>
    <row r="167" spans="1:10">
      <c r="A167" t="s">
        <v>7</v>
      </c>
      <c r="B167" s="9">
        <v>36238</v>
      </c>
      <c r="C167" s="588" t="s">
        <v>115</v>
      </c>
      <c r="D167" s="588"/>
      <c r="E167" s="588"/>
      <c r="F167" s="588"/>
      <c r="G167" s="9" t="s">
        <v>21</v>
      </c>
      <c r="H167" s="9">
        <v>1.0955999999999999</v>
      </c>
      <c r="I167" s="13">
        <v>26.0476102941</v>
      </c>
      <c r="J167" s="13">
        <f t="shared" ref="J167:J174" si="10">TRUNC((H167*I167),2)</f>
        <v>28.53</v>
      </c>
    </row>
    <row r="168" spans="1:10">
      <c r="A168" t="s">
        <v>7</v>
      </c>
      <c r="B168" s="9">
        <v>39427</v>
      </c>
      <c r="C168" s="588" t="s">
        <v>116</v>
      </c>
      <c r="D168" s="588"/>
      <c r="E168" s="588"/>
      <c r="F168" s="588"/>
      <c r="G168" s="9" t="s">
        <v>63</v>
      </c>
      <c r="H168" s="9">
        <v>3.8498999999999999</v>
      </c>
      <c r="I168" s="13">
        <v>6.6512803003999998</v>
      </c>
      <c r="J168" s="13">
        <f t="shared" si="10"/>
        <v>25.6</v>
      </c>
    </row>
    <row r="169" spans="1:10">
      <c r="A169" t="s">
        <v>7</v>
      </c>
      <c r="B169" s="9">
        <v>39430</v>
      </c>
      <c r="C169" s="588" t="s">
        <v>117</v>
      </c>
      <c r="D169" s="588"/>
      <c r="E169" s="588"/>
      <c r="F169" s="588"/>
      <c r="G169" s="9" t="s">
        <v>36</v>
      </c>
      <c r="H169" s="9">
        <v>1.3265</v>
      </c>
      <c r="I169" s="13">
        <v>2.5074736841999998</v>
      </c>
      <c r="J169" s="13">
        <f t="shared" si="10"/>
        <v>3.32</v>
      </c>
    </row>
    <row r="170" spans="1:10">
      <c r="A170" t="s">
        <v>7</v>
      </c>
      <c r="B170" s="9">
        <v>39443</v>
      </c>
      <c r="C170" s="588" t="s">
        <v>118</v>
      </c>
      <c r="D170" s="588"/>
      <c r="E170" s="588"/>
      <c r="F170" s="588"/>
      <c r="G170" s="9" t="s">
        <v>36</v>
      </c>
      <c r="H170" s="9">
        <v>2.1911999999999998</v>
      </c>
      <c r="I170" s="13">
        <v>0.2175925926</v>
      </c>
      <c r="J170" s="13">
        <f t="shared" si="10"/>
        <v>0.47</v>
      </c>
    </row>
    <row r="171" spans="1:10">
      <c r="A171" t="s">
        <v>7</v>
      </c>
      <c r="B171" s="9">
        <v>40547</v>
      </c>
      <c r="C171" s="588" t="s">
        <v>119</v>
      </c>
      <c r="D171" s="588"/>
      <c r="E171" s="588"/>
      <c r="F171" s="588"/>
      <c r="G171" s="9" t="s">
        <v>91</v>
      </c>
      <c r="H171" s="9">
        <v>1.32E-2</v>
      </c>
      <c r="I171" s="13">
        <v>24.458378378399999</v>
      </c>
      <c r="J171" s="13">
        <f t="shared" si="10"/>
        <v>0.32</v>
      </c>
    </row>
    <row r="172" spans="1:10">
      <c r="A172" t="s">
        <v>7</v>
      </c>
      <c r="B172" s="9">
        <v>40552</v>
      </c>
      <c r="C172" s="588" t="s">
        <v>120</v>
      </c>
      <c r="D172" s="588"/>
      <c r="E172" s="588"/>
      <c r="F172" s="588"/>
      <c r="G172" s="9" t="s">
        <v>91</v>
      </c>
      <c r="H172" s="9">
        <v>3.3300000000000003E-2</v>
      </c>
      <c r="I172" s="13">
        <v>42.457639751599999</v>
      </c>
      <c r="J172" s="13">
        <f t="shared" si="10"/>
        <v>1.41</v>
      </c>
    </row>
    <row r="173" spans="1:10">
      <c r="A173" t="s">
        <v>7</v>
      </c>
      <c r="B173" s="9">
        <v>43131</v>
      </c>
      <c r="C173" s="588" t="s">
        <v>121</v>
      </c>
      <c r="D173" s="588"/>
      <c r="E173" s="588"/>
      <c r="F173" s="588"/>
      <c r="G173" s="9" t="s">
        <v>31</v>
      </c>
      <c r="H173" s="9">
        <v>4.2599999999999999E-2</v>
      </c>
      <c r="I173" s="13">
        <v>20.385510204100001</v>
      </c>
      <c r="J173" s="13">
        <f t="shared" si="10"/>
        <v>0.86</v>
      </c>
    </row>
    <row r="174" spans="1:10">
      <c r="A174" t="s">
        <v>13</v>
      </c>
      <c r="B174" s="9">
        <v>88278</v>
      </c>
      <c r="C174" s="588" t="s">
        <v>26</v>
      </c>
      <c r="D174" s="588"/>
      <c r="E174" s="588"/>
      <c r="F174" s="588"/>
      <c r="G174" s="9" t="s">
        <v>6</v>
      </c>
      <c r="H174" s="9">
        <v>0.49940000000000001</v>
      </c>
      <c r="I174" s="13">
        <v>12</v>
      </c>
      <c r="J174" s="13">
        <f t="shared" si="10"/>
        <v>5.99</v>
      </c>
    </row>
    <row r="175" spans="1:10" ht="28.8">
      <c r="A175" s="10" t="s">
        <v>4</v>
      </c>
      <c r="B175" s="11">
        <v>91016</v>
      </c>
      <c r="C175" s="589" t="s">
        <v>122</v>
      </c>
      <c r="D175" s="590"/>
      <c r="E175" s="590"/>
      <c r="F175" s="590"/>
      <c r="G175" s="11" t="s">
        <v>36</v>
      </c>
      <c r="H175" s="11"/>
      <c r="I175" s="12">
        <f>J176+J177+J178</f>
        <v>633.99</v>
      </c>
      <c r="J175" s="12"/>
    </row>
    <row r="176" spans="1:10">
      <c r="A176" t="s">
        <v>13</v>
      </c>
      <c r="B176" s="9">
        <v>90806</v>
      </c>
      <c r="C176" s="588" t="s">
        <v>123</v>
      </c>
      <c r="D176" s="588"/>
      <c r="E176" s="588"/>
      <c r="F176" s="588"/>
      <c r="G176" s="9" t="s">
        <v>36</v>
      </c>
      <c r="H176" s="9">
        <v>1</v>
      </c>
      <c r="I176" s="13">
        <v>230.6</v>
      </c>
      <c r="J176" s="13">
        <f>TRUNC((H176*I176),2)</f>
        <v>230.6</v>
      </c>
    </row>
    <row r="177" spans="1:10">
      <c r="A177" t="s">
        <v>13</v>
      </c>
      <c r="B177" s="9">
        <v>91012</v>
      </c>
      <c r="C177" s="588" t="s">
        <v>124</v>
      </c>
      <c r="D177" s="588"/>
      <c r="E177" s="588"/>
      <c r="F177" s="588"/>
      <c r="G177" s="9" t="s">
        <v>36</v>
      </c>
      <c r="H177" s="9">
        <v>1</v>
      </c>
      <c r="I177" s="13">
        <v>342.4</v>
      </c>
      <c r="J177" s="13">
        <f>TRUNC((H177*I177),2)</f>
        <v>342.4</v>
      </c>
    </row>
    <row r="178" spans="1:10">
      <c r="A178" t="s">
        <v>13</v>
      </c>
      <c r="B178" s="9">
        <v>100659</v>
      </c>
      <c r="C178" s="588" t="s">
        <v>125</v>
      </c>
      <c r="D178" s="588"/>
      <c r="E178" s="588"/>
      <c r="F178" s="588"/>
      <c r="G178" s="9" t="s">
        <v>63</v>
      </c>
      <c r="H178" s="9">
        <v>10.199999999999999</v>
      </c>
      <c r="I178" s="13">
        <v>5.9800974771000002</v>
      </c>
      <c r="J178" s="13">
        <f>TRUNC((H178*I178),2)</f>
        <v>60.99</v>
      </c>
    </row>
    <row r="179" spans="1:10" ht="28.8">
      <c r="A179" s="10" t="s">
        <v>4</v>
      </c>
      <c r="B179" s="11">
        <v>91306</v>
      </c>
      <c r="C179" s="589" t="s">
        <v>126</v>
      </c>
      <c r="D179" s="590"/>
      <c r="E179" s="590"/>
      <c r="F179" s="590"/>
      <c r="G179" s="11" t="s">
        <v>36</v>
      </c>
      <c r="H179" s="11"/>
      <c r="I179" s="12">
        <f>J180+J181+J182</f>
        <v>127.33999999999999</v>
      </c>
      <c r="J179" s="12"/>
    </row>
    <row r="180" spans="1:10">
      <c r="A180" t="s">
        <v>7</v>
      </c>
      <c r="B180" s="9">
        <v>3093</v>
      </c>
      <c r="C180" s="588" t="s">
        <v>127</v>
      </c>
      <c r="D180" s="588"/>
      <c r="E180" s="588"/>
      <c r="F180" s="588"/>
      <c r="G180" s="9" t="s">
        <v>103</v>
      </c>
      <c r="H180" s="9">
        <v>1</v>
      </c>
      <c r="I180" s="13">
        <v>109.71</v>
      </c>
      <c r="J180" s="13">
        <f>TRUNC((H180*I180),2)</f>
        <v>109.71</v>
      </c>
    </row>
    <row r="181" spans="1:10">
      <c r="A181" t="s">
        <v>13</v>
      </c>
      <c r="B181" s="9">
        <v>88261</v>
      </c>
      <c r="C181" s="588" t="s">
        <v>128</v>
      </c>
      <c r="D181" s="588"/>
      <c r="E181" s="588"/>
      <c r="F181" s="588"/>
      <c r="G181" s="9" t="s">
        <v>6</v>
      </c>
      <c r="H181" s="9">
        <v>0.76700000000000002</v>
      </c>
      <c r="I181" s="13">
        <v>17</v>
      </c>
      <c r="J181" s="13">
        <f>TRUNC((H181*I181),2)</f>
        <v>13.03</v>
      </c>
    </row>
    <row r="182" spans="1:10">
      <c r="A182" t="s">
        <v>13</v>
      </c>
      <c r="B182" s="9">
        <v>88316</v>
      </c>
      <c r="C182" s="588" t="s">
        <v>22</v>
      </c>
      <c r="D182" s="588"/>
      <c r="E182" s="588"/>
      <c r="F182" s="588"/>
      <c r="G182" s="9" t="s">
        <v>6</v>
      </c>
      <c r="H182" s="9">
        <v>0.38400000000000001</v>
      </c>
      <c r="I182" s="13">
        <v>12</v>
      </c>
      <c r="J182" s="13">
        <f>TRUNC((H182*I182),2)</f>
        <v>4.5999999999999996</v>
      </c>
    </row>
    <row r="183" spans="1:10" ht="28.8">
      <c r="A183" s="10" t="s">
        <v>4</v>
      </c>
      <c r="B183" s="11">
        <v>91015</v>
      </c>
      <c r="C183" s="589" t="s">
        <v>129</v>
      </c>
      <c r="D183" s="590"/>
      <c r="E183" s="590"/>
      <c r="F183" s="590"/>
      <c r="G183" s="11" t="s">
        <v>36</v>
      </c>
      <c r="H183" s="11"/>
      <c r="I183" s="12">
        <f>J184+J185+J186</f>
        <v>598.30999999999995</v>
      </c>
      <c r="J183" s="12"/>
    </row>
    <row r="184" spans="1:10">
      <c r="A184" t="s">
        <v>13</v>
      </c>
      <c r="B184" s="9">
        <v>90806</v>
      </c>
      <c r="C184" s="588" t="s">
        <v>123</v>
      </c>
      <c r="D184" s="588"/>
      <c r="E184" s="588"/>
      <c r="F184" s="588"/>
      <c r="G184" s="9" t="s">
        <v>36</v>
      </c>
      <c r="H184" s="9">
        <v>1</v>
      </c>
      <c r="I184" s="13">
        <v>230.6</v>
      </c>
      <c r="J184" s="13">
        <f>TRUNC((H184*I184),2)</f>
        <v>230.6</v>
      </c>
    </row>
    <row r="185" spans="1:10">
      <c r="A185" t="s">
        <v>13</v>
      </c>
      <c r="B185" s="9">
        <v>91011</v>
      </c>
      <c r="C185" s="588" t="s">
        <v>130</v>
      </c>
      <c r="D185" s="588"/>
      <c r="E185" s="588"/>
      <c r="F185" s="588"/>
      <c r="G185" s="9" t="s">
        <v>36</v>
      </c>
      <c r="H185" s="9">
        <v>1</v>
      </c>
      <c r="I185" s="13">
        <v>307.91000000000003</v>
      </c>
      <c r="J185" s="13">
        <f>TRUNC((H185*I185),2)</f>
        <v>307.91000000000003</v>
      </c>
    </row>
    <row r="186" spans="1:10">
      <c r="A186" t="s">
        <v>13</v>
      </c>
      <c r="B186" s="9">
        <v>100659</v>
      </c>
      <c r="C186" s="588" t="s">
        <v>125</v>
      </c>
      <c r="D186" s="588"/>
      <c r="E186" s="588"/>
      <c r="F186" s="588"/>
      <c r="G186" s="9" t="s">
        <v>63</v>
      </c>
      <c r="H186" s="9">
        <v>10</v>
      </c>
      <c r="I186" s="13">
        <v>5.98</v>
      </c>
      <c r="J186" s="13">
        <f>TRUNC((H186*I186),2)</f>
        <v>59.8</v>
      </c>
    </row>
    <row r="187" spans="1:10" ht="28.8">
      <c r="A187" s="10" t="s">
        <v>4</v>
      </c>
      <c r="B187" s="11">
        <v>91014</v>
      </c>
      <c r="C187" s="589" t="s">
        <v>131</v>
      </c>
      <c r="D187" s="590"/>
      <c r="E187" s="590"/>
      <c r="F187" s="590"/>
      <c r="G187" s="11" t="s">
        <v>36</v>
      </c>
      <c r="H187" s="11"/>
      <c r="I187" s="12">
        <f>J188+J189+J190</f>
        <v>551.95000000000005</v>
      </c>
      <c r="J187" s="12"/>
    </row>
    <row r="188" spans="1:10">
      <c r="A188" t="s">
        <v>13</v>
      </c>
      <c r="B188" s="9">
        <v>90806</v>
      </c>
      <c r="C188" s="588" t="s">
        <v>123</v>
      </c>
      <c r="D188" s="588"/>
      <c r="E188" s="588"/>
      <c r="F188" s="588"/>
      <c r="G188" s="9" t="s">
        <v>36</v>
      </c>
      <c r="H188" s="9">
        <v>1</v>
      </c>
      <c r="I188" s="13">
        <v>230.59</v>
      </c>
      <c r="J188" s="13">
        <f>TRUNC((H188*I188),2)</f>
        <v>230.59</v>
      </c>
    </row>
    <row r="189" spans="1:10">
      <c r="A189" t="s">
        <v>13</v>
      </c>
      <c r="B189" s="9">
        <v>91010</v>
      </c>
      <c r="C189" s="588" t="s">
        <v>132</v>
      </c>
      <c r="D189" s="588"/>
      <c r="E189" s="588"/>
      <c r="F189" s="588"/>
      <c r="G189" s="9" t="s">
        <v>36</v>
      </c>
      <c r="H189" s="9">
        <v>1</v>
      </c>
      <c r="I189" s="13">
        <v>262.76</v>
      </c>
      <c r="J189" s="13">
        <f>TRUNC((H189*I189),2)</f>
        <v>262.76</v>
      </c>
    </row>
    <row r="190" spans="1:10">
      <c r="A190" t="s">
        <v>13</v>
      </c>
      <c r="B190" s="9">
        <v>100659</v>
      </c>
      <c r="C190" s="588" t="s">
        <v>125</v>
      </c>
      <c r="D190" s="588"/>
      <c r="E190" s="588"/>
      <c r="F190" s="588"/>
      <c r="G190" s="9" t="s">
        <v>63</v>
      </c>
      <c r="H190" s="9">
        <v>9.8000000000000007</v>
      </c>
      <c r="I190" s="13">
        <v>5.9797702520999998</v>
      </c>
      <c r="J190" s="13">
        <f>TRUNC((H190*I190),2)</f>
        <v>58.6</v>
      </c>
    </row>
    <row r="191" spans="1:10" ht="28.8">
      <c r="A191" s="10" t="s">
        <v>4</v>
      </c>
      <c r="B191" s="11">
        <v>100701</v>
      </c>
      <c r="C191" s="589" t="s">
        <v>133</v>
      </c>
      <c r="D191" s="590"/>
      <c r="E191" s="590"/>
      <c r="F191" s="590"/>
      <c r="G191" s="11" t="s">
        <v>21</v>
      </c>
      <c r="H191" s="11"/>
      <c r="I191" s="12">
        <f>J192+J193+J194+J195</f>
        <v>484.43</v>
      </c>
      <c r="J191" s="12"/>
    </row>
    <row r="192" spans="1:10">
      <c r="A192" t="s">
        <v>7</v>
      </c>
      <c r="B192" s="9">
        <v>4930</v>
      </c>
      <c r="C192" s="588" t="s">
        <v>134</v>
      </c>
      <c r="D192" s="588"/>
      <c r="E192" s="588"/>
      <c r="F192" s="588"/>
      <c r="G192" s="9" t="s">
        <v>21</v>
      </c>
      <c r="H192" s="9">
        <v>1</v>
      </c>
      <c r="I192" s="13">
        <v>468.1</v>
      </c>
      <c r="J192" s="13">
        <f>TRUNC((H192*I192),2)</f>
        <v>468.1</v>
      </c>
    </row>
    <row r="193" spans="1:10">
      <c r="A193" t="s">
        <v>13</v>
      </c>
      <c r="B193" s="9">
        <v>88309</v>
      </c>
      <c r="C193" s="588" t="s">
        <v>32</v>
      </c>
      <c r="D193" s="588"/>
      <c r="E193" s="588"/>
      <c r="F193" s="588"/>
      <c r="G193" s="9" t="s">
        <v>6</v>
      </c>
      <c r="H193" s="9">
        <v>0.45700000000000002</v>
      </c>
      <c r="I193" s="13">
        <v>17</v>
      </c>
      <c r="J193" s="13">
        <f>TRUNC((H193*I193),2)</f>
        <v>7.76</v>
      </c>
    </row>
    <row r="194" spans="1:10">
      <c r="A194" t="s">
        <v>13</v>
      </c>
      <c r="B194" s="9">
        <v>88316</v>
      </c>
      <c r="C194" s="588" t="s">
        <v>22</v>
      </c>
      <c r="D194" s="588"/>
      <c r="E194" s="588"/>
      <c r="F194" s="588"/>
      <c r="G194" s="9" t="s">
        <v>6</v>
      </c>
      <c r="H194" s="9">
        <v>0.22900000000000001</v>
      </c>
      <c r="I194" s="13">
        <v>12</v>
      </c>
      <c r="J194" s="13">
        <f>TRUNC((H194*I194),2)</f>
        <v>2.74</v>
      </c>
    </row>
    <row r="195" spans="1:10">
      <c r="A195" t="s">
        <v>13</v>
      </c>
      <c r="B195" s="9">
        <v>88627</v>
      </c>
      <c r="C195" s="588" t="s">
        <v>135</v>
      </c>
      <c r="D195" s="588"/>
      <c r="E195" s="588"/>
      <c r="F195" s="588"/>
      <c r="G195" s="9" t="s">
        <v>39</v>
      </c>
      <c r="H195" s="9">
        <v>1.2E-2</v>
      </c>
      <c r="I195" s="13">
        <v>486.00523238379998</v>
      </c>
      <c r="J195" s="13">
        <f>TRUNC((H195*I195),2)</f>
        <v>5.83</v>
      </c>
    </row>
    <row r="196" spans="1:10" ht="28.8">
      <c r="A196" s="10" t="s">
        <v>4</v>
      </c>
      <c r="B196" s="11">
        <v>91338</v>
      </c>
      <c r="C196" s="589" t="s">
        <v>136</v>
      </c>
      <c r="D196" s="590"/>
      <c r="E196" s="590"/>
      <c r="F196" s="590"/>
      <c r="G196" s="11" t="s">
        <v>21</v>
      </c>
      <c r="H196" s="11"/>
      <c r="I196" s="12">
        <f>J197+J198+J199+J200+J201+J202</f>
        <v>776.79</v>
      </c>
      <c r="J196" s="12"/>
    </row>
    <row r="197" spans="1:10">
      <c r="A197" t="s">
        <v>7</v>
      </c>
      <c r="B197" s="9">
        <v>142</v>
      </c>
      <c r="C197" s="588" t="s">
        <v>108</v>
      </c>
      <c r="D197" s="588"/>
      <c r="E197" s="588"/>
      <c r="F197" s="588"/>
      <c r="G197" s="9" t="s">
        <v>109</v>
      </c>
      <c r="H197" s="9">
        <v>0.88290000000000002</v>
      </c>
      <c r="I197" s="13">
        <v>22.883427087800001</v>
      </c>
      <c r="J197" s="13">
        <f t="shared" ref="J197:J202" si="11">TRUNC((H197*I197),2)</f>
        <v>20.2</v>
      </c>
    </row>
    <row r="198" spans="1:10">
      <c r="A198" t="s">
        <v>7</v>
      </c>
      <c r="B198" s="9">
        <v>4914</v>
      </c>
      <c r="C198" s="588" t="s">
        <v>137</v>
      </c>
      <c r="D198" s="588"/>
      <c r="E198" s="588"/>
      <c r="F198" s="588"/>
      <c r="G198" s="9" t="s">
        <v>21</v>
      </c>
      <c r="H198" s="9">
        <v>1</v>
      </c>
      <c r="I198" s="13">
        <v>504.39</v>
      </c>
      <c r="J198" s="13">
        <f t="shared" si="11"/>
        <v>504.39</v>
      </c>
    </row>
    <row r="199" spans="1:10">
      <c r="A199" t="s">
        <v>7</v>
      </c>
      <c r="B199" s="9">
        <v>7568</v>
      </c>
      <c r="C199" s="588" t="s">
        <v>138</v>
      </c>
      <c r="D199" s="588"/>
      <c r="E199" s="588"/>
      <c r="F199" s="588"/>
      <c r="G199" s="9" t="s">
        <v>36</v>
      </c>
      <c r="H199" s="9">
        <v>4.8166000000000002</v>
      </c>
      <c r="I199" s="13">
        <v>0.53296928330000004</v>
      </c>
      <c r="J199" s="13">
        <f t="shared" si="11"/>
        <v>2.56</v>
      </c>
    </row>
    <row r="200" spans="1:10">
      <c r="A200" t="s">
        <v>7</v>
      </c>
      <c r="B200" s="9">
        <v>36888</v>
      </c>
      <c r="C200" s="588" t="s">
        <v>139</v>
      </c>
      <c r="D200" s="588"/>
      <c r="E200" s="588"/>
      <c r="F200" s="588"/>
      <c r="G200" s="9" t="s">
        <v>63</v>
      </c>
      <c r="H200" s="9">
        <v>6.8503999999999996</v>
      </c>
      <c r="I200" s="13">
        <v>35.248614047799997</v>
      </c>
      <c r="J200" s="13">
        <f t="shared" si="11"/>
        <v>241.46</v>
      </c>
    </row>
    <row r="201" spans="1:10">
      <c r="A201" t="s">
        <v>13</v>
      </c>
      <c r="B201" s="9">
        <v>88309</v>
      </c>
      <c r="C201" s="588" t="s">
        <v>32</v>
      </c>
      <c r="D201" s="588"/>
      <c r="E201" s="588"/>
      <c r="F201" s="588"/>
      <c r="G201" s="9" t="s">
        <v>6</v>
      </c>
      <c r="H201" s="9">
        <v>0.35630000000000001</v>
      </c>
      <c r="I201" s="13">
        <v>17</v>
      </c>
      <c r="J201" s="13">
        <f t="shared" si="11"/>
        <v>6.05</v>
      </c>
    </row>
    <row r="202" spans="1:10">
      <c r="A202" t="s">
        <v>13</v>
      </c>
      <c r="B202" s="9">
        <v>88316</v>
      </c>
      <c r="C202" s="588" t="s">
        <v>22</v>
      </c>
      <c r="D202" s="588"/>
      <c r="E202" s="588"/>
      <c r="F202" s="588"/>
      <c r="G202" s="9" t="s">
        <v>6</v>
      </c>
      <c r="H202" s="9">
        <v>0.1779</v>
      </c>
      <c r="I202" s="13">
        <v>12</v>
      </c>
      <c r="J202" s="13">
        <f t="shared" si="11"/>
        <v>2.13</v>
      </c>
    </row>
    <row r="203" spans="1:10" ht="28.8">
      <c r="A203" s="10" t="s">
        <v>4</v>
      </c>
      <c r="B203" s="11">
        <v>99861</v>
      </c>
      <c r="C203" s="589" t="s">
        <v>140</v>
      </c>
      <c r="D203" s="590"/>
      <c r="E203" s="590"/>
      <c r="F203" s="590"/>
      <c r="G203" s="11" t="s">
        <v>21</v>
      </c>
      <c r="H203" s="11"/>
      <c r="I203" s="12">
        <f>J204+J205+J206+J207+J208+J209</f>
        <v>480.28000000000003</v>
      </c>
      <c r="J203" s="12"/>
    </row>
    <row r="204" spans="1:10">
      <c r="A204" t="s">
        <v>7</v>
      </c>
      <c r="B204" s="9">
        <v>565</v>
      </c>
      <c r="C204" s="588" t="s">
        <v>141</v>
      </c>
      <c r="D204" s="588"/>
      <c r="E204" s="588"/>
      <c r="F204" s="588"/>
      <c r="G204" s="9" t="s">
        <v>63</v>
      </c>
      <c r="H204" s="9">
        <v>9.17</v>
      </c>
      <c r="I204" s="13">
        <v>19.417119218300002</v>
      </c>
      <c r="J204" s="13">
        <f t="shared" ref="J204:J209" si="12">TRUNC((H204*I204),2)</f>
        <v>178.05</v>
      </c>
    </row>
    <row r="205" spans="1:10">
      <c r="A205" t="s">
        <v>7</v>
      </c>
      <c r="B205" s="9">
        <v>4777</v>
      </c>
      <c r="C205" s="588" t="s">
        <v>97</v>
      </c>
      <c r="D205" s="588"/>
      <c r="E205" s="588"/>
      <c r="F205" s="588"/>
      <c r="G205" s="9" t="s">
        <v>31</v>
      </c>
      <c r="H205" s="9">
        <v>7.5439999999999996</v>
      </c>
      <c r="I205" s="13">
        <v>8.9787930811999992</v>
      </c>
      <c r="J205" s="13">
        <f t="shared" si="12"/>
        <v>67.73</v>
      </c>
    </row>
    <row r="206" spans="1:10">
      <c r="A206" t="s">
        <v>7</v>
      </c>
      <c r="B206" s="9">
        <v>11002</v>
      </c>
      <c r="C206" s="588" t="s">
        <v>142</v>
      </c>
      <c r="D206" s="588"/>
      <c r="E206" s="588"/>
      <c r="F206" s="588"/>
      <c r="G206" s="9" t="s">
        <v>31</v>
      </c>
      <c r="H206" s="9">
        <v>0.115</v>
      </c>
      <c r="I206" s="13">
        <v>24.215723270400002</v>
      </c>
      <c r="J206" s="13">
        <f t="shared" si="12"/>
        <v>2.78</v>
      </c>
    </row>
    <row r="207" spans="1:10">
      <c r="A207" t="s">
        <v>13</v>
      </c>
      <c r="B207" s="9">
        <v>88251</v>
      </c>
      <c r="C207" s="588" t="s">
        <v>143</v>
      </c>
      <c r="D207" s="588"/>
      <c r="E207" s="588"/>
      <c r="F207" s="588"/>
      <c r="G207" s="9" t="s">
        <v>6</v>
      </c>
      <c r="H207" s="9">
        <v>6.9649999999999999</v>
      </c>
      <c r="I207" s="13">
        <v>12</v>
      </c>
      <c r="J207" s="13">
        <f t="shared" si="12"/>
        <v>83.58</v>
      </c>
    </row>
    <row r="208" spans="1:10">
      <c r="A208" t="s">
        <v>13</v>
      </c>
      <c r="B208" s="9">
        <v>88315</v>
      </c>
      <c r="C208" s="588" t="s">
        <v>144</v>
      </c>
      <c r="D208" s="588"/>
      <c r="E208" s="588"/>
      <c r="F208" s="588"/>
      <c r="G208" s="9" t="s">
        <v>6</v>
      </c>
      <c r="H208" s="9">
        <v>8.4789999999999992</v>
      </c>
      <c r="I208" s="13">
        <v>17</v>
      </c>
      <c r="J208" s="13">
        <f t="shared" si="12"/>
        <v>144.13999999999999</v>
      </c>
    </row>
    <row r="209" spans="1:10">
      <c r="A209" t="s">
        <v>13</v>
      </c>
      <c r="B209" s="9">
        <v>88629</v>
      </c>
      <c r="C209" s="588" t="s">
        <v>145</v>
      </c>
      <c r="D209" s="588"/>
      <c r="E209" s="588"/>
      <c r="F209" s="588"/>
      <c r="G209" s="9" t="s">
        <v>39</v>
      </c>
      <c r="H209" s="9">
        <v>8.0000000000000002E-3</v>
      </c>
      <c r="I209" s="13">
        <v>500</v>
      </c>
      <c r="J209" s="13">
        <f t="shared" si="12"/>
        <v>4</v>
      </c>
    </row>
    <row r="210" spans="1:10" ht="28.8">
      <c r="A210" s="10" t="s">
        <v>4</v>
      </c>
      <c r="B210" s="11">
        <v>94570</v>
      </c>
      <c r="C210" s="589" t="s">
        <v>146</v>
      </c>
      <c r="D210" s="590"/>
      <c r="E210" s="590"/>
      <c r="F210" s="590"/>
      <c r="G210" s="11" t="s">
        <v>21</v>
      </c>
      <c r="H210" s="11"/>
      <c r="I210" s="12">
        <f>J211+J212+J213+J214+J215</f>
        <v>423.53000000000003</v>
      </c>
      <c r="J210" s="12"/>
    </row>
    <row r="211" spans="1:10">
      <c r="A211" t="s">
        <v>7</v>
      </c>
      <c r="B211" s="9">
        <v>4377</v>
      </c>
      <c r="C211" s="588" t="s">
        <v>147</v>
      </c>
      <c r="D211" s="588"/>
      <c r="E211" s="588"/>
      <c r="F211" s="588"/>
      <c r="G211" s="9" t="s">
        <v>36</v>
      </c>
      <c r="H211" s="9">
        <v>9.1999999999999993</v>
      </c>
      <c r="I211" s="13">
        <v>0.17</v>
      </c>
      <c r="J211" s="13">
        <f>TRUNC((H211*I211),2)</f>
        <v>1.56</v>
      </c>
    </row>
    <row r="212" spans="1:10">
      <c r="A212" t="s">
        <v>7</v>
      </c>
      <c r="B212" s="9">
        <v>36896</v>
      </c>
      <c r="C212" s="588" t="s">
        <v>148</v>
      </c>
      <c r="D212" s="588"/>
      <c r="E212" s="588"/>
      <c r="F212" s="588"/>
      <c r="G212" s="9" t="s">
        <v>36</v>
      </c>
      <c r="H212" s="9">
        <v>0.83330000000000004</v>
      </c>
      <c r="I212" s="13">
        <v>480.77872978810001</v>
      </c>
      <c r="J212" s="13">
        <f>TRUNC((H212*I212),2)</f>
        <v>400.63</v>
      </c>
    </row>
    <row r="213" spans="1:10">
      <c r="A213" t="s">
        <v>7</v>
      </c>
      <c r="B213" s="9">
        <v>39961</v>
      </c>
      <c r="C213" s="588" t="s">
        <v>149</v>
      </c>
      <c r="D213" s="588"/>
      <c r="E213" s="588"/>
      <c r="F213" s="588"/>
      <c r="G213" s="9" t="s">
        <v>36</v>
      </c>
      <c r="H213" s="9">
        <v>0.62329999999999997</v>
      </c>
      <c r="I213" s="13">
        <v>15.117439703200001</v>
      </c>
      <c r="J213" s="13">
        <f>TRUNC((H213*I213),2)</f>
        <v>9.42</v>
      </c>
    </row>
    <row r="214" spans="1:10">
      <c r="A214" t="s">
        <v>13</v>
      </c>
      <c r="B214" s="9">
        <v>88309</v>
      </c>
      <c r="C214" s="588" t="s">
        <v>32</v>
      </c>
      <c r="D214" s="588"/>
      <c r="E214" s="588"/>
      <c r="F214" s="588"/>
      <c r="G214" s="9" t="s">
        <v>6</v>
      </c>
      <c r="H214" s="9">
        <v>0.51900000000000002</v>
      </c>
      <c r="I214" s="13">
        <v>17</v>
      </c>
      <c r="J214" s="13">
        <f>TRUNC((H214*I214),2)</f>
        <v>8.82</v>
      </c>
    </row>
    <row r="215" spans="1:10">
      <c r="A215" t="s">
        <v>13</v>
      </c>
      <c r="B215" s="9">
        <v>88316</v>
      </c>
      <c r="C215" s="588" t="s">
        <v>22</v>
      </c>
      <c r="D215" s="588"/>
      <c r="E215" s="588"/>
      <c r="F215" s="588"/>
      <c r="G215" s="9" t="s">
        <v>6</v>
      </c>
      <c r="H215" s="9">
        <v>0.25900000000000001</v>
      </c>
      <c r="I215" s="13">
        <v>12</v>
      </c>
      <c r="J215" s="13">
        <f>TRUNC((H215*I215),2)</f>
        <v>3.1</v>
      </c>
    </row>
    <row r="216" spans="1:10" ht="28.8">
      <c r="A216" s="10" t="s">
        <v>4</v>
      </c>
      <c r="B216" s="11">
        <v>94569</v>
      </c>
      <c r="C216" s="589" t="s">
        <v>150</v>
      </c>
      <c r="D216" s="590"/>
      <c r="E216" s="590"/>
      <c r="F216" s="590"/>
      <c r="G216" s="11" t="s">
        <v>21</v>
      </c>
      <c r="H216" s="11"/>
      <c r="I216" s="12">
        <f>J217+J218+J219+J220+J221</f>
        <v>800.61</v>
      </c>
      <c r="J216" s="12"/>
    </row>
    <row r="217" spans="1:10">
      <c r="A217" t="s">
        <v>7</v>
      </c>
      <c r="B217" s="9">
        <v>4377</v>
      </c>
      <c r="C217" s="588" t="s">
        <v>147</v>
      </c>
      <c r="D217" s="588"/>
      <c r="E217" s="588"/>
      <c r="F217" s="588"/>
      <c r="G217" s="9" t="s">
        <v>36</v>
      </c>
      <c r="H217" s="9">
        <v>24.4</v>
      </c>
      <c r="I217" s="13">
        <v>0.17</v>
      </c>
      <c r="J217" s="13">
        <f>TRUNC((H217*I217),2)</f>
        <v>4.1399999999999997</v>
      </c>
    </row>
    <row r="218" spans="1:10">
      <c r="A218" t="s">
        <v>7</v>
      </c>
      <c r="B218" s="9">
        <v>34381</v>
      </c>
      <c r="C218" s="588" t="s">
        <v>151</v>
      </c>
      <c r="D218" s="588"/>
      <c r="E218" s="588"/>
      <c r="F218" s="588"/>
      <c r="G218" s="9" t="s">
        <v>36</v>
      </c>
      <c r="H218" s="9">
        <v>2.0832999999999999</v>
      </c>
      <c r="I218" s="13">
        <v>354.04609323329998</v>
      </c>
      <c r="J218" s="13">
        <f>TRUNC((H218*I218),2)</f>
        <v>737.58</v>
      </c>
    </row>
    <row r="219" spans="1:10">
      <c r="A219" t="s">
        <v>7</v>
      </c>
      <c r="B219" s="9">
        <v>39961</v>
      </c>
      <c r="C219" s="588" t="s">
        <v>149</v>
      </c>
      <c r="D219" s="588"/>
      <c r="E219" s="588"/>
      <c r="F219" s="588"/>
      <c r="G219" s="9" t="s">
        <v>36</v>
      </c>
      <c r="H219" s="9">
        <v>1.2466999999999999</v>
      </c>
      <c r="I219" s="13">
        <v>15.1254638219</v>
      </c>
      <c r="J219" s="13">
        <f>TRUNC((H219*I219),2)</f>
        <v>18.850000000000001</v>
      </c>
    </row>
    <row r="220" spans="1:10">
      <c r="A220" t="s">
        <v>13</v>
      </c>
      <c r="B220" s="9">
        <v>88309</v>
      </c>
      <c r="C220" s="588" t="s">
        <v>32</v>
      </c>
      <c r="D220" s="588"/>
      <c r="E220" s="588"/>
      <c r="F220" s="588"/>
      <c r="G220" s="9" t="s">
        <v>6</v>
      </c>
      <c r="H220" s="9">
        <v>1.7070000000000001</v>
      </c>
      <c r="I220" s="13">
        <v>17.466387096799998</v>
      </c>
      <c r="J220" s="13">
        <f>TRUNC((H220*I220),2)</f>
        <v>29.81</v>
      </c>
    </row>
    <row r="221" spans="1:10">
      <c r="A221" t="s">
        <v>13</v>
      </c>
      <c r="B221" s="9">
        <v>88316</v>
      </c>
      <c r="C221" s="588" t="s">
        <v>22</v>
      </c>
      <c r="D221" s="588"/>
      <c r="E221" s="588"/>
      <c r="F221" s="588"/>
      <c r="G221" s="9" t="s">
        <v>6</v>
      </c>
      <c r="H221" s="9">
        <v>0.85299999999999998</v>
      </c>
      <c r="I221" s="13">
        <v>12</v>
      </c>
      <c r="J221" s="13">
        <f>TRUNC((H221*I221),2)</f>
        <v>10.23</v>
      </c>
    </row>
    <row r="222" spans="1:10" ht="28.8">
      <c r="A222" s="10" t="s">
        <v>4</v>
      </c>
      <c r="B222" s="11">
        <v>87879</v>
      </c>
      <c r="C222" s="589" t="s">
        <v>152</v>
      </c>
      <c r="D222" s="590"/>
      <c r="E222" s="590"/>
      <c r="F222" s="590"/>
      <c r="G222" s="11" t="s">
        <v>21</v>
      </c>
      <c r="H222" s="11"/>
      <c r="I222" s="12">
        <f>J223+J224+J225</f>
        <v>2.95</v>
      </c>
      <c r="J222" s="12"/>
    </row>
    <row r="223" spans="1:10">
      <c r="A223" t="s">
        <v>13</v>
      </c>
      <c r="B223" s="9">
        <v>87313</v>
      </c>
      <c r="C223" s="588" t="s">
        <v>153</v>
      </c>
      <c r="D223" s="588"/>
      <c r="E223" s="588"/>
      <c r="F223" s="588"/>
      <c r="G223" s="9" t="s">
        <v>39</v>
      </c>
      <c r="H223" s="9">
        <v>4.1999999999999997E-3</v>
      </c>
      <c r="I223" s="13">
        <v>400</v>
      </c>
      <c r="J223" s="13">
        <f>TRUNC((H223*I223),2)</f>
        <v>1.68</v>
      </c>
    </row>
    <row r="224" spans="1:10">
      <c r="A224" t="s">
        <v>13</v>
      </c>
      <c r="B224" s="9">
        <v>88309</v>
      </c>
      <c r="C224" s="588" t="s">
        <v>32</v>
      </c>
      <c r="D224" s="588"/>
      <c r="E224" s="588"/>
      <c r="F224" s="588"/>
      <c r="G224" s="9" t="s">
        <v>6</v>
      </c>
      <c r="H224" s="9">
        <v>7.0000000000000007E-2</v>
      </c>
      <c r="I224" s="13">
        <v>17</v>
      </c>
      <c r="J224" s="13">
        <f>TRUNC((H224*I224),2)</f>
        <v>1.19</v>
      </c>
    </row>
    <row r="225" spans="1:10">
      <c r="A225" t="s">
        <v>13</v>
      </c>
      <c r="B225" s="9">
        <v>88316</v>
      </c>
      <c r="C225" s="588" t="s">
        <v>22</v>
      </c>
      <c r="D225" s="588"/>
      <c r="E225" s="588"/>
      <c r="F225" s="588"/>
      <c r="G225" s="9" t="s">
        <v>6</v>
      </c>
      <c r="H225" s="9">
        <v>7.0000000000000001E-3</v>
      </c>
      <c r="I225" s="13">
        <v>12</v>
      </c>
      <c r="J225" s="13">
        <f>TRUNC((H225*I225),2)</f>
        <v>0.08</v>
      </c>
    </row>
    <row r="226" spans="1:10" ht="28.8">
      <c r="A226" s="10" t="s">
        <v>4</v>
      </c>
      <c r="B226" s="11">
        <v>87529</v>
      </c>
      <c r="C226" s="589" t="s">
        <v>154</v>
      </c>
      <c r="D226" s="590"/>
      <c r="E226" s="590"/>
      <c r="F226" s="590"/>
      <c r="G226" s="11" t="s">
        <v>21</v>
      </c>
      <c r="H226" s="11"/>
      <c r="I226" s="12">
        <f>J227+J228+J229</f>
        <v>25.080000000000002</v>
      </c>
      <c r="J226" s="12"/>
    </row>
    <row r="227" spans="1:10">
      <c r="A227" t="s">
        <v>13</v>
      </c>
      <c r="B227" s="9">
        <v>87292</v>
      </c>
      <c r="C227" s="588" t="s">
        <v>81</v>
      </c>
      <c r="D227" s="588"/>
      <c r="E227" s="588"/>
      <c r="F227" s="588"/>
      <c r="G227" s="9" t="s">
        <v>39</v>
      </c>
      <c r="H227" s="9">
        <v>3.7600000000000001E-2</v>
      </c>
      <c r="I227" s="13">
        <v>400</v>
      </c>
      <c r="J227" s="13">
        <f>TRUNC((H227*I227),2)</f>
        <v>15.04</v>
      </c>
    </row>
    <row r="228" spans="1:10">
      <c r="A228" t="s">
        <v>13</v>
      </c>
      <c r="B228" s="9">
        <v>88309</v>
      </c>
      <c r="C228" s="588" t="s">
        <v>32</v>
      </c>
      <c r="D228" s="588"/>
      <c r="E228" s="588"/>
      <c r="F228" s="588"/>
      <c r="G228" s="9" t="s">
        <v>6</v>
      </c>
      <c r="H228" s="9">
        <v>0.47</v>
      </c>
      <c r="I228" s="13">
        <v>17</v>
      </c>
      <c r="J228" s="13">
        <f>TRUNC((H228*I228),2)</f>
        <v>7.99</v>
      </c>
    </row>
    <row r="229" spans="1:10">
      <c r="A229" t="s">
        <v>13</v>
      </c>
      <c r="B229" s="9">
        <v>88316</v>
      </c>
      <c r="C229" s="588" t="s">
        <v>22</v>
      </c>
      <c r="D229" s="588"/>
      <c r="E229" s="588"/>
      <c r="F229" s="588"/>
      <c r="G229" s="9" t="s">
        <v>6</v>
      </c>
      <c r="H229" s="9">
        <v>0.17100000000000001</v>
      </c>
      <c r="I229" s="13">
        <v>12</v>
      </c>
      <c r="J229" s="13">
        <f>TRUNC((H229*I229),2)</f>
        <v>2.0499999999999998</v>
      </c>
    </row>
    <row r="230" spans="1:10" ht="28.8">
      <c r="A230" s="10" t="s">
        <v>4</v>
      </c>
      <c r="B230" s="11">
        <v>87274</v>
      </c>
      <c r="C230" s="589" t="s">
        <v>155</v>
      </c>
      <c r="D230" s="590"/>
      <c r="E230" s="590"/>
      <c r="F230" s="590"/>
      <c r="G230" s="11" t="s">
        <v>21</v>
      </c>
      <c r="H230" s="11"/>
      <c r="I230" s="12">
        <f>J231+J232+J233+J234+J235</f>
        <v>59.14</v>
      </c>
      <c r="J230" s="12"/>
    </row>
    <row r="231" spans="1:10">
      <c r="A231" t="s">
        <v>7</v>
      </c>
      <c r="B231" s="9">
        <v>536</v>
      </c>
      <c r="C231" s="588" t="s">
        <v>156</v>
      </c>
      <c r="D231" s="588"/>
      <c r="E231" s="588"/>
      <c r="F231" s="588"/>
      <c r="G231" s="9" t="s">
        <v>21</v>
      </c>
      <c r="H231" s="9">
        <v>1.0900000000000001</v>
      </c>
      <c r="I231" s="13">
        <v>27.9724770642</v>
      </c>
      <c r="J231" s="13">
        <f>TRUNC((H231*I231),2)</f>
        <v>30.48</v>
      </c>
    </row>
    <row r="232" spans="1:10">
      <c r="A232" t="s">
        <v>7</v>
      </c>
      <c r="B232" s="9">
        <v>1381</v>
      </c>
      <c r="C232" s="588" t="s">
        <v>157</v>
      </c>
      <c r="D232" s="588"/>
      <c r="E232" s="588"/>
      <c r="F232" s="588"/>
      <c r="G232" s="9" t="s">
        <v>31</v>
      </c>
      <c r="H232" s="9">
        <v>6.14</v>
      </c>
      <c r="I232" s="13">
        <v>0.71729622270000004</v>
      </c>
      <c r="J232" s="13">
        <f>TRUNC((H232*I232),2)</f>
        <v>4.4000000000000004</v>
      </c>
    </row>
    <row r="233" spans="1:10">
      <c r="A233" t="s">
        <v>7</v>
      </c>
      <c r="B233" s="9">
        <v>34357</v>
      </c>
      <c r="C233" s="588" t="s">
        <v>158</v>
      </c>
      <c r="D233" s="588"/>
      <c r="E233" s="588"/>
      <c r="F233" s="588"/>
      <c r="G233" s="9" t="s">
        <v>31</v>
      </c>
      <c r="H233" s="9">
        <v>0.22</v>
      </c>
      <c r="I233" s="13">
        <v>4.2144761905000001</v>
      </c>
      <c r="J233" s="13">
        <f>TRUNC((H233*I233),2)</f>
        <v>0.92</v>
      </c>
    </row>
    <row r="234" spans="1:10">
      <c r="A234" t="s">
        <v>13</v>
      </c>
      <c r="B234" s="9">
        <v>88256</v>
      </c>
      <c r="C234" s="588" t="s">
        <v>28</v>
      </c>
      <c r="D234" s="588"/>
      <c r="E234" s="588"/>
      <c r="F234" s="588"/>
      <c r="G234" s="9" t="s">
        <v>6</v>
      </c>
      <c r="H234" s="9">
        <v>1.02</v>
      </c>
      <c r="I234" s="13">
        <v>17</v>
      </c>
      <c r="J234" s="13">
        <f>TRUNC((H234*I234),2)</f>
        <v>17.34</v>
      </c>
    </row>
    <row r="235" spans="1:10">
      <c r="A235" t="s">
        <v>13</v>
      </c>
      <c r="B235" s="9">
        <v>88316</v>
      </c>
      <c r="C235" s="588" t="s">
        <v>22</v>
      </c>
      <c r="D235" s="588"/>
      <c r="E235" s="588"/>
      <c r="F235" s="588"/>
      <c r="G235" s="9" t="s">
        <v>6</v>
      </c>
      <c r="H235" s="9">
        <v>0.5</v>
      </c>
      <c r="I235" s="13">
        <v>12</v>
      </c>
      <c r="J235" s="13">
        <f>TRUNC((H235*I235),2)</f>
        <v>6</v>
      </c>
    </row>
    <row r="236" spans="1:10" ht="28.8">
      <c r="A236" s="10" t="s">
        <v>4</v>
      </c>
      <c r="B236" s="11">
        <v>102253</v>
      </c>
      <c r="C236" s="589" t="s">
        <v>159</v>
      </c>
      <c r="D236" s="590"/>
      <c r="E236" s="590"/>
      <c r="F236" s="590"/>
      <c r="G236" s="11" t="s">
        <v>21</v>
      </c>
      <c r="H236" s="11"/>
      <c r="I236" s="12">
        <f>J237+J238+J239+J241+J240+J242+J243</f>
        <v>710.8599999999999</v>
      </c>
      <c r="J236" s="12"/>
    </row>
    <row r="237" spans="1:10">
      <c r="A237" t="s">
        <v>7</v>
      </c>
      <c r="B237" s="9">
        <v>131</v>
      </c>
      <c r="C237" s="588" t="s">
        <v>160</v>
      </c>
      <c r="D237" s="588"/>
      <c r="E237" s="588"/>
      <c r="F237" s="588"/>
      <c r="G237" s="9" t="s">
        <v>31</v>
      </c>
      <c r="H237" s="9">
        <v>0.53</v>
      </c>
      <c r="I237" s="13">
        <v>30.2396072013</v>
      </c>
      <c r="J237" s="13">
        <f t="shared" ref="J237:J243" si="13">TRUNC((H237*I237),2)</f>
        <v>16.02</v>
      </c>
    </row>
    <row r="238" spans="1:10">
      <c r="A238" t="s">
        <v>7</v>
      </c>
      <c r="B238" s="9">
        <v>37596</v>
      </c>
      <c r="C238" s="588" t="s">
        <v>161</v>
      </c>
      <c r="D238" s="588"/>
      <c r="E238" s="588"/>
      <c r="F238" s="588"/>
      <c r="G238" s="9" t="s">
        <v>31</v>
      </c>
      <c r="H238" s="9">
        <v>0.97</v>
      </c>
      <c r="I238" s="13">
        <v>2.5287500000000001</v>
      </c>
      <c r="J238" s="13">
        <f t="shared" si="13"/>
        <v>2.4500000000000002</v>
      </c>
    </row>
    <row r="239" spans="1:10">
      <c r="A239" t="s">
        <v>7</v>
      </c>
      <c r="B239" s="9">
        <v>44476</v>
      </c>
      <c r="C239" s="588" t="s">
        <v>162</v>
      </c>
      <c r="D239" s="588"/>
      <c r="E239" s="588"/>
      <c r="F239" s="588"/>
      <c r="G239" s="9" t="s">
        <v>21</v>
      </c>
      <c r="H239" s="9">
        <v>1.05</v>
      </c>
      <c r="I239" s="13">
        <v>610.60208148679999</v>
      </c>
      <c r="J239" s="13">
        <f t="shared" si="13"/>
        <v>641.13</v>
      </c>
    </row>
    <row r="240" spans="1:10">
      <c r="A240" t="s">
        <v>13</v>
      </c>
      <c r="B240" s="9">
        <v>88274</v>
      </c>
      <c r="C240" s="588" t="s">
        <v>163</v>
      </c>
      <c r="D240" s="588"/>
      <c r="E240" s="588"/>
      <c r="F240" s="588"/>
      <c r="G240" s="9" t="s">
        <v>6</v>
      </c>
      <c r="H240" s="9">
        <v>1.405</v>
      </c>
      <c r="I240" s="13">
        <v>17</v>
      </c>
      <c r="J240" s="13">
        <f t="shared" si="13"/>
        <v>23.88</v>
      </c>
    </row>
    <row r="241" spans="1:10">
      <c r="A241" t="s">
        <v>13</v>
      </c>
      <c r="B241" s="9">
        <v>88316</v>
      </c>
      <c r="C241" s="588" t="s">
        <v>22</v>
      </c>
      <c r="D241" s="588"/>
      <c r="E241" s="588"/>
      <c r="F241" s="588"/>
      <c r="G241" s="9" t="s">
        <v>6</v>
      </c>
      <c r="H241" s="9">
        <v>0.70199999999999996</v>
      </c>
      <c r="I241" s="13">
        <v>12</v>
      </c>
      <c r="J241" s="13">
        <f t="shared" si="13"/>
        <v>8.42</v>
      </c>
    </row>
    <row r="242" spans="1:10">
      <c r="A242" t="s">
        <v>13</v>
      </c>
      <c r="B242" s="9">
        <v>91692</v>
      </c>
      <c r="C242" s="588" t="s">
        <v>69</v>
      </c>
      <c r="D242" s="588"/>
      <c r="E242" s="588"/>
      <c r="F242" s="588"/>
      <c r="G242" s="9" t="s">
        <v>49</v>
      </c>
      <c r="H242" s="9">
        <v>8.8999999999999996E-2</v>
      </c>
      <c r="I242" s="13">
        <v>14.558571428600001</v>
      </c>
      <c r="J242" s="13">
        <f t="shared" si="13"/>
        <v>1.29</v>
      </c>
    </row>
    <row r="243" spans="1:10">
      <c r="A243" t="s">
        <v>13</v>
      </c>
      <c r="B243" s="9">
        <v>91693</v>
      </c>
      <c r="C243" s="588" t="s">
        <v>70</v>
      </c>
      <c r="D243" s="588"/>
      <c r="E243" s="588"/>
      <c r="F243" s="588"/>
      <c r="G243" s="9" t="s">
        <v>51</v>
      </c>
      <c r="H243" s="9">
        <v>1.3160000000000001</v>
      </c>
      <c r="I243" s="13">
        <v>13.4295497279</v>
      </c>
      <c r="J243" s="13">
        <f t="shared" si="13"/>
        <v>17.670000000000002</v>
      </c>
    </row>
    <row r="244" spans="1:10" ht="28.8">
      <c r="A244" s="10" t="s">
        <v>4</v>
      </c>
      <c r="B244" s="11">
        <v>87250</v>
      </c>
      <c r="C244" s="589" t="s">
        <v>164</v>
      </c>
      <c r="D244" s="590"/>
      <c r="E244" s="590"/>
      <c r="F244" s="590"/>
      <c r="G244" s="11" t="s">
        <v>21</v>
      </c>
      <c r="H244" s="11"/>
      <c r="I244" s="12">
        <f>J245+J246+J247+J248+J249</f>
        <v>44.82</v>
      </c>
      <c r="J244" s="12"/>
    </row>
    <row r="245" spans="1:10">
      <c r="A245" t="s">
        <v>7</v>
      </c>
      <c r="B245" s="9">
        <v>1287</v>
      </c>
      <c r="C245" s="588" t="s">
        <v>165</v>
      </c>
      <c r="D245" s="588"/>
      <c r="E245" s="588"/>
      <c r="F245" s="588"/>
      <c r="G245" s="9" t="s">
        <v>21</v>
      </c>
      <c r="H245" s="9">
        <v>1.07</v>
      </c>
      <c r="I245" s="13">
        <v>26.8904649043</v>
      </c>
      <c r="J245" s="13">
        <f>TRUNC((H245*I245),2)</f>
        <v>28.77</v>
      </c>
    </row>
    <row r="246" spans="1:10">
      <c r="A246" t="s">
        <v>7</v>
      </c>
      <c r="B246" s="9">
        <v>1381</v>
      </c>
      <c r="C246" s="588" t="s">
        <v>157</v>
      </c>
      <c r="D246" s="588"/>
      <c r="E246" s="588"/>
      <c r="F246" s="588"/>
      <c r="G246" s="9" t="s">
        <v>31</v>
      </c>
      <c r="H246" s="9">
        <v>6.14</v>
      </c>
      <c r="I246" s="13">
        <v>0.71729622270000004</v>
      </c>
      <c r="J246" s="13">
        <f>TRUNC((H246*I246),2)</f>
        <v>4.4000000000000004</v>
      </c>
    </row>
    <row r="247" spans="1:10">
      <c r="A247" t="s">
        <v>7</v>
      </c>
      <c r="B247" s="9">
        <v>34357</v>
      </c>
      <c r="C247" s="588" t="s">
        <v>158</v>
      </c>
      <c r="D247" s="588"/>
      <c r="E247" s="588"/>
      <c r="F247" s="588"/>
      <c r="G247" s="9" t="s">
        <v>31</v>
      </c>
      <c r="H247" s="9">
        <v>0.19</v>
      </c>
      <c r="I247" s="13">
        <v>4.2285714285999996</v>
      </c>
      <c r="J247" s="13">
        <f>TRUNC((H247*I247),2)</f>
        <v>0.8</v>
      </c>
    </row>
    <row r="248" spans="1:10">
      <c r="A248" t="s">
        <v>13</v>
      </c>
      <c r="B248" s="9">
        <v>88256</v>
      </c>
      <c r="C248" s="588" t="s">
        <v>28</v>
      </c>
      <c r="D248" s="588"/>
      <c r="E248" s="588"/>
      <c r="F248" s="588"/>
      <c r="G248" s="9" t="s">
        <v>6</v>
      </c>
      <c r="H248" s="9">
        <v>0.49</v>
      </c>
      <c r="I248" s="13">
        <v>17</v>
      </c>
      <c r="J248" s="13">
        <f>TRUNC((H248*I248),2)</f>
        <v>8.33</v>
      </c>
    </row>
    <row r="249" spans="1:10">
      <c r="A249" t="s">
        <v>13</v>
      </c>
      <c r="B249" s="9">
        <v>88316</v>
      </c>
      <c r="C249" s="588" t="s">
        <v>22</v>
      </c>
      <c r="D249" s="588"/>
      <c r="E249" s="588"/>
      <c r="F249" s="588"/>
      <c r="G249" s="9" t="s">
        <v>6</v>
      </c>
      <c r="H249" s="9">
        <v>0.21</v>
      </c>
      <c r="I249" s="13">
        <v>12</v>
      </c>
      <c r="J249" s="13">
        <f>TRUNC((H249*I249),2)</f>
        <v>2.52</v>
      </c>
    </row>
    <row r="250" spans="1:10" ht="28.8">
      <c r="A250" s="10" t="s">
        <v>4</v>
      </c>
      <c r="B250" s="11">
        <v>88649</v>
      </c>
      <c r="C250" s="589" t="s">
        <v>166</v>
      </c>
      <c r="D250" s="590"/>
      <c r="E250" s="590"/>
      <c r="F250" s="590"/>
      <c r="G250" s="11" t="s">
        <v>63</v>
      </c>
      <c r="H250" s="11"/>
      <c r="I250" s="12">
        <f>J251+J252+J253+J254+J255</f>
        <v>6.43</v>
      </c>
      <c r="J250" s="12"/>
    </row>
    <row r="251" spans="1:10">
      <c r="A251" t="s">
        <v>7</v>
      </c>
      <c r="B251" s="9">
        <v>1287</v>
      </c>
      <c r="C251" s="588" t="s">
        <v>165</v>
      </c>
      <c r="D251" s="588"/>
      <c r="E251" s="588"/>
      <c r="F251" s="588"/>
      <c r="G251" s="9" t="s">
        <v>21</v>
      </c>
      <c r="H251" s="9">
        <v>0.15</v>
      </c>
      <c r="I251" s="13">
        <v>26.889978308</v>
      </c>
      <c r="J251" s="13">
        <f>TRUNC((H251*I251),2)</f>
        <v>4.03</v>
      </c>
    </row>
    <row r="252" spans="1:10">
      <c r="A252" t="s">
        <v>7</v>
      </c>
      <c r="B252" s="9">
        <v>1381</v>
      </c>
      <c r="C252" s="588" t="s">
        <v>157</v>
      </c>
      <c r="D252" s="588"/>
      <c r="E252" s="588"/>
      <c r="F252" s="588"/>
      <c r="G252" s="9" t="s">
        <v>31</v>
      </c>
      <c r="H252" s="9">
        <v>0.60299999999999998</v>
      </c>
      <c r="I252" s="13">
        <v>0.72</v>
      </c>
      <c r="J252" s="13">
        <f>TRUNC((H252*I252),2)</f>
        <v>0.43</v>
      </c>
    </row>
    <row r="253" spans="1:10">
      <c r="A253" t="s">
        <v>7</v>
      </c>
      <c r="B253" s="9">
        <v>34357</v>
      </c>
      <c r="C253" s="588" t="s">
        <v>158</v>
      </c>
      <c r="D253" s="588"/>
      <c r="E253" s="588"/>
      <c r="F253" s="588"/>
      <c r="G253" s="9" t="s">
        <v>31</v>
      </c>
      <c r="H253" s="9">
        <v>8.4000000000000005E-2</v>
      </c>
      <c r="I253" s="13">
        <v>4.2087500000000002</v>
      </c>
      <c r="J253" s="13">
        <f>TRUNC((H253*I253),2)</f>
        <v>0.35</v>
      </c>
    </row>
    <row r="254" spans="1:10">
      <c r="A254" t="s">
        <v>13</v>
      </c>
      <c r="B254" s="9">
        <v>88256</v>
      </c>
      <c r="C254" s="588" t="s">
        <v>28</v>
      </c>
      <c r="D254" s="588"/>
      <c r="E254" s="588"/>
      <c r="F254" s="588"/>
      <c r="G254" s="9" t="s">
        <v>6</v>
      </c>
      <c r="H254" s="9">
        <v>7.3999999999999996E-2</v>
      </c>
      <c r="I254" s="13">
        <v>17</v>
      </c>
      <c r="J254" s="13">
        <f>TRUNC((H254*I254),2)</f>
        <v>1.25</v>
      </c>
    </row>
    <row r="255" spans="1:10">
      <c r="A255" t="s">
        <v>13</v>
      </c>
      <c r="B255" s="9">
        <v>88316</v>
      </c>
      <c r="C255" s="588" t="s">
        <v>22</v>
      </c>
      <c r="D255" s="588"/>
      <c r="E255" s="588"/>
      <c r="F255" s="588"/>
      <c r="G255" s="9" t="s">
        <v>6</v>
      </c>
      <c r="H255" s="9">
        <v>3.1E-2</v>
      </c>
      <c r="I255" s="13">
        <v>12</v>
      </c>
      <c r="J255" s="13">
        <f>TRUNC((H255*I255),2)</f>
        <v>0.37</v>
      </c>
    </row>
    <row r="256" spans="1:10" ht="28.8">
      <c r="A256" s="10" t="s">
        <v>4</v>
      </c>
      <c r="B256" s="11">
        <v>97101</v>
      </c>
      <c r="C256" s="589" t="s">
        <v>167</v>
      </c>
      <c r="D256" s="590"/>
      <c r="E256" s="590"/>
      <c r="F256" s="590"/>
      <c r="G256" s="11" t="s">
        <v>21</v>
      </c>
      <c r="H256" s="11"/>
      <c r="I256" s="12">
        <f>J257+J258+J259+J260+J261+J262+J263</f>
        <v>179.97</v>
      </c>
      <c r="J256" s="12"/>
    </row>
    <row r="257" spans="1:10">
      <c r="A257" t="s">
        <v>13</v>
      </c>
      <c r="B257" s="9">
        <v>96624</v>
      </c>
      <c r="C257" s="588" t="s">
        <v>168</v>
      </c>
      <c r="D257" s="588"/>
      <c r="E257" s="588"/>
      <c r="F257" s="588"/>
      <c r="G257" s="9" t="s">
        <v>39</v>
      </c>
      <c r="H257" s="9">
        <v>0.1</v>
      </c>
      <c r="I257" s="13">
        <v>106.9</v>
      </c>
      <c r="J257" s="13">
        <f t="shared" ref="J257:J263" si="14">TRUNC((H257*I257),2)</f>
        <v>10.69</v>
      </c>
    </row>
    <row r="258" spans="1:10">
      <c r="A258" t="s">
        <v>13</v>
      </c>
      <c r="B258" s="9">
        <v>97082</v>
      </c>
      <c r="C258" s="588" t="s">
        <v>169</v>
      </c>
      <c r="D258" s="588"/>
      <c r="E258" s="588"/>
      <c r="F258" s="588"/>
      <c r="G258" s="9" t="s">
        <v>39</v>
      </c>
      <c r="H258" s="9">
        <v>3.5000000000000003E-2</v>
      </c>
      <c r="I258" s="13">
        <v>40.7767901235</v>
      </c>
      <c r="J258" s="13">
        <f t="shared" si="14"/>
        <v>1.42</v>
      </c>
    </row>
    <row r="259" spans="1:10">
      <c r="A259" t="s">
        <v>13</v>
      </c>
      <c r="B259" s="9">
        <v>97083</v>
      </c>
      <c r="C259" s="588" t="s">
        <v>170</v>
      </c>
      <c r="D259" s="588"/>
      <c r="E259" s="588"/>
      <c r="F259" s="588"/>
      <c r="G259" s="9" t="s">
        <v>21</v>
      </c>
      <c r="H259" s="9">
        <v>1</v>
      </c>
      <c r="I259" s="13">
        <v>2.21</v>
      </c>
      <c r="J259" s="13">
        <f t="shared" si="14"/>
        <v>2.21</v>
      </c>
    </row>
    <row r="260" spans="1:10">
      <c r="A260" t="s">
        <v>13</v>
      </c>
      <c r="B260" s="9">
        <v>97086</v>
      </c>
      <c r="C260" s="588" t="s">
        <v>171</v>
      </c>
      <c r="D260" s="588"/>
      <c r="E260" s="588"/>
      <c r="F260" s="588"/>
      <c r="G260" s="9" t="s">
        <v>21</v>
      </c>
      <c r="H260" s="9">
        <v>0.08</v>
      </c>
      <c r="I260" s="13">
        <v>87.337468671699995</v>
      </c>
      <c r="J260" s="13">
        <f t="shared" si="14"/>
        <v>6.98</v>
      </c>
    </row>
    <row r="261" spans="1:10">
      <c r="A261" t="s">
        <v>13</v>
      </c>
      <c r="B261" s="9">
        <v>97087</v>
      </c>
      <c r="C261" s="588" t="s">
        <v>172</v>
      </c>
      <c r="D261" s="588"/>
      <c r="E261" s="588"/>
      <c r="F261" s="588"/>
      <c r="G261" s="9" t="s">
        <v>21</v>
      </c>
      <c r="H261" s="9">
        <v>1.24</v>
      </c>
      <c r="I261" s="13">
        <v>1.5436986301</v>
      </c>
      <c r="J261" s="13">
        <f t="shared" si="14"/>
        <v>1.91</v>
      </c>
    </row>
    <row r="262" spans="1:10">
      <c r="A262" t="s">
        <v>13</v>
      </c>
      <c r="B262" s="9">
        <v>97089</v>
      </c>
      <c r="C262" s="588" t="s">
        <v>173</v>
      </c>
      <c r="D262" s="588"/>
      <c r="E262" s="588"/>
      <c r="F262" s="588"/>
      <c r="G262" s="9" t="s">
        <v>31</v>
      </c>
      <c r="H262" s="9">
        <v>3.6</v>
      </c>
      <c r="I262" s="13">
        <v>20.221387220800001</v>
      </c>
      <c r="J262" s="13">
        <f t="shared" si="14"/>
        <v>72.790000000000006</v>
      </c>
    </row>
    <row r="263" spans="1:10">
      <c r="A263" t="s">
        <v>13</v>
      </c>
      <c r="B263" s="9">
        <v>97096</v>
      </c>
      <c r="C263" s="588" t="s">
        <v>174</v>
      </c>
      <c r="D263" s="588"/>
      <c r="E263" s="588"/>
      <c r="F263" s="588"/>
      <c r="G263" s="9" t="s">
        <v>39</v>
      </c>
      <c r="H263" s="9">
        <v>0.13500000000000001</v>
      </c>
      <c r="I263" s="13">
        <v>622.04759212989995</v>
      </c>
      <c r="J263" s="13">
        <f t="shared" si="14"/>
        <v>83.97</v>
      </c>
    </row>
    <row r="264" spans="1:10" ht="28.8">
      <c r="A264" s="10" t="s">
        <v>4</v>
      </c>
      <c r="B264" s="11">
        <v>98689</v>
      </c>
      <c r="C264" s="589" t="s">
        <v>175</v>
      </c>
      <c r="D264" s="590"/>
      <c r="E264" s="590"/>
      <c r="F264" s="590"/>
      <c r="G264" s="11" t="s">
        <v>63</v>
      </c>
      <c r="H264" s="11"/>
      <c r="I264" s="12">
        <f>J265+J266+J267+J268</f>
        <v>92.3</v>
      </c>
      <c r="J264" s="12"/>
    </row>
    <row r="265" spans="1:10">
      <c r="A265" t="s">
        <v>7</v>
      </c>
      <c r="B265" s="9">
        <v>20232</v>
      </c>
      <c r="C265" s="588" t="s">
        <v>176</v>
      </c>
      <c r="D265" s="588"/>
      <c r="E265" s="588"/>
      <c r="F265" s="588"/>
      <c r="G265" s="9" t="s">
        <v>63</v>
      </c>
      <c r="H265" s="9">
        <v>1</v>
      </c>
      <c r="I265" s="13">
        <v>76.900000000000006</v>
      </c>
      <c r="J265" s="13">
        <f>TRUNC((H265*I265),2)</f>
        <v>76.900000000000006</v>
      </c>
    </row>
    <row r="266" spans="1:10">
      <c r="A266" t="s">
        <v>7</v>
      </c>
      <c r="B266" s="9">
        <v>37595</v>
      </c>
      <c r="C266" s="588" t="s">
        <v>177</v>
      </c>
      <c r="D266" s="588"/>
      <c r="E266" s="588"/>
      <c r="F266" s="588"/>
      <c r="G266" s="9" t="s">
        <v>31</v>
      </c>
      <c r="H266" s="9">
        <v>1.29</v>
      </c>
      <c r="I266" s="13">
        <v>2.2020923077000001</v>
      </c>
      <c r="J266" s="13">
        <f>TRUNC((H266*I266),2)</f>
        <v>2.84</v>
      </c>
    </row>
    <row r="267" spans="1:10">
      <c r="A267" t="s">
        <v>13</v>
      </c>
      <c r="B267" s="9">
        <v>88274</v>
      </c>
      <c r="C267" s="588" t="s">
        <v>163</v>
      </c>
      <c r="D267" s="588"/>
      <c r="E267" s="588"/>
      <c r="F267" s="588"/>
      <c r="G267" s="9" t="s">
        <v>6</v>
      </c>
      <c r="H267" s="9">
        <v>0.54700000000000004</v>
      </c>
      <c r="I267" s="13">
        <v>17</v>
      </c>
      <c r="J267" s="13">
        <f>TRUNC((H267*I267),2)</f>
        <v>9.2899999999999991</v>
      </c>
    </row>
    <row r="268" spans="1:10">
      <c r="A268" t="s">
        <v>13</v>
      </c>
      <c r="B268" s="9">
        <v>88316</v>
      </c>
      <c r="C268" s="588" t="s">
        <v>22</v>
      </c>
      <c r="D268" s="588"/>
      <c r="E268" s="588"/>
      <c r="F268" s="588"/>
      <c r="G268" s="9" t="s">
        <v>6</v>
      </c>
      <c r="H268" s="9">
        <v>0.27300000000000002</v>
      </c>
      <c r="I268" s="13">
        <v>12</v>
      </c>
      <c r="J268" s="13">
        <f>TRUNC((H268*I268),2)</f>
        <v>3.27</v>
      </c>
    </row>
    <row r="269" spans="1:10" ht="28.8">
      <c r="A269" s="10" t="s">
        <v>4</v>
      </c>
      <c r="B269" s="11">
        <v>94990</v>
      </c>
      <c r="C269" s="589" t="s">
        <v>178</v>
      </c>
      <c r="D269" s="590"/>
      <c r="E269" s="590"/>
      <c r="F269" s="590"/>
      <c r="G269" s="11" t="s">
        <v>39</v>
      </c>
      <c r="H269" s="11"/>
      <c r="I269" s="12">
        <f>J270+J271+J272+J273+J274+J275</f>
        <v>590.21</v>
      </c>
      <c r="J269" s="12"/>
    </row>
    <row r="270" spans="1:10">
      <c r="A270" t="s">
        <v>7</v>
      </c>
      <c r="B270" s="9">
        <v>4460</v>
      </c>
      <c r="C270" s="588" t="s">
        <v>179</v>
      </c>
      <c r="D270" s="588"/>
      <c r="E270" s="588"/>
      <c r="F270" s="588"/>
      <c r="G270" s="9" t="s">
        <v>63</v>
      </c>
      <c r="H270" s="9">
        <v>2.5</v>
      </c>
      <c r="I270" s="13">
        <v>6.94</v>
      </c>
      <c r="J270" s="13">
        <f t="shared" ref="J270:J275" si="15">TRUNC((H270*I270),2)</f>
        <v>17.350000000000001</v>
      </c>
    </row>
    <row r="271" spans="1:10">
      <c r="A271" t="s">
        <v>7</v>
      </c>
      <c r="B271" s="9">
        <v>4517</v>
      </c>
      <c r="C271" s="588" t="s">
        <v>64</v>
      </c>
      <c r="D271" s="588"/>
      <c r="E271" s="588"/>
      <c r="F271" s="588"/>
      <c r="G271" s="9" t="s">
        <v>63</v>
      </c>
      <c r="H271" s="9">
        <v>2</v>
      </c>
      <c r="I271" s="13">
        <v>2.7650000000000001</v>
      </c>
      <c r="J271" s="13">
        <f t="shared" si="15"/>
        <v>5.53</v>
      </c>
    </row>
    <row r="272" spans="1:10">
      <c r="A272" t="s">
        <v>13</v>
      </c>
      <c r="B272" s="9">
        <v>88262</v>
      </c>
      <c r="C272" s="588" t="s">
        <v>56</v>
      </c>
      <c r="D272" s="588"/>
      <c r="E272" s="588"/>
      <c r="F272" s="588"/>
      <c r="G272" s="9" t="s">
        <v>6</v>
      </c>
      <c r="H272" s="9">
        <v>2.2559999999999998</v>
      </c>
      <c r="I272" s="13">
        <v>17</v>
      </c>
      <c r="J272" s="13">
        <f t="shared" si="15"/>
        <v>38.35</v>
      </c>
    </row>
    <row r="273" spans="1:10">
      <c r="A273" t="s">
        <v>13</v>
      </c>
      <c r="B273" s="9">
        <v>88309</v>
      </c>
      <c r="C273" s="588" t="s">
        <v>32</v>
      </c>
      <c r="D273" s="588"/>
      <c r="E273" s="588"/>
      <c r="F273" s="588"/>
      <c r="G273" s="9" t="s">
        <v>6</v>
      </c>
      <c r="H273" s="9">
        <v>1.9830000000000001</v>
      </c>
      <c r="I273" s="13">
        <v>17</v>
      </c>
      <c r="J273" s="13">
        <f t="shared" si="15"/>
        <v>33.71</v>
      </c>
    </row>
    <row r="274" spans="1:10">
      <c r="A274" t="s">
        <v>13</v>
      </c>
      <c r="B274" s="9">
        <v>88316</v>
      </c>
      <c r="C274" s="588" t="s">
        <v>22</v>
      </c>
      <c r="D274" s="588"/>
      <c r="E274" s="588"/>
      <c r="F274" s="588"/>
      <c r="G274" s="9" t="s">
        <v>6</v>
      </c>
      <c r="H274" s="9">
        <v>4.2389999999999999</v>
      </c>
      <c r="I274" s="13">
        <v>12</v>
      </c>
      <c r="J274" s="13">
        <f t="shared" si="15"/>
        <v>50.86</v>
      </c>
    </row>
    <row r="275" spans="1:10">
      <c r="A275" t="s">
        <v>13</v>
      </c>
      <c r="B275" s="9">
        <v>94964</v>
      </c>
      <c r="C275" s="588" t="s">
        <v>180</v>
      </c>
      <c r="D275" s="588"/>
      <c r="E275" s="588"/>
      <c r="F275" s="588"/>
      <c r="G275" s="9" t="s">
        <v>39</v>
      </c>
      <c r="H275" s="9">
        <v>1.2130000000000001</v>
      </c>
      <c r="I275" s="13">
        <v>366.37707662039998</v>
      </c>
      <c r="J275" s="13">
        <f t="shared" si="15"/>
        <v>444.41</v>
      </c>
    </row>
    <row r="276" spans="1:10" ht="28.8">
      <c r="A276" s="10" t="s">
        <v>4</v>
      </c>
      <c r="B276" s="11">
        <v>101094</v>
      </c>
      <c r="C276" s="589" t="s">
        <v>181</v>
      </c>
      <c r="D276" s="590"/>
      <c r="E276" s="590"/>
      <c r="F276" s="590"/>
      <c r="G276" s="11" t="s">
        <v>63</v>
      </c>
      <c r="H276" s="11"/>
      <c r="I276" s="12">
        <f>J277+J278+J279+J280+J281</f>
        <v>153.65</v>
      </c>
      <c r="J276" s="12"/>
    </row>
    <row r="277" spans="1:10">
      <c r="A277" t="s">
        <v>7</v>
      </c>
      <c r="B277" s="9">
        <v>1379</v>
      </c>
      <c r="C277" s="588" t="s">
        <v>45</v>
      </c>
      <c r="D277" s="588"/>
      <c r="E277" s="588"/>
      <c r="F277" s="588"/>
      <c r="G277" s="9" t="s">
        <v>31</v>
      </c>
      <c r="H277" s="9">
        <v>0.24</v>
      </c>
      <c r="I277" s="13">
        <v>0.63529411759999999</v>
      </c>
      <c r="J277" s="13">
        <f>TRUNC((H277*I277),2)</f>
        <v>0.15</v>
      </c>
    </row>
    <row r="278" spans="1:10">
      <c r="A278" t="s">
        <v>7</v>
      </c>
      <c r="B278" s="9">
        <v>37595</v>
      </c>
      <c r="C278" s="588" t="s">
        <v>177</v>
      </c>
      <c r="D278" s="588"/>
      <c r="E278" s="588"/>
      <c r="F278" s="588"/>
      <c r="G278" s="9" t="s">
        <v>31</v>
      </c>
      <c r="H278" s="9">
        <v>1.2150000000000001</v>
      </c>
      <c r="I278" s="13">
        <v>2.2070588235000002</v>
      </c>
      <c r="J278" s="13">
        <f>TRUNC((H278*I278),2)</f>
        <v>2.68</v>
      </c>
    </row>
    <row r="279" spans="1:10">
      <c r="A279" t="s">
        <v>7</v>
      </c>
      <c r="B279" s="9">
        <v>38186</v>
      </c>
      <c r="C279" s="588" t="s">
        <v>182</v>
      </c>
      <c r="D279" s="588"/>
      <c r="E279" s="588"/>
      <c r="F279" s="588"/>
      <c r="G279" s="9" t="s">
        <v>21</v>
      </c>
      <c r="H279" s="9">
        <v>0.25</v>
      </c>
      <c r="I279" s="13">
        <v>563.16</v>
      </c>
      <c r="J279" s="13">
        <f>TRUNC((H279*I279),2)</f>
        <v>140.79</v>
      </c>
    </row>
    <row r="280" spans="1:10">
      <c r="A280" t="s">
        <v>13</v>
      </c>
      <c r="B280" s="9">
        <v>88309</v>
      </c>
      <c r="C280" s="588" t="s">
        <v>32</v>
      </c>
      <c r="D280" s="588"/>
      <c r="E280" s="588"/>
      <c r="F280" s="588"/>
      <c r="G280" s="9" t="s">
        <v>6</v>
      </c>
      <c r="H280" s="9">
        <v>0.437</v>
      </c>
      <c r="I280" s="13">
        <v>17</v>
      </c>
      <c r="J280" s="13">
        <f>TRUNC((H280*I280),2)</f>
        <v>7.42</v>
      </c>
    </row>
    <row r="281" spans="1:10">
      <c r="A281" t="s">
        <v>13</v>
      </c>
      <c r="B281" s="9">
        <v>88316</v>
      </c>
      <c r="C281" s="588" t="s">
        <v>22</v>
      </c>
      <c r="D281" s="588"/>
      <c r="E281" s="588"/>
      <c r="F281" s="588"/>
      <c r="G281" s="9" t="s">
        <v>6</v>
      </c>
      <c r="H281" s="9">
        <v>0.218</v>
      </c>
      <c r="I281" s="13">
        <v>12</v>
      </c>
      <c r="J281" s="13">
        <f>TRUNC((H281*I281),2)</f>
        <v>2.61</v>
      </c>
    </row>
    <row r="282" spans="1:10" ht="28.8">
      <c r="A282" s="10" t="s">
        <v>4</v>
      </c>
      <c r="B282" s="11">
        <v>100702</v>
      </c>
      <c r="C282" s="589" t="s">
        <v>183</v>
      </c>
      <c r="D282" s="590"/>
      <c r="E282" s="590"/>
      <c r="F282" s="590"/>
      <c r="G282" s="11" t="s">
        <v>21</v>
      </c>
      <c r="H282" s="11"/>
      <c r="I282" s="12">
        <f>J283+J284+J285+J286+J287+J288</f>
        <v>411.17</v>
      </c>
      <c r="J282" s="12"/>
    </row>
    <row r="283" spans="1:10">
      <c r="A283" t="s">
        <v>7</v>
      </c>
      <c r="B283" s="9">
        <v>142</v>
      </c>
      <c r="C283" s="588" t="s">
        <v>108</v>
      </c>
      <c r="D283" s="588"/>
      <c r="E283" s="588"/>
      <c r="F283" s="588"/>
      <c r="G283" s="9" t="s">
        <v>109</v>
      </c>
      <c r="H283" s="9">
        <v>6.3700000000000007E-2</v>
      </c>
      <c r="I283" s="13">
        <v>22.868072289200001</v>
      </c>
      <c r="J283" s="13">
        <f t="shared" ref="J283:J288" si="16">TRUNC((H283*I283),2)</f>
        <v>1.45</v>
      </c>
    </row>
    <row r="284" spans="1:10">
      <c r="A284" t="s">
        <v>7</v>
      </c>
      <c r="B284" s="9">
        <v>4922</v>
      </c>
      <c r="C284" s="588" t="s">
        <v>184</v>
      </c>
      <c r="D284" s="588"/>
      <c r="E284" s="588"/>
      <c r="F284" s="588"/>
      <c r="G284" s="9" t="s">
        <v>21</v>
      </c>
      <c r="H284" s="9">
        <v>1</v>
      </c>
      <c r="I284" s="13">
        <v>323.12</v>
      </c>
      <c r="J284" s="13">
        <f t="shared" si="16"/>
        <v>323.12</v>
      </c>
    </row>
    <row r="285" spans="1:10">
      <c r="A285" t="s">
        <v>7</v>
      </c>
      <c r="B285" s="9">
        <v>7568</v>
      </c>
      <c r="C285" s="588" t="s">
        <v>138</v>
      </c>
      <c r="D285" s="588"/>
      <c r="E285" s="588"/>
      <c r="F285" s="588"/>
      <c r="G285" s="9" t="s">
        <v>36</v>
      </c>
      <c r="H285" s="9">
        <v>4.72</v>
      </c>
      <c r="I285" s="13">
        <v>0.53348432059999995</v>
      </c>
      <c r="J285" s="13">
        <f t="shared" si="16"/>
        <v>2.5099999999999998</v>
      </c>
    </row>
    <row r="286" spans="1:10">
      <c r="A286" t="s">
        <v>7</v>
      </c>
      <c r="B286" s="9">
        <v>36888</v>
      </c>
      <c r="C286" s="588" t="s">
        <v>139</v>
      </c>
      <c r="D286" s="588"/>
      <c r="E286" s="588"/>
      <c r="F286" s="588"/>
      <c r="G286" s="9" t="s">
        <v>63</v>
      </c>
      <c r="H286" s="9">
        <v>2.202</v>
      </c>
      <c r="I286" s="13">
        <v>35.247073665199999</v>
      </c>
      <c r="J286" s="13">
        <f t="shared" si="16"/>
        <v>77.61</v>
      </c>
    </row>
    <row r="287" spans="1:10">
      <c r="A287" t="s">
        <v>13</v>
      </c>
      <c r="B287" s="9">
        <v>88309</v>
      </c>
      <c r="C287" s="588" t="s">
        <v>32</v>
      </c>
      <c r="D287" s="588"/>
      <c r="E287" s="588"/>
      <c r="F287" s="588"/>
      <c r="G287" s="9" t="s">
        <v>6</v>
      </c>
      <c r="H287" s="9">
        <v>0.28199999999999997</v>
      </c>
      <c r="I287" s="13">
        <v>17</v>
      </c>
      <c r="J287" s="13">
        <f t="shared" si="16"/>
        <v>4.79</v>
      </c>
    </row>
    <row r="288" spans="1:10">
      <c r="A288" t="s">
        <v>13</v>
      </c>
      <c r="B288" s="9">
        <v>88316</v>
      </c>
      <c r="C288" s="588" t="s">
        <v>22</v>
      </c>
      <c r="D288" s="588"/>
      <c r="E288" s="588"/>
      <c r="F288" s="588"/>
      <c r="G288" s="9" t="s">
        <v>6</v>
      </c>
      <c r="H288" s="9">
        <v>0.14099999999999999</v>
      </c>
      <c r="I288" s="13">
        <v>12</v>
      </c>
      <c r="J288" s="13">
        <f t="shared" si="16"/>
        <v>1.69</v>
      </c>
    </row>
    <row r="289" spans="1:10" ht="28.8">
      <c r="A289" s="10" t="s">
        <v>4</v>
      </c>
      <c r="B289" s="11">
        <v>102162</v>
      </c>
      <c r="C289" s="589" t="s">
        <v>185</v>
      </c>
      <c r="D289" s="590"/>
      <c r="E289" s="590"/>
      <c r="F289" s="590"/>
      <c r="G289" s="11" t="s">
        <v>21</v>
      </c>
      <c r="H289" s="11"/>
      <c r="I289" s="12">
        <f>J290+J291+J292+J293+J294</f>
        <v>316.95</v>
      </c>
      <c r="J289" s="12"/>
    </row>
    <row r="290" spans="1:10">
      <c r="A290" t="s">
        <v>7</v>
      </c>
      <c r="B290" s="9">
        <v>10492</v>
      </c>
      <c r="C290" s="588" t="s">
        <v>186</v>
      </c>
      <c r="D290" s="588"/>
      <c r="E290" s="588"/>
      <c r="F290" s="588"/>
      <c r="G290" s="9" t="s">
        <v>21</v>
      </c>
      <c r="H290" s="9">
        <v>1</v>
      </c>
      <c r="I290" s="13">
        <v>206.87</v>
      </c>
      <c r="J290" s="13">
        <f>TRUNC((H290*I290),2)</f>
        <v>206.87</v>
      </c>
    </row>
    <row r="291" spans="1:10">
      <c r="A291" t="s">
        <v>7</v>
      </c>
      <c r="B291" s="9">
        <v>20259</v>
      </c>
      <c r="C291" s="588" t="s">
        <v>187</v>
      </c>
      <c r="D291" s="588"/>
      <c r="E291" s="588"/>
      <c r="F291" s="588"/>
      <c r="G291" s="9" t="s">
        <v>63</v>
      </c>
      <c r="H291" s="9">
        <v>7.2869999999999999</v>
      </c>
      <c r="I291" s="13">
        <v>9.6165938865000005</v>
      </c>
      <c r="J291" s="13">
        <f>TRUNC((H291*I291),2)</f>
        <v>70.069999999999993</v>
      </c>
    </row>
    <row r="292" spans="1:10">
      <c r="A292" t="s">
        <v>7</v>
      </c>
      <c r="B292" s="9">
        <v>39432</v>
      </c>
      <c r="C292" s="588" t="s">
        <v>188</v>
      </c>
      <c r="D292" s="588"/>
      <c r="E292" s="588"/>
      <c r="F292" s="588"/>
      <c r="G292" s="9" t="s">
        <v>63</v>
      </c>
      <c r="H292" s="9">
        <v>6.3810000000000002</v>
      </c>
      <c r="I292" s="13">
        <v>2.9283107159999999</v>
      </c>
      <c r="J292" s="13">
        <f>TRUNC((H292*I292),2)</f>
        <v>18.68</v>
      </c>
    </row>
    <row r="293" spans="1:10">
      <c r="A293" t="s">
        <v>13</v>
      </c>
      <c r="B293" s="9">
        <v>88316</v>
      </c>
      <c r="C293" s="588" t="s">
        <v>22</v>
      </c>
      <c r="D293" s="588"/>
      <c r="E293" s="588"/>
      <c r="F293" s="588"/>
      <c r="G293" s="9" t="s">
        <v>6</v>
      </c>
      <c r="H293" s="9">
        <v>0.76100000000000001</v>
      </c>
      <c r="I293" s="13">
        <v>12</v>
      </c>
      <c r="J293" s="13">
        <f>TRUNC((H293*I293),2)</f>
        <v>9.1300000000000008</v>
      </c>
    </row>
    <row r="294" spans="1:10">
      <c r="A294" t="s">
        <v>13</v>
      </c>
      <c r="B294" s="9">
        <v>88325</v>
      </c>
      <c r="C294" s="588" t="s">
        <v>189</v>
      </c>
      <c r="D294" s="588"/>
      <c r="E294" s="588"/>
      <c r="F294" s="588"/>
      <c r="G294" s="9" t="s">
        <v>6</v>
      </c>
      <c r="H294" s="9">
        <v>0.78300000000000003</v>
      </c>
      <c r="I294" s="13">
        <v>15.5820916905</v>
      </c>
      <c r="J294" s="13">
        <f>TRUNC((H294*I294),2)</f>
        <v>12.2</v>
      </c>
    </row>
    <row r="295" spans="1:10" ht="28.8">
      <c r="A295" s="10" t="s">
        <v>4</v>
      </c>
      <c r="B295" s="11">
        <v>102181</v>
      </c>
      <c r="C295" s="589" t="s">
        <v>190</v>
      </c>
      <c r="D295" s="590"/>
      <c r="E295" s="590"/>
      <c r="F295" s="590"/>
      <c r="G295" s="11" t="s">
        <v>21</v>
      </c>
      <c r="H295" s="11"/>
      <c r="I295" s="12">
        <f>J296+J297+J298+J299+J300+J301+J302</f>
        <v>482.56000000000006</v>
      </c>
      <c r="J295" s="12"/>
    </row>
    <row r="296" spans="1:10">
      <c r="A296" t="s">
        <v>7</v>
      </c>
      <c r="B296" s="9">
        <v>10507</v>
      </c>
      <c r="C296" s="588" t="s">
        <v>191</v>
      </c>
      <c r="D296" s="588"/>
      <c r="E296" s="588"/>
      <c r="F296" s="588"/>
      <c r="G296" s="9" t="s">
        <v>21</v>
      </c>
      <c r="H296" s="9">
        <v>1</v>
      </c>
      <c r="I296" s="13">
        <v>404.13</v>
      </c>
      <c r="J296" s="13">
        <f t="shared" ref="J296:J302" si="17">TRUNC((H296*I296),2)</f>
        <v>404.13</v>
      </c>
    </row>
    <row r="297" spans="1:10">
      <c r="A297" t="s">
        <v>7</v>
      </c>
      <c r="B297" s="9">
        <v>11950</v>
      </c>
      <c r="C297" s="588" t="s">
        <v>192</v>
      </c>
      <c r="D297" s="588"/>
      <c r="E297" s="588"/>
      <c r="F297" s="588"/>
      <c r="G297" s="9" t="s">
        <v>36</v>
      </c>
      <c r="H297" s="9">
        <v>1.7050000000000001</v>
      </c>
      <c r="I297" s="13">
        <v>0.1764705882</v>
      </c>
      <c r="J297" s="13">
        <f t="shared" si="17"/>
        <v>0.3</v>
      </c>
    </row>
    <row r="298" spans="1:10">
      <c r="A298" t="s">
        <v>7</v>
      </c>
      <c r="B298" s="9">
        <v>34360</v>
      </c>
      <c r="C298" s="588" t="s">
        <v>193</v>
      </c>
      <c r="D298" s="588"/>
      <c r="E298" s="588"/>
      <c r="F298" s="588"/>
      <c r="G298" s="9" t="s">
        <v>31</v>
      </c>
      <c r="H298" s="9">
        <v>0.748</v>
      </c>
      <c r="I298" s="13">
        <v>38.601165960000003</v>
      </c>
      <c r="J298" s="13">
        <f t="shared" si="17"/>
        <v>28.87</v>
      </c>
    </row>
    <row r="299" spans="1:10">
      <c r="A299" t="s">
        <v>7</v>
      </c>
      <c r="B299" s="9">
        <v>39432</v>
      </c>
      <c r="C299" s="588" t="s">
        <v>188</v>
      </c>
      <c r="D299" s="588"/>
      <c r="E299" s="588"/>
      <c r="F299" s="588"/>
      <c r="G299" s="9" t="s">
        <v>63</v>
      </c>
      <c r="H299" s="9">
        <v>2.3220000000000001</v>
      </c>
      <c r="I299" s="13">
        <v>2.9274774775000001</v>
      </c>
      <c r="J299" s="13">
        <f t="shared" si="17"/>
        <v>6.79</v>
      </c>
    </row>
    <row r="300" spans="1:10">
      <c r="A300" t="s">
        <v>7</v>
      </c>
      <c r="B300" s="9">
        <v>39961</v>
      </c>
      <c r="C300" s="588" t="s">
        <v>149</v>
      </c>
      <c r="D300" s="588"/>
      <c r="E300" s="588"/>
      <c r="F300" s="588"/>
      <c r="G300" s="9" t="s">
        <v>36</v>
      </c>
      <c r="H300" s="9">
        <v>0.309</v>
      </c>
      <c r="I300" s="13">
        <v>15.1294007491</v>
      </c>
      <c r="J300" s="13">
        <f t="shared" si="17"/>
        <v>4.67</v>
      </c>
    </row>
    <row r="301" spans="1:10">
      <c r="A301" t="s">
        <v>13</v>
      </c>
      <c r="B301" s="9">
        <v>88316</v>
      </c>
      <c r="C301" s="588" t="s">
        <v>22</v>
      </c>
      <c r="D301" s="588"/>
      <c r="E301" s="588"/>
      <c r="F301" s="588"/>
      <c r="G301" s="9" t="s">
        <v>6</v>
      </c>
      <c r="H301" s="9">
        <v>1.3779999999999999</v>
      </c>
      <c r="I301" s="13">
        <v>12</v>
      </c>
      <c r="J301" s="13">
        <f t="shared" si="17"/>
        <v>16.53</v>
      </c>
    </row>
    <row r="302" spans="1:10">
      <c r="A302" t="s">
        <v>13</v>
      </c>
      <c r="B302" s="9">
        <v>88325</v>
      </c>
      <c r="C302" s="588" t="s">
        <v>189</v>
      </c>
      <c r="D302" s="588"/>
      <c r="E302" s="588"/>
      <c r="F302" s="588"/>
      <c r="G302" s="9" t="s">
        <v>6</v>
      </c>
      <c r="H302" s="9">
        <v>1.4179999999999999</v>
      </c>
      <c r="I302" s="13">
        <v>15</v>
      </c>
      <c r="J302" s="13">
        <f t="shared" si="17"/>
        <v>21.27</v>
      </c>
    </row>
    <row r="303" spans="1:10" ht="28.8">
      <c r="A303" s="10" t="s">
        <v>4</v>
      </c>
      <c r="B303" s="11">
        <v>88431</v>
      </c>
      <c r="C303" s="589" t="s">
        <v>194</v>
      </c>
      <c r="D303" s="590"/>
      <c r="E303" s="590"/>
      <c r="F303" s="590"/>
      <c r="G303" s="11" t="s">
        <v>21</v>
      </c>
      <c r="H303" s="11"/>
      <c r="I303" s="12">
        <f>J304+J305+J306</f>
        <v>15.1</v>
      </c>
      <c r="J303" s="12"/>
    </row>
    <row r="304" spans="1:10">
      <c r="A304" t="s">
        <v>7</v>
      </c>
      <c r="B304" s="9">
        <v>38877</v>
      </c>
      <c r="C304" s="588" t="s">
        <v>195</v>
      </c>
      <c r="D304" s="588"/>
      <c r="E304" s="588"/>
      <c r="F304" s="588"/>
      <c r="G304" s="9" t="s">
        <v>31</v>
      </c>
      <c r="H304" s="9">
        <v>1.9379999999999999</v>
      </c>
      <c r="I304" s="13">
        <v>4.6686266925000002</v>
      </c>
      <c r="J304" s="13">
        <f>TRUNC((H304*I304),2)</f>
        <v>9.0399999999999991</v>
      </c>
    </row>
    <row r="305" spans="1:10">
      <c r="A305" t="s">
        <v>13</v>
      </c>
      <c r="B305" s="9">
        <v>88310</v>
      </c>
      <c r="C305" s="588" t="s">
        <v>196</v>
      </c>
      <c r="D305" s="588"/>
      <c r="E305" s="588"/>
      <c r="F305" s="588"/>
      <c r="G305" s="9" t="s">
        <v>6</v>
      </c>
      <c r="H305" s="9">
        <v>0.30299999999999999</v>
      </c>
      <c r="I305" s="13">
        <v>17</v>
      </c>
      <c r="J305" s="13">
        <f>TRUNC((H305*I305),2)</f>
        <v>5.15</v>
      </c>
    </row>
    <row r="306" spans="1:10">
      <c r="A306" t="s">
        <v>13</v>
      </c>
      <c r="B306" s="9">
        <v>88316</v>
      </c>
      <c r="C306" s="588" t="s">
        <v>22</v>
      </c>
      <c r="D306" s="588"/>
      <c r="E306" s="588"/>
      <c r="F306" s="588"/>
      <c r="G306" s="9" t="s">
        <v>6</v>
      </c>
      <c r="H306" s="9">
        <v>7.5999999999999998E-2</v>
      </c>
      <c r="I306" s="13">
        <v>12</v>
      </c>
      <c r="J306" s="13">
        <f>TRUNC((H306*I306),2)</f>
        <v>0.91</v>
      </c>
    </row>
    <row r="307" spans="1:10" ht="28.8">
      <c r="A307" s="10" t="s">
        <v>4</v>
      </c>
      <c r="B307" s="11">
        <v>88489</v>
      </c>
      <c r="C307" s="589" t="s">
        <v>197</v>
      </c>
      <c r="D307" s="590"/>
      <c r="E307" s="590"/>
      <c r="F307" s="590"/>
      <c r="G307" s="11" t="s">
        <v>21</v>
      </c>
      <c r="H307" s="11"/>
      <c r="I307" s="12">
        <f>J308+J309+J310</f>
        <v>10.440000000000001</v>
      </c>
      <c r="J307" s="12"/>
    </row>
    <row r="308" spans="1:10">
      <c r="A308" t="s">
        <v>7</v>
      </c>
      <c r="B308" s="9">
        <v>7356</v>
      </c>
      <c r="C308" s="588" t="s">
        <v>198</v>
      </c>
      <c r="D308" s="588"/>
      <c r="E308" s="588"/>
      <c r="F308" s="588"/>
      <c r="G308" s="9" t="s">
        <v>61</v>
      </c>
      <c r="H308" s="9">
        <v>0.33</v>
      </c>
      <c r="I308" s="13">
        <v>19.568495935000001</v>
      </c>
      <c r="J308" s="13">
        <f>TRUNC((H308*I308),2)</f>
        <v>6.45</v>
      </c>
    </row>
    <row r="309" spans="1:10">
      <c r="A309" t="s">
        <v>13</v>
      </c>
      <c r="B309" s="9">
        <v>88310</v>
      </c>
      <c r="C309" s="588" t="s">
        <v>196</v>
      </c>
      <c r="D309" s="588"/>
      <c r="E309" s="588"/>
      <c r="F309" s="588"/>
      <c r="G309" s="9" t="s">
        <v>6</v>
      </c>
      <c r="H309" s="9">
        <v>0.187</v>
      </c>
      <c r="I309" s="13">
        <v>17</v>
      </c>
      <c r="J309" s="13">
        <f>TRUNC((H309*I309),2)</f>
        <v>3.17</v>
      </c>
    </row>
    <row r="310" spans="1:10">
      <c r="A310" t="s">
        <v>13</v>
      </c>
      <c r="B310" s="9">
        <v>88316</v>
      </c>
      <c r="C310" s="588" t="s">
        <v>22</v>
      </c>
      <c r="D310" s="588"/>
      <c r="E310" s="588"/>
      <c r="F310" s="588"/>
      <c r="G310" s="9" t="s">
        <v>6</v>
      </c>
      <c r="H310" s="9">
        <v>6.9000000000000006E-2</v>
      </c>
      <c r="I310" s="13">
        <v>12</v>
      </c>
      <c r="J310" s="13">
        <f>TRUNC((H310*I310),2)</f>
        <v>0.82</v>
      </c>
    </row>
    <row r="311" spans="1:10" ht="28.8">
      <c r="A311" s="10" t="s">
        <v>4</v>
      </c>
      <c r="B311" s="11">
        <v>88497</v>
      </c>
      <c r="C311" s="589" t="s">
        <v>199</v>
      </c>
      <c r="D311" s="590"/>
      <c r="E311" s="590"/>
      <c r="F311" s="590"/>
      <c r="G311" s="11" t="s">
        <v>21</v>
      </c>
      <c r="H311" s="11"/>
      <c r="I311" s="12">
        <f>J312+J313+J314+J315</f>
        <v>11.279999999999998</v>
      </c>
      <c r="J311" s="12"/>
    </row>
    <row r="312" spans="1:10">
      <c r="A312" t="s">
        <v>7</v>
      </c>
      <c r="B312" s="9">
        <v>3767</v>
      </c>
      <c r="C312" s="588" t="s">
        <v>200</v>
      </c>
      <c r="D312" s="588"/>
      <c r="E312" s="588"/>
      <c r="F312" s="588"/>
      <c r="G312" s="9" t="s">
        <v>36</v>
      </c>
      <c r="H312" s="9">
        <v>0.1</v>
      </c>
      <c r="I312" s="13">
        <v>1</v>
      </c>
      <c r="J312" s="13">
        <f>TRUNC((H312*I312),2)</f>
        <v>0.1</v>
      </c>
    </row>
    <row r="313" spans="1:10">
      <c r="A313" t="s">
        <v>7</v>
      </c>
      <c r="B313" s="9">
        <v>43626</v>
      </c>
      <c r="C313" s="588" t="s">
        <v>201</v>
      </c>
      <c r="D313" s="588"/>
      <c r="E313" s="588"/>
      <c r="F313" s="588"/>
      <c r="G313" s="9" t="s">
        <v>31</v>
      </c>
      <c r="H313" s="9">
        <v>1.5550200000000001</v>
      </c>
      <c r="I313" s="13">
        <v>2.9113346228000001</v>
      </c>
      <c r="J313" s="13">
        <f>TRUNC((H313*I313),2)</f>
        <v>4.5199999999999996</v>
      </c>
    </row>
    <row r="314" spans="1:10">
      <c r="A314" t="s">
        <v>13</v>
      </c>
      <c r="B314" s="9">
        <v>88310</v>
      </c>
      <c r="C314" s="588" t="s">
        <v>196</v>
      </c>
      <c r="D314" s="588"/>
      <c r="E314" s="588"/>
      <c r="F314" s="588"/>
      <c r="G314" s="9" t="s">
        <v>6</v>
      </c>
      <c r="H314" s="9">
        <v>0.312</v>
      </c>
      <c r="I314" s="13">
        <v>17</v>
      </c>
      <c r="J314" s="13">
        <f>TRUNC((H314*I314),2)</f>
        <v>5.3</v>
      </c>
    </row>
    <row r="315" spans="1:10">
      <c r="A315" t="s">
        <v>13</v>
      </c>
      <c r="B315" s="9">
        <v>88316</v>
      </c>
      <c r="C315" s="588" t="s">
        <v>22</v>
      </c>
      <c r="D315" s="588"/>
      <c r="E315" s="588"/>
      <c r="F315" s="588"/>
      <c r="G315" s="9" t="s">
        <v>6</v>
      </c>
      <c r="H315" s="9">
        <v>0.114</v>
      </c>
      <c r="I315" s="13">
        <v>12</v>
      </c>
      <c r="J315" s="13">
        <f>TRUNC((H315*I315),2)</f>
        <v>1.36</v>
      </c>
    </row>
    <row r="316" spans="1:10" ht="28.8">
      <c r="A316" s="10" t="s">
        <v>4</v>
      </c>
      <c r="B316" s="11">
        <v>102200</v>
      </c>
      <c r="C316" s="589" t="s">
        <v>202</v>
      </c>
      <c r="D316" s="590"/>
      <c r="E316" s="590"/>
      <c r="F316" s="590"/>
      <c r="G316" s="11" t="s">
        <v>21</v>
      </c>
      <c r="H316" s="11"/>
      <c r="I316" s="12">
        <f>J317+J318+J319</f>
        <v>14.53</v>
      </c>
      <c r="J316" s="12"/>
    </row>
    <row r="317" spans="1:10">
      <c r="A317" t="s">
        <v>7</v>
      </c>
      <c r="B317" s="9">
        <v>3767</v>
      </c>
      <c r="C317" s="588" t="s">
        <v>200</v>
      </c>
      <c r="D317" s="588"/>
      <c r="E317" s="588"/>
      <c r="F317" s="588"/>
      <c r="G317" s="9" t="s">
        <v>36</v>
      </c>
      <c r="H317" s="9">
        <v>0.5</v>
      </c>
      <c r="I317" s="13">
        <v>1</v>
      </c>
      <c r="J317" s="13">
        <f>TRUNC((H317*I317),2)</f>
        <v>0.5</v>
      </c>
    </row>
    <row r="318" spans="1:10">
      <c r="A318" t="s">
        <v>7</v>
      </c>
      <c r="B318" s="9">
        <v>43652</v>
      </c>
      <c r="C318" s="588" t="s">
        <v>203</v>
      </c>
      <c r="D318" s="588"/>
      <c r="E318" s="588"/>
      <c r="F318" s="588"/>
      <c r="G318" s="9" t="s">
        <v>31</v>
      </c>
      <c r="H318" s="9">
        <v>0.66398400000000002</v>
      </c>
      <c r="I318" s="13">
        <v>11.733086419799999</v>
      </c>
      <c r="J318" s="13">
        <f>TRUNC((H318*I318),2)</f>
        <v>7.79</v>
      </c>
    </row>
    <row r="319" spans="1:10">
      <c r="A319" t="s">
        <v>13</v>
      </c>
      <c r="B319" s="9">
        <v>88310</v>
      </c>
      <c r="C319" s="588" t="s">
        <v>196</v>
      </c>
      <c r="D319" s="588"/>
      <c r="E319" s="588"/>
      <c r="F319" s="588"/>
      <c r="G319" s="9" t="s">
        <v>6</v>
      </c>
      <c r="H319" s="9">
        <v>0.3674</v>
      </c>
      <c r="I319" s="13">
        <v>17</v>
      </c>
      <c r="J319" s="13">
        <f>TRUNC((H319*I319),2)</f>
        <v>6.24</v>
      </c>
    </row>
    <row r="320" spans="1:10" ht="28.8">
      <c r="A320" s="10" t="s">
        <v>4</v>
      </c>
      <c r="B320" s="11">
        <v>102219</v>
      </c>
      <c r="C320" s="589" t="s">
        <v>204</v>
      </c>
      <c r="D320" s="590"/>
      <c r="E320" s="590"/>
      <c r="F320" s="590"/>
      <c r="G320" s="11" t="s">
        <v>21</v>
      </c>
      <c r="H320" s="11"/>
      <c r="I320" s="12">
        <f>J321+J322+J323</f>
        <v>10.26</v>
      </c>
      <c r="J320" s="12"/>
    </row>
    <row r="321" spans="1:10">
      <c r="A321" t="s">
        <v>7</v>
      </c>
      <c r="B321" s="9">
        <v>5318</v>
      </c>
      <c r="C321" s="588" t="s">
        <v>205</v>
      </c>
      <c r="D321" s="588"/>
      <c r="E321" s="588"/>
      <c r="F321" s="588"/>
      <c r="G321" s="9" t="s">
        <v>61</v>
      </c>
      <c r="H321" s="9">
        <v>1.4E-2</v>
      </c>
      <c r="I321" s="13">
        <v>12</v>
      </c>
      <c r="J321" s="13">
        <f>TRUNC((H321*I321),2)</f>
        <v>0.16</v>
      </c>
    </row>
    <row r="322" spans="1:10">
      <c r="A322" t="s">
        <v>7</v>
      </c>
      <c r="B322" s="9">
        <v>7311</v>
      </c>
      <c r="C322" s="588" t="s">
        <v>206</v>
      </c>
      <c r="D322" s="588"/>
      <c r="E322" s="588"/>
      <c r="F322" s="588"/>
      <c r="G322" s="9" t="s">
        <v>61</v>
      </c>
      <c r="H322" s="9">
        <v>0.14030000000000001</v>
      </c>
      <c r="I322" s="13">
        <v>26</v>
      </c>
      <c r="J322" s="13">
        <f>TRUNC((H322*I322),2)</f>
        <v>3.64</v>
      </c>
    </row>
    <row r="323" spans="1:10">
      <c r="A323" t="s">
        <v>13</v>
      </c>
      <c r="B323" s="9">
        <v>88310</v>
      </c>
      <c r="C323" s="588" t="s">
        <v>196</v>
      </c>
      <c r="D323" s="588"/>
      <c r="E323" s="588"/>
      <c r="F323" s="588"/>
      <c r="G323" s="9" t="s">
        <v>6</v>
      </c>
      <c r="H323" s="9">
        <v>0.3805</v>
      </c>
      <c r="I323" s="13">
        <v>17</v>
      </c>
      <c r="J323" s="13">
        <f>TRUNC((H323*I323),2)</f>
        <v>6.46</v>
      </c>
    </row>
    <row r="324" spans="1:10" ht="28.8">
      <c r="A324" s="10" t="s">
        <v>4</v>
      </c>
      <c r="B324" s="11">
        <v>100742</v>
      </c>
      <c r="C324" s="589" t="s">
        <v>207</v>
      </c>
      <c r="D324" s="590"/>
      <c r="E324" s="590"/>
      <c r="F324" s="590"/>
      <c r="G324" s="11" t="s">
        <v>21</v>
      </c>
      <c r="H324" s="11"/>
      <c r="I324" s="12">
        <f>J325+J326+J327</f>
        <v>14.98</v>
      </c>
      <c r="J324" s="12"/>
    </row>
    <row r="325" spans="1:10">
      <c r="A325" t="s">
        <v>7</v>
      </c>
      <c r="B325" s="9">
        <v>5318</v>
      </c>
      <c r="C325" s="588" t="s">
        <v>205</v>
      </c>
      <c r="D325" s="588"/>
      <c r="E325" s="588"/>
      <c r="F325" s="588"/>
      <c r="G325" s="9" t="s">
        <v>61</v>
      </c>
      <c r="H325" s="9">
        <v>1.2699999999999999E-2</v>
      </c>
      <c r="I325" s="13">
        <v>12</v>
      </c>
      <c r="J325" s="13">
        <f>TRUNC((H325*I325),2)</f>
        <v>0.15</v>
      </c>
    </row>
    <row r="326" spans="1:10">
      <c r="A326" t="s">
        <v>7</v>
      </c>
      <c r="B326" s="9">
        <v>7311</v>
      </c>
      <c r="C326" s="588" t="s">
        <v>206</v>
      </c>
      <c r="D326" s="588"/>
      <c r="E326" s="588"/>
      <c r="F326" s="588"/>
      <c r="G326" s="9" t="s">
        <v>61</v>
      </c>
      <c r="H326" s="9">
        <v>0.12740000000000001</v>
      </c>
      <c r="I326" s="13">
        <v>26</v>
      </c>
      <c r="J326" s="13">
        <f>TRUNC((H326*I326),2)</f>
        <v>3.31</v>
      </c>
    </row>
    <row r="327" spans="1:10">
      <c r="A327" t="s">
        <v>13</v>
      </c>
      <c r="B327" s="9">
        <v>88310</v>
      </c>
      <c r="C327" s="588" t="s">
        <v>196</v>
      </c>
      <c r="D327" s="588"/>
      <c r="E327" s="588"/>
      <c r="F327" s="588"/>
      <c r="G327" s="9" t="s">
        <v>6</v>
      </c>
      <c r="H327" s="9">
        <v>0.67789999999999995</v>
      </c>
      <c r="I327" s="13">
        <v>17</v>
      </c>
      <c r="J327" s="13">
        <f>TRUNC((H327*I327),2)</f>
        <v>11.52</v>
      </c>
    </row>
    <row r="328" spans="1:10" ht="28.8">
      <c r="A328" s="10" t="s">
        <v>4</v>
      </c>
      <c r="B328" s="11">
        <v>102491</v>
      </c>
      <c r="C328" s="589" t="s">
        <v>208</v>
      </c>
      <c r="D328" s="590"/>
      <c r="E328" s="590"/>
      <c r="F328" s="590"/>
      <c r="G328" s="11" t="s">
        <v>21</v>
      </c>
      <c r="H328" s="11"/>
      <c r="I328" s="12">
        <f>J329+J330+J331+J332+J333</f>
        <v>12.3</v>
      </c>
      <c r="J328" s="12"/>
    </row>
    <row r="329" spans="1:10">
      <c r="A329" t="s">
        <v>7</v>
      </c>
      <c r="B329" s="9">
        <v>6085</v>
      </c>
      <c r="C329" s="588" t="s">
        <v>209</v>
      </c>
      <c r="D329" s="588"/>
      <c r="E329" s="588"/>
      <c r="F329" s="588"/>
      <c r="G329" s="9" t="s">
        <v>61</v>
      </c>
      <c r="H329" s="9">
        <v>0.16</v>
      </c>
      <c r="I329" s="13">
        <v>3.8771830986000002</v>
      </c>
      <c r="J329" s="13">
        <f>TRUNC((H329*I329),2)</f>
        <v>0.62</v>
      </c>
    </row>
    <row r="330" spans="1:10">
      <c r="A330" t="s">
        <v>7</v>
      </c>
      <c r="B330" s="9">
        <v>7348</v>
      </c>
      <c r="C330" s="588" t="s">
        <v>210</v>
      </c>
      <c r="D330" s="588"/>
      <c r="E330" s="588"/>
      <c r="F330" s="588"/>
      <c r="G330" s="9" t="s">
        <v>61</v>
      </c>
      <c r="H330" s="9">
        <v>0.42699999999999999</v>
      </c>
      <c r="I330" s="13">
        <v>13</v>
      </c>
      <c r="J330" s="13">
        <f>TRUNC((H330*I330),2)</f>
        <v>5.55</v>
      </c>
    </row>
    <row r="331" spans="1:10">
      <c r="A331" t="s">
        <v>7</v>
      </c>
      <c r="B331" s="9">
        <v>12815</v>
      </c>
      <c r="C331" s="588" t="s">
        <v>211</v>
      </c>
      <c r="D331" s="588"/>
      <c r="E331" s="588"/>
      <c r="F331" s="588"/>
      <c r="G331" s="9" t="s">
        <v>36</v>
      </c>
      <c r="H331" s="9">
        <v>0.01</v>
      </c>
      <c r="I331" s="13">
        <v>8.0177777777999992</v>
      </c>
      <c r="J331" s="13">
        <f>TRUNC((H331*I331),2)</f>
        <v>0.08</v>
      </c>
    </row>
    <row r="332" spans="1:10">
      <c r="A332" t="s">
        <v>13</v>
      </c>
      <c r="B332" s="9">
        <v>88310</v>
      </c>
      <c r="C332" s="588" t="s">
        <v>196</v>
      </c>
      <c r="D332" s="588"/>
      <c r="E332" s="588"/>
      <c r="F332" s="588"/>
      <c r="G332" s="9" t="s">
        <v>6</v>
      </c>
      <c r="H332" s="9">
        <v>0.27500000000000002</v>
      </c>
      <c r="I332" s="13">
        <v>17</v>
      </c>
      <c r="J332" s="13">
        <f>TRUNC((H332*I332),2)</f>
        <v>4.67</v>
      </c>
    </row>
    <row r="333" spans="1:10">
      <c r="A333" t="s">
        <v>13</v>
      </c>
      <c r="B333" s="9">
        <v>88316</v>
      </c>
      <c r="C333" s="588" t="s">
        <v>22</v>
      </c>
      <c r="D333" s="588"/>
      <c r="E333" s="588"/>
      <c r="F333" s="588"/>
      <c r="G333" s="9" t="s">
        <v>6</v>
      </c>
      <c r="H333" s="9">
        <v>0.115</v>
      </c>
      <c r="I333" s="13">
        <v>12</v>
      </c>
      <c r="J333" s="13">
        <f>TRUNC((H333*I333),2)</f>
        <v>1.38</v>
      </c>
    </row>
    <row r="334" spans="1:10" ht="28.8">
      <c r="A334" s="10" t="s">
        <v>4</v>
      </c>
      <c r="B334" s="11">
        <v>102500</v>
      </c>
      <c r="C334" s="589" t="s">
        <v>212</v>
      </c>
      <c r="D334" s="590"/>
      <c r="E334" s="590"/>
      <c r="F334" s="590"/>
      <c r="G334" s="11" t="s">
        <v>63</v>
      </c>
      <c r="H334" s="11"/>
      <c r="I334" s="12">
        <f>J335+J336+J337+J338</f>
        <v>2.69</v>
      </c>
      <c r="J334" s="12"/>
    </row>
    <row r="335" spans="1:10">
      <c r="A335" t="s">
        <v>7</v>
      </c>
      <c r="B335" s="9">
        <v>7348</v>
      </c>
      <c r="C335" s="588" t="s">
        <v>210</v>
      </c>
      <c r="D335" s="588"/>
      <c r="E335" s="588"/>
      <c r="F335" s="588"/>
      <c r="G335" s="9" t="s">
        <v>61</v>
      </c>
      <c r="H335" s="9">
        <v>4.2999999999999997E-2</v>
      </c>
      <c r="I335" s="13">
        <v>13</v>
      </c>
      <c r="J335" s="13">
        <f>TRUNC((H335*I335),2)</f>
        <v>0.55000000000000004</v>
      </c>
    </row>
    <row r="336" spans="1:10">
      <c r="A336" t="s">
        <v>7</v>
      </c>
      <c r="B336" s="9">
        <v>12815</v>
      </c>
      <c r="C336" s="588" t="s">
        <v>211</v>
      </c>
      <c r="D336" s="588"/>
      <c r="E336" s="588"/>
      <c r="F336" s="588"/>
      <c r="G336" s="9" t="s">
        <v>36</v>
      </c>
      <c r="H336" s="9">
        <v>0.04</v>
      </c>
      <c r="I336" s="13">
        <v>7.7672222222</v>
      </c>
      <c r="J336" s="13">
        <f>TRUNC((H336*I336),2)</f>
        <v>0.31</v>
      </c>
    </row>
    <row r="337" spans="1:10">
      <c r="A337" t="s">
        <v>13</v>
      </c>
      <c r="B337" s="9">
        <v>88310</v>
      </c>
      <c r="C337" s="588" t="s">
        <v>196</v>
      </c>
      <c r="D337" s="588"/>
      <c r="E337" s="588"/>
      <c r="F337" s="588"/>
      <c r="G337" s="9" t="s">
        <v>6</v>
      </c>
      <c r="H337" s="9">
        <v>8.3000000000000004E-2</v>
      </c>
      <c r="I337" s="13">
        <v>17</v>
      </c>
      <c r="J337" s="13">
        <f>TRUNC((H337*I337),2)</f>
        <v>1.41</v>
      </c>
    </row>
    <row r="338" spans="1:10">
      <c r="A338" t="s">
        <v>13</v>
      </c>
      <c r="B338" s="9">
        <v>88316</v>
      </c>
      <c r="C338" s="588" t="s">
        <v>22</v>
      </c>
      <c r="D338" s="588"/>
      <c r="E338" s="588"/>
      <c r="F338" s="588"/>
      <c r="G338" s="9" t="s">
        <v>6</v>
      </c>
      <c r="H338" s="9">
        <v>3.5000000000000003E-2</v>
      </c>
      <c r="I338" s="13">
        <v>12</v>
      </c>
      <c r="J338" s="13">
        <f>TRUNC((H338*I338),2)</f>
        <v>0.42</v>
      </c>
    </row>
    <row r="339" spans="1:10" ht="28.8">
      <c r="A339" s="10" t="s">
        <v>4</v>
      </c>
      <c r="B339" s="11">
        <v>100754</v>
      </c>
      <c r="C339" s="589" t="s">
        <v>213</v>
      </c>
      <c r="D339" s="590"/>
      <c r="E339" s="590"/>
      <c r="F339" s="590"/>
      <c r="G339" s="11" t="s">
        <v>21</v>
      </c>
      <c r="H339" s="11"/>
      <c r="I339" s="12">
        <f>J340+J341</f>
        <v>17.59</v>
      </c>
      <c r="J339" s="12"/>
    </row>
    <row r="340" spans="1:10">
      <c r="A340" t="s">
        <v>7</v>
      </c>
      <c r="B340" s="9">
        <v>43649</v>
      </c>
      <c r="C340" s="588" t="s">
        <v>214</v>
      </c>
      <c r="D340" s="588"/>
      <c r="E340" s="588"/>
      <c r="F340" s="588"/>
      <c r="G340" s="9" t="s">
        <v>61</v>
      </c>
      <c r="H340" s="9">
        <v>7.9200000000000007E-2</v>
      </c>
      <c r="I340" s="13">
        <v>26.9043442623</v>
      </c>
      <c r="J340" s="13">
        <f>TRUNC((H340*I340),2)</f>
        <v>2.13</v>
      </c>
    </row>
    <row r="341" spans="1:10">
      <c r="A341" t="s">
        <v>13</v>
      </c>
      <c r="B341" s="9">
        <v>88310</v>
      </c>
      <c r="C341" s="588" t="s">
        <v>196</v>
      </c>
      <c r="D341" s="588"/>
      <c r="E341" s="588"/>
      <c r="F341" s="588"/>
      <c r="G341" s="9" t="s">
        <v>6</v>
      </c>
      <c r="H341" s="9">
        <v>0.90969999999999995</v>
      </c>
      <c r="I341" s="13">
        <v>17</v>
      </c>
      <c r="J341" s="13">
        <f>TRUNC((H341*I341),2)</f>
        <v>15.46</v>
      </c>
    </row>
    <row r="342" spans="1:10" ht="28.8">
      <c r="A342" s="10" t="s">
        <v>4</v>
      </c>
      <c r="B342" s="11">
        <v>92984</v>
      </c>
      <c r="C342" s="589" t="s">
        <v>215</v>
      </c>
      <c r="D342" s="590"/>
      <c r="E342" s="590"/>
      <c r="F342" s="590"/>
      <c r="G342" s="11" t="s">
        <v>63</v>
      </c>
      <c r="H342" s="11"/>
      <c r="I342" s="12">
        <f>J343+J344+J345+J346</f>
        <v>24.77</v>
      </c>
      <c r="J342" s="12"/>
    </row>
    <row r="343" spans="1:10">
      <c r="A343" t="s">
        <v>7</v>
      </c>
      <c r="B343" s="9">
        <v>996</v>
      </c>
      <c r="C343" s="588" t="s">
        <v>216</v>
      </c>
      <c r="D343" s="588"/>
      <c r="E343" s="588"/>
      <c r="F343" s="588"/>
      <c r="G343" s="9" t="s">
        <v>63</v>
      </c>
      <c r="H343" s="9">
        <v>1.0149999999999999</v>
      </c>
      <c r="I343" s="13">
        <v>22.657951349299999</v>
      </c>
      <c r="J343" s="13">
        <f>TRUNC((H343*I343),2)</f>
        <v>22.99</v>
      </c>
    </row>
    <row r="344" spans="1:10">
      <c r="A344" t="s">
        <v>7</v>
      </c>
      <c r="B344" s="9">
        <v>21127</v>
      </c>
      <c r="C344" s="588" t="s">
        <v>217</v>
      </c>
      <c r="D344" s="588"/>
      <c r="E344" s="588"/>
      <c r="F344" s="588"/>
      <c r="G344" s="9" t="s">
        <v>36</v>
      </c>
      <c r="H344" s="9">
        <v>8.9999999999999993E-3</v>
      </c>
      <c r="I344" s="13">
        <v>3.68</v>
      </c>
      <c r="J344" s="13">
        <f>TRUNC((H344*I344),2)</f>
        <v>0.03</v>
      </c>
    </row>
    <row r="345" spans="1:10">
      <c r="A345" t="s">
        <v>13</v>
      </c>
      <c r="B345" s="9">
        <v>88247</v>
      </c>
      <c r="C345" s="588" t="s">
        <v>218</v>
      </c>
      <c r="D345" s="588"/>
      <c r="E345" s="588"/>
      <c r="F345" s="588"/>
      <c r="G345" s="9" t="s">
        <v>6</v>
      </c>
      <c r="H345" s="9">
        <v>6.08E-2</v>
      </c>
      <c r="I345" s="13">
        <v>12</v>
      </c>
      <c r="J345" s="13">
        <f>TRUNC((H345*I345),2)</f>
        <v>0.72</v>
      </c>
    </row>
    <row r="346" spans="1:10">
      <c r="A346" t="s">
        <v>13</v>
      </c>
      <c r="B346" s="9">
        <v>88264</v>
      </c>
      <c r="C346" s="588" t="s">
        <v>219</v>
      </c>
      <c r="D346" s="588"/>
      <c r="E346" s="588"/>
      <c r="F346" s="588"/>
      <c r="G346" s="9" t="s">
        <v>6</v>
      </c>
      <c r="H346" s="9">
        <v>6.08E-2</v>
      </c>
      <c r="I346" s="13">
        <v>17</v>
      </c>
      <c r="J346" s="13">
        <f>TRUNC((H346*I346),2)</f>
        <v>1.03</v>
      </c>
    </row>
    <row r="347" spans="1:10" ht="28.8">
      <c r="A347" s="10" t="s">
        <v>4</v>
      </c>
      <c r="B347" s="11">
        <v>92981</v>
      </c>
      <c r="C347" s="589" t="s">
        <v>220</v>
      </c>
      <c r="D347" s="590"/>
      <c r="E347" s="590"/>
      <c r="F347" s="590"/>
      <c r="G347" s="11" t="s">
        <v>63</v>
      </c>
      <c r="H347" s="11"/>
      <c r="I347" s="12">
        <f>J348+J349+J350+J351</f>
        <v>14.47</v>
      </c>
      <c r="J347" s="12"/>
    </row>
    <row r="348" spans="1:10">
      <c r="A348" t="s">
        <v>7</v>
      </c>
      <c r="B348" s="9">
        <v>979</v>
      </c>
      <c r="C348" s="588" t="s">
        <v>221</v>
      </c>
      <c r="D348" s="588"/>
      <c r="E348" s="588"/>
      <c r="F348" s="588"/>
      <c r="G348" s="9" t="s">
        <v>63</v>
      </c>
      <c r="H348" s="9">
        <v>1.0269999999999999</v>
      </c>
      <c r="I348" s="13">
        <v>13.7031843575</v>
      </c>
      <c r="J348" s="13">
        <f>TRUNC((H348*I348),2)</f>
        <v>14.07</v>
      </c>
    </row>
    <row r="349" spans="1:10">
      <c r="A349" t="s">
        <v>7</v>
      </c>
      <c r="B349" s="9">
        <v>21127</v>
      </c>
      <c r="C349" s="588" t="s">
        <v>217</v>
      </c>
      <c r="D349" s="588"/>
      <c r="E349" s="588"/>
      <c r="F349" s="588"/>
      <c r="G349" s="9" t="s">
        <v>36</v>
      </c>
      <c r="H349" s="9">
        <v>0.01</v>
      </c>
      <c r="I349" s="13">
        <v>3.68</v>
      </c>
      <c r="J349" s="13">
        <f>TRUNC((H349*I349),2)</f>
        <v>0.03</v>
      </c>
    </row>
    <row r="350" spans="1:10">
      <c r="A350" t="s">
        <v>13</v>
      </c>
      <c r="B350" s="9">
        <v>88247</v>
      </c>
      <c r="C350" s="588" t="s">
        <v>218</v>
      </c>
      <c r="D350" s="588"/>
      <c r="E350" s="588"/>
      <c r="F350" s="588"/>
      <c r="G350" s="9" t="s">
        <v>6</v>
      </c>
      <c r="H350" s="9">
        <v>1.2999999999999999E-2</v>
      </c>
      <c r="I350" s="13">
        <v>12</v>
      </c>
      <c r="J350" s="13">
        <f>TRUNC((H350*I350),2)</f>
        <v>0.15</v>
      </c>
    </row>
    <row r="351" spans="1:10">
      <c r="A351" t="s">
        <v>13</v>
      </c>
      <c r="B351" s="9">
        <v>88264</v>
      </c>
      <c r="C351" s="588" t="s">
        <v>219</v>
      </c>
      <c r="D351" s="588"/>
      <c r="E351" s="588"/>
      <c r="F351" s="588"/>
      <c r="G351" s="9" t="s">
        <v>6</v>
      </c>
      <c r="H351" s="9">
        <v>1.2999999999999999E-2</v>
      </c>
      <c r="I351" s="13">
        <v>17</v>
      </c>
      <c r="J351" s="13">
        <f>TRUNC((H351*I351),2)</f>
        <v>0.22</v>
      </c>
    </row>
    <row r="352" spans="1:10" ht="28.8">
      <c r="A352" s="10" t="s">
        <v>4</v>
      </c>
      <c r="B352" s="11">
        <v>92979</v>
      </c>
      <c r="C352" s="589" t="s">
        <v>222</v>
      </c>
      <c r="D352" s="590"/>
      <c r="E352" s="590"/>
      <c r="F352" s="590"/>
      <c r="G352" s="11" t="s">
        <v>63</v>
      </c>
      <c r="H352" s="11"/>
      <c r="I352" s="12">
        <f>J353+J354+J355+J356</f>
        <v>9.42</v>
      </c>
      <c r="J352" s="12"/>
    </row>
    <row r="353" spans="1:10">
      <c r="A353" t="s">
        <v>7</v>
      </c>
      <c r="B353" s="9">
        <v>980</v>
      </c>
      <c r="C353" s="588" t="s">
        <v>223</v>
      </c>
      <c r="D353" s="588"/>
      <c r="E353" s="588"/>
      <c r="F353" s="588"/>
      <c r="G353" s="9" t="s">
        <v>63</v>
      </c>
      <c r="H353" s="9">
        <v>1.0269999999999999</v>
      </c>
      <c r="I353" s="13">
        <v>8.9038468900000005</v>
      </c>
      <c r="J353" s="13">
        <f>TRUNC((H353*I353),2)</f>
        <v>9.14</v>
      </c>
    </row>
    <row r="354" spans="1:10">
      <c r="A354" t="s">
        <v>7</v>
      </c>
      <c r="B354" s="9">
        <v>21127</v>
      </c>
      <c r="C354" s="588" t="s">
        <v>217</v>
      </c>
      <c r="D354" s="588"/>
      <c r="E354" s="588"/>
      <c r="F354" s="588"/>
      <c r="G354" s="9" t="s">
        <v>36</v>
      </c>
      <c r="H354" s="9">
        <v>0.01</v>
      </c>
      <c r="I354" s="13">
        <v>3.68</v>
      </c>
      <c r="J354" s="13">
        <f>TRUNC((H354*I354),2)</f>
        <v>0.03</v>
      </c>
    </row>
    <row r="355" spans="1:10">
      <c r="A355" t="s">
        <v>13</v>
      </c>
      <c r="B355" s="9">
        <v>88247</v>
      </c>
      <c r="C355" s="588" t="s">
        <v>218</v>
      </c>
      <c r="D355" s="588"/>
      <c r="E355" s="588"/>
      <c r="F355" s="588"/>
      <c r="G355" s="9" t="s">
        <v>6</v>
      </c>
      <c r="H355" s="9">
        <v>8.9999999999999993E-3</v>
      </c>
      <c r="I355" s="13">
        <v>12</v>
      </c>
      <c r="J355" s="13">
        <f>TRUNC((H355*I355),2)</f>
        <v>0.1</v>
      </c>
    </row>
    <row r="356" spans="1:10">
      <c r="A356" t="s">
        <v>13</v>
      </c>
      <c r="B356" s="9">
        <v>88264</v>
      </c>
      <c r="C356" s="588" t="s">
        <v>219</v>
      </c>
      <c r="D356" s="588"/>
      <c r="E356" s="588"/>
      <c r="F356" s="588"/>
      <c r="G356" s="9" t="s">
        <v>6</v>
      </c>
      <c r="H356" s="9">
        <v>8.9999999999999993E-3</v>
      </c>
      <c r="I356" s="13">
        <v>17</v>
      </c>
      <c r="J356" s="13">
        <f>TRUNC((H356*I356),2)</f>
        <v>0.15</v>
      </c>
    </row>
    <row r="357" spans="1:10" ht="28.8">
      <c r="A357" s="10" t="s">
        <v>4</v>
      </c>
      <c r="B357" s="11">
        <v>91930</v>
      </c>
      <c r="C357" s="589" t="s">
        <v>224</v>
      </c>
      <c r="D357" s="590"/>
      <c r="E357" s="590"/>
      <c r="F357" s="590"/>
      <c r="G357" s="11" t="s">
        <v>63</v>
      </c>
      <c r="H357" s="11"/>
      <c r="I357" s="12">
        <f>J358+J359+J360+J361</f>
        <v>7.7200000000000006</v>
      </c>
      <c r="J357" s="12"/>
    </row>
    <row r="358" spans="1:10">
      <c r="A358" t="s">
        <v>7</v>
      </c>
      <c r="B358" s="9">
        <v>982</v>
      </c>
      <c r="C358" s="588" t="s">
        <v>225</v>
      </c>
      <c r="D358" s="588"/>
      <c r="E358" s="588"/>
      <c r="F358" s="588"/>
      <c r="G358" s="9" t="s">
        <v>63</v>
      </c>
      <c r="H358" s="9">
        <v>1.19</v>
      </c>
      <c r="I358" s="13">
        <v>5.2034414669000002</v>
      </c>
      <c r="J358" s="13">
        <f>TRUNC((H358*I358),2)</f>
        <v>6.19</v>
      </c>
    </row>
    <row r="359" spans="1:10">
      <c r="A359" t="s">
        <v>7</v>
      </c>
      <c r="B359" s="9">
        <v>21127</v>
      </c>
      <c r="C359" s="588" t="s">
        <v>217</v>
      </c>
      <c r="D359" s="588"/>
      <c r="E359" s="588"/>
      <c r="F359" s="588"/>
      <c r="G359" s="9" t="s">
        <v>36</v>
      </c>
      <c r="H359" s="9">
        <v>8.9999999999999993E-3</v>
      </c>
      <c r="I359" s="13">
        <v>3.68</v>
      </c>
      <c r="J359" s="13">
        <f>TRUNC((H359*I359),2)</f>
        <v>0.03</v>
      </c>
    </row>
    <row r="360" spans="1:10">
      <c r="A360" t="s">
        <v>13</v>
      </c>
      <c r="B360" s="9">
        <v>88247</v>
      </c>
      <c r="C360" s="588" t="s">
        <v>218</v>
      </c>
      <c r="D360" s="588"/>
      <c r="E360" s="588"/>
      <c r="F360" s="588"/>
      <c r="G360" s="9" t="s">
        <v>6</v>
      </c>
      <c r="H360" s="9">
        <v>5.1999999999999998E-2</v>
      </c>
      <c r="I360" s="13">
        <v>12</v>
      </c>
      <c r="J360" s="13">
        <f>TRUNC((H360*I360),2)</f>
        <v>0.62</v>
      </c>
    </row>
    <row r="361" spans="1:10">
      <c r="A361" t="s">
        <v>13</v>
      </c>
      <c r="B361" s="9">
        <v>88264</v>
      </c>
      <c r="C361" s="588" t="s">
        <v>219</v>
      </c>
      <c r="D361" s="588"/>
      <c r="E361" s="588"/>
      <c r="F361" s="588"/>
      <c r="G361" s="9" t="s">
        <v>6</v>
      </c>
      <c r="H361" s="9">
        <v>5.1999999999999998E-2</v>
      </c>
      <c r="I361" s="13">
        <v>17</v>
      </c>
      <c r="J361" s="13">
        <f>TRUNC((H361*I361),2)</f>
        <v>0.88</v>
      </c>
    </row>
    <row r="362" spans="1:10" ht="28.8">
      <c r="A362" s="10" t="s">
        <v>4</v>
      </c>
      <c r="B362" s="11">
        <v>91928</v>
      </c>
      <c r="C362" s="589" t="s">
        <v>226</v>
      </c>
      <c r="D362" s="590"/>
      <c r="E362" s="590"/>
      <c r="F362" s="590"/>
      <c r="G362" s="11" t="s">
        <v>63</v>
      </c>
      <c r="H362" s="11"/>
      <c r="I362" s="12">
        <f>J363+J364+J365+J366</f>
        <v>5.6099999999999994</v>
      </c>
      <c r="J362" s="12"/>
    </row>
    <row r="363" spans="1:10">
      <c r="A363" t="s">
        <v>7</v>
      </c>
      <c r="B363" s="9">
        <v>981</v>
      </c>
      <c r="C363" s="588" t="s">
        <v>227</v>
      </c>
      <c r="D363" s="588"/>
      <c r="E363" s="588"/>
      <c r="F363" s="588"/>
      <c r="G363" s="9" t="s">
        <v>63</v>
      </c>
      <c r="H363" s="9">
        <v>1.19</v>
      </c>
      <c r="I363" s="13">
        <v>3.7211857708</v>
      </c>
      <c r="J363" s="13">
        <f>TRUNC((H363*I363),2)</f>
        <v>4.42</v>
      </c>
    </row>
    <row r="364" spans="1:10">
      <c r="A364" t="s">
        <v>7</v>
      </c>
      <c r="B364" s="9">
        <v>21127</v>
      </c>
      <c r="C364" s="588" t="s">
        <v>217</v>
      </c>
      <c r="D364" s="588"/>
      <c r="E364" s="588"/>
      <c r="F364" s="588"/>
      <c r="G364" s="9" t="s">
        <v>36</v>
      </c>
      <c r="H364" s="9">
        <v>8.9999999999999993E-3</v>
      </c>
      <c r="I364" s="13">
        <v>3.68</v>
      </c>
      <c r="J364" s="13">
        <f>TRUNC((H364*I364),2)</f>
        <v>0.03</v>
      </c>
    </row>
    <row r="365" spans="1:10">
      <c r="A365" t="s">
        <v>13</v>
      </c>
      <c r="B365" s="9">
        <v>88247</v>
      </c>
      <c r="C365" s="588" t="s">
        <v>218</v>
      </c>
      <c r="D365" s="588"/>
      <c r="E365" s="588"/>
      <c r="F365" s="588"/>
      <c r="G365" s="9" t="s">
        <v>6</v>
      </c>
      <c r="H365" s="9">
        <v>0.04</v>
      </c>
      <c r="I365" s="13">
        <v>12</v>
      </c>
      <c r="J365" s="13">
        <f>TRUNC((H365*I365),2)</f>
        <v>0.48</v>
      </c>
    </row>
    <row r="366" spans="1:10">
      <c r="A366" t="s">
        <v>13</v>
      </c>
      <c r="B366" s="9">
        <v>88264</v>
      </c>
      <c r="C366" s="588" t="s">
        <v>219</v>
      </c>
      <c r="D366" s="588"/>
      <c r="E366" s="588"/>
      <c r="F366" s="588"/>
      <c r="G366" s="9" t="s">
        <v>6</v>
      </c>
      <c r="H366" s="9">
        <v>0.04</v>
      </c>
      <c r="I366" s="13">
        <v>17</v>
      </c>
      <c r="J366" s="13">
        <f>TRUNC((H366*I366),2)</f>
        <v>0.68</v>
      </c>
    </row>
    <row r="367" spans="1:10" ht="28.8">
      <c r="A367" s="10" t="s">
        <v>4</v>
      </c>
      <c r="B367" s="11">
        <v>91926</v>
      </c>
      <c r="C367" s="589" t="s">
        <v>228</v>
      </c>
      <c r="D367" s="590"/>
      <c r="E367" s="590"/>
      <c r="F367" s="590"/>
      <c r="G367" s="11" t="s">
        <v>63</v>
      </c>
      <c r="H367" s="11"/>
      <c r="I367" s="12">
        <f>J368+J369+J371+J370</f>
        <v>3.3699999999999997</v>
      </c>
      <c r="J367" s="12"/>
    </row>
    <row r="368" spans="1:10">
      <c r="A368" t="s">
        <v>7</v>
      </c>
      <c r="B368" s="9">
        <v>1014</v>
      </c>
      <c r="C368" s="588" t="s">
        <v>229</v>
      </c>
      <c r="D368" s="588"/>
      <c r="E368" s="588"/>
      <c r="F368" s="588"/>
      <c r="G368" s="9" t="s">
        <v>63</v>
      </c>
      <c r="H368" s="9">
        <v>1.19</v>
      </c>
      <c r="I368" s="13">
        <v>2.0772438163000002</v>
      </c>
      <c r="J368" s="13">
        <f>TRUNC((H368*I368),2)</f>
        <v>2.4700000000000002</v>
      </c>
    </row>
    <row r="369" spans="1:10">
      <c r="A369" t="s">
        <v>7</v>
      </c>
      <c r="B369" s="9">
        <v>21127</v>
      </c>
      <c r="C369" s="588" t="s">
        <v>217</v>
      </c>
      <c r="D369" s="588"/>
      <c r="E369" s="588"/>
      <c r="F369" s="588"/>
      <c r="G369" s="9" t="s">
        <v>36</v>
      </c>
      <c r="H369" s="9">
        <v>8.9999999999999993E-3</v>
      </c>
      <c r="I369" s="13">
        <v>3.68</v>
      </c>
      <c r="J369" s="13">
        <f>TRUNC((H369*I369),2)</f>
        <v>0.03</v>
      </c>
    </row>
    <row r="370" spans="1:10">
      <c r="A370" t="s">
        <v>13</v>
      </c>
      <c r="B370" s="9">
        <v>88247</v>
      </c>
      <c r="C370" s="588" t="s">
        <v>218</v>
      </c>
      <c r="D370" s="588"/>
      <c r="E370" s="588"/>
      <c r="F370" s="588"/>
      <c r="G370" s="9" t="s">
        <v>6</v>
      </c>
      <c r="H370" s="9">
        <v>0.03</v>
      </c>
      <c r="I370" s="13">
        <v>12</v>
      </c>
      <c r="J370" s="13">
        <f>TRUNC((H370*I370),2)</f>
        <v>0.36</v>
      </c>
    </row>
    <row r="371" spans="1:10">
      <c r="A371" t="s">
        <v>13</v>
      </c>
      <c r="B371" s="9">
        <v>88264</v>
      </c>
      <c r="C371" s="588" t="s">
        <v>219</v>
      </c>
      <c r="D371" s="588"/>
      <c r="E371" s="588"/>
      <c r="F371" s="588"/>
      <c r="G371" s="9" t="s">
        <v>6</v>
      </c>
      <c r="H371" s="9">
        <v>0.03</v>
      </c>
      <c r="I371" s="13">
        <v>17</v>
      </c>
      <c r="J371" s="13">
        <f>TRUNC((H371*I371),2)</f>
        <v>0.51</v>
      </c>
    </row>
    <row r="372" spans="1:10" ht="28.8">
      <c r="A372" s="10" t="s">
        <v>4</v>
      </c>
      <c r="B372" s="11">
        <v>91924</v>
      </c>
      <c r="C372" s="589" t="s">
        <v>230</v>
      </c>
      <c r="D372" s="590"/>
      <c r="E372" s="590"/>
      <c r="F372" s="590"/>
      <c r="G372" s="11" t="s">
        <v>63</v>
      </c>
      <c r="H372" s="11"/>
      <c r="I372" s="12">
        <f>J373+J374+J375+J376</f>
        <v>2.2600000000000002</v>
      </c>
      <c r="J372" s="12"/>
    </row>
    <row r="373" spans="1:10">
      <c r="A373" t="s">
        <v>7</v>
      </c>
      <c r="B373" s="9">
        <v>1013</v>
      </c>
      <c r="C373" s="588" t="s">
        <v>231</v>
      </c>
      <c r="D373" s="588"/>
      <c r="E373" s="588"/>
      <c r="F373" s="588"/>
      <c r="G373" s="9" t="s">
        <v>63</v>
      </c>
      <c r="H373" s="9">
        <v>1.19</v>
      </c>
      <c r="I373" s="13">
        <v>1.3048022599</v>
      </c>
      <c r="J373" s="13">
        <f>TRUNC((H373*I373),2)</f>
        <v>1.55</v>
      </c>
    </row>
    <row r="374" spans="1:10">
      <c r="A374" t="s">
        <v>7</v>
      </c>
      <c r="B374" s="9">
        <v>21127</v>
      </c>
      <c r="C374" s="588" t="s">
        <v>217</v>
      </c>
      <c r="D374" s="588"/>
      <c r="E374" s="588"/>
      <c r="F374" s="588"/>
      <c r="G374" s="9" t="s">
        <v>36</v>
      </c>
      <c r="H374" s="9">
        <v>8.9999999999999993E-3</v>
      </c>
      <c r="I374" s="13">
        <v>3.68</v>
      </c>
      <c r="J374" s="13">
        <f>TRUNC((H374*I374),2)</f>
        <v>0.03</v>
      </c>
    </row>
    <row r="375" spans="1:10">
      <c r="A375" t="s">
        <v>13</v>
      </c>
      <c r="B375" s="9">
        <v>88247</v>
      </c>
      <c r="C375" s="588" t="s">
        <v>218</v>
      </c>
      <c r="D375" s="588"/>
      <c r="E375" s="588"/>
      <c r="F375" s="588"/>
      <c r="G375" s="9" t="s">
        <v>6</v>
      </c>
      <c r="H375" s="9">
        <v>2.4E-2</v>
      </c>
      <c r="I375" s="13">
        <v>12</v>
      </c>
      <c r="J375" s="13">
        <f>TRUNC((H375*I375),2)</f>
        <v>0.28000000000000003</v>
      </c>
    </row>
    <row r="376" spans="1:10">
      <c r="A376" t="s">
        <v>13</v>
      </c>
      <c r="B376" s="9">
        <v>88264</v>
      </c>
      <c r="C376" s="588" t="s">
        <v>219</v>
      </c>
      <c r="D376" s="588"/>
      <c r="E376" s="588"/>
      <c r="F376" s="588"/>
      <c r="G376" s="9" t="s">
        <v>6</v>
      </c>
      <c r="H376" s="9">
        <v>2.4E-2</v>
      </c>
      <c r="I376" s="13">
        <v>17</v>
      </c>
      <c r="J376" s="13">
        <f>TRUNC((H376*I376),2)</f>
        <v>0.4</v>
      </c>
    </row>
    <row r="377" spans="1:10" ht="28.8">
      <c r="A377" s="10" t="s">
        <v>4</v>
      </c>
      <c r="B377" s="11">
        <v>96977</v>
      </c>
      <c r="C377" s="589" t="s">
        <v>232</v>
      </c>
      <c r="D377" s="590"/>
      <c r="E377" s="590"/>
      <c r="F377" s="590"/>
      <c r="G377" s="11" t="s">
        <v>63</v>
      </c>
      <c r="H377" s="11"/>
      <c r="I377" s="12">
        <f>J378+J379+J380</f>
        <v>44.46</v>
      </c>
      <c r="J377" s="12"/>
    </row>
    <row r="378" spans="1:10">
      <c r="A378" t="s">
        <v>7</v>
      </c>
      <c r="B378" s="9">
        <v>867</v>
      </c>
      <c r="C378" s="588" t="s">
        <v>233</v>
      </c>
      <c r="D378" s="588"/>
      <c r="E378" s="588"/>
      <c r="F378" s="588"/>
      <c r="G378" s="9" t="s">
        <v>63</v>
      </c>
      <c r="H378" s="9">
        <v>1.1000000000000001</v>
      </c>
      <c r="I378" s="13">
        <v>39.538747738700003</v>
      </c>
      <c r="J378" s="13">
        <f>TRUNC((H378*I378),2)</f>
        <v>43.49</v>
      </c>
    </row>
    <row r="379" spans="1:10">
      <c r="A379" t="s">
        <v>13</v>
      </c>
      <c r="B379" s="9">
        <v>88247</v>
      </c>
      <c r="C379" s="588" t="s">
        <v>218</v>
      </c>
      <c r="D379" s="588"/>
      <c r="E379" s="588"/>
      <c r="F379" s="588"/>
      <c r="G379" s="9" t="s">
        <v>6</v>
      </c>
      <c r="H379" s="9">
        <v>3.3700000000000001E-2</v>
      </c>
      <c r="I379" s="13">
        <v>12</v>
      </c>
      <c r="J379" s="13">
        <f>TRUNC((H379*I379),2)</f>
        <v>0.4</v>
      </c>
    </row>
    <row r="380" spans="1:10">
      <c r="A380" t="s">
        <v>13</v>
      </c>
      <c r="B380" s="9">
        <v>88264</v>
      </c>
      <c r="C380" s="588" t="s">
        <v>219</v>
      </c>
      <c r="D380" s="588"/>
      <c r="E380" s="588"/>
      <c r="F380" s="588"/>
      <c r="G380" s="9" t="s">
        <v>6</v>
      </c>
      <c r="H380" s="9">
        <v>3.3700000000000001E-2</v>
      </c>
      <c r="I380" s="13">
        <v>17</v>
      </c>
      <c r="J380" s="13">
        <f>TRUNC((H380*I380),2)</f>
        <v>0.56999999999999995</v>
      </c>
    </row>
    <row r="381" spans="1:10" ht="28.8">
      <c r="A381" s="10" t="s">
        <v>4</v>
      </c>
      <c r="B381" s="11">
        <v>90444</v>
      </c>
      <c r="C381" s="589" t="s">
        <v>234</v>
      </c>
      <c r="D381" s="590"/>
      <c r="E381" s="590"/>
      <c r="F381" s="590"/>
      <c r="G381" s="11" t="s">
        <v>63</v>
      </c>
      <c r="H381" s="11"/>
      <c r="I381" s="12">
        <f>J382+J383+J384+J385</f>
        <v>16.200000000000003</v>
      </c>
      <c r="J381" s="12"/>
    </row>
    <row r="382" spans="1:10">
      <c r="A382" t="s">
        <v>13</v>
      </c>
      <c r="B382" s="9">
        <v>5795</v>
      </c>
      <c r="C382" s="588" t="s">
        <v>235</v>
      </c>
      <c r="D382" s="588"/>
      <c r="E382" s="588"/>
      <c r="F382" s="588"/>
      <c r="G382" s="9" t="s">
        <v>49</v>
      </c>
      <c r="H382" s="9">
        <v>0.157</v>
      </c>
      <c r="I382" s="13">
        <v>14.6053053435</v>
      </c>
      <c r="J382" s="13">
        <f>TRUNC((H382*I382),2)</f>
        <v>2.29</v>
      </c>
    </row>
    <row r="383" spans="1:10">
      <c r="A383" t="s">
        <v>13</v>
      </c>
      <c r="B383" s="9">
        <v>5952</v>
      </c>
      <c r="C383" s="588" t="s">
        <v>236</v>
      </c>
      <c r="D383" s="588"/>
      <c r="E383" s="588"/>
      <c r="F383" s="588"/>
      <c r="G383" s="9" t="s">
        <v>51</v>
      </c>
      <c r="H383" s="9">
        <v>0.34599999999999997</v>
      </c>
      <c r="I383" s="13">
        <v>12.7883003953</v>
      </c>
      <c r="J383" s="13">
        <f>TRUNC((H383*I383),2)</f>
        <v>4.42</v>
      </c>
    </row>
    <row r="384" spans="1:10">
      <c r="A384" t="s">
        <v>13</v>
      </c>
      <c r="B384" s="9">
        <v>88248</v>
      </c>
      <c r="C384" s="588" t="s">
        <v>237</v>
      </c>
      <c r="D384" s="588"/>
      <c r="E384" s="588"/>
      <c r="F384" s="588"/>
      <c r="G384" s="9" t="s">
        <v>6</v>
      </c>
      <c r="H384" s="9">
        <v>7.9000000000000001E-2</v>
      </c>
      <c r="I384" s="13">
        <v>12</v>
      </c>
      <c r="J384" s="13">
        <f>TRUNC((H384*I384),2)</f>
        <v>0.94</v>
      </c>
    </row>
    <row r="385" spans="1:10">
      <c r="A385" t="s">
        <v>13</v>
      </c>
      <c r="B385" s="9">
        <v>88267</v>
      </c>
      <c r="C385" s="588" t="s">
        <v>37</v>
      </c>
      <c r="D385" s="588"/>
      <c r="E385" s="588"/>
      <c r="F385" s="588"/>
      <c r="G385" s="9" t="s">
        <v>6</v>
      </c>
      <c r="H385" s="9">
        <v>0.503</v>
      </c>
      <c r="I385" s="13">
        <v>17</v>
      </c>
      <c r="J385" s="13">
        <f>TRUNC((H385*I385),2)</f>
        <v>8.5500000000000007</v>
      </c>
    </row>
    <row r="386" spans="1:10" ht="28.8">
      <c r="A386" s="10" t="s">
        <v>4</v>
      </c>
      <c r="B386" s="11">
        <v>92986</v>
      </c>
      <c r="C386" s="589" t="s">
        <v>238</v>
      </c>
      <c r="D386" s="590"/>
      <c r="E386" s="590"/>
      <c r="F386" s="590"/>
      <c r="G386" s="11" t="s">
        <v>63</v>
      </c>
      <c r="H386" s="11"/>
      <c r="I386" s="12">
        <f>J387+J388+J389+J390</f>
        <v>33.75</v>
      </c>
      <c r="J386" s="12"/>
    </row>
    <row r="387" spans="1:10">
      <c r="A387" t="s">
        <v>7</v>
      </c>
      <c r="B387" s="9">
        <v>1019</v>
      </c>
      <c r="C387" s="588" t="s">
        <v>239</v>
      </c>
      <c r="D387" s="588"/>
      <c r="E387" s="588"/>
      <c r="F387" s="588"/>
      <c r="G387" s="9" t="s">
        <v>63</v>
      </c>
      <c r="H387" s="9">
        <v>1.0149999999999999</v>
      </c>
      <c r="I387" s="13">
        <v>31.246633581499999</v>
      </c>
      <c r="J387" s="13">
        <f>TRUNC((H387*I387),2)</f>
        <v>31.71</v>
      </c>
    </row>
    <row r="388" spans="1:10">
      <c r="A388" t="s">
        <v>7</v>
      </c>
      <c r="B388" s="9">
        <v>21127</v>
      </c>
      <c r="C388" s="588" t="s">
        <v>217</v>
      </c>
      <c r="D388" s="588"/>
      <c r="E388" s="588"/>
      <c r="F388" s="588"/>
      <c r="G388" s="9" t="s">
        <v>36</v>
      </c>
      <c r="H388" s="9">
        <v>8.9999999999999993E-3</v>
      </c>
      <c r="I388" s="13">
        <v>3.68</v>
      </c>
      <c r="J388" s="13">
        <f>TRUNC((H388*I388),2)</f>
        <v>0.03</v>
      </c>
    </row>
    <row r="389" spans="1:10">
      <c r="A389" t="s">
        <v>13</v>
      </c>
      <c r="B389" s="9">
        <v>88247</v>
      </c>
      <c r="C389" s="588" t="s">
        <v>218</v>
      </c>
      <c r="D389" s="588"/>
      <c r="E389" s="588"/>
      <c r="F389" s="588"/>
      <c r="G389" s="9" t="s">
        <v>6</v>
      </c>
      <c r="H389" s="9">
        <v>6.9699999999999998E-2</v>
      </c>
      <c r="I389" s="13">
        <v>12</v>
      </c>
      <c r="J389" s="13">
        <f>TRUNC((H389*I389),2)</f>
        <v>0.83</v>
      </c>
    </row>
    <row r="390" spans="1:10">
      <c r="A390" t="s">
        <v>13</v>
      </c>
      <c r="B390" s="9">
        <v>88264</v>
      </c>
      <c r="C390" s="588" t="s">
        <v>219</v>
      </c>
      <c r="D390" s="588"/>
      <c r="E390" s="588"/>
      <c r="F390" s="588"/>
      <c r="G390" s="9" t="s">
        <v>6</v>
      </c>
      <c r="H390" s="9">
        <v>6.9699999999999998E-2</v>
      </c>
      <c r="I390" s="13">
        <v>17</v>
      </c>
      <c r="J390" s="13">
        <f>TRUNC((H390*I390),2)</f>
        <v>1.18</v>
      </c>
    </row>
    <row r="391" spans="1:10" ht="28.8">
      <c r="A391" s="10" t="s">
        <v>4</v>
      </c>
      <c r="B391" s="11">
        <v>90447</v>
      </c>
      <c r="C391" s="589" t="s">
        <v>240</v>
      </c>
      <c r="D391" s="590"/>
      <c r="E391" s="590"/>
      <c r="F391" s="590"/>
      <c r="G391" s="11" t="s">
        <v>63</v>
      </c>
      <c r="H391" s="11"/>
      <c r="I391" s="12">
        <f>J392+J393</f>
        <v>4.07</v>
      </c>
      <c r="J391" s="12"/>
    </row>
    <row r="392" spans="1:10">
      <c r="A392" t="s">
        <v>13</v>
      </c>
      <c r="B392" s="9">
        <v>88247</v>
      </c>
      <c r="C392" s="588" t="s">
        <v>218</v>
      </c>
      <c r="D392" s="588"/>
      <c r="E392" s="588"/>
      <c r="F392" s="588"/>
      <c r="G392" s="9" t="s">
        <v>6</v>
      </c>
      <c r="H392" s="9">
        <v>3.4000000000000002E-2</v>
      </c>
      <c r="I392" s="13">
        <v>12</v>
      </c>
      <c r="J392" s="13">
        <f>TRUNC((H392*I392),2)</f>
        <v>0.4</v>
      </c>
    </row>
    <row r="393" spans="1:10">
      <c r="A393" t="s">
        <v>13</v>
      </c>
      <c r="B393" s="9">
        <v>88264</v>
      </c>
      <c r="C393" s="588" t="s">
        <v>219</v>
      </c>
      <c r="D393" s="588"/>
      <c r="E393" s="588"/>
      <c r="F393" s="588"/>
      <c r="G393" s="9" t="s">
        <v>6</v>
      </c>
      <c r="H393" s="9">
        <v>0.216</v>
      </c>
      <c r="I393" s="13">
        <v>17</v>
      </c>
      <c r="J393" s="13">
        <f>TRUNC((H393*I393),2)</f>
        <v>3.67</v>
      </c>
    </row>
    <row r="394" spans="1:10" ht="28.8">
      <c r="A394" s="10" t="s">
        <v>4</v>
      </c>
      <c r="B394" s="11">
        <v>95749</v>
      </c>
      <c r="C394" s="589" t="s">
        <v>241</v>
      </c>
      <c r="D394" s="590"/>
      <c r="E394" s="590"/>
      <c r="F394" s="590"/>
      <c r="G394" s="11" t="s">
        <v>63</v>
      </c>
      <c r="H394" s="11"/>
      <c r="I394" s="12">
        <f>J395+J396+J397+J398+J399</f>
        <v>20.72</v>
      </c>
      <c r="J394" s="12"/>
    </row>
    <row r="395" spans="1:10">
      <c r="A395" t="s">
        <v>7</v>
      </c>
      <c r="B395" s="9">
        <v>21128</v>
      </c>
      <c r="C395" s="588" t="s">
        <v>242</v>
      </c>
      <c r="D395" s="588"/>
      <c r="E395" s="588"/>
      <c r="F395" s="588"/>
      <c r="G395" s="9" t="s">
        <v>63</v>
      </c>
      <c r="H395" s="9">
        <v>1.05</v>
      </c>
      <c r="I395" s="13">
        <v>9.4380952381000007</v>
      </c>
      <c r="J395" s="13">
        <f>TRUNC((H395*I395),2)</f>
        <v>9.91</v>
      </c>
    </row>
    <row r="396" spans="1:10">
      <c r="A396" t="s">
        <v>13</v>
      </c>
      <c r="B396" s="9">
        <v>88247</v>
      </c>
      <c r="C396" s="588" t="s">
        <v>218</v>
      </c>
      <c r="D396" s="588"/>
      <c r="E396" s="588"/>
      <c r="F396" s="588"/>
      <c r="G396" s="9" t="s">
        <v>6</v>
      </c>
      <c r="H396" s="9">
        <v>0.19439999999999999</v>
      </c>
      <c r="I396" s="13">
        <v>12</v>
      </c>
      <c r="J396" s="13">
        <f>TRUNC((H396*I396),2)</f>
        <v>2.33</v>
      </c>
    </row>
    <row r="397" spans="1:10">
      <c r="A397" t="s">
        <v>13</v>
      </c>
      <c r="B397" s="9">
        <v>88264</v>
      </c>
      <c r="C397" s="588" t="s">
        <v>219</v>
      </c>
      <c r="D397" s="588"/>
      <c r="E397" s="588"/>
      <c r="F397" s="588"/>
      <c r="G397" s="9" t="s">
        <v>6</v>
      </c>
      <c r="H397" s="9">
        <v>0.19439999999999999</v>
      </c>
      <c r="I397" s="13">
        <v>17</v>
      </c>
      <c r="J397" s="13">
        <f>TRUNC((H397*I397),2)</f>
        <v>3.3</v>
      </c>
    </row>
    <row r="398" spans="1:10">
      <c r="A398" t="s">
        <v>13</v>
      </c>
      <c r="B398" s="9">
        <v>91173</v>
      </c>
      <c r="C398" s="588" t="s">
        <v>243</v>
      </c>
      <c r="D398" s="588"/>
      <c r="E398" s="588"/>
      <c r="F398" s="588"/>
      <c r="G398" s="9" t="s">
        <v>63</v>
      </c>
      <c r="H398" s="9">
        <v>2</v>
      </c>
      <c r="I398" s="13">
        <v>1.2949999999999999</v>
      </c>
      <c r="J398" s="13">
        <f>TRUNC((H398*I398),2)</f>
        <v>2.59</v>
      </c>
    </row>
    <row r="399" spans="1:10">
      <c r="A399" t="s">
        <v>13</v>
      </c>
      <c r="B399" s="9">
        <v>95757</v>
      </c>
      <c r="C399" s="588" t="s">
        <v>244</v>
      </c>
      <c r="D399" s="588"/>
      <c r="E399" s="588"/>
      <c r="F399" s="588"/>
      <c r="G399" s="9" t="s">
        <v>36</v>
      </c>
      <c r="H399" s="9">
        <v>0.33329999999999999</v>
      </c>
      <c r="I399" s="13">
        <v>7.7962499999999997</v>
      </c>
      <c r="J399" s="13">
        <f>TRUNC((H399*I399),2)</f>
        <v>2.59</v>
      </c>
    </row>
    <row r="400" spans="1:10" ht="28.8">
      <c r="A400" s="10" t="s">
        <v>4</v>
      </c>
      <c r="B400" s="11">
        <v>95750</v>
      </c>
      <c r="C400" s="589" t="s">
        <v>245</v>
      </c>
      <c r="D400" s="590"/>
      <c r="E400" s="590"/>
      <c r="F400" s="590"/>
      <c r="G400" s="11" t="s">
        <v>63</v>
      </c>
      <c r="H400" s="11"/>
      <c r="I400" s="12">
        <f>J401+J402+J403+J404+J405</f>
        <v>24.560000000000002</v>
      </c>
      <c r="J400" s="12"/>
    </row>
    <row r="401" spans="1:10">
      <c r="A401" t="s">
        <v>7</v>
      </c>
      <c r="B401" s="9">
        <v>21136</v>
      </c>
      <c r="C401" s="588" t="s">
        <v>246</v>
      </c>
      <c r="D401" s="588"/>
      <c r="E401" s="588"/>
      <c r="F401" s="588"/>
      <c r="G401" s="9" t="s">
        <v>63</v>
      </c>
      <c r="H401" s="9">
        <v>1.05</v>
      </c>
      <c r="I401" s="13">
        <v>12.197133105800001</v>
      </c>
      <c r="J401" s="13">
        <f>TRUNC((H401*I401),2)</f>
        <v>12.8</v>
      </c>
    </row>
    <row r="402" spans="1:10">
      <c r="A402" t="s">
        <v>13</v>
      </c>
      <c r="B402" s="9">
        <v>88247</v>
      </c>
      <c r="C402" s="588" t="s">
        <v>218</v>
      </c>
      <c r="D402" s="588"/>
      <c r="E402" s="588"/>
      <c r="F402" s="588"/>
      <c r="G402" s="9" t="s">
        <v>6</v>
      </c>
      <c r="H402" s="9">
        <v>0.21629999999999999</v>
      </c>
      <c r="I402" s="13">
        <v>12</v>
      </c>
      <c r="J402" s="13">
        <f>TRUNC((H402*I402),2)</f>
        <v>2.59</v>
      </c>
    </row>
    <row r="403" spans="1:10">
      <c r="A403" t="s">
        <v>13</v>
      </c>
      <c r="B403" s="9">
        <v>88264</v>
      </c>
      <c r="C403" s="588" t="s">
        <v>219</v>
      </c>
      <c r="D403" s="588"/>
      <c r="E403" s="588"/>
      <c r="F403" s="588"/>
      <c r="G403" s="9" t="s">
        <v>6</v>
      </c>
      <c r="H403" s="9">
        <v>0.21629999999999999</v>
      </c>
      <c r="I403" s="13">
        <v>17</v>
      </c>
      <c r="J403" s="13">
        <f>TRUNC((H403*I403),2)</f>
        <v>3.67</v>
      </c>
    </row>
    <row r="404" spans="1:10">
      <c r="A404" t="s">
        <v>13</v>
      </c>
      <c r="B404" s="9">
        <v>91173</v>
      </c>
      <c r="C404" s="588" t="s">
        <v>243</v>
      </c>
      <c r="D404" s="588"/>
      <c r="E404" s="588"/>
      <c r="F404" s="588"/>
      <c r="G404" s="9" t="s">
        <v>63</v>
      </c>
      <c r="H404" s="9">
        <v>2</v>
      </c>
      <c r="I404" s="13">
        <v>1.2949999999999999</v>
      </c>
      <c r="J404" s="13">
        <f>TRUNC((H404*I404),2)</f>
        <v>2.59</v>
      </c>
    </row>
    <row r="405" spans="1:10">
      <c r="A405" t="s">
        <v>13</v>
      </c>
      <c r="B405" s="9">
        <v>95758</v>
      </c>
      <c r="C405" s="588" t="s">
        <v>247</v>
      </c>
      <c r="D405" s="588"/>
      <c r="E405" s="588"/>
      <c r="F405" s="588"/>
      <c r="G405" s="9" t="s">
        <v>36</v>
      </c>
      <c r="H405" s="9">
        <v>0.33329999999999999</v>
      </c>
      <c r="I405" s="13">
        <v>8.7562162162000003</v>
      </c>
      <c r="J405" s="13">
        <f>TRUNC((H405*I405),2)</f>
        <v>2.91</v>
      </c>
    </row>
    <row r="406" spans="1:10" ht="28.8">
      <c r="A406" s="10" t="s">
        <v>4</v>
      </c>
      <c r="B406" s="11">
        <v>97668</v>
      </c>
      <c r="C406" s="589" t="s">
        <v>248</v>
      </c>
      <c r="D406" s="590"/>
      <c r="E406" s="590"/>
      <c r="F406" s="590"/>
      <c r="G406" s="11" t="s">
        <v>63</v>
      </c>
      <c r="H406" s="11"/>
      <c r="I406" s="12">
        <f>J407+J408+J409</f>
        <v>7.5399999999999991</v>
      </c>
      <c r="J406" s="12"/>
    </row>
    <row r="407" spans="1:10">
      <c r="A407" t="s">
        <v>7</v>
      </c>
      <c r="B407" s="9">
        <v>2446</v>
      </c>
      <c r="C407" s="588" t="s">
        <v>249</v>
      </c>
      <c r="D407" s="588"/>
      <c r="E407" s="588"/>
      <c r="F407" s="588"/>
      <c r="G407" s="9" t="s">
        <v>63</v>
      </c>
      <c r="H407" s="9">
        <v>1.1000000000000001</v>
      </c>
      <c r="I407" s="13">
        <v>4.3735208711000002</v>
      </c>
      <c r="J407" s="13">
        <f>TRUNC((H407*I407),2)</f>
        <v>4.8099999999999996</v>
      </c>
    </row>
    <row r="408" spans="1:10">
      <c r="A408" t="s">
        <v>13</v>
      </c>
      <c r="B408" s="9">
        <v>88247</v>
      </c>
      <c r="C408" s="588" t="s">
        <v>218</v>
      </c>
      <c r="D408" s="588"/>
      <c r="E408" s="588"/>
      <c r="F408" s="588"/>
      <c r="G408" s="9" t="s">
        <v>6</v>
      </c>
      <c r="H408" s="9">
        <v>9.4500000000000001E-2</v>
      </c>
      <c r="I408" s="13">
        <v>12</v>
      </c>
      <c r="J408" s="13">
        <f>TRUNC((H408*I408),2)</f>
        <v>1.1299999999999999</v>
      </c>
    </row>
    <row r="409" spans="1:10">
      <c r="A409" t="s">
        <v>13</v>
      </c>
      <c r="B409" s="9">
        <v>88264</v>
      </c>
      <c r="C409" s="588" t="s">
        <v>219</v>
      </c>
      <c r="D409" s="588"/>
      <c r="E409" s="588"/>
      <c r="F409" s="588"/>
      <c r="G409" s="9" t="s">
        <v>6</v>
      </c>
      <c r="H409" s="9">
        <v>9.4500000000000001E-2</v>
      </c>
      <c r="I409" s="13">
        <v>17</v>
      </c>
      <c r="J409" s="13">
        <f>TRUNC((H409*I409),2)</f>
        <v>1.6</v>
      </c>
    </row>
    <row r="410" spans="1:10" ht="28.8">
      <c r="A410" s="10" t="s">
        <v>4</v>
      </c>
      <c r="B410" s="11">
        <v>91854</v>
      </c>
      <c r="C410" s="589" t="s">
        <v>250</v>
      </c>
      <c r="D410" s="590"/>
      <c r="E410" s="590"/>
      <c r="F410" s="590"/>
      <c r="G410" s="11" t="s">
        <v>63</v>
      </c>
      <c r="H410" s="11"/>
      <c r="I410" s="12">
        <f>J411+J412+J413</f>
        <v>6.0600000000000005</v>
      </c>
      <c r="J410" s="12"/>
    </row>
    <row r="411" spans="1:10">
      <c r="A411" t="s">
        <v>7</v>
      </c>
      <c r="B411" s="9">
        <v>2688</v>
      </c>
      <c r="C411" s="588" t="s">
        <v>251</v>
      </c>
      <c r="D411" s="588"/>
      <c r="E411" s="588"/>
      <c r="F411" s="588"/>
      <c r="G411" s="9" t="s">
        <v>63</v>
      </c>
      <c r="H411" s="9">
        <v>1.0169999999999999</v>
      </c>
      <c r="I411" s="13">
        <v>1.8737327188999999</v>
      </c>
      <c r="J411" s="13">
        <f>TRUNC((H411*I411),2)</f>
        <v>1.9</v>
      </c>
    </row>
    <row r="412" spans="1:10">
      <c r="A412" t="s">
        <v>13</v>
      </c>
      <c r="B412" s="9">
        <v>88247</v>
      </c>
      <c r="C412" s="588" t="s">
        <v>218</v>
      </c>
      <c r="D412" s="588"/>
      <c r="E412" s="588"/>
      <c r="F412" s="588"/>
      <c r="G412" s="9" t="s">
        <v>6</v>
      </c>
      <c r="H412" s="9">
        <v>0.14399999999999999</v>
      </c>
      <c r="I412" s="13">
        <v>12</v>
      </c>
      <c r="J412" s="13">
        <f>TRUNC((H412*I412),2)</f>
        <v>1.72</v>
      </c>
    </row>
    <row r="413" spans="1:10">
      <c r="A413" t="s">
        <v>13</v>
      </c>
      <c r="B413" s="9">
        <v>88264</v>
      </c>
      <c r="C413" s="588" t="s">
        <v>219</v>
      </c>
      <c r="D413" s="588"/>
      <c r="E413" s="588"/>
      <c r="F413" s="588"/>
      <c r="G413" s="9" t="s">
        <v>6</v>
      </c>
      <c r="H413" s="9">
        <v>0.14399999999999999</v>
      </c>
      <c r="I413" s="13">
        <v>17</v>
      </c>
      <c r="J413" s="13">
        <f>TRUNC((H413*I413),2)</f>
        <v>2.44</v>
      </c>
    </row>
    <row r="414" spans="1:10" ht="28.8">
      <c r="A414" s="10" t="s">
        <v>4</v>
      </c>
      <c r="B414" s="11">
        <v>95778</v>
      </c>
      <c r="C414" s="589" t="s">
        <v>252</v>
      </c>
      <c r="D414" s="590"/>
      <c r="E414" s="590"/>
      <c r="F414" s="590"/>
      <c r="G414" s="11" t="s">
        <v>36</v>
      </c>
      <c r="H414" s="11"/>
      <c r="I414" s="12">
        <f>J415+J416+J417+J418</f>
        <v>20.020000000000003</v>
      </c>
      <c r="J414" s="12"/>
    </row>
    <row r="415" spans="1:10">
      <c r="A415" t="s">
        <v>7</v>
      </c>
      <c r="B415" s="9">
        <v>2559</v>
      </c>
      <c r="C415" s="588" t="s">
        <v>253</v>
      </c>
      <c r="D415" s="588"/>
      <c r="E415" s="588"/>
      <c r="F415" s="588"/>
      <c r="G415" s="9" t="s">
        <v>36</v>
      </c>
      <c r="H415" s="9">
        <v>1</v>
      </c>
      <c r="I415" s="13">
        <v>9.7200000000000006</v>
      </c>
      <c r="J415" s="13">
        <f>TRUNC((H415*I415),2)</f>
        <v>9.7200000000000006</v>
      </c>
    </row>
    <row r="416" spans="1:10">
      <c r="A416" t="s">
        <v>7</v>
      </c>
      <c r="B416" s="9">
        <v>11950</v>
      </c>
      <c r="C416" s="588" t="s">
        <v>192</v>
      </c>
      <c r="D416" s="588"/>
      <c r="E416" s="588"/>
      <c r="F416" s="588"/>
      <c r="G416" s="9" t="s">
        <v>36</v>
      </c>
      <c r="H416" s="9">
        <v>2</v>
      </c>
      <c r="I416" s="13">
        <v>0.17499999999999999</v>
      </c>
      <c r="J416" s="13">
        <f>TRUNC((H416*I416),2)</f>
        <v>0.35</v>
      </c>
    </row>
    <row r="417" spans="1:10">
      <c r="A417" t="s">
        <v>13</v>
      </c>
      <c r="B417" s="9">
        <v>88247</v>
      </c>
      <c r="C417" s="588" t="s">
        <v>218</v>
      </c>
      <c r="D417" s="588"/>
      <c r="E417" s="588"/>
      <c r="F417" s="588"/>
      <c r="G417" s="9" t="s">
        <v>6</v>
      </c>
      <c r="H417" s="9">
        <v>0.34339999999999998</v>
      </c>
      <c r="I417" s="13">
        <v>12</v>
      </c>
      <c r="J417" s="13">
        <f>TRUNC((H417*I417),2)</f>
        <v>4.12</v>
      </c>
    </row>
    <row r="418" spans="1:10">
      <c r="A418" t="s">
        <v>13</v>
      </c>
      <c r="B418" s="9">
        <v>88264</v>
      </c>
      <c r="C418" s="588" t="s">
        <v>219</v>
      </c>
      <c r="D418" s="588"/>
      <c r="E418" s="588"/>
      <c r="F418" s="588"/>
      <c r="G418" s="9" t="s">
        <v>6</v>
      </c>
      <c r="H418" s="9">
        <v>0.34339999999999998</v>
      </c>
      <c r="I418" s="13">
        <v>17</v>
      </c>
      <c r="J418" s="13">
        <f>TRUNC((H418*I418),2)</f>
        <v>5.83</v>
      </c>
    </row>
    <row r="419" spans="1:10" ht="28.8">
      <c r="A419" s="10" t="s">
        <v>4</v>
      </c>
      <c r="B419" s="11">
        <v>92008</v>
      </c>
      <c r="C419" s="589" t="s">
        <v>254</v>
      </c>
      <c r="D419" s="590"/>
      <c r="E419" s="590"/>
      <c r="F419" s="590"/>
      <c r="G419" s="11" t="s">
        <v>36</v>
      </c>
      <c r="H419" s="11"/>
      <c r="I419" s="12">
        <f>J420+J421</f>
        <v>31.56</v>
      </c>
      <c r="J419" s="12"/>
    </row>
    <row r="420" spans="1:10">
      <c r="A420" t="s">
        <v>13</v>
      </c>
      <c r="B420" s="9">
        <v>91946</v>
      </c>
      <c r="C420" s="588" t="s">
        <v>255</v>
      </c>
      <c r="D420" s="588"/>
      <c r="E420" s="588"/>
      <c r="F420" s="588"/>
      <c r="G420" s="9" t="s">
        <v>36</v>
      </c>
      <c r="H420" s="9">
        <v>1</v>
      </c>
      <c r="I420" s="13">
        <v>5.5</v>
      </c>
      <c r="J420" s="13">
        <f>TRUNC((H420*I420),2)</f>
        <v>5.5</v>
      </c>
    </row>
    <row r="421" spans="1:10">
      <c r="A421" t="s">
        <v>13</v>
      </c>
      <c r="B421" s="9">
        <v>92006</v>
      </c>
      <c r="C421" s="588" t="s">
        <v>256</v>
      </c>
      <c r="D421" s="588"/>
      <c r="E421" s="588"/>
      <c r="F421" s="588"/>
      <c r="G421" s="9" t="s">
        <v>36</v>
      </c>
      <c r="H421" s="9">
        <v>1</v>
      </c>
      <c r="I421" s="13">
        <v>26.06</v>
      </c>
      <c r="J421" s="13">
        <f>TRUNC((H421*I421),2)</f>
        <v>26.06</v>
      </c>
    </row>
    <row r="422" spans="1:10" ht="28.8">
      <c r="A422" s="10" t="s">
        <v>4</v>
      </c>
      <c r="B422" s="11">
        <v>92004</v>
      </c>
      <c r="C422" s="589" t="s">
        <v>257</v>
      </c>
      <c r="D422" s="590"/>
      <c r="E422" s="590"/>
      <c r="F422" s="590"/>
      <c r="G422" s="11" t="s">
        <v>36</v>
      </c>
      <c r="H422" s="11"/>
      <c r="I422" s="12">
        <f>J423+J424</f>
        <v>36.4</v>
      </c>
      <c r="J422" s="12"/>
    </row>
    <row r="423" spans="1:10">
      <c r="A423" t="s">
        <v>13</v>
      </c>
      <c r="B423" s="9">
        <v>91946</v>
      </c>
      <c r="C423" s="588" t="s">
        <v>255</v>
      </c>
      <c r="D423" s="588"/>
      <c r="E423" s="588"/>
      <c r="F423" s="588"/>
      <c r="G423" s="9" t="s">
        <v>36</v>
      </c>
      <c r="H423" s="9">
        <v>1</v>
      </c>
      <c r="I423" s="13">
        <v>5.5</v>
      </c>
      <c r="J423" s="13">
        <f>TRUNC((H423*I423),2)</f>
        <v>5.5</v>
      </c>
    </row>
    <row r="424" spans="1:10">
      <c r="A424" t="s">
        <v>13</v>
      </c>
      <c r="B424" s="9">
        <v>92002</v>
      </c>
      <c r="C424" s="588" t="s">
        <v>258</v>
      </c>
      <c r="D424" s="588"/>
      <c r="E424" s="588"/>
      <c r="F424" s="588"/>
      <c r="G424" s="9" t="s">
        <v>36</v>
      </c>
      <c r="H424" s="9">
        <v>1</v>
      </c>
      <c r="I424" s="13">
        <v>30.9</v>
      </c>
      <c r="J424" s="13">
        <f>TRUNC((H424*I424),2)</f>
        <v>30.9</v>
      </c>
    </row>
    <row r="425" spans="1:10" ht="28.8">
      <c r="A425" s="10" t="s">
        <v>4</v>
      </c>
      <c r="B425" s="11">
        <v>92005</v>
      </c>
      <c r="C425" s="589" t="s">
        <v>259</v>
      </c>
      <c r="D425" s="590"/>
      <c r="E425" s="590"/>
      <c r="F425" s="590"/>
      <c r="G425" s="11" t="s">
        <v>36</v>
      </c>
      <c r="H425" s="11"/>
      <c r="I425" s="12">
        <f>J426+J427</f>
        <v>39.880000000000003</v>
      </c>
      <c r="J425" s="12"/>
    </row>
    <row r="426" spans="1:10">
      <c r="A426" t="s">
        <v>13</v>
      </c>
      <c r="B426" s="9">
        <v>91946</v>
      </c>
      <c r="C426" s="588" t="s">
        <v>255</v>
      </c>
      <c r="D426" s="588"/>
      <c r="E426" s="588"/>
      <c r="F426" s="588"/>
      <c r="G426" s="9" t="s">
        <v>36</v>
      </c>
      <c r="H426" s="9">
        <v>1</v>
      </c>
      <c r="I426" s="13">
        <v>5.5</v>
      </c>
      <c r="J426" s="13">
        <f>TRUNC((H426*I426),2)</f>
        <v>5.5</v>
      </c>
    </row>
    <row r="427" spans="1:10">
      <c r="A427" t="s">
        <v>13</v>
      </c>
      <c r="B427" s="9">
        <v>92003</v>
      </c>
      <c r="C427" s="588" t="s">
        <v>260</v>
      </c>
      <c r="D427" s="588"/>
      <c r="E427" s="588"/>
      <c r="F427" s="588"/>
      <c r="G427" s="9" t="s">
        <v>36</v>
      </c>
      <c r="H427" s="9">
        <v>1</v>
      </c>
      <c r="I427" s="13">
        <v>34.380000000000003</v>
      </c>
      <c r="J427" s="13">
        <f>TRUNC((H427*I427),2)</f>
        <v>34.380000000000003</v>
      </c>
    </row>
    <row r="428" spans="1:10" ht="28.8">
      <c r="A428" s="10" t="s">
        <v>4</v>
      </c>
      <c r="B428" s="11">
        <v>91992</v>
      </c>
      <c r="C428" s="589" t="s">
        <v>261</v>
      </c>
      <c r="D428" s="590"/>
      <c r="E428" s="590"/>
      <c r="F428" s="590"/>
      <c r="G428" s="11" t="s">
        <v>36</v>
      </c>
      <c r="H428" s="11"/>
      <c r="I428" s="12">
        <f>J429+J430</f>
        <v>28.19</v>
      </c>
      <c r="J428" s="12"/>
    </row>
    <row r="429" spans="1:10">
      <c r="A429" t="s">
        <v>13</v>
      </c>
      <c r="B429" s="9">
        <v>91946</v>
      </c>
      <c r="C429" s="588" t="s">
        <v>255</v>
      </c>
      <c r="D429" s="588"/>
      <c r="E429" s="588"/>
      <c r="F429" s="588"/>
      <c r="G429" s="9" t="s">
        <v>36</v>
      </c>
      <c r="H429" s="9">
        <v>1</v>
      </c>
      <c r="I429" s="13">
        <v>5.5</v>
      </c>
      <c r="J429" s="13">
        <f>TRUNC((H429*I429),2)</f>
        <v>5.5</v>
      </c>
    </row>
    <row r="430" spans="1:10">
      <c r="A430" t="s">
        <v>13</v>
      </c>
      <c r="B430" s="9">
        <v>91990</v>
      </c>
      <c r="C430" s="588" t="s">
        <v>262</v>
      </c>
      <c r="D430" s="588"/>
      <c r="E430" s="588"/>
      <c r="F430" s="588"/>
      <c r="G430" s="9" t="s">
        <v>36</v>
      </c>
      <c r="H430" s="9">
        <v>1</v>
      </c>
      <c r="I430" s="13">
        <v>22.69</v>
      </c>
      <c r="J430" s="13">
        <f>TRUNC((H430*I430),2)</f>
        <v>22.69</v>
      </c>
    </row>
    <row r="431" spans="1:10" ht="28.8">
      <c r="A431" s="10" t="s">
        <v>4</v>
      </c>
      <c r="B431" s="11">
        <v>91953</v>
      </c>
      <c r="C431" s="589" t="s">
        <v>263</v>
      </c>
      <c r="D431" s="590"/>
      <c r="E431" s="590"/>
      <c r="F431" s="590"/>
      <c r="G431" s="11" t="s">
        <v>36</v>
      </c>
      <c r="H431" s="11"/>
      <c r="I431" s="12">
        <f>J432+J433</f>
        <v>18.43</v>
      </c>
      <c r="J431" s="12"/>
    </row>
    <row r="432" spans="1:10">
      <c r="A432" t="s">
        <v>13</v>
      </c>
      <c r="B432" s="9">
        <v>91946</v>
      </c>
      <c r="C432" s="588" t="s">
        <v>255</v>
      </c>
      <c r="D432" s="588"/>
      <c r="E432" s="588"/>
      <c r="F432" s="588"/>
      <c r="G432" s="9" t="s">
        <v>36</v>
      </c>
      <c r="H432" s="9">
        <v>1</v>
      </c>
      <c r="I432" s="13">
        <v>5.5</v>
      </c>
      <c r="J432" s="13">
        <f>TRUNC((H432*I432),2)</f>
        <v>5.5</v>
      </c>
    </row>
    <row r="433" spans="1:10">
      <c r="A433" t="s">
        <v>13</v>
      </c>
      <c r="B433" s="9">
        <v>91952</v>
      </c>
      <c r="C433" s="588" t="s">
        <v>264</v>
      </c>
      <c r="D433" s="588"/>
      <c r="E433" s="588"/>
      <c r="F433" s="588"/>
      <c r="G433" s="9" t="s">
        <v>36</v>
      </c>
      <c r="H433" s="9">
        <v>1</v>
      </c>
      <c r="I433" s="13">
        <v>12.93</v>
      </c>
      <c r="J433" s="13">
        <f>TRUNC((H433*I433),2)</f>
        <v>12.93</v>
      </c>
    </row>
    <row r="434" spans="1:10" ht="28.8">
      <c r="A434" s="10" t="s">
        <v>4</v>
      </c>
      <c r="B434" s="11">
        <v>91961</v>
      </c>
      <c r="C434" s="589" t="s">
        <v>265</v>
      </c>
      <c r="D434" s="590"/>
      <c r="E434" s="590"/>
      <c r="F434" s="590"/>
      <c r="G434" s="11" t="s">
        <v>36</v>
      </c>
      <c r="H434" s="11"/>
      <c r="I434" s="12">
        <f>J435+J436</f>
        <v>38.200000000000003</v>
      </c>
      <c r="J434" s="12"/>
    </row>
    <row r="435" spans="1:10">
      <c r="A435" t="s">
        <v>13</v>
      </c>
      <c r="B435" s="9">
        <v>91946</v>
      </c>
      <c r="C435" s="588" t="s">
        <v>255</v>
      </c>
      <c r="D435" s="588"/>
      <c r="E435" s="588"/>
      <c r="F435" s="588"/>
      <c r="G435" s="9" t="s">
        <v>36</v>
      </c>
      <c r="H435" s="9">
        <v>1</v>
      </c>
      <c r="I435" s="13">
        <v>5.5</v>
      </c>
      <c r="J435" s="13">
        <f>TRUNC((H435*I435),2)</f>
        <v>5.5</v>
      </c>
    </row>
    <row r="436" spans="1:10">
      <c r="A436" t="s">
        <v>13</v>
      </c>
      <c r="B436" s="9">
        <v>91960</v>
      </c>
      <c r="C436" s="588" t="s">
        <v>266</v>
      </c>
      <c r="D436" s="588"/>
      <c r="E436" s="588"/>
      <c r="F436" s="588"/>
      <c r="G436" s="9" t="s">
        <v>36</v>
      </c>
      <c r="H436" s="9">
        <v>1</v>
      </c>
      <c r="I436" s="13">
        <v>32.700000000000003</v>
      </c>
      <c r="J436" s="13">
        <f>TRUNC((H436*I436),2)</f>
        <v>32.700000000000003</v>
      </c>
    </row>
    <row r="437" spans="1:10" ht="28.8">
      <c r="A437" s="10" t="s">
        <v>4</v>
      </c>
      <c r="B437" s="11">
        <v>91965</v>
      </c>
      <c r="C437" s="589" t="s">
        <v>267</v>
      </c>
      <c r="D437" s="590"/>
      <c r="E437" s="590"/>
      <c r="F437" s="590"/>
      <c r="G437" s="11" t="s">
        <v>36</v>
      </c>
      <c r="H437" s="11"/>
      <c r="I437" s="12">
        <f>J438+J439</f>
        <v>44.75</v>
      </c>
      <c r="J437" s="12"/>
    </row>
    <row r="438" spans="1:10">
      <c r="A438" t="s">
        <v>13</v>
      </c>
      <c r="B438" s="9">
        <v>91946</v>
      </c>
      <c r="C438" s="588" t="s">
        <v>255</v>
      </c>
      <c r="D438" s="588"/>
      <c r="E438" s="588"/>
      <c r="F438" s="588"/>
      <c r="G438" s="9" t="s">
        <v>36</v>
      </c>
      <c r="H438" s="9">
        <v>1</v>
      </c>
      <c r="I438" s="13">
        <v>5.5</v>
      </c>
      <c r="J438" s="13">
        <f>TRUNC((H438*I438),2)</f>
        <v>5.5</v>
      </c>
    </row>
    <row r="439" spans="1:10">
      <c r="A439" t="s">
        <v>13</v>
      </c>
      <c r="B439" s="9">
        <v>91964</v>
      </c>
      <c r="C439" s="588" t="s">
        <v>268</v>
      </c>
      <c r="D439" s="588"/>
      <c r="E439" s="588"/>
      <c r="F439" s="588"/>
      <c r="G439" s="9" t="s">
        <v>36</v>
      </c>
      <c r="H439" s="9">
        <v>1</v>
      </c>
      <c r="I439" s="13">
        <v>39.25</v>
      </c>
      <c r="J439" s="13">
        <f>TRUNC((H439*I439),2)</f>
        <v>39.25</v>
      </c>
    </row>
    <row r="440" spans="1:10" ht="28.8">
      <c r="A440" s="10" t="s">
        <v>4</v>
      </c>
      <c r="B440" s="11">
        <v>97599</v>
      </c>
      <c r="C440" s="589" t="s">
        <v>269</v>
      </c>
      <c r="D440" s="590"/>
      <c r="E440" s="590"/>
      <c r="F440" s="590"/>
      <c r="G440" s="11" t="s">
        <v>36</v>
      </c>
      <c r="H440" s="11"/>
      <c r="I440" s="12">
        <f>J441+J442+J443</f>
        <v>20.28</v>
      </c>
      <c r="J440" s="12"/>
    </row>
    <row r="441" spans="1:10">
      <c r="A441" t="s">
        <v>7</v>
      </c>
      <c r="B441" s="9">
        <v>38774</v>
      </c>
      <c r="C441" s="588" t="s">
        <v>270</v>
      </c>
      <c r="D441" s="588"/>
      <c r="E441" s="588"/>
      <c r="F441" s="588"/>
      <c r="G441" s="9" t="s">
        <v>36</v>
      </c>
      <c r="H441" s="9">
        <v>1</v>
      </c>
      <c r="I441" s="13">
        <v>16.34</v>
      </c>
      <c r="J441" s="13">
        <f>TRUNC((H441*I441),2)</f>
        <v>16.34</v>
      </c>
    </row>
    <row r="442" spans="1:10">
      <c r="A442" t="s">
        <v>13</v>
      </c>
      <c r="B442" s="9">
        <v>88247</v>
      </c>
      <c r="C442" s="588" t="s">
        <v>218</v>
      </c>
      <c r="D442" s="588"/>
      <c r="E442" s="588"/>
      <c r="F442" s="588"/>
      <c r="G442" s="9" t="s">
        <v>6</v>
      </c>
      <c r="H442" s="9">
        <v>7.4800000000000005E-2</v>
      </c>
      <c r="I442" s="13">
        <v>12</v>
      </c>
      <c r="J442" s="13">
        <f>TRUNC((H442*I442),2)</f>
        <v>0.89</v>
      </c>
    </row>
    <row r="443" spans="1:10">
      <c r="A443" t="s">
        <v>13</v>
      </c>
      <c r="B443" s="9">
        <v>88264</v>
      </c>
      <c r="C443" s="588" t="s">
        <v>219</v>
      </c>
      <c r="D443" s="588"/>
      <c r="E443" s="588"/>
      <c r="F443" s="588"/>
      <c r="G443" s="9" t="s">
        <v>6</v>
      </c>
      <c r="H443" s="9">
        <v>0.17949999999999999</v>
      </c>
      <c r="I443" s="13">
        <v>17</v>
      </c>
      <c r="J443" s="13">
        <f>TRUNC((H443*I443),2)</f>
        <v>3.05</v>
      </c>
    </row>
    <row r="444" spans="1:10" ht="28.8">
      <c r="A444" s="10" t="s">
        <v>4</v>
      </c>
      <c r="B444" s="11">
        <v>103782</v>
      </c>
      <c r="C444" s="589" t="s">
        <v>271</v>
      </c>
      <c r="D444" s="590"/>
      <c r="E444" s="590"/>
      <c r="F444" s="590"/>
      <c r="G444" s="11" t="s">
        <v>36</v>
      </c>
      <c r="H444" s="11"/>
      <c r="I444" s="12">
        <f>J445+J446+J447</f>
        <v>25.669999999999998</v>
      </c>
      <c r="J444" s="12"/>
    </row>
    <row r="445" spans="1:10">
      <c r="A445" t="s">
        <v>7</v>
      </c>
      <c r="B445" s="9">
        <v>39385</v>
      </c>
      <c r="C445" s="588" t="s">
        <v>272</v>
      </c>
      <c r="D445" s="588"/>
      <c r="E445" s="588"/>
      <c r="F445" s="588"/>
      <c r="G445" s="9" t="s">
        <v>36</v>
      </c>
      <c r="H445" s="9">
        <v>1</v>
      </c>
      <c r="I445" s="13">
        <v>14.94</v>
      </c>
      <c r="J445" s="13">
        <f>TRUNC((H445*I445),2)</f>
        <v>14.94</v>
      </c>
    </row>
    <row r="446" spans="1:10">
      <c r="A446" t="s">
        <v>13</v>
      </c>
      <c r="B446" s="9">
        <v>88247</v>
      </c>
      <c r="C446" s="588" t="s">
        <v>218</v>
      </c>
      <c r="D446" s="588"/>
      <c r="E446" s="588"/>
      <c r="F446" s="588"/>
      <c r="G446" s="9" t="s">
        <v>6</v>
      </c>
      <c r="H446" s="9">
        <v>0.37</v>
      </c>
      <c r="I446" s="13">
        <v>12</v>
      </c>
      <c r="J446" s="13">
        <f>TRUNC((H446*I446),2)</f>
        <v>4.4400000000000004</v>
      </c>
    </row>
    <row r="447" spans="1:10">
      <c r="A447" t="s">
        <v>13</v>
      </c>
      <c r="B447" s="9">
        <v>88264</v>
      </c>
      <c r="C447" s="588" t="s">
        <v>219</v>
      </c>
      <c r="D447" s="588"/>
      <c r="E447" s="588"/>
      <c r="F447" s="588"/>
      <c r="G447" s="9" t="s">
        <v>6</v>
      </c>
      <c r="H447" s="9">
        <v>0.37</v>
      </c>
      <c r="I447" s="13">
        <v>17</v>
      </c>
      <c r="J447" s="13">
        <f>TRUNC((H447*I447),2)</f>
        <v>6.29</v>
      </c>
    </row>
    <row r="448" spans="1:10" ht="28.8">
      <c r="A448" s="10" t="s">
        <v>4</v>
      </c>
      <c r="B448" s="11">
        <v>101894</v>
      </c>
      <c r="C448" s="589" t="s">
        <v>273</v>
      </c>
      <c r="D448" s="590"/>
      <c r="E448" s="590"/>
      <c r="F448" s="590"/>
      <c r="G448" s="11" t="s">
        <v>36</v>
      </c>
      <c r="H448" s="11"/>
      <c r="I448" s="12">
        <f>J449+J450+J451+J452</f>
        <v>134.04999999999998</v>
      </c>
      <c r="J448" s="12"/>
    </row>
    <row r="449" spans="1:10">
      <c r="A449" t="s">
        <v>7</v>
      </c>
      <c r="B449" s="9">
        <v>1576</v>
      </c>
      <c r="C449" s="588" t="s">
        <v>274</v>
      </c>
      <c r="D449" s="588"/>
      <c r="E449" s="588"/>
      <c r="F449" s="588"/>
      <c r="G449" s="9" t="s">
        <v>36</v>
      </c>
      <c r="H449" s="9">
        <v>3</v>
      </c>
      <c r="I449" s="13">
        <v>1.9766666666999999</v>
      </c>
      <c r="J449" s="13">
        <f>TRUNC((H449*I449),2)</f>
        <v>5.93</v>
      </c>
    </row>
    <row r="450" spans="1:10">
      <c r="A450" t="s">
        <v>7</v>
      </c>
      <c r="B450" s="9">
        <v>2373</v>
      </c>
      <c r="C450" s="588" t="s">
        <v>275</v>
      </c>
      <c r="D450" s="588"/>
      <c r="E450" s="588"/>
      <c r="F450" s="588"/>
      <c r="G450" s="9" t="s">
        <v>36</v>
      </c>
      <c r="H450" s="9">
        <v>1</v>
      </c>
      <c r="I450" s="13">
        <v>105.42</v>
      </c>
      <c r="J450" s="13">
        <f>TRUNC((H450*I450),2)</f>
        <v>105.42</v>
      </c>
    </row>
    <row r="451" spans="1:10">
      <c r="A451" t="s">
        <v>13</v>
      </c>
      <c r="B451" s="9">
        <v>88247</v>
      </c>
      <c r="C451" s="588" t="s">
        <v>218</v>
      </c>
      <c r="D451" s="588"/>
      <c r="E451" s="588"/>
      <c r="F451" s="588"/>
      <c r="G451" s="9" t="s">
        <v>6</v>
      </c>
      <c r="H451" s="9">
        <v>0.78300000000000003</v>
      </c>
      <c r="I451" s="13">
        <v>12</v>
      </c>
      <c r="J451" s="13">
        <f>TRUNC((H451*I451),2)</f>
        <v>9.39</v>
      </c>
    </row>
    <row r="452" spans="1:10">
      <c r="A452" t="s">
        <v>13</v>
      </c>
      <c r="B452" s="9">
        <v>88264</v>
      </c>
      <c r="C452" s="588" t="s">
        <v>219</v>
      </c>
      <c r="D452" s="588"/>
      <c r="E452" s="588"/>
      <c r="F452" s="588"/>
      <c r="G452" s="9" t="s">
        <v>6</v>
      </c>
      <c r="H452" s="9">
        <v>0.78300000000000003</v>
      </c>
      <c r="I452" s="13">
        <v>17</v>
      </c>
      <c r="J452" s="13">
        <f>TRUNC((H452*I452),2)</f>
        <v>13.31</v>
      </c>
    </row>
    <row r="453" spans="1:10" ht="28.8">
      <c r="A453" s="10" t="s">
        <v>4</v>
      </c>
      <c r="B453" s="11">
        <v>93673</v>
      </c>
      <c r="C453" s="589" t="s">
        <v>276</v>
      </c>
      <c r="D453" s="590"/>
      <c r="E453" s="590"/>
      <c r="F453" s="590"/>
      <c r="G453" s="11" t="s">
        <v>36</v>
      </c>
      <c r="H453" s="11"/>
      <c r="I453" s="12">
        <f>J454+J455+J456+J457</f>
        <v>81.160000000000011</v>
      </c>
      <c r="J453" s="12"/>
    </row>
    <row r="454" spans="1:10">
      <c r="A454" t="s">
        <v>7</v>
      </c>
      <c r="B454" s="9">
        <v>1575</v>
      </c>
      <c r="C454" s="588" t="s">
        <v>277</v>
      </c>
      <c r="D454" s="588"/>
      <c r="E454" s="588"/>
      <c r="F454" s="588"/>
      <c r="G454" s="9" t="s">
        <v>36</v>
      </c>
      <c r="H454" s="9">
        <v>3</v>
      </c>
      <c r="I454" s="13">
        <v>1.4233333333</v>
      </c>
      <c r="J454" s="13">
        <f>TRUNC((H454*I454),2)</f>
        <v>4.26</v>
      </c>
    </row>
    <row r="455" spans="1:10">
      <c r="A455" t="s">
        <v>7</v>
      </c>
      <c r="B455" s="9">
        <v>34709</v>
      </c>
      <c r="C455" s="588" t="s">
        <v>278</v>
      </c>
      <c r="D455" s="588"/>
      <c r="E455" s="588"/>
      <c r="F455" s="588"/>
      <c r="G455" s="9" t="s">
        <v>36</v>
      </c>
      <c r="H455" s="9">
        <v>1</v>
      </c>
      <c r="I455" s="13">
        <v>60.44</v>
      </c>
      <c r="J455" s="13">
        <f>TRUNC((H455*I455),2)</f>
        <v>60.44</v>
      </c>
    </row>
    <row r="456" spans="1:10">
      <c r="A456" t="s">
        <v>13</v>
      </c>
      <c r="B456" s="9">
        <v>88247</v>
      </c>
      <c r="C456" s="588" t="s">
        <v>218</v>
      </c>
      <c r="D456" s="588"/>
      <c r="E456" s="588"/>
      <c r="F456" s="588"/>
      <c r="G456" s="9" t="s">
        <v>6</v>
      </c>
      <c r="H456" s="9">
        <v>0.56769999999999998</v>
      </c>
      <c r="I456" s="13">
        <v>12</v>
      </c>
      <c r="J456" s="13">
        <f>TRUNC((H456*I456),2)</f>
        <v>6.81</v>
      </c>
    </row>
    <row r="457" spans="1:10">
      <c r="A457" t="s">
        <v>13</v>
      </c>
      <c r="B457" s="9">
        <v>88264</v>
      </c>
      <c r="C457" s="588" t="s">
        <v>219</v>
      </c>
      <c r="D457" s="588"/>
      <c r="E457" s="588"/>
      <c r="F457" s="588"/>
      <c r="G457" s="9" t="s">
        <v>6</v>
      </c>
      <c r="H457" s="9">
        <v>0.56769999999999998</v>
      </c>
      <c r="I457" s="13">
        <v>17</v>
      </c>
      <c r="J457" s="13">
        <f>TRUNC((H457*I457),2)</f>
        <v>9.65</v>
      </c>
    </row>
    <row r="458" spans="1:10" ht="28.8">
      <c r="A458" s="10" t="s">
        <v>4</v>
      </c>
      <c r="B458" s="11">
        <v>93653</v>
      </c>
      <c r="C458" s="589" t="s">
        <v>279</v>
      </c>
      <c r="D458" s="590"/>
      <c r="E458" s="590"/>
      <c r="F458" s="590"/>
      <c r="G458" s="11" t="s">
        <v>36</v>
      </c>
      <c r="H458" s="11"/>
      <c r="I458" s="12">
        <f>J459+J460+J461+J462</f>
        <v>10.33</v>
      </c>
      <c r="J458" s="12"/>
    </row>
    <row r="459" spans="1:10">
      <c r="A459" t="s">
        <v>7</v>
      </c>
      <c r="B459" s="9">
        <v>1570</v>
      </c>
      <c r="C459" s="588" t="s">
        <v>280</v>
      </c>
      <c r="D459" s="588"/>
      <c r="E459" s="588"/>
      <c r="F459" s="588"/>
      <c r="G459" s="9" t="s">
        <v>36</v>
      </c>
      <c r="H459" s="9">
        <v>1</v>
      </c>
      <c r="I459" s="13">
        <v>0.72</v>
      </c>
      <c r="J459" s="13">
        <f>TRUNC((H459*I459),2)</f>
        <v>0.72</v>
      </c>
    </row>
    <row r="460" spans="1:10">
      <c r="A460" t="s">
        <v>7</v>
      </c>
      <c r="B460" s="9">
        <v>34653</v>
      </c>
      <c r="C460" s="588" t="s">
        <v>281</v>
      </c>
      <c r="D460" s="588"/>
      <c r="E460" s="588"/>
      <c r="F460" s="588"/>
      <c r="G460" s="9" t="s">
        <v>36</v>
      </c>
      <c r="H460" s="9">
        <v>1</v>
      </c>
      <c r="I460" s="13">
        <v>8.6</v>
      </c>
      <c r="J460" s="13">
        <f>TRUNC((H460*I460),2)</f>
        <v>8.6</v>
      </c>
    </row>
    <row r="461" spans="1:10">
      <c r="A461" t="s">
        <v>13</v>
      </c>
      <c r="B461" s="9">
        <v>88247</v>
      </c>
      <c r="C461" s="588" t="s">
        <v>218</v>
      </c>
      <c r="D461" s="588"/>
      <c r="E461" s="588"/>
      <c r="F461" s="588"/>
      <c r="G461" s="9" t="s">
        <v>6</v>
      </c>
      <c r="H461" s="9">
        <v>3.5200000000000002E-2</v>
      </c>
      <c r="I461" s="13">
        <v>12</v>
      </c>
      <c r="J461" s="13">
        <f>TRUNC((H461*I461),2)</f>
        <v>0.42</v>
      </c>
    </row>
    <row r="462" spans="1:10">
      <c r="A462" t="s">
        <v>13</v>
      </c>
      <c r="B462" s="9">
        <v>88264</v>
      </c>
      <c r="C462" s="588" t="s">
        <v>219</v>
      </c>
      <c r="D462" s="588"/>
      <c r="E462" s="588"/>
      <c r="F462" s="588"/>
      <c r="G462" s="9" t="s">
        <v>6</v>
      </c>
      <c r="H462" s="9">
        <v>3.5200000000000002E-2</v>
      </c>
      <c r="I462" s="13">
        <v>17</v>
      </c>
      <c r="J462" s="13">
        <f>TRUNC((H462*I462),2)</f>
        <v>0.59</v>
      </c>
    </row>
    <row r="463" spans="1:10" ht="28.8">
      <c r="A463" s="10" t="s">
        <v>4</v>
      </c>
      <c r="B463" s="11">
        <v>93654</v>
      </c>
      <c r="C463" s="589" t="s">
        <v>282</v>
      </c>
      <c r="D463" s="590"/>
      <c r="E463" s="590"/>
      <c r="F463" s="590"/>
      <c r="G463" s="11" t="s">
        <v>36</v>
      </c>
      <c r="H463" s="11"/>
      <c r="I463" s="12">
        <f>J464+J465+J466+J467</f>
        <v>10.690000000000001</v>
      </c>
      <c r="J463" s="12"/>
    </row>
    <row r="464" spans="1:10">
      <c r="A464" t="s">
        <v>7</v>
      </c>
      <c r="B464" s="9">
        <v>1570</v>
      </c>
      <c r="C464" s="588" t="s">
        <v>280</v>
      </c>
      <c r="D464" s="588"/>
      <c r="E464" s="588"/>
      <c r="F464" s="588"/>
      <c r="G464" s="9" t="s">
        <v>36</v>
      </c>
      <c r="H464" s="9">
        <v>1</v>
      </c>
      <c r="I464" s="13">
        <v>0.72</v>
      </c>
      <c r="J464" s="13">
        <f>TRUNC((H464*I464),2)</f>
        <v>0.72</v>
      </c>
    </row>
    <row r="465" spans="1:10">
      <c r="A465" t="s">
        <v>7</v>
      </c>
      <c r="B465" s="9">
        <v>34653</v>
      </c>
      <c r="C465" s="588" t="s">
        <v>281</v>
      </c>
      <c r="D465" s="588"/>
      <c r="E465" s="588"/>
      <c r="F465" s="588"/>
      <c r="G465" s="9" t="s">
        <v>36</v>
      </c>
      <c r="H465" s="9">
        <v>1</v>
      </c>
      <c r="I465" s="13">
        <v>8.6</v>
      </c>
      <c r="J465" s="13">
        <f>TRUNC((H465*I465),2)</f>
        <v>8.6</v>
      </c>
    </row>
    <row r="466" spans="1:10">
      <c r="A466" t="s">
        <v>13</v>
      </c>
      <c r="B466" s="9">
        <v>88247</v>
      </c>
      <c r="C466" s="588" t="s">
        <v>218</v>
      </c>
      <c r="D466" s="588"/>
      <c r="E466" s="588"/>
      <c r="F466" s="588"/>
      <c r="G466" s="9" t="s">
        <v>6</v>
      </c>
      <c r="H466" s="9">
        <v>4.7600000000000003E-2</v>
      </c>
      <c r="I466" s="13">
        <v>12</v>
      </c>
      <c r="J466" s="13">
        <f>TRUNC((H466*I466),2)</f>
        <v>0.56999999999999995</v>
      </c>
    </row>
    <row r="467" spans="1:10">
      <c r="A467" t="s">
        <v>13</v>
      </c>
      <c r="B467" s="9">
        <v>88264</v>
      </c>
      <c r="C467" s="588" t="s">
        <v>219</v>
      </c>
      <c r="D467" s="588"/>
      <c r="E467" s="588"/>
      <c r="F467" s="588"/>
      <c r="G467" s="9" t="s">
        <v>6</v>
      </c>
      <c r="H467" s="9">
        <v>4.7600000000000003E-2</v>
      </c>
      <c r="I467" s="13">
        <v>17</v>
      </c>
      <c r="J467" s="13">
        <f>TRUNC((H467*I467),2)</f>
        <v>0.8</v>
      </c>
    </row>
    <row r="468" spans="1:10" ht="28.8">
      <c r="A468" s="10" t="s">
        <v>4</v>
      </c>
      <c r="B468" s="11">
        <v>93655</v>
      </c>
      <c r="C468" s="589" t="s">
        <v>283</v>
      </c>
      <c r="D468" s="590"/>
      <c r="E468" s="590"/>
      <c r="F468" s="590"/>
      <c r="G468" s="11" t="s">
        <v>36</v>
      </c>
      <c r="H468" s="11"/>
      <c r="I468" s="12">
        <f>J469+J470+J471+J472</f>
        <v>11.440000000000001</v>
      </c>
      <c r="J468" s="12"/>
    </row>
    <row r="469" spans="1:10">
      <c r="A469" t="s">
        <v>7</v>
      </c>
      <c r="B469" s="9">
        <v>1571</v>
      </c>
      <c r="C469" s="588" t="s">
        <v>284</v>
      </c>
      <c r="D469" s="588"/>
      <c r="E469" s="588"/>
      <c r="F469" s="588"/>
      <c r="G469" s="9" t="s">
        <v>36</v>
      </c>
      <c r="H469" s="9">
        <v>1</v>
      </c>
      <c r="I469" s="13">
        <v>0.93</v>
      </c>
      <c r="J469" s="13">
        <f>TRUNC((H469*I469),2)</f>
        <v>0.93</v>
      </c>
    </row>
    <row r="470" spans="1:10">
      <c r="A470" t="s">
        <v>7</v>
      </c>
      <c r="B470" s="9">
        <v>34653</v>
      </c>
      <c r="C470" s="588" t="s">
        <v>281</v>
      </c>
      <c r="D470" s="588"/>
      <c r="E470" s="588"/>
      <c r="F470" s="588"/>
      <c r="G470" s="9" t="s">
        <v>36</v>
      </c>
      <c r="H470" s="9">
        <v>1</v>
      </c>
      <c r="I470" s="13">
        <v>8.6</v>
      </c>
      <c r="J470" s="13">
        <f>TRUNC((H470*I470),2)</f>
        <v>8.6</v>
      </c>
    </row>
    <row r="471" spans="1:10">
      <c r="A471" t="s">
        <v>13</v>
      </c>
      <c r="B471" s="9">
        <v>88247</v>
      </c>
      <c r="C471" s="588" t="s">
        <v>218</v>
      </c>
      <c r="D471" s="588"/>
      <c r="E471" s="588"/>
      <c r="F471" s="588"/>
      <c r="G471" s="9" t="s">
        <v>6</v>
      </c>
      <c r="H471" s="9">
        <v>6.6299999999999998E-2</v>
      </c>
      <c r="I471" s="13">
        <v>12</v>
      </c>
      <c r="J471" s="13">
        <f>TRUNC((H471*I471),2)</f>
        <v>0.79</v>
      </c>
    </row>
    <row r="472" spans="1:10">
      <c r="A472" t="s">
        <v>13</v>
      </c>
      <c r="B472" s="9">
        <v>88264</v>
      </c>
      <c r="C472" s="588" t="s">
        <v>219</v>
      </c>
      <c r="D472" s="588"/>
      <c r="E472" s="588"/>
      <c r="F472" s="588"/>
      <c r="G472" s="9" t="s">
        <v>6</v>
      </c>
      <c r="H472" s="9">
        <v>6.6299999999999998E-2</v>
      </c>
      <c r="I472" s="13">
        <v>17</v>
      </c>
      <c r="J472" s="13">
        <f>TRUNC((H472*I472),2)</f>
        <v>1.1200000000000001</v>
      </c>
    </row>
    <row r="473" spans="1:10" ht="28.8">
      <c r="A473" s="10" t="s">
        <v>4</v>
      </c>
      <c r="B473" s="11">
        <v>93656</v>
      </c>
      <c r="C473" s="589" t="s">
        <v>285</v>
      </c>
      <c r="D473" s="590"/>
      <c r="E473" s="590"/>
      <c r="F473" s="590"/>
      <c r="G473" s="11" t="s">
        <v>36</v>
      </c>
      <c r="H473" s="11"/>
      <c r="I473" s="12">
        <f>J474+J475+J476+J477</f>
        <v>11.440000000000001</v>
      </c>
      <c r="J473" s="12"/>
    </row>
    <row r="474" spans="1:10">
      <c r="A474" t="s">
        <v>7</v>
      </c>
      <c r="B474" s="9">
        <v>1571</v>
      </c>
      <c r="C474" s="588" t="s">
        <v>284</v>
      </c>
      <c r="D474" s="588"/>
      <c r="E474" s="588"/>
      <c r="F474" s="588"/>
      <c r="G474" s="9" t="s">
        <v>36</v>
      </c>
      <c r="H474" s="9">
        <v>1</v>
      </c>
      <c r="I474" s="13">
        <v>0.93</v>
      </c>
      <c r="J474" s="13">
        <f>TRUNC((H474*I474),2)</f>
        <v>0.93</v>
      </c>
    </row>
    <row r="475" spans="1:10">
      <c r="A475" t="s">
        <v>7</v>
      </c>
      <c r="B475" s="9">
        <v>34653</v>
      </c>
      <c r="C475" s="588" t="s">
        <v>281</v>
      </c>
      <c r="D475" s="588"/>
      <c r="E475" s="588"/>
      <c r="F475" s="588"/>
      <c r="G475" s="9" t="s">
        <v>36</v>
      </c>
      <c r="H475" s="9">
        <v>1</v>
      </c>
      <c r="I475" s="13">
        <v>8.6</v>
      </c>
      <c r="J475" s="13">
        <f>TRUNC((H475*I475),2)</f>
        <v>8.6</v>
      </c>
    </row>
    <row r="476" spans="1:10">
      <c r="A476" t="s">
        <v>13</v>
      </c>
      <c r="B476" s="9">
        <v>88247</v>
      </c>
      <c r="C476" s="588" t="s">
        <v>218</v>
      </c>
      <c r="D476" s="588"/>
      <c r="E476" s="588"/>
      <c r="F476" s="588"/>
      <c r="G476" s="9" t="s">
        <v>6</v>
      </c>
      <c r="H476" s="9">
        <v>6.6299999999999998E-2</v>
      </c>
      <c r="I476" s="13">
        <v>12</v>
      </c>
      <c r="J476" s="13">
        <f>TRUNC((H476*I476),2)</f>
        <v>0.79</v>
      </c>
    </row>
    <row r="477" spans="1:10">
      <c r="A477" t="s">
        <v>13</v>
      </c>
      <c r="B477" s="9">
        <v>88264</v>
      </c>
      <c r="C477" s="588" t="s">
        <v>219</v>
      </c>
      <c r="D477" s="588"/>
      <c r="E477" s="588"/>
      <c r="F477" s="588"/>
      <c r="G477" s="9" t="s">
        <v>6</v>
      </c>
      <c r="H477" s="9">
        <v>6.6299999999999998E-2</v>
      </c>
      <c r="I477" s="13">
        <v>17</v>
      </c>
      <c r="J477" s="13">
        <f>TRUNC((H477*I477),2)</f>
        <v>1.1200000000000001</v>
      </c>
    </row>
    <row r="478" spans="1:10" ht="28.8">
      <c r="A478" s="10" t="s">
        <v>4</v>
      </c>
      <c r="B478" s="11">
        <v>93661</v>
      </c>
      <c r="C478" s="589" t="s">
        <v>286</v>
      </c>
      <c r="D478" s="590"/>
      <c r="E478" s="590"/>
      <c r="F478" s="590"/>
      <c r="G478" s="11" t="s">
        <v>36</v>
      </c>
      <c r="H478" s="11"/>
      <c r="I478" s="12">
        <f>J479+J480+J481+J482</f>
        <v>53.51</v>
      </c>
      <c r="J478" s="12"/>
    </row>
    <row r="479" spans="1:10">
      <c r="A479" t="s">
        <v>7</v>
      </c>
      <c r="B479" s="9">
        <v>1570</v>
      </c>
      <c r="C479" s="588" t="s">
        <v>280</v>
      </c>
      <c r="D479" s="588"/>
      <c r="E479" s="588"/>
      <c r="F479" s="588"/>
      <c r="G479" s="9" t="s">
        <v>36</v>
      </c>
      <c r="H479" s="9">
        <v>2</v>
      </c>
      <c r="I479" s="13">
        <v>0.71499999999999997</v>
      </c>
      <c r="J479" s="13">
        <f>TRUNC((H479*I479),2)</f>
        <v>1.43</v>
      </c>
    </row>
    <row r="480" spans="1:10">
      <c r="A480" t="s">
        <v>7</v>
      </c>
      <c r="B480" s="9">
        <v>34616</v>
      </c>
      <c r="C480" s="588" t="s">
        <v>287</v>
      </c>
      <c r="D480" s="588"/>
      <c r="E480" s="588"/>
      <c r="F480" s="588"/>
      <c r="G480" s="9" t="s">
        <v>36</v>
      </c>
      <c r="H480" s="9">
        <v>1</v>
      </c>
      <c r="I480" s="13">
        <v>49.33</v>
      </c>
      <c r="J480" s="13">
        <f>TRUNC((H480*I480),2)</f>
        <v>49.33</v>
      </c>
    </row>
    <row r="481" spans="1:10">
      <c r="A481" t="s">
        <v>13</v>
      </c>
      <c r="B481" s="9">
        <v>88247</v>
      </c>
      <c r="C481" s="588" t="s">
        <v>218</v>
      </c>
      <c r="D481" s="588"/>
      <c r="E481" s="588"/>
      <c r="F481" s="588"/>
      <c r="G481" s="9" t="s">
        <v>6</v>
      </c>
      <c r="H481" s="9">
        <v>9.5200000000000007E-2</v>
      </c>
      <c r="I481" s="13">
        <v>12</v>
      </c>
      <c r="J481" s="13">
        <f>TRUNC((H481*I481),2)</f>
        <v>1.1399999999999999</v>
      </c>
    </row>
    <row r="482" spans="1:10">
      <c r="A482" t="s">
        <v>13</v>
      </c>
      <c r="B482" s="9">
        <v>88264</v>
      </c>
      <c r="C482" s="588" t="s">
        <v>219</v>
      </c>
      <c r="D482" s="588"/>
      <c r="E482" s="588"/>
      <c r="F482" s="588"/>
      <c r="G482" s="9" t="s">
        <v>6</v>
      </c>
      <c r="H482" s="9">
        <v>9.5200000000000007E-2</v>
      </c>
      <c r="I482" s="13">
        <v>17</v>
      </c>
      <c r="J482" s="13">
        <f>TRUNC((H482*I482),2)</f>
        <v>1.61</v>
      </c>
    </row>
    <row r="483" spans="1:10" ht="28.8">
      <c r="A483" s="10" t="s">
        <v>4</v>
      </c>
      <c r="B483" s="11">
        <v>93662</v>
      </c>
      <c r="C483" s="589" t="s">
        <v>288</v>
      </c>
      <c r="D483" s="590"/>
      <c r="E483" s="590"/>
      <c r="F483" s="590"/>
      <c r="G483" s="11" t="s">
        <v>36</v>
      </c>
      <c r="H483" s="11"/>
      <c r="I483" s="12">
        <f>J484+J485+J486+J487</f>
        <v>55.03</v>
      </c>
      <c r="J483" s="12"/>
    </row>
    <row r="484" spans="1:10">
      <c r="A484" t="s">
        <v>7</v>
      </c>
      <c r="B484" s="9">
        <v>1571</v>
      </c>
      <c r="C484" s="588" t="s">
        <v>284</v>
      </c>
      <c r="D484" s="588"/>
      <c r="E484" s="588"/>
      <c r="F484" s="588"/>
      <c r="G484" s="9" t="s">
        <v>36</v>
      </c>
      <c r="H484" s="9">
        <v>2</v>
      </c>
      <c r="I484" s="13">
        <v>0.93</v>
      </c>
      <c r="J484" s="13">
        <f>TRUNC((H484*I484),2)</f>
        <v>1.86</v>
      </c>
    </row>
    <row r="485" spans="1:10">
      <c r="A485" t="s">
        <v>7</v>
      </c>
      <c r="B485" s="9">
        <v>34616</v>
      </c>
      <c r="C485" s="588" t="s">
        <v>287</v>
      </c>
      <c r="D485" s="588"/>
      <c r="E485" s="588"/>
      <c r="F485" s="588"/>
      <c r="G485" s="9" t="s">
        <v>36</v>
      </c>
      <c r="H485" s="9">
        <v>1</v>
      </c>
      <c r="I485" s="13">
        <v>49.33</v>
      </c>
      <c r="J485" s="13">
        <f>TRUNC((H485*I485),2)</f>
        <v>49.33</v>
      </c>
    </row>
    <row r="486" spans="1:10">
      <c r="A486" t="s">
        <v>13</v>
      </c>
      <c r="B486" s="9">
        <v>88247</v>
      </c>
      <c r="C486" s="588" t="s">
        <v>218</v>
      </c>
      <c r="D486" s="588"/>
      <c r="E486" s="588"/>
      <c r="F486" s="588"/>
      <c r="G486" s="9" t="s">
        <v>6</v>
      </c>
      <c r="H486" s="9">
        <v>0.13250000000000001</v>
      </c>
      <c r="I486" s="13">
        <v>12</v>
      </c>
      <c r="J486" s="13">
        <f>TRUNC((H486*I486),2)</f>
        <v>1.59</v>
      </c>
    </row>
    <row r="487" spans="1:10">
      <c r="A487" t="s">
        <v>13</v>
      </c>
      <c r="B487" s="9">
        <v>88264</v>
      </c>
      <c r="C487" s="588" t="s">
        <v>219</v>
      </c>
      <c r="D487" s="588"/>
      <c r="E487" s="588"/>
      <c r="F487" s="588"/>
      <c r="G487" s="9" t="s">
        <v>6</v>
      </c>
      <c r="H487" s="9">
        <v>0.13250000000000001</v>
      </c>
      <c r="I487" s="13">
        <v>17</v>
      </c>
      <c r="J487" s="13">
        <f>TRUNC((H487*I487),2)</f>
        <v>2.25</v>
      </c>
    </row>
    <row r="488" spans="1:10" ht="28.8">
      <c r="A488" s="10" t="s">
        <v>4</v>
      </c>
      <c r="B488" s="11">
        <v>93663</v>
      </c>
      <c r="C488" s="589" t="s">
        <v>289</v>
      </c>
      <c r="D488" s="590"/>
      <c r="E488" s="590"/>
      <c r="F488" s="590"/>
      <c r="G488" s="11" t="s">
        <v>36</v>
      </c>
      <c r="H488" s="11"/>
      <c r="I488" s="12">
        <f>J489+J490+J491+J492</f>
        <v>55.03</v>
      </c>
      <c r="J488" s="12"/>
    </row>
    <row r="489" spans="1:10">
      <c r="A489" t="s">
        <v>7</v>
      </c>
      <c r="B489" s="9">
        <v>1571</v>
      </c>
      <c r="C489" s="588" t="s">
        <v>284</v>
      </c>
      <c r="D489" s="588"/>
      <c r="E489" s="588"/>
      <c r="F489" s="588"/>
      <c r="G489" s="9" t="s">
        <v>36</v>
      </c>
      <c r="H489" s="9">
        <v>2</v>
      </c>
      <c r="I489" s="13">
        <v>0.93</v>
      </c>
      <c r="J489" s="13">
        <f>TRUNC((H489*I489),2)</f>
        <v>1.86</v>
      </c>
    </row>
    <row r="490" spans="1:10">
      <c r="A490" t="s">
        <v>7</v>
      </c>
      <c r="B490" s="9">
        <v>34616</v>
      </c>
      <c r="C490" s="588" t="s">
        <v>287</v>
      </c>
      <c r="D490" s="588"/>
      <c r="E490" s="588"/>
      <c r="F490" s="588"/>
      <c r="G490" s="9" t="s">
        <v>36</v>
      </c>
      <c r="H490" s="9">
        <v>1</v>
      </c>
      <c r="I490" s="13">
        <v>49.33</v>
      </c>
      <c r="J490" s="13">
        <f>TRUNC((H490*I490),2)</f>
        <v>49.33</v>
      </c>
    </row>
    <row r="491" spans="1:10">
      <c r="A491" t="s">
        <v>13</v>
      </c>
      <c r="B491" s="9">
        <v>88247</v>
      </c>
      <c r="C491" s="588" t="s">
        <v>218</v>
      </c>
      <c r="D491" s="588"/>
      <c r="E491" s="588"/>
      <c r="F491" s="588"/>
      <c r="G491" s="9" t="s">
        <v>6</v>
      </c>
      <c r="H491" s="9">
        <v>0.13250000000000001</v>
      </c>
      <c r="I491" s="13">
        <v>12</v>
      </c>
      <c r="J491" s="13">
        <f>TRUNC((H491*I491),2)</f>
        <v>1.59</v>
      </c>
    </row>
    <row r="492" spans="1:10">
      <c r="A492" t="s">
        <v>13</v>
      </c>
      <c r="B492" s="9">
        <v>88264</v>
      </c>
      <c r="C492" s="588" t="s">
        <v>219</v>
      </c>
      <c r="D492" s="588"/>
      <c r="E492" s="588"/>
      <c r="F492" s="588"/>
      <c r="G492" s="9" t="s">
        <v>6</v>
      </c>
      <c r="H492" s="9">
        <v>0.13250000000000001</v>
      </c>
      <c r="I492" s="13">
        <v>17</v>
      </c>
      <c r="J492" s="13">
        <f>TRUNC((H492*I492),2)</f>
        <v>2.25</v>
      </c>
    </row>
    <row r="493" spans="1:10" ht="28.8">
      <c r="A493" s="10" t="s">
        <v>4</v>
      </c>
      <c r="B493" s="11">
        <v>96985</v>
      </c>
      <c r="C493" s="589" t="s">
        <v>290</v>
      </c>
      <c r="D493" s="590"/>
      <c r="E493" s="590"/>
      <c r="F493" s="590"/>
      <c r="G493" s="11" t="s">
        <v>36</v>
      </c>
      <c r="H493" s="11"/>
      <c r="I493" s="12">
        <f>J494+J495+J496</f>
        <v>54.1</v>
      </c>
      <c r="J493" s="12"/>
    </row>
    <row r="494" spans="1:10">
      <c r="A494" t="s">
        <v>7</v>
      </c>
      <c r="B494" s="9">
        <v>3379</v>
      </c>
      <c r="C494" s="588" t="s">
        <v>291</v>
      </c>
      <c r="D494" s="588"/>
      <c r="E494" s="588"/>
      <c r="F494" s="588"/>
      <c r="G494" s="9" t="s">
        <v>36</v>
      </c>
      <c r="H494" s="9">
        <v>1</v>
      </c>
      <c r="I494" s="13">
        <v>46.77</v>
      </c>
      <c r="J494" s="13">
        <f>TRUNC((H494*I494),2)</f>
        <v>46.77</v>
      </c>
    </row>
    <row r="495" spans="1:10">
      <c r="A495" t="s">
        <v>13</v>
      </c>
      <c r="B495" s="9">
        <v>88247</v>
      </c>
      <c r="C495" s="588" t="s">
        <v>218</v>
      </c>
      <c r="D495" s="588"/>
      <c r="E495" s="588"/>
      <c r="F495" s="588"/>
      <c r="G495" s="9" t="s">
        <v>6</v>
      </c>
      <c r="H495" s="9">
        <v>0.25309999999999999</v>
      </c>
      <c r="I495" s="13">
        <v>12</v>
      </c>
      <c r="J495" s="13">
        <f>TRUNC((H495*I495),2)</f>
        <v>3.03</v>
      </c>
    </row>
    <row r="496" spans="1:10">
      <c r="A496" t="s">
        <v>13</v>
      </c>
      <c r="B496" s="9">
        <v>88264</v>
      </c>
      <c r="C496" s="588" t="s">
        <v>219</v>
      </c>
      <c r="D496" s="588"/>
      <c r="E496" s="588"/>
      <c r="F496" s="588"/>
      <c r="G496" s="9" t="s">
        <v>6</v>
      </c>
      <c r="H496" s="9">
        <v>0.25309999999999999</v>
      </c>
      <c r="I496" s="13">
        <v>17</v>
      </c>
      <c r="J496" s="13">
        <f>TRUNC((H496*I496),2)</f>
        <v>4.3</v>
      </c>
    </row>
    <row r="497" spans="1:10" ht="28.8">
      <c r="A497" s="10" t="s">
        <v>4</v>
      </c>
      <c r="B497" s="11">
        <v>97883</v>
      </c>
      <c r="C497" s="589" t="s">
        <v>292</v>
      </c>
      <c r="D497" s="590"/>
      <c r="E497" s="590"/>
      <c r="F497" s="590"/>
      <c r="G497" s="11" t="s">
        <v>36</v>
      </c>
      <c r="H497" s="11"/>
      <c r="I497" s="12">
        <f>J498+J499+J500+J501+J502+J503+J504</f>
        <v>305.14</v>
      </c>
      <c r="J497" s="12"/>
    </row>
    <row r="498" spans="1:10">
      <c r="A498" t="s">
        <v>13</v>
      </c>
      <c r="B498" s="9">
        <v>5678</v>
      </c>
      <c r="C498" s="588" t="s">
        <v>293</v>
      </c>
      <c r="D498" s="588"/>
      <c r="E498" s="588"/>
      <c r="F498" s="588"/>
      <c r="G498" s="9" t="s">
        <v>49</v>
      </c>
      <c r="H498" s="9">
        <v>3.2800000000000003E-2</v>
      </c>
      <c r="I498" s="13">
        <v>110.84183132530001</v>
      </c>
      <c r="J498" s="13">
        <f t="shared" ref="J498:J504" si="18">TRUNC((H498*I498),2)</f>
        <v>3.63</v>
      </c>
    </row>
    <row r="499" spans="1:10">
      <c r="A499" t="s">
        <v>13</v>
      </c>
      <c r="B499" s="9">
        <v>5679</v>
      </c>
      <c r="C499" s="588" t="s">
        <v>294</v>
      </c>
      <c r="D499" s="588"/>
      <c r="E499" s="588"/>
      <c r="F499" s="588"/>
      <c r="G499" s="9" t="s">
        <v>51</v>
      </c>
      <c r="H499" s="9">
        <v>0.1105</v>
      </c>
      <c r="I499" s="13">
        <v>38.169502074699999</v>
      </c>
      <c r="J499" s="13">
        <f t="shared" si="18"/>
        <v>4.21</v>
      </c>
    </row>
    <row r="500" spans="1:10">
      <c r="A500" t="s">
        <v>7</v>
      </c>
      <c r="B500" s="9">
        <v>43431</v>
      </c>
      <c r="C500" s="588" t="s">
        <v>295</v>
      </c>
      <c r="D500" s="588"/>
      <c r="E500" s="588"/>
      <c r="F500" s="588"/>
      <c r="G500" s="9" t="s">
        <v>36</v>
      </c>
      <c r="H500" s="9">
        <v>1</v>
      </c>
      <c r="I500" s="13">
        <v>221.74</v>
      </c>
      <c r="J500" s="13">
        <f t="shared" si="18"/>
        <v>221.74</v>
      </c>
    </row>
    <row r="501" spans="1:10">
      <c r="A501" t="s">
        <v>13</v>
      </c>
      <c r="B501" s="9">
        <v>88309</v>
      </c>
      <c r="C501" s="588" t="s">
        <v>32</v>
      </c>
      <c r="D501" s="588"/>
      <c r="E501" s="588"/>
      <c r="F501" s="588"/>
      <c r="G501" s="9" t="s">
        <v>6</v>
      </c>
      <c r="H501" s="9">
        <v>7.9100000000000004E-2</v>
      </c>
      <c r="I501" s="13">
        <v>17</v>
      </c>
      <c r="J501" s="13">
        <f t="shared" si="18"/>
        <v>1.34</v>
      </c>
    </row>
    <row r="502" spans="1:10">
      <c r="A502" t="s">
        <v>13</v>
      </c>
      <c r="B502" s="9">
        <v>88316</v>
      </c>
      <c r="C502" s="588" t="s">
        <v>22</v>
      </c>
      <c r="D502" s="588"/>
      <c r="E502" s="588"/>
      <c r="F502" s="588"/>
      <c r="G502" s="9" t="s">
        <v>6</v>
      </c>
      <c r="H502" s="9">
        <v>7.9100000000000004E-2</v>
      </c>
      <c r="I502" s="13">
        <v>12</v>
      </c>
      <c r="J502" s="13">
        <f t="shared" si="18"/>
        <v>0.94</v>
      </c>
    </row>
    <row r="503" spans="1:10">
      <c r="A503" t="s">
        <v>13</v>
      </c>
      <c r="B503" s="9">
        <v>97735</v>
      </c>
      <c r="C503" s="588" t="s">
        <v>296</v>
      </c>
      <c r="D503" s="588"/>
      <c r="E503" s="588"/>
      <c r="F503" s="588"/>
      <c r="G503" s="9" t="s">
        <v>39</v>
      </c>
      <c r="H503" s="9">
        <v>3.2399999999999998E-2</v>
      </c>
      <c r="I503" s="13">
        <v>1836.4833235381</v>
      </c>
      <c r="J503" s="13">
        <f t="shared" si="18"/>
        <v>59.5</v>
      </c>
    </row>
    <row r="504" spans="1:10">
      <c r="A504" t="s">
        <v>13</v>
      </c>
      <c r="B504" s="9">
        <v>101623</v>
      </c>
      <c r="C504" s="588" t="s">
        <v>297</v>
      </c>
      <c r="D504" s="588"/>
      <c r="E504" s="588"/>
      <c r="F504" s="588"/>
      <c r="G504" s="9" t="s">
        <v>39</v>
      </c>
      <c r="H504" s="9">
        <v>8.1000000000000003E-2</v>
      </c>
      <c r="I504" s="13">
        <v>170.22147208120001</v>
      </c>
      <c r="J504" s="13">
        <f t="shared" si="18"/>
        <v>13.78</v>
      </c>
    </row>
    <row r="505" spans="1:10" ht="28.8">
      <c r="A505" s="10" t="s">
        <v>4</v>
      </c>
      <c r="B505" s="11">
        <v>101881</v>
      </c>
      <c r="C505" s="589" t="s">
        <v>298</v>
      </c>
      <c r="D505" s="590"/>
      <c r="E505" s="590"/>
      <c r="F505" s="590"/>
      <c r="G505" s="11" t="s">
        <v>36</v>
      </c>
      <c r="H505" s="11"/>
      <c r="I505" s="12">
        <f>J506+J507+J508+J509</f>
        <v>1138.92</v>
      </c>
      <c r="J505" s="12"/>
    </row>
    <row r="506" spans="1:10">
      <c r="A506" t="s">
        <v>7</v>
      </c>
      <c r="B506" s="9">
        <v>12042</v>
      </c>
      <c r="C506" s="588" t="s">
        <v>299</v>
      </c>
      <c r="D506" s="588"/>
      <c r="E506" s="588"/>
      <c r="F506" s="588"/>
      <c r="G506" s="9" t="s">
        <v>36</v>
      </c>
      <c r="H506" s="9">
        <v>1</v>
      </c>
      <c r="I506" s="13">
        <v>1110.96</v>
      </c>
      <c r="J506" s="13">
        <f>TRUNC((H506*I506),2)</f>
        <v>1110.96</v>
      </c>
    </row>
    <row r="507" spans="1:10">
      <c r="A507" t="s">
        <v>13</v>
      </c>
      <c r="B507" s="9">
        <v>87367</v>
      </c>
      <c r="C507" s="588" t="s">
        <v>300</v>
      </c>
      <c r="D507" s="588"/>
      <c r="E507" s="588"/>
      <c r="F507" s="588"/>
      <c r="G507" s="9" t="s">
        <v>39</v>
      </c>
      <c r="H507" s="9">
        <v>1.89E-2</v>
      </c>
      <c r="I507" s="13">
        <v>500</v>
      </c>
      <c r="J507" s="13">
        <f>TRUNC((H507*I507),2)</f>
        <v>9.4499999999999993</v>
      </c>
    </row>
    <row r="508" spans="1:10">
      <c r="A508" t="s">
        <v>13</v>
      </c>
      <c r="B508" s="9">
        <v>88247</v>
      </c>
      <c r="C508" s="588" t="s">
        <v>218</v>
      </c>
      <c r="D508" s="588"/>
      <c r="E508" s="588"/>
      <c r="F508" s="588"/>
      <c r="G508" s="9" t="s">
        <v>6</v>
      </c>
      <c r="H508" s="9">
        <v>0.63839999999999997</v>
      </c>
      <c r="I508" s="13">
        <v>12</v>
      </c>
      <c r="J508" s="13">
        <f>TRUNC((H508*I508),2)</f>
        <v>7.66</v>
      </c>
    </row>
    <row r="509" spans="1:10">
      <c r="A509" t="s">
        <v>13</v>
      </c>
      <c r="B509" s="9">
        <v>88264</v>
      </c>
      <c r="C509" s="588" t="s">
        <v>219</v>
      </c>
      <c r="D509" s="588"/>
      <c r="E509" s="588"/>
      <c r="F509" s="588"/>
      <c r="G509" s="9" t="s">
        <v>6</v>
      </c>
      <c r="H509" s="9">
        <v>0.63839999999999997</v>
      </c>
      <c r="I509" s="13">
        <v>17</v>
      </c>
      <c r="J509" s="13">
        <f>TRUNC((H509*I509),2)</f>
        <v>10.85</v>
      </c>
    </row>
    <row r="510" spans="1:10" ht="28.8">
      <c r="A510" s="10" t="s">
        <v>4</v>
      </c>
      <c r="B510" s="11">
        <v>101880</v>
      </c>
      <c r="C510" s="589" t="s">
        <v>301</v>
      </c>
      <c r="D510" s="590"/>
      <c r="E510" s="590"/>
      <c r="F510" s="590"/>
      <c r="G510" s="11" t="s">
        <v>36</v>
      </c>
      <c r="H510" s="11"/>
      <c r="I510" s="12">
        <f>J511+J512+J513+J514</f>
        <v>785.09</v>
      </c>
      <c r="J510" s="12"/>
    </row>
    <row r="511" spans="1:10">
      <c r="A511" t="s">
        <v>7</v>
      </c>
      <c r="B511" s="9">
        <v>12041</v>
      </c>
      <c r="C511" s="588" t="s">
        <v>302</v>
      </c>
      <c r="D511" s="588"/>
      <c r="E511" s="588"/>
      <c r="F511" s="588"/>
      <c r="G511" s="9" t="s">
        <v>36</v>
      </c>
      <c r="H511" s="9">
        <v>1</v>
      </c>
      <c r="I511" s="13">
        <v>757.12</v>
      </c>
      <c r="J511" s="13">
        <f>TRUNC((H511*I511),2)</f>
        <v>757.12</v>
      </c>
    </row>
    <row r="512" spans="1:10">
      <c r="A512" t="s">
        <v>13</v>
      </c>
      <c r="B512" s="9">
        <v>87367</v>
      </c>
      <c r="C512" s="588" t="s">
        <v>300</v>
      </c>
      <c r="D512" s="588"/>
      <c r="E512" s="588"/>
      <c r="F512" s="588"/>
      <c r="G512" s="9" t="s">
        <v>39</v>
      </c>
      <c r="H512" s="9">
        <v>1.9199999999999998E-2</v>
      </c>
      <c r="I512" s="13">
        <v>500</v>
      </c>
      <c r="J512" s="13">
        <f>TRUNC((H512*I512),2)</f>
        <v>9.6</v>
      </c>
    </row>
    <row r="513" spans="1:10">
      <c r="A513" t="s">
        <v>13</v>
      </c>
      <c r="B513" s="9">
        <v>88247</v>
      </c>
      <c r="C513" s="588" t="s">
        <v>218</v>
      </c>
      <c r="D513" s="588"/>
      <c r="E513" s="588"/>
      <c r="F513" s="588"/>
      <c r="G513" s="9" t="s">
        <v>6</v>
      </c>
      <c r="H513" s="9">
        <v>0.63370000000000004</v>
      </c>
      <c r="I513" s="13">
        <v>12</v>
      </c>
      <c r="J513" s="13">
        <f>TRUNC((H513*I513),2)</f>
        <v>7.6</v>
      </c>
    </row>
    <row r="514" spans="1:10">
      <c r="A514" t="s">
        <v>13</v>
      </c>
      <c r="B514" s="9">
        <v>88264</v>
      </c>
      <c r="C514" s="588" t="s">
        <v>219</v>
      </c>
      <c r="D514" s="588"/>
      <c r="E514" s="588"/>
      <c r="F514" s="588"/>
      <c r="G514" s="9" t="s">
        <v>6</v>
      </c>
      <c r="H514" s="9">
        <v>0.63370000000000004</v>
      </c>
      <c r="I514" s="13">
        <v>17</v>
      </c>
      <c r="J514" s="13">
        <f>TRUNC((H514*I514),2)</f>
        <v>10.77</v>
      </c>
    </row>
    <row r="515" spans="1:10" ht="28.8">
      <c r="A515" s="10" t="s">
        <v>4</v>
      </c>
      <c r="B515" s="11">
        <v>101879</v>
      </c>
      <c r="C515" s="589" t="s">
        <v>303</v>
      </c>
      <c r="D515" s="590"/>
      <c r="E515" s="590"/>
      <c r="F515" s="590"/>
      <c r="G515" s="11" t="s">
        <v>36</v>
      </c>
      <c r="H515" s="11"/>
      <c r="I515" s="12">
        <f>J516+J517+J518+J519</f>
        <v>682.8900000000001</v>
      </c>
      <c r="J515" s="12"/>
    </row>
    <row r="516" spans="1:10">
      <c r="A516" t="s">
        <v>7</v>
      </c>
      <c r="B516" s="9">
        <v>12039</v>
      </c>
      <c r="C516" s="588" t="s">
        <v>304</v>
      </c>
      <c r="D516" s="588"/>
      <c r="E516" s="588"/>
      <c r="F516" s="588"/>
      <c r="G516" s="9" t="s">
        <v>36</v>
      </c>
      <c r="H516" s="9">
        <v>1</v>
      </c>
      <c r="I516" s="13">
        <v>660.2</v>
      </c>
      <c r="J516" s="13">
        <f>TRUNC((H516*I516),2)</f>
        <v>660.2</v>
      </c>
    </row>
    <row r="517" spans="1:10">
      <c r="A517" t="s">
        <v>13</v>
      </c>
      <c r="B517" s="9">
        <v>87367</v>
      </c>
      <c r="C517" s="588" t="s">
        <v>300</v>
      </c>
      <c r="D517" s="588"/>
      <c r="E517" s="588"/>
      <c r="F517" s="588"/>
      <c r="G517" s="9" t="s">
        <v>39</v>
      </c>
      <c r="H517" s="9">
        <v>1.44E-2</v>
      </c>
      <c r="I517" s="13">
        <v>500</v>
      </c>
      <c r="J517" s="13">
        <f>TRUNC((H517*I517),2)</f>
        <v>7.2</v>
      </c>
    </row>
    <row r="518" spans="1:10">
      <c r="A518" t="s">
        <v>13</v>
      </c>
      <c r="B518" s="9">
        <v>88247</v>
      </c>
      <c r="C518" s="588" t="s">
        <v>218</v>
      </c>
      <c r="D518" s="588"/>
      <c r="E518" s="588"/>
      <c r="F518" s="588"/>
      <c r="G518" s="9" t="s">
        <v>6</v>
      </c>
      <c r="H518" s="9">
        <v>0.53459999999999996</v>
      </c>
      <c r="I518" s="13">
        <v>12</v>
      </c>
      <c r="J518" s="13">
        <f>TRUNC((H518*I518),2)</f>
        <v>6.41</v>
      </c>
    </row>
    <row r="519" spans="1:10">
      <c r="A519" t="s">
        <v>13</v>
      </c>
      <c r="B519" s="9">
        <v>88264</v>
      </c>
      <c r="C519" s="588" t="s">
        <v>219</v>
      </c>
      <c r="D519" s="588"/>
      <c r="E519" s="588"/>
      <c r="F519" s="588"/>
      <c r="G519" s="9" t="s">
        <v>6</v>
      </c>
      <c r="H519" s="9">
        <v>0.53459999999999996</v>
      </c>
      <c r="I519" s="13">
        <v>17</v>
      </c>
      <c r="J519" s="13">
        <f>TRUNC((H519*I519),2)</f>
        <v>9.08</v>
      </c>
    </row>
    <row r="520" spans="1:10" ht="28.8">
      <c r="A520" s="10" t="s">
        <v>4</v>
      </c>
      <c r="B520" s="11">
        <v>91941</v>
      </c>
      <c r="C520" s="589" t="s">
        <v>305</v>
      </c>
      <c r="D520" s="590"/>
      <c r="E520" s="590"/>
      <c r="F520" s="590"/>
      <c r="G520" s="11" t="s">
        <v>36</v>
      </c>
      <c r="H520" s="11"/>
      <c r="I520" s="12">
        <f>J521+J522+J523+J524</f>
        <v>6.6000000000000005</v>
      </c>
      <c r="J520" s="12"/>
    </row>
    <row r="521" spans="1:10">
      <c r="A521" t="s">
        <v>7</v>
      </c>
      <c r="B521" s="9">
        <v>1872</v>
      </c>
      <c r="C521" s="588" t="s">
        <v>306</v>
      </c>
      <c r="D521" s="588"/>
      <c r="E521" s="588"/>
      <c r="F521" s="588"/>
      <c r="G521" s="9" t="s">
        <v>36</v>
      </c>
      <c r="H521" s="9">
        <v>1</v>
      </c>
      <c r="I521" s="13">
        <v>1.95</v>
      </c>
      <c r="J521" s="13">
        <f>TRUNC((H521*I521),2)</f>
        <v>1.95</v>
      </c>
    </row>
    <row r="522" spans="1:10">
      <c r="A522" t="s">
        <v>13</v>
      </c>
      <c r="B522" s="9">
        <v>88247</v>
      </c>
      <c r="C522" s="588" t="s">
        <v>218</v>
      </c>
      <c r="D522" s="588"/>
      <c r="E522" s="588"/>
      <c r="F522" s="588"/>
      <c r="G522" s="9" t="s">
        <v>6</v>
      </c>
      <c r="H522" s="9">
        <v>0.14499999999999999</v>
      </c>
      <c r="I522" s="13">
        <v>12</v>
      </c>
      <c r="J522" s="13">
        <f>TRUNC((H522*I522),2)</f>
        <v>1.74</v>
      </c>
    </row>
    <row r="523" spans="1:10">
      <c r="A523" t="s">
        <v>13</v>
      </c>
      <c r="B523" s="9">
        <v>88264</v>
      </c>
      <c r="C523" s="588" t="s">
        <v>219</v>
      </c>
      <c r="D523" s="588"/>
      <c r="E523" s="588"/>
      <c r="F523" s="588"/>
      <c r="G523" s="9" t="s">
        <v>6</v>
      </c>
      <c r="H523" s="9">
        <v>0.14499999999999999</v>
      </c>
      <c r="I523" s="13">
        <v>17</v>
      </c>
      <c r="J523" s="13">
        <f>TRUNC((H523*I523),2)</f>
        <v>2.46</v>
      </c>
    </row>
    <row r="524" spans="1:10">
      <c r="A524" t="s">
        <v>13</v>
      </c>
      <c r="B524" s="9">
        <v>88629</v>
      </c>
      <c r="C524" s="588" t="s">
        <v>145</v>
      </c>
      <c r="D524" s="588"/>
      <c r="E524" s="588"/>
      <c r="F524" s="588"/>
      <c r="G524" s="9" t="s">
        <v>39</v>
      </c>
      <c r="H524" s="9">
        <v>8.9999999999999998E-4</v>
      </c>
      <c r="I524" s="13">
        <v>500</v>
      </c>
      <c r="J524" s="13">
        <f>TRUNC((H524*I524),2)</f>
        <v>0.45</v>
      </c>
    </row>
    <row r="525" spans="1:10" ht="28.8">
      <c r="A525" s="10" t="s">
        <v>4</v>
      </c>
      <c r="B525" s="11">
        <v>91940</v>
      </c>
      <c r="C525" s="589" t="s">
        <v>307</v>
      </c>
      <c r="D525" s="590"/>
      <c r="E525" s="590"/>
      <c r="F525" s="590"/>
      <c r="G525" s="11" t="s">
        <v>36</v>
      </c>
      <c r="H525" s="11"/>
      <c r="I525" s="12">
        <f>J526+J527+J528+J529</f>
        <v>9.5500000000000007</v>
      </c>
      <c r="J525" s="12"/>
    </row>
    <row r="526" spans="1:10">
      <c r="A526" t="s">
        <v>7</v>
      </c>
      <c r="B526" s="9">
        <v>1872</v>
      </c>
      <c r="C526" s="588" t="s">
        <v>306</v>
      </c>
      <c r="D526" s="588"/>
      <c r="E526" s="588"/>
      <c r="F526" s="588"/>
      <c r="G526" s="9" t="s">
        <v>36</v>
      </c>
      <c r="H526" s="9">
        <v>1</v>
      </c>
      <c r="I526" s="13">
        <v>1.95</v>
      </c>
      <c r="J526" s="13">
        <f>TRUNC((H526*I526),2)</f>
        <v>1.95</v>
      </c>
    </row>
    <row r="527" spans="1:10">
      <c r="A527" t="s">
        <v>13</v>
      </c>
      <c r="B527" s="9">
        <v>88247</v>
      </c>
      <c r="C527" s="588" t="s">
        <v>218</v>
      </c>
      <c r="D527" s="588"/>
      <c r="E527" s="588"/>
      <c r="F527" s="588"/>
      <c r="G527" s="9" t="s">
        <v>6</v>
      </c>
      <c r="H527" s="9">
        <v>0.247</v>
      </c>
      <c r="I527" s="13">
        <v>12</v>
      </c>
      <c r="J527" s="13">
        <f>TRUNC((H527*I527),2)</f>
        <v>2.96</v>
      </c>
    </row>
    <row r="528" spans="1:10">
      <c r="A528" t="s">
        <v>13</v>
      </c>
      <c r="B528" s="9">
        <v>88264</v>
      </c>
      <c r="C528" s="588" t="s">
        <v>219</v>
      </c>
      <c r="D528" s="588"/>
      <c r="E528" s="588"/>
      <c r="F528" s="588"/>
      <c r="G528" s="9" t="s">
        <v>6</v>
      </c>
      <c r="H528" s="9">
        <v>0.247</v>
      </c>
      <c r="I528" s="13">
        <v>17</v>
      </c>
      <c r="J528" s="13">
        <f>TRUNC((H528*I528),2)</f>
        <v>4.1900000000000004</v>
      </c>
    </row>
    <row r="529" spans="1:10">
      <c r="A529" t="s">
        <v>13</v>
      </c>
      <c r="B529" s="9">
        <v>88629</v>
      </c>
      <c r="C529" s="588" t="s">
        <v>145</v>
      </c>
      <c r="D529" s="588"/>
      <c r="E529" s="588"/>
      <c r="F529" s="588"/>
      <c r="G529" s="9" t="s">
        <v>39</v>
      </c>
      <c r="H529" s="9">
        <v>8.9999999999999998E-4</v>
      </c>
      <c r="I529" s="13">
        <v>500</v>
      </c>
      <c r="J529" s="13">
        <f>TRUNC((H529*I529),2)</f>
        <v>0.45</v>
      </c>
    </row>
    <row r="530" spans="1:10" ht="28.8">
      <c r="A530" s="10" t="s">
        <v>4</v>
      </c>
      <c r="B530" s="11">
        <v>91939</v>
      </c>
      <c r="C530" s="589" t="s">
        <v>308</v>
      </c>
      <c r="D530" s="590"/>
      <c r="E530" s="590"/>
      <c r="F530" s="590"/>
      <c r="G530" s="11" t="s">
        <v>36</v>
      </c>
      <c r="H530" s="11"/>
      <c r="I530" s="12">
        <f>J531+J532+J533+J534</f>
        <v>17.440000000000001</v>
      </c>
      <c r="J530" s="12"/>
    </row>
    <row r="531" spans="1:10">
      <c r="A531" t="s">
        <v>7</v>
      </c>
      <c r="B531" s="9">
        <v>1872</v>
      </c>
      <c r="C531" s="588" t="s">
        <v>306</v>
      </c>
      <c r="D531" s="588"/>
      <c r="E531" s="588"/>
      <c r="F531" s="588"/>
      <c r="G531" s="9" t="s">
        <v>36</v>
      </c>
      <c r="H531" s="9">
        <v>1</v>
      </c>
      <c r="I531" s="13">
        <v>1.95</v>
      </c>
      <c r="J531" s="13">
        <f>TRUNC((H531*I531),2)</f>
        <v>1.95</v>
      </c>
    </row>
    <row r="532" spans="1:10">
      <c r="A532" t="s">
        <v>13</v>
      </c>
      <c r="B532" s="9">
        <v>88247</v>
      </c>
      <c r="C532" s="588" t="s">
        <v>218</v>
      </c>
      <c r="D532" s="588"/>
      <c r="E532" s="588"/>
      <c r="F532" s="588"/>
      <c r="G532" s="9" t="s">
        <v>6</v>
      </c>
      <c r="H532" s="9">
        <v>0.51900000000000002</v>
      </c>
      <c r="I532" s="13">
        <v>12</v>
      </c>
      <c r="J532" s="13">
        <f>TRUNC((H532*I532),2)</f>
        <v>6.22</v>
      </c>
    </row>
    <row r="533" spans="1:10">
      <c r="A533" t="s">
        <v>13</v>
      </c>
      <c r="B533" s="9">
        <v>88264</v>
      </c>
      <c r="C533" s="588" t="s">
        <v>219</v>
      </c>
      <c r="D533" s="588"/>
      <c r="E533" s="588"/>
      <c r="F533" s="588"/>
      <c r="G533" s="9" t="s">
        <v>6</v>
      </c>
      <c r="H533" s="9">
        <v>0.51900000000000002</v>
      </c>
      <c r="I533" s="13">
        <v>17</v>
      </c>
      <c r="J533" s="13">
        <f>TRUNC((H533*I533),2)</f>
        <v>8.82</v>
      </c>
    </row>
    <row r="534" spans="1:10">
      <c r="A534" t="s">
        <v>13</v>
      </c>
      <c r="B534" s="9">
        <v>88629</v>
      </c>
      <c r="C534" s="588" t="s">
        <v>145</v>
      </c>
      <c r="D534" s="588"/>
      <c r="E534" s="588"/>
      <c r="F534" s="588"/>
      <c r="G534" s="9" t="s">
        <v>39</v>
      </c>
      <c r="H534" s="9">
        <v>8.9999999999999998E-4</v>
      </c>
      <c r="I534" s="13">
        <v>500</v>
      </c>
      <c r="J534" s="13">
        <f>TRUNC((H534*I534),2)</f>
        <v>0.45</v>
      </c>
    </row>
    <row r="535" spans="1:10" ht="28.8">
      <c r="A535" s="10" t="s">
        <v>4</v>
      </c>
      <c r="B535" s="11">
        <v>91944</v>
      </c>
      <c r="C535" s="589" t="s">
        <v>309</v>
      </c>
      <c r="D535" s="590"/>
      <c r="E535" s="590"/>
      <c r="F535" s="590"/>
      <c r="G535" s="11" t="s">
        <v>36</v>
      </c>
      <c r="H535" s="11"/>
      <c r="I535" s="12">
        <f>J536+J537+J538+J539</f>
        <v>9.2799999999999994</v>
      </c>
      <c r="J535" s="12"/>
    </row>
    <row r="536" spans="1:10">
      <c r="A536" t="s">
        <v>7</v>
      </c>
      <c r="B536" s="9">
        <v>1873</v>
      </c>
      <c r="C536" s="588" t="s">
        <v>310</v>
      </c>
      <c r="D536" s="588"/>
      <c r="E536" s="588"/>
      <c r="F536" s="588"/>
      <c r="G536" s="9" t="s">
        <v>36</v>
      </c>
      <c r="H536" s="9">
        <v>1</v>
      </c>
      <c r="I536" s="13">
        <v>3.87</v>
      </c>
      <c r="J536" s="13">
        <f>TRUNC((H536*I536),2)</f>
        <v>3.87</v>
      </c>
    </row>
    <row r="537" spans="1:10">
      <c r="A537" t="s">
        <v>13</v>
      </c>
      <c r="B537" s="9">
        <v>88247</v>
      </c>
      <c r="C537" s="588" t="s">
        <v>218</v>
      </c>
      <c r="D537" s="588"/>
      <c r="E537" s="588"/>
      <c r="F537" s="588"/>
      <c r="G537" s="9" t="s">
        <v>6</v>
      </c>
      <c r="H537" s="9">
        <v>0.16600000000000001</v>
      </c>
      <c r="I537" s="13">
        <v>12</v>
      </c>
      <c r="J537" s="13">
        <f>TRUNC((H537*I537),2)</f>
        <v>1.99</v>
      </c>
    </row>
    <row r="538" spans="1:10">
      <c r="A538" t="s">
        <v>13</v>
      </c>
      <c r="B538" s="9">
        <v>88264</v>
      </c>
      <c r="C538" s="588" t="s">
        <v>219</v>
      </c>
      <c r="D538" s="588"/>
      <c r="E538" s="588"/>
      <c r="F538" s="588"/>
      <c r="G538" s="9" t="s">
        <v>6</v>
      </c>
      <c r="H538" s="9">
        <v>0.16600000000000001</v>
      </c>
      <c r="I538" s="13">
        <v>17</v>
      </c>
      <c r="J538" s="13">
        <f>TRUNC((H538*I538),2)</f>
        <v>2.82</v>
      </c>
    </row>
    <row r="539" spans="1:10">
      <c r="A539" t="s">
        <v>13</v>
      </c>
      <c r="B539" s="9">
        <v>88629</v>
      </c>
      <c r="C539" s="588" t="s">
        <v>145</v>
      </c>
      <c r="D539" s="588"/>
      <c r="E539" s="588"/>
      <c r="F539" s="588"/>
      <c r="G539" s="9" t="s">
        <v>39</v>
      </c>
      <c r="H539" s="9">
        <v>1.1999999999999999E-3</v>
      </c>
      <c r="I539" s="13">
        <v>500</v>
      </c>
      <c r="J539" s="13">
        <f>TRUNC((H539*I539),2)</f>
        <v>0.6</v>
      </c>
    </row>
    <row r="540" spans="1:10" ht="28.8">
      <c r="A540" s="10" t="s">
        <v>4</v>
      </c>
      <c r="B540" s="11">
        <v>91936</v>
      </c>
      <c r="C540" s="589" t="s">
        <v>311</v>
      </c>
      <c r="D540" s="590"/>
      <c r="E540" s="590"/>
      <c r="F540" s="590"/>
      <c r="G540" s="11" t="s">
        <v>36</v>
      </c>
      <c r="H540" s="11"/>
      <c r="I540" s="12">
        <f>J541+J542+J543</f>
        <v>9.17</v>
      </c>
      <c r="J540" s="12"/>
    </row>
    <row r="541" spans="1:10">
      <c r="A541" t="s">
        <v>7</v>
      </c>
      <c r="B541" s="9">
        <v>12001</v>
      </c>
      <c r="C541" s="588" t="s">
        <v>312</v>
      </c>
      <c r="D541" s="588"/>
      <c r="E541" s="588"/>
      <c r="F541" s="588"/>
      <c r="G541" s="9" t="s">
        <v>36</v>
      </c>
      <c r="H541" s="9">
        <v>1</v>
      </c>
      <c r="I541" s="13">
        <v>5.03</v>
      </c>
      <c r="J541" s="13">
        <f>TRUNC((H541*I541),2)</f>
        <v>5.03</v>
      </c>
    </row>
    <row r="542" spans="1:10">
      <c r="A542" t="s">
        <v>13</v>
      </c>
      <c r="B542" s="9">
        <v>88247</v>
      </c>
      <c r="C542" s="588" t="s">
        <v>218</v>
      </c>
      <c r="D542" s="588"/>
      <c r="E542" s="588"/>
      <c r="F542" s="588"/>
      <c r="G542" s="9" t="s">
        <v>6</v>
      </c>
      <c r="H542" s="9">
        <v>0.14299999999999999</v>
      </c>
      <c r="I542" s="13">
        <v>12</v>
      </c>
      <c r="J542" s="13">
        <f>TRUNC((H542*I542),2)</f>
        <v>1.71</v>
      </c>
    </row>
    <row r="543" spans="1:10">
      <c r="A543" t="s">
        <v>13</v>
      </c>
      <c r="B543" s="9">
        <v>88264</v>
      </c>
      <c r="C543" s="588" t="s">
        <v>219</v>
      </c>
      <c r="D543" s="588"/>
      <c r="E543" s="588"/>
      <c r="F543" s="588"/>
      <c r="G543" s="9" t="s">
        <v>6</v>
      </c>
      <c r="H543" s="9">
        <v>0.14299999999999999</v>
      </c>
      <c r="I543" s="13">
        <v>17</v>
      </c>
      <c r="J543" s="13">
        <f>TRUNC((H543*I543),2)</f>
        <v>2.4300000000000002</v>
      </c>
    </row>
    <row r="544" spans="1:10" ht="28.8">
      <c r="A544" s="10" t="s">
        <v>4</v>
      </c>
      <c r="B544" s="11">
        <v>101632</v>
      </c>
      <c r="C544" s="589" t="s">
        <v>313</v>
      </c>
      <c r="D544" s="590"/>
      <c r="E544" s="590"/>
      <c r="F544" s="590"/>
      <c r="G544" s="11" t="s">
        <v>36</v>
      </c>
      <c r="H544" s="11"/>
      <c r="I544" s="12">
        <f>J545+J546+J547+J548</f>
        <v>47.09</v>
      </c>
      <c r="J544" s="12"/>
    </row>
    <row r="545" spans="1:10">
      <c r="A545" t="s">
        <v>7</v>
      </c>
      <c r="B545" s="9">
        <v>2510</v>
      </c>
      <c r="C545" s="588" t="s">
        <v>314</v>
      </c>
      <c r="D545" s="588"/>
      <c r="E545" s="588"/>
      <c r="F545" s="588"/>
      <c r="G545" s="9" t="s">
        <v>36</v>
      </c>
      <c r="H545" s="9">
        <v>1</v>
      </c>
      <c r="I545" s="13">
        <v>46.55</v>
      </c>
      <c r="J545" s="13">
        <f>TRUNC((H545*I545),2)</f>
        <v>46.55</v>
      </c>
    </row>
    <row r="546" spans="1:10">
      <c r="A546" t="s">
        <v>7</v>
      </c>
      <c r="B546" s="9">
        <v>21127</v>
      </c>
      <c r="C546" s="588" t="s">
        <v>217</v>
      </c>
      <c r="D546" s="588"/>
      <c r="E546" s="588"/>
      <c r="F546" s="588"/>
      <c r="G546" s="9" t="s">
        <v>36</v>
      </c>
      <c r="H546" s="9">
        <v>2.1000000000000001E-2</v>
      </c>
      <c r="I546" s="13">
        <v>3.1542857142999998</v>
      </c>
      <c r="J546" s="13">
        <f>TRUNC((H546*I546),2)</f>
        <v>0.06</v>
      </c>
    </row>
    <row r="547" spans="1:10">
      <c r="A547" t="s">
        <v>13</v>
      </c>
      <c r="B547" s="9">
        <v>88247</v>
      </c>
      <c r="C547" s="588" t="s">
        <v>218</v>
      </c>
      <c r="D547" s="588"/>
      <c r="E547" s="588"/>
      <c r="F547" s="588"/>
      <c r="G547" s="9" t="s">
        <v>6</v>
      </c>
      <c r="H547" s="9">
        <v>1.6799999999999999E-2</v>
      </c>
      <c r="I547" s="13">
        <v>12</v>
      </c>
      <c r="J547" s="13">
        <f>TRUNC((H547*I547),2)</f>
        <v>0.2</v>
      </c>
    </row>
    <row r="548" spans="1:10">
      <c r="A548" t="s">
        <v>13</v>
      </c>
      <c r="B548" s="9">
        <v>88264</v>
      </c>
      <c r="C548" s="588" t="s">
        <v>219</v>
      </c>
      <c r="D548" s="588"/>
      <c r="E548" s="588"/>
      <c r="F548" s="588"/>
      <c r="G548" s="9" t="s">
        <v>6</v>
      </c>
      <c r="H548" s="9">
        <v>1.6799999999999999E-2</v>
      </c>
      <c r="I548" s="13">
        <v>17</v>
      </c>
      <c r="J548" s="13">
        <f>TRUNC((H548*I548),2)</f>
        <v>0.28000000000000003</v>
      </c>
    </row>
    <row r="549" spans="1:10" ht="28.8">
      <c r="A549" s="10" t="s">
        <v>4</v>
      </c>
      <c r="B549" s="11">
        <v>97660</v>
      </c>
      <c r="C549" s="589" t="s">
        <v>315</v>
      </c>
      <c r="D549" s="590"/>
      <c r="E549" s="590"/>
      <c r="F549" s="590"/>
      <c r="G549" s="11" t="s">
        <v>36</v>
      </c>
      <c r="H549" s="11"/>
      <c r="I549" s="12">
        <f>J550+J551</f>
        <v>0.38</v>
      </c>
      <c r="J549" s="12"/>
    </row>
    <row r="550" spans="1:10">
      <c r="A550" t="s">
        <v>13</v>
      </c>
      <c r="B550" s="9">
        <v>88264</v>
      </c>
      <c r="C550" s="588" t="s">
        <v>219</v>
      </c>
      <c r="D550" s="588"/>
      <c r="E550" s="588"/>
      <c r="F550" s="588"/>
      <c r="G550" s="9" t="s">
        <v>6</v>
      </c>
      <c r="H550" s="9">
        <v>9.4999999999999998E-3</v>
      </c>
      <c r="I550" s="13">
        <v>17</v>
      </c>
      <c r="J550" s="13">
        <f>TRUNC((H550*I550),2)</f>
        <v>0.16</v>
      </c>
    </row>
    <row r="551" spans="1:10">
      <c r="A551" t="s">
        <v>13</v>
      </c>
      <c r="B551" s="9">
        <v>88316</v>
      </c>
      <c r="C551" s="588" t="s">
        <v>22</v>
      </c>
      <c r="D551" s="588"/>
      <c r="E551" s="588"/>
      <c r="F551" s="588"/>
      <c r="G551" s="9" t="s">
        <v>6</v>
      </c>
      <c r="H551" s="9">
        <v>1.8700000000000001E-2</v>
      </c>
      <c r="I551" s="13">
        <v>12</v>
      </c>
      <c r="J551" s="13">
        <f>TRUNC((H551*I551),2)</f>
        <v>0.22</v>
      </c>
    </row>
    <row r="552" spans="1:10" ht="28.8">
      <c r="A552" s="10" t="s">
        <v>4</v>
      </c>
      <c r="B552" s="11">
        <v>97661</v>
      </c>
      <c r="C552" s="589" t="s">
        <v>316</v>
      </c>
      <c r="D552" s="590"/>
      <c r="E552" s="590"/>
      <c r="F552" s="590"/>
      <c r="G552" s="11" t="s">
        <v>63</v>
      </c>
      <c r="H552" s="11"/>
      <c r="I552" s="12">
        <f>J553+J554</f>
        <v>0.38</v>
      </c>
      <c r="J552" s="12"/>
    </row>
    <row r="553" spans="1:10">
      <c r="A553" t="s">
        <v>13</v>
      </c>
      <c r="B553" s="9">
        <v>88264</v>
      </c>
      <c r="C553" s="588" t="s">
        <v>219</v>
      </c>
      <c r="D553" s="588"/>
      <c r="E553" s="588"/>
      <c r="F553" s="588"/>
      <c r="G553" s="9" t="s">
        <v>6</v>
      </c>
      <c r="H553" s="9">
        <v>9.5999999999999992E-3</v>
      </c>
      <c r="I553" s="13">
        <v>17</v>
      </c>
      <c r="J553" s="13">
        <f>TRUNC((H553*I553),2)</f>
        <v>0.16</v>
      </c>
    </row>
    <row r="554" spans="1:10">
      <c r="A554" t="s">
        <v>13</v>
      </c>
      <c r="B554" s="9">
        <v>88316</v>
      </c>
      <c r="C554" s="588" t="s">
        <v>22</v>
      </c>
      <c r="D554" s="588"/>
      <c r="E554" s="588"/>
      <c r="F554" s="588"/>
      <c r="G554" s="9" t="s">
        <v>6</v>
      </c>
      <c r="H554" s="9">
        <v>1.8800000000000001E-2</v>
      </c>
      <c r="I554" s="13">
        <v>12</v>
      </c>
      <c r="J554" s="13">
        <f>TRUNC((H554*I554),2)</f>
        <v>0.22</v>
      </c>
    </row>
    <row r="555" spans="1:10" ht="28.8">
      <c r="A555" s="10" t="s">
        <v>4</v>
      </c>
      <c r="B555" s="11">
        <v>97665</v>
      </c>
      <c r="C555" s="589" t="s">
        <v>317</v>
      </c>
      <c r="D555" s="590"/>
      <c r="E555" s="590"/>
      <c r="F555" s="590"/>
      <c r="G555" s="11" t="s">
        <v>36</v>
      </c>
      <c r="H555" s="11"/>
      <c r="I555" s="12">
        <f>J556+J557</f>
        <v>0.74</v>
      </c>
      <c r="J555" s="12"/>
    </row>
    <row r="556" spans="1:10">
      <c r="A556" t="s">
        <v>13</v>
      </c>
      <c r="B556" s="9">
        <v>88264</v>
      </c>
      <c r="C556" s="588" t="s">
        <v>219</v>
      </c>
      <c r="D556" s="588"/>
      <c r="E556" s="588"/>
      <c r="F556" s="588"/>
      <c r="G556" s="9" t="s">
        <v>6</v>
      </c>
      <c r="H556" s="9">
        <v>1.83E-2</v>
      </c>
      <c r="I556" s="13">
        <v>17</v>
      </c>
      <c r="J556" s="13">
        <f>TRUNC((H556*I556),2)</f>
        <v>0.31</v>
      </c>
    </row>
    <row r="557" spans="1:10">
      <c r="A557" t="s">
        <v>13</v>
      </c>
      <c r="B557" s="9">
        <v>88316</v>
      </c>
      <c r="C557" s="588" t="s">
        <v>22</v>
      </c>
      <c r="D557" s="588"/>
      <c r="E557" s="588"/>
      <c r="F557" s="588"/>
      <c r="G557" s="9" t="s">
        <v>6</v>
      </c>
      <c r="H557" s="9">
        <v>3.5900000000000001E-2</v>
      </c>
      <c r="I557" s="13">
        <v>12</v>
      </c>
      <c r="J557" s="13">
        <f>TRUNC((H557*I557),2)</f>
        <v>0.43</v>
      </c>
    </row>
    <row r="558" spans="1:10" ht="28.8">
      <c r="A558" s="10" t="s">
        <v>4</v>
      </c>
      <c r="B558" s="11">
        <v>91835</v>
      </c>
      <c r="C558" s="589" t="s">
        <v>318</v>
      </c>
      <c r="D558" s="590"/>
      <c r="E558" s="590"/>
      <c r="F558" s="590"/>
      <c r="G558" s="11" t="s">
        <v>63</v>
      </c>
      <c r="H558" s="11"/>
      <c r="I558" s="12">
        <f>J559+J560+J561+J562</f>
        <v>7.71</v>
      </c>
      <c r="J558" s="12"/>
    </row>
    <row r="559" spans="1:10">
      <c r="A559" t="s">
        <v>7</v>
      </c>
      <c r="B559" s="9">
        <v>39244</v>
      </c>
      <c r="C559" s="588" t="s">
        <v>319</v>
      </c>
      <c r="D559" s="588"/>
      <c r="E559" s="588"/>
      <c r="F559" s="588"/>
      <c r="G559" s="9" t="s">
        <v>63</v>
      </c>
      <c r="H559" s="9">
        <v>1.1000000000000001</v>
      </c>
      <c r="I559" s="13">
        <v>2.8502234636999999</v>
      </c>
      <c r="J559" s="13">
        <f>TRUNC((H559*I559),2)</f>
        <v>3.13</v>
      </c>
    </row>
    <row r="560" spans="1:10">
      <c r="A560" t="s">
        <v>13</v>
      </c>
      <c r="B560" s="9">
        <v>88247</v>
      </c>
      <c r="C560" s="588" t="s">
        <v>218</v>
      </c>
      <c r="D560" s="588"/>
      <c r="E560" s="588"/>
      <c r="F560" s="588"/>
      <c r="G560" s="9" t="s">
        <v>6</v>
      </c>
      <c r="H560" s="9">
        <v>7.0000000000000007E-2</v>
      </c>
      <c r="I560" s="13">
        <v>12</v>
      </c>
      <c r="J560" s="13">
        <f>TRUNC((H560*I560),2)</f>
        <v>0.84</v>
      </c>
    </row>
    <row r="561" spans="1:10">
      <c r="A561" t="s">
        <v>13</v>
      </c>
      <c r="B561" s="9">
        <v>88264</v>
      </c>
      <c r="C561" s="588" t="s">
        <v>219</v>
      </c>
      <c r="D561" s="588"/>
      <c r="E561" s="588"/>
      <c r="F561" s="588"/>
      <c r="G561" s="9" t="s">
        <v>6</v>
      </c>
      <c r="H561" s="9">
        <v>7.0000000000000007E-2</v>
      </c>
      <c r="I561" s="13">
        <v>17</v>
      </c>
      <c r="J561" s="13">
        <f>TRUNC((H561*I561),2)</f>
        <v>1.19</v>
      </c>
    </row>
    <row r="562" spans="1:10">
      <c r="A562" t="s">
        <v>13</v>
      </c>
      <c r="B562" s="9">
        <v>91170</v>
      </c>
      <c r="C562" s="588" t="s">
        <v>320</v>
      </c>
      <c r="D562" s="588"/>
      <c r="E562" s="588"/>
      <c r="F562" s="588"/>
      <c r="G562" s="9" t="s">
        <v>63</v>
      </c>
      <c r="H562" s="9">
        <v>1</v>
      </c>
      <c r="I562" s="13">
        <v>2.5499999999999998</v>
      </c>
      <c r="J562" s="13">
        <f>TRUNC((H562*I562),2)</f>
        <v>2.5499999999999998</v>
      </c>
    </row>
    <row r="563" spans="1:10" ht="28.8">
      <c r="A563" s="10" t="s">
        <v>4</v>
      </c>
      <c r="B563" s="11">
        <v>93141</v>
      </c>
      <c r="C563" s="589" t="s">
        <v>321</v>
      </c>
      <c r="D563" s="590"/>
      <c r="E563" s="590"/>
      <c r="F563" s="590"/>
      <c r="G563" s="11" t="s">
        <v>36</v>
      </c>
      <c r="H563" s="11"/>
      <c r="I563" s="12">
        <f>J564+J565+J566+J567+J568+J569+J570+J571+J572</f>
        <v>134.24</v>
      </c>
      <c r="J563" s="12"/>
    </row>
    <row r="564" spans="1:10">
      <c r="A564" t="s">
        <v>13</v>
      </c>
      <c r="B564" s="9">
        <v>90447</v>
      </c>
      <c r="C564" s="588" t="s">
        <v>240</v>
      </c>
      <c r="D564" s="588"/>
      <c r="E564" s="588"/>
      <c r="F564" s="588"/>
      <c r="G564" s="9" t="s">
        <v>63</v>
      </c>
      <c r="H564" s="9">
        <v>2.2000000000000002</v>
      </c>
      <c r="I564" s="13">
        <v>4.4136363636000002</v>
      </c>
      <c r="J564" s="13">
        <f t="shared" ref="J564:J572" si="19">TRUNC((H564*I564),2)</f>
        <v>9.6999999999999993</v>
      </c>
    </row>
    <row r="565" spans="1:10">
      <c r="A565" t="s">
        <v>13</v>
      </c>
      <c r="B565" s="9">
        <v>90456</v>
      </c>
      <c r="C565" s="588" t="s">
        <v>322</v>
      </c>
      <c r="D565" s="588"/>
      <c r="E565" s="588"/>
      <c r="F565" s="588"/>
      <c r="G565" s="9" t="s">
        <v>36</v>
      </c>
      <c r="H565" s="9">
        <v>1</v>
      </c>
      <c r="I565" s="13">
        <v>2.82</v>
      </c>
      <c r="J565" s="13">
        <f t="shared" si="19"/>
        <v>2.82</v>
      </c>
    </row>
    <row r="566" spans="1:10">
      <c r="A566" t="s">
        <v>13</v>
      </c>
      <c r="B566" s="9">
        <v>90466</v>
      </c>
      <c r="C566" s="588" t="s">
        <v>323</v>
      </c>
      <c r="D566" s="588"/>
      <c r="E566" s="588"/>
      <c r="F566" s="588"/>
      <c r="G566" s="9" t="s">
        <v>63</v>
      </c>
      <c r="H566" s="9">
        <v>2.2000000000000002</v>
      </c>
      <c r="I566" s="13">
        <v>9.1106806283000008</v>
      </c>
      <c r="J566" s="13">
        <f t="shared" si="19"/>
        <v>20.04</v>
      </c>
    </row>
    <row r="567" spans="1:10">
      <c r="A567" t="s">
        <v>13</v>
      </c>
      <c r="B567" s="9">
        <v>91842</v>
      </c>
      <c r="C567" s="588" t="s">
        <v>324</v>
      </c>
      <c r="D567" s="588"/>
      <c r="E567" s="588"/>
      <c r="F567" s="588"/>
      <c r="G567" s="9" t="s">
        <v>63</v>
      </c>
      <c r="H567" s="9">
        <v>2</v>
      </c>
      <c r="I567" s="13">
        <v>4.3</v>
      </c>
      <c r="J567" s="13">
        <f t="shared" si="19"/>
        <v>8.6</v>
      </c>
    </row>
    <row r="568" spans="1:10">
      <c r="A568" t="s">
        <v>13</v>
      </c>
      <c r="B568" s="9">
        <v>91852</v>
      </c>
      <c r="C568" s="588" t="s">
        <v>325</v>
      </c>
      <c r="D568" s="588"/>
      <c r="E568" s="588"/>
      <c r="F568" s="588"/>
      <c r="G568" s="9" t="s">
        <v>63</v>
      </c>
      <c r="H568" s="9">
        <v>2.2000000000000002</v>
      </c>
      <c r="I568" s="13">
        <v>6.021359736</v>
      </c>
      <c r="J568" s="13">
        <f t="shared" si="19"/>
        <v>13.24</v>
      </c>
    </row>
    <row r="569" spans="1:10">
      <c r="A569" t="s">
        <v>13</v>
      </c>
      <c r="B569" s="9">
        <v>91926</v>
      </c>
      <c r="C569" s="588" t="s">
        <v>228</v>
      </c>
      <c r="D569" s="588"/>
      <c r="E569" s="588"/>
      <c r="F569" s="588"/>
      <c r="G569" s="9" t="s">
        <v>63</v>
      </c>
      <c r="H569" s="9">
        <v>12.6</v>
      </c>
      <c r="I569" s="13">
        <v>3.4883727869999999</v>
      </c>
      <c r="J569" s="13">
        <f t="shared" si="19"/>
        <v>43.95</v>
      </c>
    </row>
    <row r="570" spans="1:10">
      <c r="A570" t="s">
        <v>13</v>
      </c>
      <c r="B570" s="9">
        <v>91937</v>
      </c>
      <c r="C570" s="588" t="s">
        <v>326</v>
      </c>
      <c r="D570" s="588"/>
      <c r="E570" s="588"/>
      <c r="F570" s="588"/>
      <c r="G570" s="9" t="s">
        <v>36</v>
      </c>
      <c r="H570" s="9">
        <v>0.375</v>
      </c>
      <c r="I570" s="13">
        <v>8.2337500000000006</v>
      </c>
      <c r="J570" s="13">
        <f t="shared" si="19"/>
        <v>3.08</v>
      </c>
    </row>
    <row r="571" spans="1:10">
      <c r="A571" t="s">
        <v>13</v>
      </c>
      <c r="B571" s="9">
        <v>91940</v>
      </c>
      <c r="C571" s="588" t="s">
        <v>307</v>
      </c>
      <c r="D571" s="588"/>
      <c r="E571" s="588"/>
      <c r="F571" s="588"/>
      <c r="G571" s="9" t="s">
        <v>36</v>
      </c>
      <c r="H571" s="9">
        <v>1</v>
      </c>
      <c r="I571" s="13">
        <v>10.59</v>
      </c>
      <c r="J571" s="13">
        <f t="shared" si="19"/>
        <v>10.59</v>
      </c>
    </row>
    <row r="572" spans="1:10">
      <c r="A572" t="s">
        <v>13</v>
      </c>
      <c r="B572" s="9">
        <v>91996</v>
      </c>
      <c r="C572" s="588" t="s">
        <v>327</v>
      </c>
      <c r="D572" s="588"/>
      <c r="E572" s="588"/>
      <c r="F572" s="588"/>
      <c r="G572" s="9" t="s">
        <v>36</v>
      </c>
      <c r="H572" s="9">
        <v>1</v>
      </c>
      <c r="I572" s="13">
        <v>22.22</v>
      </c>
      <c r="J572" s="13">
        <f t="shared" si="19"/>
        <v>22.22</v>
      </c>
    </row>
    <row r="573" spans="1:10" ht="28.8">
      <c r="A573" s="10" t="s">
        <v>4</v>
      </c>
      <c r="B573" s="11">
        <v>95781</v>
      </c>
      <c r="C573" s="589" t="s">
        <v>328</v>
      </c>
      <c r="D573" s="590"/>
      <c r="E573" s="590"/>
      <c r="F573" s="590"/>
      <c r="G573" s="11" t="s">
        <v>36</v>
      </c>
      <c r="H573" s="11"/>
      <c r="I573" s="12">
        <v>24.33</v>
      </c>
      <c r="J573" s="12"/>
    </row>
    <row r="574" spans="1:10">
      <c r="A574" t="s">
        <v>7</v>
      </c>
      <c r="B574" s="9">
        <v>2560</v>
      </c>
      <c r="C574" s="588" t="s">
        <v>329</v>
      </c>
      <c r="D574" s="588"/>
      <c r="E574" s="588"/>
      <c r="F574" s="588"/>
      <c r="G574" s="9" t="s">
        <v>36</v>
      </c>
      <c r="H574" s="9">
        <v>1</v>
      </c>
      <c r="I574" s="13">
        <v>12.15</v>
      </c>
      <c r="J574" s="13">
        <f>TRUNC((H574*I574),2)</f>
        <v>12.15</v>
      </c>
    </row>
    <row r="575" spans="1:10">
      <c r="A575" t="s">
        <v>7</v>
      </c>
      <c r="B575" s="9">
        <v>11950</v>
      </c>
      <c r="C575" s="588" t="s">
        <v>192</v>
      </c>
      <c r="D575" s="588"/>
      <c r="E575" s="588"/>
      <c r="F575" s="588"/>
      <c r="G575" s="9" t="s">
        <v>36</v>
      </c>
      <c r="H575" s="9">
        <v>2</v>
      </c>
      <c r="I575" s="13">
        <v>0.17499999999999999</v>
      </c>
      <c r="J575" s="13">
        <f>TRUNC((H575*I575),2)</f>
        <v>0.35</v>
      </c>
    </row>
    <row r="576" spans="1:10">
      <c r="A576" t="s">
        <v>13</v>
      </c>
      <c r="B576" s="9">
        <v>88247</v>
      </c>
      <c r="C576" s="588" t="s">
        <v>218</v>
      </c>
      <c r="D576" s="588"/>
      <c r="E576" s="588"/>
      <c r="F576" s="588"/>
      <c r="G576" s="9" t="s">
        <v>6</v>
      </c>
      <c r="H576" s="9">
        <v>0.35699999999999998</v>
      </c>
      <c r="I576" s="13">
        <v>12</v>
      </c>
      <c r="J576" s="13">
        <f>TRUNC((H576*I576),2)</f>
        <v>4.28</v>
      </c>
    </row>
    <row r="577" spans="1:10">
      <c r="A577" t="s">
        <v>13</v>
      </c>
      <c r="B577" s="9">
        <v>88264</v>
      </c>
      <c r="C577" s="588" t="s">
        <v>219</v>
      </c>
      <c r="D577" s="588"/>
      <c r="E577" s="588"/>
      <c r="F577" s="588"/>
      <c r="G577" s="9" t="s">
        <v>6</v>
      </c>
      <c r="H577" s="9">
        <v>0.35699999999999998</v>
      </c>
      <c r="I577" s="13">
        <v>17</v>
      </c>
      <c r="J577" s="13">
        <f>TRUNC((H577*I577),2)</f>
        <v>6.06</v>
      </c>
    </row>
    <row r="578" spans="1:10" ht="28.8">
      <c r="A578" s="10" t="s">
        <v>4</v>
      </c>
      <c r="B578" s="11">
        <v>91857</v>
      </c>
      <c r="C578" s="589" t="s">
        <v>330</v>
      </c>
      <c r="D578" s="590"/>
      <c r="E578" s="590"/>
      <c r="F578" s="590"/>
      <c r="G578" s="11" t="s">
        <v>63</v>
      </c>
      <c r="H578" s="11"/>
      <c r="I578" s="12">
        <f>J579+J580+J581</f>
        <v>10.31</v>
      </c>
      <c r="J578" s="12"/>
    </row>
    <row r="579" spans="1:10">
      <c r="A579" t="s">
        <v>7</v>
      </c>
      <c r="B579" s="9">
        <v>39245</v>
      </c>
      <c r="C579" s="588" t="s">
        <v>331</v>
      </c>
      <c r="D579" s="588"/>
      <c r="E579" s="588"/>
      <c r="F579" s="588"/>
      <c r="G579" s="9" t="s">
        <v>63</v>
      </c>
      <c r="H579" s="9">
        <v>1.0169999999999999</v>
      </c>
      <c r="I579" s="13">
        <v>5.4826959247999998</v>
      </c>
      <c r="J579" s="13">
        <f>TRUNC((H579*I579),2)</f>
        <v>5.57</v>
      </c>
    </row>
    <row r="580" spans="1:10">
      <c r="A580" t="s">
        <v>13</v>
      </c>
      <c r="B580" s="9">
        <v>88247</v>
      </c>
      <c r="C580" s="588" t="s">
        <v>218</v>
      </c>
      <c r="D580" s="588"/>
      <c r="E580" s="588"/>
      <c r="F580" s="588"/>
      <c r="G580" s="9" t="s">
        <v>6</v>
      </c>
      <c r="H580" s="9">
        <v>0.16400000000000001</v>
      </c>
      <c r="I580" s="13">
        <v>12</v>
      </c>
      <c r="J580" s="13">
        <f>TRUNC((H580*I580),2)</f>
        <v>1.96</v>
      </c>
    </row>
    <row r="581" spans="1:10">
      <c r="A581" t="s">
        <v>13</v>
      </c>
      <c r="B581" s="9">
        <v>88264</v>
      </c>
      <c r="C581" s="588" t="s">
        <v>219</v>
      </c>
      <c r="D581" s="588"/>
      <c r="E581" s="588"/>
      <c r="F581" s="588"/>
      <c r="G581" s="9" t="s">
        <v>6</v>
      </c>
      <c r="H581" s="9">
        <v>0.16400000000000001</v>
      </c>
      <c r="I581" s="13">
        <v>17</v>
      </c>
      <c r="J581" s="13">
        <f>TRUNC((H581*I581),2)</f>
        <v>2.78</v>
      </c>
    </row>
    <row r="582" spans="1:10" ht="28.8">
      <c r="A582" s="10" t="s">
        <v>4</v>
      </c>
      <c r="B582" s="11">
        <v>98307</v>
      </c>
      <c r="C582" s="589" t="s">
        <v>332</v>
      </c>
      <c r="D582" s="590"/>
      <c r="E582" s="590"/>
      <c r="F582" s="590"/>
      <c r="G582" s="11" t="s">
        <v>36</v>
      </c>
      <c r="H582" s="11"/>
      <c r="I582" s="12">
        <f>J583+J584+J585</f>
        <v>34.519999999999996</v>
      </c>
      <c r="J582" s="12"/>
    </row>
    <row r="583" spans="1:10">
      <c r="A583" t="s">
        <v>7</v>
      </c>
      <c r="B583" s="9">
        <v>38083</v>
      </c>
      <c r="C583" s="588" t="s">
        <v>333</v>
      </c>
      <c r="D583" s="588"/>
      <c r="E583" s="588"/>
      <c r="F583" s="588"/>
      <c r="G583" s="9" t="s">
        <v>36</v>
      </c>
      <c r="H583" s="9">
        <v>1</v>
      </c>
      <c r="I583" s="13">
        <v>28.55</v>
      </c>
      <c r="J583" s="13">
        <f>TRUNC((H583*I583),2)</f>
        <v>28.55</v>
      </c>
    </row>
    <row r="584" spans="1:10">
      <c r="A584" t="s">
        <v>13</v>
      </c>
      <c r="B584" s="9">
        <v>88247</v>
      </c>
      <c r="C584" s="588" t="s">
        <v>218</v>
      </c>
      <c r="D584" s="588"/>
      <c r="E584" s="588"/>
      <c r="F584" s="588"/>
      <c r="G584" s="9" t="s">
        <v>6</v>
      </c>
      <c r="H584" s="9">
        <v>0.20619999999999999</v>
      </c>
      <c r="I584" s="13">
        <v>12</v>
      </c>
      <c r="J584" s="13">
        <f>TRUNC((H584*I584),2)</f>
        <v>2.4700000000000002</v>
      </c>
    </row>
    <row r="585" spans="1:10">
      <c r="A585" t="s">
        <v>13</v>
      </c>
      <c r="B585" s="9">
        <v>88264</v>
      </c>
      <c r="C585" s="588" t="s">
        <v>219</v>
      </c>
      <c r="D585" s="588"/>
      <c r="E585" s="588"/>
      <c r="F585" s="588"/>
      <c r="G585" s="9" t="s">
        <v>6</v>
      </c>
      <c r="H585" s="9">
        <v>0.20619999999999999</v>
      </c>
      <c r="I585" s="13">
        <v>17</v>
      </c>
      <c r="J585" s="13">
        <f>TRUNC((H585*I585),2)</f>
        <v>3.5</v>
      </c>
    </row>
    <row r="586" spans="1:10" ht="28.8">
      <c r="A586" s="10" t="s">
        <v>4</v>
      </c>
      <c r="B586" s="11">
        <v>98308</v>
      </c>
      <c r="C586" s="589" t="s">
        <v>334</v>
      </c>
      <c r="D586" s="590"/>
      <c r="E586" s="590"/>
      <c r="F586" s="590"/>
      <c r="G586" s="11" t="s">
        <v>36</v>
      </c>
      <c r="H586" s="11"/>
      <c r="I586" s="12">
        <f>J587+J588+J589</f>
        <v>22.15</v>
      </c>
      <c r="J586" s="12"/>
    </row>
    <row r="587" spans="1:10">
      <c r="A587" t="s">
        <v>7</v>
      </c>
      <c r="B587" s="9">
        <v>38082</v>
      </c>
      <c r="C587" s="588" t="s">
        <v>335</v>
      </c>
      <c r="D587" s="588"/>
      <c r="E587" s="588"/>
      <c r="F587" s="588"/>
      <c r="G587" s="9" t="s">
        <v>36</v>
      </c>
      <c r="H587" s="9">
        <v>1</v>
      </c>
      <c r="I587" s="13">
        <v>16.18</v>
      </c>
      <c r="J587" s="13">
        <f>TRUNC((H587*I587),2)</f>
        <v>16.18</v>
      </c>
    </row>
    <row r="588" spans="1:10">
      <c r="A588" t="s">
        <v>13</v>
      </c>
      <c r="B588" s="9">
        <v>88247</v>
      </c>
      <c r="C588" s="588" t="s">
        <v>218</v>
      </c>
      <c r="D588" s="588"/>
      <c r="E588" s="588"/>
      <c r="F588" s="588"/>
      <c r="G588" s="9" t="s">
        <v>6</v>
      </c>
      <c r="H588" s="9">
        <v>0.20619999999999999</v>
      </c>
      <c r="I588" s="13">
        <v>12</v>
      </c>
      <c r="J588" s="13">
        <f>TRUNC((H588*I588),2)</f>
        <v>2.4700000000000002</v>
      </c>
    </row>
    <row r="589" spans="1:10">
      <c r="A589" t="s">
        <v>13</v>
      </c>
      <c r="B589" s="9">
        <v>88264</v>
      </c>
      <c r="C589" s="588" t="s">
        <v>219</v>
      </c>
      <c r="D589" s="588"/>
      <c r="E589" s="588"/>
      <c r="F589" s="588"/>
      <c r="G589" s="9" t="s">
        <v>6</v>
      </c>
      <c r="H589" s="9">
        <v>0.20619999999999999</v>
      </c>
      <c r="I589" s="13">
        <v>17</v>
      </c>
      <c r="J589" s="13">
        <f>TRUNC((H589*I589),2)</f>
        <v>3.5</v>
      </c>
    </row>
    <row r="590" spans="1:10" ht="28.8">
      <c r="A590" s="10" t="s">
        <v>4</v>
      </c>
      <c r="B590" s="11">
        <v>98295</v>
      </c>
      <c r="C590" s="589" t="s">
        <v>336</v>
      </c>
      <c r="D590" s="590"/>
      <c r="E590" s="590"/>
      <c r="F590" s="590"/>
      <c r="G590" s="11" t="s">
        <v>63</v>
      </c>
      <c r="H590" s="11"/>
      <c r="I590" s="12">
        <f>J591+J592+J593</f>
        <v>1.51</v>
      </c>
      <c r="J590" s="12"/>
    </row>
    <row r="591" spans="1:10">
      <c r="A591" t="s">
        <v>7</v>
      </c>
      <c r="B591" s="9">
        <v>39598</v>
      </c>
      <c r="C591" s="588" t="s">
        <v>337</v>
      </c>
      <c r="D591" s="588"/>
      <c r="E591" s="588"/>
      <c r="F591" s="588"/>
      <c r="G591" s="9" t="s">
        <v>63</v>
      </c>
      <c r="H591" s="9">
        <v>1.05</v>
      </c>
      <c r="I591" s="13">
        <v>1.3789090908999999</v>
      </c>
      <c r="J591" s="13">
        <f>TRUNC((H591*I591),2)</f>
        <v>1.44</v>
      </c>
    </row>
    <row r="592" spans="1:10">
      <c r="A592" t="s">
        <v>13</v>
      </c>
      <c r="B592" s="9">
        <v>88247</v>
      </c>
      <c r="C592" s="588" t="s">
        <v>218</v>
      </c>
      <c r="D592" s="588"/>
      <c r="E592" s="588"/>
      <c r="F592" s="588"/>
      <c r="G592" s="9" t="s">
        <v>6</v>
      </c>
      <c r="H592" s="9">
        <v>2.8E-3</v>
      </c>
      <c r="I592" s="13">
        <v>12</v>
      </c>
      <c r="J592" s="13">
        <f>TRUNC((H592*I592),2)</f>
        <v>0.03</v>
      </c>
    </row>
    <row r="593" spans="1:10">
      <c r="A593" t="s">
        <v>13</v>
      </c>
      <c r="B593" s="9">
        <v>88264</v>
      </c>
      <c r="C593" s="588" t="s">
        <v>219</v>
      </c>
      <c r="D593" s="588"/>
      <c r="E593" s="588"/>
      <c r="F593" s="588"/>
      <c r="G593" s="9" t="s">
        <v>6</v>
      </c>
      <c r="H593" s="9">
        <v>2.8E-3</v>
      </c>
      <c r="I593" s="13">
        <v>17</v>
      </c>
      <c r="J593" s="13">
        <f>TRUNC((H593*I593),2)</f>
        <v>0.04</v>
      </c>
    </row>
    <row r="594" spans="1:10" ht="28.8">
      <c r="A594" s="10" t="s">
        <v>4</v>
      </c>
      <c r="B594" s="11">
        <v>98297</v>
      </c>
      <c r="C594" s="589" t="s">
        <v>338</v>
      </c>
      <c r="D594" s="590"/>
      <c r="E594" s="590"/>
      <c r="F594" s="590"/>
      <c r="G594" s="11" t="s">
        <v>63</v>
      </c>
      <c r="H594" s="11"/>
      <c r="I594" s="12">
        <f>J595+J596+J597</f>
        <v>2.2899999999999996</v>
      </c>
      <c r="J594" s="12"/>
    </row>
    <row r="595" spans="1:10">
      <c r="A595" t="s">
        <v>7</v>
      </c>
      <c r="B595" s="9">
        <v>39599</v>
      </c>
      <c r="C595" s="588" t="s">
        <v>339</v>
      </c>
      <c r="D595" s="588"/>
      <c r="E595" s="588"/>
      <c r="F595" s="588"/>
      <c r="G595" s="9" t="s">
        <v>63</v>
      </c>
      <c r="H595" s="9">
        <v>1.05</v>
      </c>
      <c r="I595" s="13">
        <v>2.0741365462000001</v>
      </c>
      <c r="J595" s="13">
        <f>TRUNC((H595*I595),2)</f>
        <v>2.17</v>
      </c>
    </row>
    <row r="596" spans="1:10">
      <c r="A596" t="s">
        <v>13</v>
      </c>
      <c r="B596" s="9">
        <v>88247</v>
      </c>
      <c r="C596" s="588" t="s">
        <v>218</v>
      </c>
      <c r="D596" s="588"/>
      <c r="E596" s="588"/>
      <c r="F596" s="588"/>
      <c r="G596" s="9" t="s">
        <v>6</v>
      </c>
      <c r="H596" s="9">
        <v>4.4999999999999997E-3</v>
      </c>
      <c r="I596" s="13">
        <v>12</v>
      </c>
      <c r="J596" s="13">
        <f>TRUNC((H596*I596),2)</f>
        <v>0.05</v>
      </c>
    </row>
    <row r="597" spans="1:10">
      <c r="A597" t="s">
        <v>13</v>
      </c>
      <c r="B597" s="9">
        <v>88264</v>
      </c>
      <c r="C597" s="588" t="s">
        <v>219</v>
      </c>
      <c r="D597" s="588"/>
      <c r="E597" s="588"/>
      <c r="F597" s="588"/>
      <c r="G597" s="9" t="s">
        <v>6</v>
      </c>
      <c r="H597" s="9">
        <v>4.4999999999999997E-3</v>
      </c>
      <c r="I597" s="13">
        <v>17</v>
      </c>
      <c r="J597" s="13">
        <f>TRUNC((H597*I597),2)</f>
        <v>7.0000000000000007E-2</v>
      </c>
    </row>
    <row r="598" spans="1:10" ht="28.8">
      <c r="A598" s="10" t="s">
        <v>4</v>
      </c>
      <c r="B598" s="11">
        <v>98301</v>
      </c>
      <c r="C598" s="589" t="s">
        <v>340</v>
      </c>
      <c r="D598" s="590"/>
      <c r="E598" s="590"/>
      <c r="F598" s="590"/>
      <c r="G598" s="11" t="s">
        <v>36</v>
      </c>
      <c r="H598" s="11"/>
      <c r="I598" s="12">
        <f>J599+J600+J601</f>
        <v>402.65</v>
      </c>
      <c r="J598" s="12"/>
    </row>
    <row r="599" spans="1:10">
      <c r="A599" t="s">
        <v>7</v>
      </c>
      <c r="B599" s="9">
        <v>39594</v>
      </c>
      <c r="C599" s="588" t="s">
        <v>341</v>
      </c>
      <c r="D599" s="588"/>
      <c r="E599" s="588"/>
      <c r="F599" s="588"/>
      <c r="G599" s="9" t="s">
        <v>36</v>
      </c>
      <c r="H599" s="9">
        <v>1</v>
      </c>
      <c r="I599" s="13">
        <v>222.84</v>
      </c>
      <c r="J599" s="13">
        <f>TRUNC((H599*I599),2)</f>
        <v>222.84</v>
      </c>
    </row>
    <row r="600" spans="1:10">
      <c r="A600" t="s">
        <v>13</v>
      </c>
      <c r="B600" s="9">
        <v>88247</v>
      </c>
      <c r="C600" s="588" t="s">
        <v>218</v>
      </c>
      <c r="D600" s="588"/>
      <c r="E600" s="588"/>
      <c r="F600" s="588"/>
      <c r="G600" s="9" t="s">
        <v>6</v>
      </c>
      <c r="H600" s="9">
        <v>6.2007000000000003</v>
      </c>
      <c r="I600" s="13">
        <v>12</v>
      </c>
      <c r="J600" s="13">
        <f>TRUNC((H600*I600),2)</f>
        <v>74.400000000000006</v>
      </c>
    </row>
    <row r="601" spans="1:10">
      <c r="A601" t="s">
        <v>13</v>
      </c>
      <c r="B601" s="9">
        <v>88264</v>
      </c>
      <c r="C601" s="588" t="s">
        <v>219</v>
      </c>
      <c r="D601" s="588"/>
      <c r="E601" s="588"/>
      <c r="F601" s="588"/>
      <c r="G601" s="9" t="s">
        <v>6</v>
      </c>
      <c r="H601" s="9">
        <v>6.2007000000000003</v>
      </c>
      <c r="I601" s="13">
        <v>17</v>
      </c>
      <c r="J601" s="13">
        <f>TRUNC((H601*I601),2)</f>
        <v>105.41</v>
      </c>
    </row>
    <row r="602" spans="1:10" ht="28.8">
      <c r="A602" s="10" t="s">
        <v>4</v>
      </c>
      <c r="B602" s="11">
        <v>96563</v>
      </c>
      <c r="C602" s="589" t="s">
        <v>342</v>
      </c>
      <c r="D602" s="590"/>
      <c r="E602" s="590"/>
      <c r="F602" s="590"/>
      <c r="G602" s="11" t="s">
        <v>63</v>
      </c>
      <c r="H602" s="11"/>
      <c r="I602" s="12">
        <f>J603+J604+J605+J606+J607+J608+J609</f>
        <v>20.880000000000003</v>
      </c>
      <c r="J602" s="12"/>
    </row>
    <row r="603" spans="1:10">
      <c r="A603" t="s">
        <v>7</v>
      </c>
      <c r="B603" s="9">
        <v>11267</v>
      </c>
      <c r="C603" s="588" t="s">
        <v>343</v>
      </c>
      <c r="D603" s="588"/>
      <c r="E603" s="588"/>
      <c r="F603" s="588"/>
      <c r="G603" s="9" t="s">
        <v>36</v>
      </c>
      <c r="H603" s="9">
        <v>4</v>
      </c>
      <c r="I603" s="13">
        <v>0.7</v>
      </c>
      <c r="J603" s="13">
        <f t="shared" ref="J603:J609" si="20">TRUNC((H603*I603),2)</f>
        <v>2.8</v>
      </c>
    </row>
    <row r="604" spans="1:10">
      <c r="A604" t="s">
        <v>7</v>
      </c>
      <c r="B604" s="9">
        <v>11976</v>
      </c>
      <c r="C604" s="588" t="s">
        <v>344</v>
      </c>
      <c r="D604" s="588"/>
      <c r="E604" s="588"/>
      <c r="F604" s="588"/>
      <c r="G604" s="9" t="s">
        <v>36</v>
      </c>
      <c r="H604" s="9">
        <v>1.333</v>
      </c>
      <c r="I604" s="13">
        <v>1.0821818182</v>
      </c>
      <c r="J604" s="13">
        <f t="shared" si="20"/>
        <v>1.44</v>
      </c>
    </row>
    <row r="605" spans="1:10">
      <c r="A605" t="s">
        <v>7</v>
      </c>
      <c r="B605" s="9">
        <v>39029</v>
      </c>
      <c r="C605" s="588" t="s">
        <v>345</v>
      </c>
      <c r="D605" s="588"/>
      <c r="E605" s="588"/>
      <c r="F605" s="588"/>
      <c r="G605" s="9" t="s">
        <v>63</v>
      </c>
      <c r="H605" s="9">
        <v>0.56000000000000005</v>
      </c>
      <c r="I605" s="13">
        <v>18.897225433500001</v>
      </c>
      <c r="J605" s="13">
        <f t="shared" si="20"/>
        <v>10.58</v>
      </c>
    </row>
    <row r="606" spans="1:10">
      <c r="A606" t="s">
        <v>7</v>
      </c>
      <c r="B606" s="9">
        <v>39996</v>
      </c>
      <c r="C606" s="588" t="s">
        <v>346</v>
      </c>
      <c r="D606" s="588"/>
      <c r="E606" s="588"/>
      <c r="F606" s="588"/>
      <c r="G606" s="9" t="s">
        <v>63</v>
      </c>
      <c r="H606" s="9">
        <v>0.46700000000000003</v>
      </c>
      <c r="I606" s="13">
        <v>4.2403539823000003</v>
      </c>
      <c r="J606" s="13">
        <f t="shared" si="20"/>
        <v>1.98</v>
      </c>
    </row>
    <row r="607" spans="1:10">
      <c r="A607" t="s">
        <v>7</v>
      </c>
      <c r="B607" s="9">
        <v>39997</v>
      </c>
      <c r="C607" s="588" t="s">
        <v>347</v>
      </c>
      <c r="D607" s="588"/>
      <c r="E607" s="588"/>
      <c r="F607" s="588"/>
      <c r="G607" s="9" t="s">
        <v>36</v>
      </c>
      <c r="H607" s="9">
        <v>4</v>
      </c>
      <c r="I607" s="13">
        <v>0.27</v>
      </c>
      <c r="J607" s="13">
        <f t="shared" si="20"/>
        <v>1.08</v>
      </c>
    </row>
    <row r="608" spans="1:10">
      <c r="A608" t="s">
        <v>13</v>
      </c>
      <c r="B608" s="9">
        <v>88248</v>
      </c>
      <c r="C608" s="588" t="s">
        <v>237</v>
      </c>
      <c r="D608" s="588"/>
      <c r="E608" s="588"/>
      <c r="F608" s="588"/>
      <c r="G608" s="9" t="s">
        <v>6</v>
      </c>
      <c r="H608" s="9">
        <v>2.3E-2</v>
      </c>
      <c r="I608" s="13">
        <v>12</v>
      </c>
      <c r="J608" s="13">
        <f t="shared" si="20"/>
        <v>0.27</v>
      </c>
    </row>
    <row r="609" spans="1:10">
      <c r="A609" t="s">
        <v>13</v>
      </c>
      <c r="B609" s="9">
        <v>88267</v>
      </c>
      <c r="C609" s="588" t="s">
        <v>37</v>
      </c>
      <c r="D609" s="588"/>
      <c r="E609" s="588"/>
      <c r="F609" s="588"/>
      <c r="G609" s="9" t="s">
        <v>6</v>
      </c>
      <c r="H609" s="9">
        <v>0.161</v>
      </c>
      <c r="I609" s="13">
        <v>17</v>
      </c>
      <c r="J609" s="13">
        <f t="shared" si="20"/>
        <v>2.73</v>
      </c>
    </row>
    <row r="610" spans="1:10" ht="28.8">
      <c r="A610" s="10" t="s">
        <v>4</v>
      </c>
      <c r="B610" s="11">
        <v>86878</v>
      </c>
      <c r="C610" s="589" t="s">
        <v>348</v>
      </c>
      <c r="D610" s="590"/>
      <c r="E610" s="590"/>
      <c r="F610" s="590"/>
      <c r="G610" s="11" t="s">
        <v>36</v>
      </c>
      <c r="H610" s="11"/>
      <c r="I610" s="12">
        <f>J611+J612+J613+J614</f>
        <v>45.580000000000005</v>
      </c>
      <c r="J610" s="12"/>
    </row>
    <row r="611" spans="1:10">
      <c r="A611" t="s">
        <v>7</v>
      </c>
      <c r="B611" s="9">
        <v>3146</v>
      </c>
      <c r="C611" s="588" t="s">
        <v>349</v>
      </c>
      <c r="D611" s="588"/>
      <c r="E611" s="588"/>
      <c r="F611" s="588"/>
      <c r="G611" s="9" t="s">
        <v>36</v>
      </c>
      <c r="H611" s="9">
        <v>4.8000000000000001E-2</v>
      </c>
      <c r="I611" s="13">
        <v>4.5</v>
      </c>
      <c r="J611" s="13">
        <f>TRUNC((H611*I611),2)</f>
        <v>0.21</v>
      </c>
    </row>
    <row r="612" spans="1:10">
      <c r="A612" t="s">
        <v>7</v>
      </c>
      <c r="B612" s="9">
        <v>6157</v>
      </c>
      <c r="C612" s="588" t="s">
        <v>350</v>
      </c>
      <c r="D612" s="588"/>
      <c r="E612" s="588"/>
      <c r="F612" s="588"/>
      <c r="G612" s="9" t="s">
        <v>36</v>
      </c>
      <c r="H612" s="9">
        <v>1</v>
      </c>
      <c r="I612" s="13">
        <v>41.77</v>
      </c>
      <c r="J612" s="13">
        <f>TRUNC((H612*I612),2)</f>
        <v>41.77</v>
      </c>
    </row>
    <row r="613" spans="1:10">
      <c r="A613" t="s">
        <v>13</v>
      </c>
      <c r="B613" s="9">
        <v>88267</v>
      </c>
      <c r="C613" s="588" t="s">
        <v>37</v>
      </c>
      <c r="D613" s="588"/>
      <c r="E613" s="588"/>
      <c r="F613" s="588"/>
      <c r="G613" s="9" t="s">
        <v>6</v>
      </c>
      <c r="H613" s="9">
        <v>0.17399999999999999</v>
      </c>
      <c r="I613" s="13">
        <v>17</v>
      </c>
      <c r="J613" s="13">
        <f>TRUNC((H613*I613),2)</f>
        <v>2.95</v>
      </c>
    </row>
    <row r="614" spans="1:10">
      <c r="A614" t="s">
        <v>13</v>
      </c>
      <c r="B614" s="9">
        <v>88316</v>
      </c>
      <c r="C614" s="588" t="s">
        <v>22</v>
      </c>
      <c r="D614" s="588"/>
      <c r="E614" s="588"/>
      <c r="F614" s="588"/>
      <c r="G614" s="9" t="s">
        <v>6</v>
      </c>
      <c r="H614" s="9">
        <v>5.4800000000000001E-2</v>
      </c>
      <c r="I614" s="13">
        <v>12</v>
      </c>
      <c r="J614" s="13">
        <f>TRUNC((H614*I614),2)</f>
        <v>0.65</v>
      </c>
    </row>
    <row r="615" spans="1:10" ht="28.8">
      <c r="A615" s="10" t="s">
        <v>4</v>
      </c>
      <c r="B615" s="11">
        <v>86889</v>
      </c>
      <c r="C615" s="589" t="s">
        <v>351</v>
      </c>
      <c r="D615" s="590"/>
      <c r="E615" s="590"/>
      <c r="F615" s="590"/>
      <c r="G615" s="11" t="s">
        <v>36</v>
      </c>
      <c r="H615" s="11"/>
      <c r="I615" s="12">
        <f>J616+J617+J618+J619+J620+J621+J622</f>
        <v>659.81</v>
      </c>
      <c r="J615" s="12"/>
    </row>
    <row r="616" spans="1:10">
      <c r="A616" t="s">
        <v>7</v>
      </c>
      <c r="B616" s="9">
        <v>4823</v>
      </c>
      <c r="C616" s="588" t="s">
        <v>352</v>
      </c>
      <c r="D616" s="588"/>
      <c r="E616" s="588"/>
      <c r="F616" s="588"/>
      <c r="G616" s="9" t="s">
        <v>31</v>
      </c>
      <c r="H616" s="9">
        <v>0.52280000000000004</v>
      </c>
      <c r="I616" s="13">
        <v>35.439830028300001</v>
      </c>
      <c r="J616" s="13">
        <f t="shared" ref="J616:J920" si="21">TRUNC((H616*I616),2)</f>
        <v>18.52</v>
      </c>
    </row>
    <row r="617" spans="1:10">
      <c r="A617" t="s">
        <v>7</v>
      </c>
      <c r="B617" s="9">
        <v>7568</v>
      </c>
      <c r="C617" s="588" t="s">
        <v>138</v>
      </c>
      <c r="D617" s="588"/>
      <c r="E617" s="588"/>
      <c r="F617" s="588"/>
      <c r="G617" s="9" t="s">
        <v>36</v>
      </c>
      <c r="H617" s="9">
        <v>6</v>
      </c>
      <c r="I617" s="13">
        <v>0.53333333329999999</v>
      </c>
      <c r="J617" s="13">
        <f t="shared" si="21"/>
        <v>3.19</v>
      </c>
    </row>
    <row r="618" spans="1:10">
      <c r="A618" t="s">
        <v>7</v>
      </c>
      <c r="B618" s="9">
        <v>11795</v>
      </c>
      <c r="C618" s="588" t="s">
        <v>353</v>
      </c>
      <c r="D618" s="588"/>
      <c r="E618" s="588"/>
      <c r="F618" s="588"/>
      <c r="G618" s="9" t="s">
        <v>21</v>
      </c>
      <c r="H618" s="9">
        <v>1.0049999999999999</v>
      </c>
      <c r="I618" s="13">
        <v>550.92615603239994</v>
      </c>
      <c r="J618" s="13">
        <f t="shared" si="21"/>
        <v>553.67999999999995</v>
      </c>
    </row>
    <row r="619" spans="1:10">
      <c r="A619" t="s">
        <v>7</v>
      </c>
      <c r="B619" s="9">
        <v>37329</v>
      </c>
      <c r="C619" s="588" t="s">
        <v>354</v>
      </c>
      <c r="D619" s="588"/>
      <c r="E619" s="588"/>
      <c r="F619" s="588"/>
      <c r="G619" s="9" t="s">
        <v>31</v>
      </c>
      <c r="H619" s="9">
        <v>2.1100000000000001E-2</v>
      </c>
      <c r="I619" s="13">
        <v>88.555211267600001</v>
      </c>
      <c r="J619" s="13">
        <f t="shared" si="21"/>
        <v>1.86</v>
      </c>
    </row>
    <row r="620" spans="1:10">
      <c r="A620" t="s">
        <v>7</v>
      </c>
      <c r="B620" s="9">
        <v>37591</v>
      </c>
      <c r="C620" s="588" t="s">
        <v>355</v>
      </c>
      <c r="D620" s="588"/>
      <c r="E620" s="588"/>
      <c r="F620" s="588"/>
      <c r="G620" s="9" t="s">
        <v>36</v>
      </c>
      <c r="H620" s="9">
        <v>2</v>
      </c>
      <c r="I620" s="13">
        <v>22.68</v>
      </c>
      <c r="J620" s="13">
        <f t="shared" si="21"/>
        <v>45.36</v>
      </c>
    </row>
    <row r="621" spans="1:10">
      <c r="A621" t="s">
        <v>13</v>
      </c>
      <c r="B621" s="9">
        <v>88274</v>
      </c>
      <c r="C621" s="588" t="s">
        <v>163</v>
      </c>
      <c r="D621" s="588"/>
      <c r="E621" s="588"/>
      <c r="F621" s="588"/>
      <c r="G621" s="9" t="s">
        <v>6</v>
      </c>
      <c r="H621" s="9">
        <v>1.4944</v>
      </c>
      <c r="I621" s="13">
        <v>17</v>
      </c>
      <c r="J621" s="13">
        <f t="shared" si="21"/>
        <v>25.4</v>
      </c>
    </row>
    <row r="622" spans="1:10">
      <c r="A622" t="s">
        <v>13</v>
      </c>
      <c r="B622" s="9">
        <v>88316</v>
      </c>
      <c r="C622" s="588" t="s">
        <v>22</v>
      </c>
      <c r="D622" s="588"/>
      <c r="E622" s="588"/>
      <c r="F622" s="588"/>
      <c r="G622" s="9" t="s">
        <v>6</v>
      </c>
      <c r="H622" s="9">
        <v>0.98340000000000005</v>
      </c>
      <c r="I622" s="13">
        <v>12</v>
      </c>
      <c r="J622" s="13">
        <f t="shared" si="21"/>
        <v>11.8</v>
      </c>
    </row>
    <row r="623" spans="1:10" ht="28.8">
      <c r="A623" s="10" t="s">
        <v>4</v>
      </c>
      <c r="B623" s="11">
        <v>86909</v>
      </c>
      <c r="C623" s="589" t="s">
        <v>356</v>
      </c>
      <c r="D623" s="590"/>
      <c r="E623" s="590"/>
      <c r="F623" s="590"/>
      <c r="G623" s="11" t="s">
        <v>36</v>
      </c>
      <c r="H623" s="11"/>
      <c r="I623" s="12">
        <f>J624+J625+J626+J627</f>
        <v>98.61</v>
      </c>
      <c r="J623" s="12"/>
    </row>
    <row r="624" spans="1:10">
      <c r="A624" t="s">
        <v>7</v>
      </c>
      <c r="B624" s="9">
        <v>3146</v>
      </c>
      <c r="C624" s="588" t="s">
        <v>349</v>
      </c>
      <c r="D624" s="588"/>
      <c r="E624" s="588"/>
      <c r="F624" s="588"/>
      <c r="G624" s="9" t="s">
        <v>36</v>
      </c>
      <c r="H624" s="9">
        <v>2.1000000000000001E-2</v>
      </c>
      <c r="I624" s="13">
        <v>4.5</v>
      </c>
      <c r="J624" s="13">
        <f t="shared" si="21"/>
        <v>0.09</v>
      </c>
    </row>
    <row r="625" spans="1:10">
      <c r="A625" t="s">
        <v>7</v>
      </c>
      <c r="B625" s="9">
        <v>11772</v>
      </c>
      <c r="C625" s="588" t="s">
        <v>357</v>
      </c>
      <c r="D625" s="588"/>
      <c r="E625" s="588"/>
      <c r="F625" s="588"/>
      <c r="G625" s="9" t="s">
        <v>36</v>
      </c>
      <c r="H625" s="9">
        <v>1</v>
      </c>
      <c r="I625" s="13">
        <v>95.06</v>
      </c>
      <c r="J625" s="13">
        <f t="shared" si="21"/>
        <v>95.06</v>
      </c>
    </row>
    <row r="626" spans="1:10">
      <c r="A626" t="s">
        <v>13</v>
      </c>
      <c r="B626" s="9">
        <v>88267</v>
      </c>
      <c r="C626" s="588" t="s">
        <v>37</v>
      </c>
      <c r="D626" s="588"/>
      <c r="E626" s="588"/>
      <c r="F626" s="588"/>
      <c r="G626" s="9" t="s">
        <v>6</v>
      </c>
      <c r="H626" s="9">
        <v>0.16669999999999999</v>
      </c>
      <c r="I626" s="13">
        <v>17</v>
      </c>
      <c r="J626" s="13">
        <f t="shared" si="21"/>
        <v>2.83</v>
      </c>
    </row>
    <row r="627" spans="1:10">
      <c r="A627" t="s">
        <v>13</v>
      </c>
      <c r="B627" s="9">
        <v>88316</v>
      </c>
      <c r="C627" s="588" t="s">
        <v>22</v>
      </c>
      <c r="D627" s="588"/>
      <c r="E627" s="588"/>
      <c r="F627" s="588"/>
      <c r="G627" s="9" t="s">
        <v>6</v>
      </c>
      <c r="H627" s="9">
        <v>5.2499999999999998E-2</v>
      </c>
      <c r="I627" s="13">
        <v>12</v>
      </c>
      <c r="J627" s="13">
        <f t="shared" si="21"/>
        <v>0.63</v>
      </c>
    </row>
    <row r="628" spans="1:10" ht="28.8">
      <c r="A628" s="10" t="s">
        <v>4</v>
      </c>
      <c r="B628" s="11">
        <v>86903</v>
      </c>
      <c r="C628" s="589" t="s">
        <v>358</v>
      </c>
      <c r="D628" s="590"/>
      <c r="E628" s="590"/>
      <c r="F628" s="590"/>
      <c r="G628" s="11" t="s">
        <v>36</v>
      </c>
      <c r="H628" s="11"/>
      <c r="I628" s="12">
        <f>J629+J630+J631+J632+J633</f>
        <v>277.89</v>
      </c>
      <c r="J628" s="12"/>
    </row>
    <row r="629" spans="1:10">
      <c r="A629" t="s">
        <v>7</v>
      </c>
      <c r="B629" s="9">
        <v>4351</v>
      </c>
      <c r="C629" s="588" t="s">
        <v>359</v>
      </c>
      <c r="D629" s="588"/>
      <c r="E629" s="588"/>
      <c r="F629" s="588"/>
      <c r="G629" s="9" t="s">
        <v>36</v>
      </c>
      <c r="H629" s="9">
        <v>6</v>
      </c>
      <c r="I629" s="13">
        <v>15.08</v>
      </c>
      <c r="J629" s="13">
        <f t="shared" si="21"/>
        <v>90.48</v>
      </c>
    </row>
    <row r="630" spans="1:10">
      <c r="A630" t="s">
        <v>7</v>
      </c>
      <c r="B630" s="9">
        <v>10426</v>
      </c>
      <c r="C630" s="588" t="s">
        <v>360</v>
      </c>
      <c r="D630" s="588"/>
      <c r="E630" s="588"/>
      <c r="F630" s="588"/>
      <c r="G630" s="9" t="s">
        <v>36</v>
      </c>
      <c r="H630" s="9">
        <v>1</v>
      </c>
      <c r="I630" s="13">
        <v>146.97999999999999</v>
      </c>
      <c r="J630" s="13">
        <f t="shared" si="21"/>
        <v>146.97999999999999</v>
      </c>
    </row>
    <row r="631" spans="1:10">
      <c r="A631" t="s">
        <v>7</v>
      </c>
      <c r="B631" s="9">
        <v>37329</v>
      </c>
      <c r="C631" s="588" t="s">
        <v>354</v>
      </c>
      <c r="D631" s="588"/>
      <c r="E631" s="588"/>
      <c r="F631" s="588"/>
      <c r="G631" s="9" t="s">
        <v>31</v>
      </c>
      <c r="H631" s="9">
        <v>8.6599999999999996E-2</v>
      </c>
      <c r="I631" s="13">
        <v>88.704874715299994</v>
      </c>
      <c r="J631" s="13">
        <f t="shared" si="21"/>
        <v>7.68</v>
      </c>
    </row>
    <row r="632" spans="1:10">
      <c r="A632" t="s">
        <v>13</v>
      </c>
      <c r="B632" s="9">
        <v>88267</v>
      </c>
      <c r="C632" s="588" t="s">
        <v>37</v>
      </c>
      <c r="D632" s="588"/>
      <c r="E632" s="588"/>
      <c r="F632" s="588"/>
      <c r="G632" s="9" t="s">
        <v>6</v>
      </c>
      <c r="H632" s="9">
        <v>1.4666999999999999</v>
      </c>
      <c r="I632" s="13">
        <v>17</v>
      </c>
      <c r="J632" s="13">
        <f t="shared" si="21"/>
        <v>24.93</v>
      </c>
    </row>
    <row r="633" spans="1:10">
      <c r="A633" t="s">
        <v>13</v>
      </c>
      <c r="B633" s="9">
        <v>88316</v>
      </c>
      <c r="C633" s="588" t="s">
        <v>22</v>
      </c>
      <c r="D633" s="588"/>
      <c r="E633" s="588"/>
      <c r="F633" s="588"/>
      <c r="G633" s="9" t="s">
        <v>6</v>
      </c>
      <c r="H633" s="9">
        <v>0.65169999999999995</v>
      </c>
      <c r="I633" s="13">
        <v>12</v>
      </c>
      <c r="J633" s="13">
        <f t="shared" si="21"/>
        <v>7.82</v>
      </c>
    </row>
    <row r="634" spans="1:10" ht="28.8">
      <c r="A634" s="10" t="s">
        <v>4</v>
      </c>
      <c r="B634" s="11">
        <v>86906</v>
      </c>
      <c r="C634" s="589" t="s">
        <v>361</v>
      </c>
      <c r="D634" s="590"/>
      <c r="E634" s="590"/>
      <c r="F634" s="590"/>
      <c r="G634" s="11" t="s">
        <v>36</v>
      </c>
      <c r="H634" s="11"/>
      <c r="I634" s="12">
        <f>J635+J636+J637+J638</f>
        <v>56.800000000000004</v>
      </c>
      <c r="J634" s="12"/>
    </row>
    <row r="635" spans="1:10">
      <c r="A635" t="s">
        <v>7</v>
      </c>
      <c r="B635" s="9">
        <v>3146</v>
      </c>
      <c r="C635" s="588" t="s">
        <v>349</v>
      </c>
      <c r="D635" s="588"/>
      <c r="E635" s="588"/>
      <c r="F635" s="588"/>
      <c r="G635" s="9" t="s">
        <v>36</v>
      </c>
      <c r="H635" s="9">
        <v>2.1000000000000001E-2</v>
      </c>
      <c r="I635" s="13">
        <v>4.5</v>
      </c>
      <c r="J635" s="13">
        <f t="shared" si="21"/>
        <v>0.09</v>
      </c>
    </row>
    <row r="636" spans="1:10">
      <c r="A636" t="s">
        <v>7</v>
      </c>
      <c r="B636" s="9">
        <v>13415</v>
      </c>
      <c r="C636" s="588" t="s">
        <v>362</v>
      </c>
      <c r="D636" s="588"/>
      <c r="E636" s="588"/>
      <c r="F636" s="588"/>
      <c r="G636" s="9" t="s">
        <v>36</v>
      </c>
      <c r="H636" s="9">
        <v>1</v>
      </c>
      <c r="I636" s="13">
        <v>54.72</v>
      </c>
      <c r="J636" s="13">
        <f t="shared" si="21"/>
        <v>54.72</v>
      </c>
    </row>
    <row r="637" spans="1:10">
      <c r="A637" t="s">
        <v>13</v>
      </c>
      <c r="B637" s="9">
        <v>88267</v>
      </c>
      <c r="C637" s="588" t="s">
        <v>37</v>
      </c>
      <c r="D637" s="588"/>
      <c r="E637" s="588"/>
      <c r="F637" s="588"/>
      <c r="G637" s="9" t="s">
        <v>6</v>
      </c>
      <c r="H637" s="9">
        <v>9.6000000000000002E-2</v>
      </c>
      <c r="I637" s="13">
        <v>17</v>
      </c>
      <c r="J637" s="13">
        <f t="shared" si="21"/>
        <v>1.63</v>
      </c>
    </row>
    <row r="638" spans="1:10">
      <c r="A638" t="s">
        <v>13</v>
      </c>
      <c r="B638" s="9">
        <v>88316</v>
      </c>
      <c r="C638" s="588" t="s">
        <v>22</v>
      </c>
      <c r="D638" s="588"/>
      <c r="E638" s="588"/>
      <c r="F638" s="588"/>
      <c r="G638" s="9" t="s">
        <v>6</v>
      </c>
      <c r="H638" s="9">
        <v>3.0300000000000001E-2</v>
      </c>
      <c r="I638" s="13">
        <v>12</v>
      </c>
      <c r="J638" s="13">
        <f t="shared" si="21"/>
        <v>0.36</v>
      </c>
    </row>
    <row r="639" spans="1:10" ht="28.8">
      <c r="A639" s="10" t="s">
        <v>4</v>
      </c>
      <c r="B639" s="11">
        <v>86915</v>
      </c>
      <c r="C639" s="589" t="s">
        <v>363</v>
      </c>
      <c r="D639" s="590"/>
      <c r="E639" s="590"/>
      <c r="F639" s="590"/>
      <c r="G639" s="11" t="s">
        <v>36</v>
      </c>
      <c r="H639" s="11"/>
      <c r="I639" s="12">
        <f>J640+J641+J642+J643</f>
        <v>109.03999999999999</v>
      </c>
      <c r="J639" s="12"/>
    </row>
    <row r="640" spans="1:10">
      <c r="A640" t="s">
        <v>7</v>
      </c>
      <c r="B640" s="9">
        <v>3146</v>
      </c>
      <c r="C640" s="588" t="s">
        <v>349</v>
      </c>
      <c r="D640" s="588"/>
      <c r="E640" s="588"/>
      <c r="F640" s="588"/>
      <c r="G640" s="9" t="s">
        <v>36</v>
      </c>
      <c r="H640" s="9">
        <v>2.1000000000000001E-2</v>
      </c>
      <c r="I640" s="13">
        <v>4.5</v>
      </c>
      <c r="J640" s="13">
        <f t="shared" si="21"/>
        <v>0.09</v>
      </c>
    </row>
    <row r="641" spans="1:10">
      <c r="A641" t="s">
        <v>7</v>
      </c>
      <c r="B641" s="9">
        <v>36791</v>
      </c>
      <c r="C641" s="588" t="s">
        <v>364</v>
      </c>
      <c r="D641" s="588"/>
      <c r="E641" s="588"/>
      <c r="F641" s="588"/>
      <c r="G641" s="9" t="s">
        <v>36</v>
      </c>
      <c r="H641" s="9">
        <v>1</v>
      </c>
      <c r="I641" s="13">
        <v>106.96</v>
      </c>
      <c r="J641" s="13">
        <f t="shared" si="21"/>
        <v>106.96</v>
      </c>
    </row>
    <row r="642" spans="1:10">
      <c r="A642" t="s">
        <v>13</v>
      </c>
      <c r="B642" s="9">
        <v>88267</v>
      </c>
      <c r="C642" s="588" t="s">
        <v>37</v>
      </c>
      <c r="D642" s="588"/>
      <c r="E642" s="588"/>
      <c r="F642" s="588"/>
      <c r="G642" s="9" t="s">
        <v>6</v>
      </c>
      <c r="H642" s="9">
        <v>9.6000000000000002E-2</v>
      </c>
      <c r="I642" s="13">
        <v>17</v>
      </c>
      <c r="J642" s="13">
        <f t="shared" si="21"/>
        <v>1.63</v>
      </c>
    </row>
    <row r="643" spans="1:10">
      <c r="A643" t="s">
        <v>13</v>
      </c>
      <c r="B643" s="9">
        <v>88316</v>
      </c>
      <c r="C643" s="588" t="s">
        <v>22</v>
      </c>
      <c r="D643" s="588"/>
      <c r="E643" s="588"/>
      <c r="F643" s="588"/>
      <c r="G643" s="9" t="s">
        <v>6</v>
      </c>
      <c r="H643" s="9">
        <v>3.0300000000000001E-2</v>
      </c>
      <c r="I643" s="13">
        <v>12</v>
      </c>
      <c r="J643" s="13">
        <f t="shared" si="21"/>
        <v>0.36</v>
      </c>
    </row>
    <row r="644" spans="1:10" ht="28.8">
      <c r="A644" s="10" t="s">
        <v>4</v>
      </c>
      <c r="B644" s="11">
        <v>86900</v>
      </c>
      <c r="C644" s="589" t="s">
        <v>365</v>
      </c>
      <c r="D644" s="590"/>
      <c r="E644" s="590"/>
      <c r="F644" s="590"/>
      <c r="G644" s="11" t="s">
        <v>36</v>
      </c>
      <c r="H644" s="11"/>
      <c r="I644" s="12">
        <f>J645+J646+J647+J648</f>
        <v>195.94</v>
      </c>
      <c r="J644" s="12"/>
    </row>
    <row r="645" spans="1:10">
      <c r="A645" t="s">
        <v>7</v>
      </c>
      <c r="B645" s="9">
        <v>1743</v>
      </c>
      <c r="C645" s="588" t="s">
        <v>366</v>
      </c>
      <c r="D645" s="588"/>
      <c r="E645" s="588"/>
      <c r="F645" s="588"/>
      <c r="G645" s="9" t="s">
        <v>36</v>
      </c>
      <c r="H645" s="9">
        <v>1</v>
      </c>
      <c r="I645" s="13">
        <v>175.35</v>
      </c>
      <c r="J645" s="13">
        <f t="shared" si="21"/>
        <v>175.35</v>
      </c>
    </row>
    <row r="646" spans="1:10">
      <c r="A646" t="s">
        <v>7</v>
      </c>
      <c r="B646" s="9">
        <v>4823</v>
      </c>
      <c r="C646" s="588" t="s">
        <v>352</v>
      </c>
      <c r="D646" s="588"/>
      <c r="E646" s="588"/>
      <c r="F646" s="588"/>
      <c r="G646" s="9" t="s">
        <v>31</v>
      </c>
      <c r="H646" s="9">
        <v>0.2974</v>
      </c>
      <c r="I646" s="13">
        <v>35.417502074700003</v>
      </c>
      <c r="J646" s="13">
        <f t="shared" si="21"/>
        <v>10.53</v>
      </c>
    </row>
    <row r="647" spans="1:10">
      <c r="A647" t="s">
        <v>13</v>
      </c>
      <c r="B647" s="9">
        <v>88274</v>
      </c>
      <c r="C647" s="588" t="s">
        <v>163</v>
      </c>
      <c r="D647" s="588"/>
      <c r="E647" s="588"/>
      <c r="F647" s="588"/>
      <c r="G647" s="9" t="s">
        <v>6</v>
      </c>
      <c r="H647" s="9">
        <v>0.47739999999999999</v>
      </c>
      <c r="I647" s="13">
        <v>17</v>
      </c>
      <c r="J647" s="13">
        <f t="shared" si="21"/>
        <v>8.11</v>
      </c>
    </row>
    <row r="648" spans="1:10">
      <c r="A648" t="s">
        <v>13</v>
      </c>
      <c r="B648" s="9">
        <v>88316</v>
      </c>
      <c r="C648" s="588" t="s">
        <v>22</v>
      </c>
      <c r="D648" s="588"/>
      <c r="E648" s="588"/>
      <c r="F648" s="588"/>
      <c r="G648" s="9" t="s">
        <v>6</v>
      </c>
      <c r="H648" s="9">
        <v>0.15040000000000001</v>
      </c>
      <c r="I648" s="13">
        <v>13</v>
      </c>
      <c r="J648" s="13">
        <f t="shared" si="21"/>
        <v>1.95</v>
      </c>
    </row>
    <row r="649" spans="1:10" ht="28.8">
      <c r="A649" s="10" t="s">
        <v>4</v>
      </c>
      <c r="B649" s="11">
        <v>86914</v>
      </c>
      <c r="C649" s="589" t="s">
        <v>367</v>
      </c>
      <c r="D649" s="590"/>
      <c r="E649" s="590"/>
      <c r="F649" s="590"/>
      <c r="G649" s="11" t="s">
        <v>36</v>
      </c>
      <c r="H649" s="11"/>
      <c r="I649" s="12">
        <f>J650+J651+J652+J653</f>
        <v>74.52</v>
      </c>
      <c r="J649" s="12"/>
    </row>
    <row r="650" spans="1:10">
      <c r="A650" t="s">
        <v>7</v>
      </c>
      <c r="B650" s="9">
        <v>3146</v>
      </c>
      <c r="C650" s="588" t="s">
        <v>349</v>
      </c>
      <c r="D650" s="588"/>
      <c r="E650" s="588"/>
      <c r="F650" s="588"/>
      <c r="G650" s="9" t="s">
        <v>36</v>
      </c>
      <c r="H650" s="9">
        <v>2.1000000000000001E-2</v>
      </c>
      <c r="I650" s="13">
        <v>4.5</v>
      </c>
      <c r="J650" s="13">
        <f t="shared" si="21"/>
        <v>0.09</v>
      </c>
    </row>
    <row r="651" spans="1:10">
      <c r="A651" t="s">
        <v>7</v>
      </c>
      <c r="B651" s="9">
        <v>13417</v>
      </c>
      <c r="C651" s="588" t="s">
        <v>368</v>
      </c>
      <c r="D651" s="588"/>
      <c r="E651" s="588"/>
      <c r="F651" s="588"/>
      <c r="G651" s="9" t="s">
        <v>36</v>
      </c>
      <c r="H651" s="9">
        <v>1</v>
      </c>
      <c r="I651" s="13">
        <v>71.27</v>
      </c>
      <c r="J651" s="13">
        <f t="shared" si="21"/>
        <v>71.27</v>
      </c>
    </row>
    <row r="652" spans="1:10">
      <c r="A652" t="s">
        <v>13</v>
      </c>
      <c r="B652" s="9">
        <v>88267</v>
      </c>
      <c r="C652" s="588" t="s">
        <v>37</v>
      </c>
      <c r="D652" s="588"/>
      <c r="E652" s="588"/>
      <c r="F652" s="588"/>
      <c r="G652" s="9" t="s">
        <v>6</v>
      </c>
      <c r="H652" s="9">
        <v>0.1525</v>
      </c>
      <c r="I652" s="13">
        <v>17</v>
      </c>
      <c r="J652" s="13">
        <f t="shared" si="21"/>
        <v>2.59</v>
      </c>
    </row>
    <row r="653" spans="1:10">
      <c r="A653" t="s">
        <v>13</v>
      </c>
      <c r="B653" s="9">
        <v>88316</v>
      </c>
      <c r="C653" s="588" t="s">
        <v>22</v>
      </c>
      <c r="D653" s="588"/>
      <c r="E653" s="588"/>
      <c r="F653" s="588"/>
      <c r="G653" s="9" t="s">
        <v>6</v>
      </c>
      <c r="H653" s="9">
        <v>4.8099999999999997E-2</v>
      </c>
      <c r="I653" s="13">
        <v>12</v>
      </c>
      <c r="J653" s="13">
        <f t="shared" si="21"/>
        <v>0.56999999999999995</v>
      </c>
    </row>
    <row r="654" spans="1:10" ht="28.8">
      <c r="A654" s="10" t="s">
        <v>4</v>
      </c>
      <c r="B654" s="11">
        <v>99635</v>
      </c>
      <c r="C654" s="589" t="s">
        <v>369</v>
      </c>
      <c r="D654" s="590"/>
      <c r="E654" s="590"/>
      <c r="F654" s="590"/>
      <c r="G654" s="11" t="s">
        <v>36</v>
      </c>
      <c r="H654" s="11"/>
      <c r="I654" s="12">
        <f>J655+J656+J657+J658</f>
        <v>163.04000000000002</v>
      </c>
      <c r="J654" s="12"/>
    </row>
    <row r="655" spans="1:10">
      <c r="A655" t="s">
        <v>7</v>
      </c>
      <c r="B655" s="9">
        <v>3148</v>
      </c>
      <c r="C655" s="588" t="s">
        <v>370</v>
      </c>
      <c r="D655" s="588"/>
      <c r="E655" s="588"/>
      <c r="F655" s="588"/>
      <c r="G655" s="9" t="s">
        <v>36</v>
      </c>
      <c r="H655" s="9">
        <v>1.9199999999999998E-2</v>
      </c>
      <c r="I655" s="13">
        <v>16</v>
      </c>
      <c r="J655" s="13">
        <f t="shared" si="21"/>
        <v>0.3</v>
      </c>
    </row>
    <row r="656" spans="1:10">
      <c r="A656" t="s">
        <v>7</v>
      </c>
      <c r="B656" s="9">
        <v>10228</v>
      </c>
      <c r="C656" s="588" t="s">
        <v>371</v>
      </c>
      <c r="D656" s="588"/>
      <c r="E656" s="588"/>
      <c r="F656" s="588"/>
      <c r="G656" s="9" t="s">
        <v>36</v>
      </c>
      <c r="H656" s="9">
        <v>1</v>
      </c>
      <c r="I656" s="13">
        <v>135.93</v>
      </c>
      <c r="J656" s="13">
        <f t="shared" si="21"/>
        <v>135.93</v>
      </c>
    </row>
    <row r="657" spans="1:10">
      <c r="A657" t="s">
        <v>13</v>
      </c>
      <c r="B657" s="9">
        <v>88248</v>
      </c>
      <c r="C657" s="588" t="s">
        <v>237</v>
      </c>
      <c r="D657" s="588"/>
      <c r="E657" s="588"/>
      <c r="F657" s="588"/>
      <c r="G657" s="9" t="s">
        <v>6</v>
      </c>
      <c r="H657" s="9">
        <v>0.92490000000000006</v>
      </c>
      <c r="I657" s="13">
        <v>12</v>
      </c>
      <c r="J657" s="13">
        <f t="shared" si="21"/>
        <v>11.09</v>
      </c>
    </row>
    <row r="658" spans="1:10">
      <c r="A658" t="s">
        <v>13</v>
      </c>
      <c r="B658" s="9">
        <v>88267</v>
      </c>
      <c r="C658" s="588" t="s">
        <v>37</v>
      </c>
      <c r="D658" s="588"/>
      <c r="E658" s="588"/>
      <c r="F658" s="588"/>
      <c r="G658" s="9" t="s">
        <v>6</v>
      </c>
      <c r="H658" s="9">
        <v>0.92490000000000006</v>
      </c>
      <c r="I658" s="13">
        <v>17</v>
      </c>
      <c r="J658" s="13">
        <f t="shared" si="21"/>
        <v>15.72</v>
      </c>
    </row>
    <row r="659" spans="1:10" ht="28.8">
      <c r="A659" s="10" t="s">
        <v>4</v>
      </c>
      <c r="B659" s="11">
        <v>94706</v>
      </c>
      <c r="C659" s="589" t="s">
        <v>372</v>
      </c>
      <c r="D659" s="590"/>
      <c r="E659" s="590"/>
      <c r="F659" s="590"/>
      <c r="G659" s="11" t="s">
        <v>36</v>
      </c>
      <c r="H659" s="11"/>
      <c r="I659" s="12">
        <f>J660+J661+J662+J663+J664+J665</f>
        <v>35.76</v>
      </c>
      <c r="J659" s="12"/>
    </row>
    <row r="660" spans="1:10">
      <c r="A660" t="s">
        <v>7</v>
      </c>
      <c r="B660" s="9">
        <v>99</v>
      </c>
      <c r="C660" s="588" t="s">
        <v>373</v>
      </c>
      <c r="D660" s="588"/>
      <c r="E660" s="588"/>
      <c r="F660" s="588"/>
      <c r="G660" s="9" t="s">
        <v>36</v>
      </c>
      <c r="H660" s="9">
        <v>1</v>
      </c>
      <c r="I660" s="13">
        <v>22.28</v>
      </c>
      <c r="J660" s="13">
        <f t="shared" si="21"/>
        <v>22.28</v>
      </c>
    </row>
    <row r="661" spans="1:10">
      <c r="A661" t="s">
        <v>7</v>
      </c>
      <c r="B661" s="9">
        <v>20080</v>
      </c>
      <c r="C661" s="588" t="s">
        <v>374</v>
      </c>
      <c r="D661" s="588"/>
      <c r="E661" s="588"/>
      <c r="F661" s="588"/>
      <c r="G661" s="9" t="s">
        <v>36</v>
      </c>
      <c r="H661" s="9">
        <v>0.19400000000000001</v>
      </c>
      <c r="I661" s="13">
        <v>22</v>
      </c>
      <c r="J661" s="13">
        <f t="shared" si="21"/>
        <v>4.26</v>
      </c>
    </row>
    <row r="662" spans="1:10">
      <c r="A662" t="s">
        <v>7</v>
      </c>
      <c r="B662" s="9">
        <v>20083</v>
      </c>
      <c r="C662" s="588" t="s">
        <v>375</v>
      </c>
      <c r="D662" s="588"/>
      <c r="E662" s="588"/>
      <c r="F662" s="588"/>
      <c r="G662" s="9" t="s">
        <v>36</v>
      </c>
      <c r="H662" s="9">
        <v>5.1999999999999998E-2</v>
      </c>
      <c r="I662" s="13">
        <v>76</v>
      </c>
      <c r="J662" s="13">
        <f t="shared" si="21"/>
        <v>3.95</v>
      </c>
    </row>
    <row r="663" spans="1:10">
      <c r="A663" t="s">
        <v>7</v>
      </c>
      <c r="B663" s="9">
        <v>38383</v>
      </c>
      <c r="C663" s="588" t="s">
        <v>376</v>
      </c>
      <c r="D663" s="588"/>
      <c r="E663" s="588"/>
      <c r="F663" s="588"/>
      <c r="G663" s="9" t="s">
        <v>36</v>
      </c>
      <c r="H663" s="9">
        <v>1.7999999999999999E-2</v>
      </c>
      <c r="I663" s="13">
        <v>2.2000000000000002</v>
      </c>
      <c r="J663" s="13">
        <f t="shared" si="21"/>
        <v>0.03</v>
      </c>
    </row>
    <row r="664" spans="1:10">
      <c r="A664" t="s">
        <v>13</v>
      </c>
      <c r="B664" s="9">
        <v>88248</v>
      </c>
      <c r="C664" s="588" t="s">
        <v>237</v>
      </c>
      <c r="D664" s="588"/>
      <c r="E664" s="588"/>
      <c r="F664" s="588"/>
      <c r="G664" s="9" t="s">
        <v>6</v>
      </c>
      <c r="H664" s="9">
        <v>0.18099999999999999</v>
      </c>
      <c r="I664" s="13">
        <v>12</v>
      </c>
      <c r="J664" s="13">
        <f t="shared" si="21"/>
        <v>2.17</v>
      </c>
    </row>
    <row r="665" spans="1:10">
      <c r="A665" t="s">
        <v>13</v>
      </c>
      <c r="B665" s="9">
        <v>88267</v>
      </c>
      <c r="C665" s="588" t="s">
        <v>37</v>
      </c>
      <c r="D665" s="588"/>
      <c r="E665" s="588"/>
      <c r="F665" s="588"/>
      <c r="G665" s="9" t="s">
        <v>6</v>
      </c>
      <c r="H665" s="9">
        <v>0.18099999999999999</v>
      </c>
      <c r="I665" s="13">
        <v>17</v>
      </c>
      <c r="J665" s="13">
        <f t="shared" si="21"/>
        <v>3.07</v>
      </c>
    </row>
    <row r="666" spans="1:10" ht="28.8">
      <c r="A666" s="10" t="s">
        <v>4</v>
      </c>
      <c r="B666" s="11">
        <v>94704</v>
      </c>
      <c r="C666" s="589" t="s">
        <v>377</v>
      </c>
      <c r="D666" s="590"/>
      <c r="E666" s="590"/>
      <c r="F666" s="590"/>
      <c r="G666" s="11" t="s">
        <v>36</v>
      </c>
      <c r="H666" s="11"/>
      <c r="I666" s="12">
        <f>J667+J668+J669+J670+J671+J672</f>
        <v>19.439999999999998</v>
      </c>
      <c r="J666" s="12"/>
    </row>
    <row r="667" spans="1:10">
      <c r="A667" t="s">
        <v>7</v>
      </c>
      <c r="B667" s="9">
        <v>97</v>
      </c>
      <c r="C667" s="588" t="s">
        <v>378</v>
      </c>
      <c r="D667" s="588"/>
      <c r="E667" s="588"/>
      <c r="F667" s="588"/>
      <c r="G667" s="9" t="s">
        <v>36</v>
      </c>
      <c r="H667" s="9">
        <v>1</v>
      </c>
      <c r="I667" s="13">
        <v>13.63</v>
      </c>
      <c r="J667" s="13">
        <f t="shared" si="21"/>
        <v>13.63</v>
      </c>
    </row>
    <row r="668" spans="1:10">
      <c r="A668" t="s">
        <v>7</v>
      </c>
      <c r="B668" s="9">
        <v>20080</v>
      </c>
      <c r="C668" s="588" t="s">
        <v>374</v>
      </c>
      <c r="D668" s="588"/>
      <c r="E668" s="588"/>
      <c r="F668" s="588"/>
      <c r="G668" s="9" t="s">
        <v>36</v>
      </c>
      <c r="H668" s="9">
        <v>4.5999999999999999E-2</v>
      </c>
      <c r="I668" s="13">
        <v>22</v>
      </c>
      <c r="J668" s="13">
        <f t="shared" si="21"/>
        <v>1.01</v>
      </c>
    </row>
    <row r="669" spans="1:10">
      <c r="A669" t="s">
        <v>7</v>
      </c>
      <c r="B669" s="9">
        <v>20083</v>
      </c>
      <c r="C669" s="588" t="s">
        <v>375</v>
      </c>
      <c r="D669" s="588"/>
      <c r="E669" s="588"/>
      <c r="F669" s="588"/>
      <c r="G669" s="9" t="s">
        <v>36</v>
      </c>
      <c r="H669" s="9">
        <v>1.0999999999999999E-2</v>
      </c>
      <c r="I669" s="13">
        <v>76</v>
      </c>
      <c r="J669" s="13">
        <f t="shared" si="21"/>
        <v>0.83</v>
      </c>
    </row>
    <row r="670" spans="1:10">
      <c r="A670" t="s">
        <v>7</v>
      </c>
      <c r="B670" s="9">
        <v>38383</v>
      </c>
      <c r="C670" s="588" t="s">
        <v>376</v>
      </c>
      <c r="D670" s="588"/>
      <c r="E670" s="588"/>
      <c r="F670" s="588"/>
      <c r="G670" s="9" t="s">
        <v>36</v>
      </c>
      <c r="H670" s="9">
        <v>1.4E-2</v>
      </c>
      <c r="I670" s="13">
        <v>2.2000000000000002</v>
      </c>
      <c r="J670" s="13">
        <f t="shared" si="21"/>
        <v>0.03</v>
      </c>
    </row>
    <row r="671" spans="1:10">
      <c r="A671" t="s">
        <v>13</v>
      </c>
      <c r="B671" s="9">
        <v>88248</v>
      </c>
      <c r="C671" s="588" t="s">
        <v>237</v>
      </c>
      <c r="D671" s="588"/>
      <c r="E671" s="588"/>
      <c r="F671" s="588"/>
      <c r="G671" s="9" t="s">
        <v>6</v>
      </c>
      <c r="H671" s="9">
        <v>0.13600000000000001</v>
      </c>
      <c r="I671" s="13">
        <v>12</v>
      </c>
      <c r="J671" s="13">
        <f t="shared" si="21"/>
        <v>1.63</v>
      </c>
    </row>
    <row r="672" spans="1:10">
      <c r="A672" t="s">
        <v>13</v>
      </c>
      <c r="B672" s="9">
        <v>88267</v>
      </c>
      <c r="C672" s="588" t="s">
        <v>37</v>
      </c>
      <c r="D672" s="588"/>
      <c r="E672" s="588"/>
      <c r="F672" s="588"/>
      <c r="G672" s="9" t="s">
        <v>6</v>
      </c>
      <c r="H672" s="9">
        <v>0.13600000000000001</v>
      </c>
      <c r="I672" s="13">
        <v>17</v>
      </c>
      <c r="J672" s="13">
        <f t="shared" si="21"/>
        <v>2.31</v>
      </c>
    </row>
    <row r="673" spans="1:10" ht="28.8">
      <c r="A673" s="10" t="s">
        <v>4</v>
      </c>
      <c r="B673" s="11">
        <v>94497</v>
      </c>
      <c r="C673" s="589" t="s">
        <v>379</v>
      </c>
      <c r="D673" s="590"/>
      <c r="E673" s="590"/>
      <c r="F673" s="590"/>
      <c r="G673" s="11" t="s">
        <v>36</v>
      </c>
      <c r="H673" s="11"/>
      <c r="I673" s="12">
        <f>J674+J675+J676+J677</f>
        <v>72.88</v>
      </c>
      <c r="J673" s="12"/>
    </row>
    <row r="674" spans="1:10">
      <c r="A674" t="s">
        <v>7</v>
      </c>
      <c r="B674" s="9">
        <v>3148</v>
      </c>
      <c r="C674" s="588" t="s">
        <v>370</v>
      </c>
      <c r="D674" s="588"/>
      <c r="E674" s="588"/>
      <c r="F674" s="588"/>
      <c r="G674" s="9" t="s">
        <v>36</v>
      </c>
      <c r="H674" s="9">
        <v>1.9199999999999998E-2</v>
      </c>
      <c r="I674" s="13">
        <v>16</v>
      </c>
      <c r="J674" s="13">
        <f t="shared" si="21"/>
        <v>0.3</v>
      </c>
    </row>
    <row r="675" spans="1:10">
      <c r="A675" t="s">
        <v>7</v>
      </c>
      <c r="B675" s="9">
        <v>6010</v>
      </c>
      <c r="C675" s="588" t="s">
        <v>380</v>
      </c>
      <c r="D675" s="588"/>
      <c r="E675" s="588"/>
      <c r="F675" s="588"/>
      <c r="G675" s="9" t="s">
        <v>36</v>
      </c>
      <c r="H675" s="9">
        <v>1</v>
      </c>
      <c r="I675" s="13">
        <v>64.959999999999994</v>
      </c>
      <c r="J675" s="13">
        <f t="shared" si="21"/>
        <v>64.959999999999994</v>
      </c>
    </row>
    <row r="676" spans="1:10">
      <c r="A676" t="s">
        <v>13</v>
      </c>
      <c r="B676" s="9">
        <v>88248</v>
      </c>
      <c r="C676" s="588" t="s">
        <v>237</v>
      </c>
      <c r="D676" s="588"/>
      <c r="E676" s="588"/>
      <c r="F676" s="588"/>
      <c r="G676" s="9" t="s">
        <v>6</v>
      </c>
      <c r="H676" s="9">
        <v>0.26329999999999998</v>
      </c>
      <c r="I676" s="13">
        <v>12</v>
      </c>
      <c r="J676" s="13">
        <f t="shared" si="21"/>
        <v>3.15</v>
      </c>
    </row>
    <row r="677" spans="1:10">
      <c r="A677" t="s">
        <v>13</v>
      </c>
      <c r="B677" s="9">
        <v>88267</v>
      </c>
      <c r="C677" s="588" t="s">
        <v>37</v>
      </c>
      <c r="D677" s="588"/>
      <c r="E677" s="588"/>
      <c r="F677" s="588"/>
      <c r="G677" s="9" t="s">
        <v>6</v>
      </c>
      <c r="H677" s="9">
        <v>0.26329999999999998</v>
      </c>
      <c r="I677" s="13">
        <v>17</v>
      </c>
      <c r="J677" s="13">
        <f t="shared" si="21"/>
        <v>4.47</v>
      </c>
    </row>
    <row r="678" spans="1:10" ht="28.8">
      <c r="A678" s="10" t="s">
        <v>4</v>
      </c>
      <c r="B678" s="11">
        <v>89987</v>
      </c>
      <c r="C678" s="589" t="s">
        <v>381</v>
      </c>
      <c r="D678" s="590"/>
      <c r="E678" s="590"/>
      <c r="F678" s="590"/>
      <c r="G678" s="11" t="s">
        <v>36</v>
      </c>
      <c r="H678" s="11"/>
      <c r="I678" s="12">
        <f>J679+J680+J681+J682</f>
        <v>64.92</v>
      </c>
      <c r="J678" s="12"/>
    </row>
    <row r="679" spans="1:10">
      <c r="A679" t="s">
        <v>7</v>
      </c>
      <c r="B679" s="9">
        <v>3148</v>
      </c>
      <c r="C679" s="588" t="s">
        <v>370</v>
      </c>
      <c r="D679" s="588"/>
      <c r="E679" s="588"/>
      <c r="F679" s="588"/>
      <c r="G679" s="9" t="s">
        <v>36</v>
      </c>
      <c r="H679" s="9">
        <v>1.06E-2</v>
      </c>
      <c r="I679" s="13">
        <v>16</v>
      </c>
      <c r="J679" s="13">
        <f t="shared" si="21"/>
        <v>0.16</v>
      </c>
    </row>
    <row r="680" spans="1:10">
      <c r="A680" t="s">
        <v>7</v>
      </c>
      <c r="B680" s="9">
        <v>6005</v>
      </c>
      <c r="C680" s="588" t="s">
        <v>382</v>
      </c>
      <c r="D680" s="588"/>
      <c r="E680" s="588"/>
      <c r="F680" s="588"/>
      <c r="G680" s="9" t="s">
        <v>36</v>
      </c>
      <c r="H680" s="9">
        <v>1</v>
      </c>
      <c r="I680" s="13">
        <v>58.35</v>
      </c>
      <c r="J680" s="13">
        <f t="shared" si="21"/>
        <v>58.35</v>
      </c>
    </row>
    <row r="681" spans="1:10">
      <c r="A681" t="s">
        <v>13</v>
      </c>
      <c r="B681" s="9">
        <v>88248</v>
      </c>
      <c r="C681" s="588" t="s">
        <v>237</v>
      </c>
      <c r="D681" s="588"/>
      <c r="E681" s="588"/>
      <c r="F681" s="588"/>
      <c r="G681" s="9" t="s">
        <v>6</v>
      </c>
      <c r="H681" s="9">
        <v>0.22120000000000001</v>
      </c>
      <c r="I681" s="13">
        <v>12</v>
      </c>
      <c r="J681" s="13">
        <f t="shared" si="21"/>
        <v>2.65</v>
      </c>
    </row>
    <row r="682" spans="1:10">
      <c r="A682" t="s">
        <v>13</v>
      </c>
      <c r="B682" s="9">
        <v>88267</v>
      </c>
      <c r="C682" s="588" t="s">
        <v>37</v>
      </c>
      <c r="D682" s="588"/>
      <c r="E682" s="588"/>
      <c r="F682" s="588"/>
      <c r="G682" s="9" t="s">
        <v>6</v>
      </c>
      <c r="H682" s="9">
        <v>0.22120000000000001</v>
      </c>
      <c r="I682" s="13">
        <v>17</v>
      </c>
      <c r="J682" s="13">
        <f t="shared" si="21"/>
        <v>3.76</v>
      </c>
    </row>
    <row r="683" spans="1:10" ht="28.8">
      <c r="A683" s="10" t="s">
        <v>4</v>
      </c>
      <c r="B683" s="11">
        <v>89446</v>
      </c>
      <c r="C683" s="589" t="s">
        <v>383</v>
      </c>
      <c r="D683" s="590"/>
      <c r="E683" s="590"/>
      <c r="F683" s="590"/>
      <c r="G683" s="11" t="s">
        <v>63</v>
      </c>
      <c r="H683" s="11"/>
      <c r="I683" s="12">
        <f>J684+J685+J686</f>
        <v>4.16</v>
      </c>
      <c r="J683" s="12"/>
    </row>
    <row r="684" spans="1:10">
      <c r="A684" t="s">
        <v>7</v>
      </c>
      <c r="B684" s="9">
        <v>9868</v>
      </c>
      <c r="C684" s="588" t="s">
        <v>384</v>
      </c>
      <c r="D684" s="588"/>
      <c r="E684" s="588"/>
      <c r="F684" s="588"/>
      <c r="G684" s="9" t="s">
        <v>63</v>
      </c>
      <c r="H684" s="9">
        <v>1.0609999999999999</v>
      </c>
      <c r="I684" s="13">
        <v>3.4905660376999998</v>
      </c>
      <c r="J684" s="13">
        <f t="shared" si="21"/>
        <v>3.7</v>
      </c>
    </row>
    <row r="685" spans="1:10">
      <c r="A685" t="s">
        <v>13</v>
      </c>
      <c r="B685" s="9">
        <v>88248</v>
      </c>
      <c r="C685" s="588" t="s">
        <v>237</v>
      </c>
      <c r="D685" s="588"/>
      <c r="E685" s="588"/>
      <c r="F685" s="588"/>
      <c r="G685" s="9" t="s">
        <v>6</v>
      </c>
      <c r="H685" s="9">
        <v>1.6E-2</v>
      </c>
      <c r="I685" s="13">
        <v>12</v>
      </c>
      <c r="J685" s="13">
        <f t="shared" si="21"/>
        <v>0.19</v>
      </c>
    </row>
    <row r="686" spans="1:10">
      <c r="A686" t="s">
        <v>13</v>
      </c>
      <c r="B686" s="9">
        <v>88267</v>
      </c>
      <c r="C686" s="588" t="s">
        <v>37</v>
      </c>
      <c r="D686" s="588"/>
      <c r="E686" s="588"/>
      <c r="F686" s="588"/>
      <c r="G686" s="9" t="s">
        <v>6</v>
      </c>
      <c r="H686" s="9">
        <v>1.6E-2</v>
      </c>
      <c r="I686" s="13">
        <v>17</v>
      </c>
      <c r="J686" s="13">
        <f t="shared" si="21"/>
        <v>0.27</v>
      </c>
    </row>
    <row r="687" spans="1:10" ht="28.8">
      <c r="A687" s="10" t="s">
        <v>4</v>
      </c>
      <c r="B687" s="11">
        <v>89447</v>
      </c>
      <c r="C687" s="589" t="s">
        <v>385</v>
      </c>
      <c r="D687" s="590"/>
      <c r="E687" s="590"/>
      <c r="F687" s="590"/>
      <c r="G687" s="11" t="s">
        <v>63</v>
      </c>
      <c r="H687" s="11"/>
      <c r="I687" s="12">
        <f>J688+J689+J690</f>
        <v>8.9</v>
      </c>
      <c r="J687" s="12"/>
    </row>
    <row r="688" spans="1:10">
      <c r="A688" t="s">
        <v>7</v>
      </c>
      <c r="B688" s="9">
        <v>9869</v>
      </c>
      <c r="C688" s="588" t="s">
        <v>386</v>
      </c>
      <c r="D688" s="588"/>
      <c r="E688" s="588"/>
      <c r="F688" s="588"/>
      <c r="G688" s="9" t="s">
        <v>63</v>
      </c>
      <c r="H688" s="9">
        <v>1.0609999999999999</v>
      </c>
      <c r="I688" s="13">
        <v>7.8480672268999996</v>
      </c>
      <c r="J688" s="13">
        <f t="shared" si="21"/>
        <v>8.32</v>
      </c>
    </row>
    <row r="689" spans="1:10">
      <c r="A689" t="s">
        <v>13</v>
      </c>
      <c r="B689" s="9">
        <v>88248</v>
      </c>
      <c r="C689" s="588" t="s">
        <v>237</v>
      </c>
      <c r="D689" s="588"/>
      <c r="E689" s="588"/>
      <c r="F689" s="588"/>
      <c r="G689" s="9" t="s">
        <v>6</v>
      </c>
      <c r="H689" s="9">
        <v>0.02</v>
      </c>
      <c r="I689" s="13">
        <v>12</v>
      </c>
      <c r="J689" s="13">
        <f t="shared" si="21"/>
        <v>0.24</v>
      </c>
    </row>
    <row r="690" spans="1:10">
      <c r="A690" t="s">
        <v>13</v>
      </c>
      <c r="B690" s="9">
        <v>88267</v>
      </c>
      <c r="C690" s="588" t="s">
        <v>37</v>
      </c>
      <c r="D690" s="588"/>
      <c r="E690" s="588"/>
      <c r="F690" s="588"/>
      <c r="G690" s="9" t="s">
        <v>6</v>
      </c>
      <c r="H690" s="9">
        <v>0.02</v>
      </c>
      <c r="I690" s="13">
        <v>17</v>
      </c>
      <c r="J690" s="13">
        <f t="shared" si="21"/>
        <v>0.34</v>
      </c>
    </row>
    <row r="691" spans="1:10" ht="28.8">
      <c r="A691" s="10" t="s">
        <v>4</v>
      </c>
      <c r="B691" s="11">
        <v>89449</v>
      </c>
      <c r="C691" s="589" t="s">
        <v>387</v>
      </c>
      <c r="D691" s="590"/>
      <c r="E691" s="590"/>
      <c r="F691" s="590"/>
      <c r="G691" s="11" t="s">
        <v>63</v>
      </c>
      <c r="H691" s="11"/>
      <c r="I691" s="12">
        <f>J692+J693+J694+J695</f>
        <v>14.73</v>
      </c>
      <c r="J691" s="12"/>
    </row>
    <row r="692" spans="1:10">
      <c r="A692" t="s">
        <v>7</v>
      </c>
      <c r="B692" s="9">
        <v>9875</v>
      </c>
      <c r="C692" s="588" t="s">
        <v>388</v>
      </c>
      <c r="D692" s="588"/>
      <c r="E692" s="588"/>
      <c r="F692" s="588"/>
      <c r="G692" s="9" t="s">
        <v>63</v>
      </c>
      <c r="H692" s="9">
        <v>1.0609999999999999</v>
      </c>
      <c r="I692" s="13">
        <v>13.085110132200001</v>
      </c>
      <c r="J692" s="13">
        <f t="shared" si="21"/>
        <v>13.88</v>
      </c>
    </row>
    <row r="693" spans="1:10">
      <c r="A693" t="s">
        <v>7</v>
      </c>
      <c r="B693" s="9">
        <v>38383</v>
      </c>
      <c r="C693" s="588" t="s">
        <v>376</v>
      </c>
      <c r="D693" s="588"/>
      <c r="E693" s="588"/>
      <c r="F693" s="588"/>
      <c r="G693" s="9" t="s">
        <v>36</v>
      </c>
      <c r="H693" s="9">
        <v>0.01</v>
      </c>
      <c r="I693" s="13">
        <v>2</v>
      </c>
      <c r="J693" s="13">
        <f t="shared" si="21"/>
        <v>0.02</v>
      </c>
    </row>
    <row r="694" spans="1:10">
      <c r="A694" t="s">
        <v>13</v>
      </c>
      <c r="B694" s="9">
        <v>88248</v>
      </c>
      <c r="C694" s="588" t="s">
        <v>237</v>
      </c>
      <c r="D694" s="588"/>
      <c r="E694" s="588"/>
      <c r="F694" s="588"/>
      <c r="G694" s="9" t="s">
        <v>6</v>
      </c>
      <c r="H694" s="9">
        <v>2.9000000000000001E-2</v>
      </c>
      <c r="I694" s="13">
        <v>12</v>
      </c>
      <c r="J694" s="13">
        <f t="shared" si="21"/>
        <v>0.34</v>
      </c>
    </row>
    <row r="695" spans="1:10">
      <c r="A695" t="s">
        <v>13</v>
      </c>
      <c r="B695" s="9">
        <v>88267</v>
      </c>
      <c r="C695" s="588" t="s">
        <v>37</v>
      </c>
      <c r="D695" s="588"/>
      <c r="E695" s="588"/>
      <c r="F695" s="588"/>
      <c r="G695" s="9" t="s">
        <v>6</v>
      </c>
      <c r="H695" s="9">
        <v>2.9000000000000001E-2</v>
      </c>
      <c r="I695" s="13">
        <v>17</v>
      </c>
      <c r="J695" s="13">
        <f t="shared" si="21"/>
        <v>0.49</v>
      </c>
    </row>
    <row r="696" spans="1:10" ht="28.8">
      <c r="A696" s="10" t="s">
        <v>4</v>
      </c>
      <c r="B696" s="11">
        <v>89450</v>
      </c>
      <c r="C696" s="589" t="s">
        <v>389</v>
      </c>
      <c r="D696" s="590"/>
      <c r="E696" s="590"/>
      <c r="F696" s="590"/>
      <c r="G696" s="11" t="s">
        <v>63</v>
      </c>
      <c r="H696" s="11"/>
      <c r="I696" s="12">
        <f>J697+J698+J699+J700</f>
        <v>24.470000000000002</v>
      </c>
      <c r="J696" s="12"/>
    </row>
    <row r="697" spans="1:10">
      <c r="A697" t="s">
        <v>7</v>
      </c>
      <c r="B697" s="9">
        <v>9873</v>
      </c>
      <c r="C697" s="588" t="s">
        <v>390</v>
      </c>
      <c r="D697" s="588"/>
      <c r="E697" s="588"/>
      <c r="F697" s="588"/>
      <c r="G697" s="9" t="s">
        <v>63</v>
      </c>
      <c r="H697" s="9">
        <v>1.0609999999999999</v>
      </c>
      <c r="I697" s="13">
        <v>22.0935770235</v>
      </c>
      <c r="J697" s="13">
        <f t="shared" si="21"/>
        <v>23.44</v>
      </c>
    </row>
    <row r="698" spans="1:10">
      <c r="A698" t="s">
        <v>7</v>
      </c>
      <c r="B698" s="9">
        <v>38383</v>
      </c>
      <c r="C698" s="588" t="s">
        <v>376</v>
      </c>
      <c r="D698" s="588"/>
      <c r="E698" s="588"/>
      <c r="F698" s="588"/>
      <c r="G698" s="9" t="s">
        <v>36</v>
      </c>
      <c r="H698" s="9">
        <v>1.0999999999999999E-2</v>
      </c>
      <c r="I698" s="13">
        <v>2</v>
      </c>
      <c r="J698" s="13">
        <f t="shared" si="21"/>
        <v>0.02</v>
      </c>
    </row>
    <row r="699" spans="1:10">
      <c r="A699" t="s">
        <v>13</v>
      </c>
      <c r="B699" s="9">
        <v>88248</v>
      </c>
      <c r="C699" s="588" t="s">
        <v>237</v>
      </c>
      <c r="D699" s="588"/>
      <c r="E699" s="588"/>
      <c r="F699" s="588"/>
      <c r="G699" s="9" t="s">
        <v>6</v>
      </c>
      <c r="H699" s="9">
        <v>3.4000000000000002E-2</v>
      </c>
      <c r="I699" s="13">
        <v>13</v>
      </c>
      <c r="J699" s="13">
        <f t="shared" si="21"/>
        <v>0.44</v>
      </c>
    </row>
    <row r="700" spans="1:10">
      <c r="A700" t="s">
        <v>13</v>
      </c>
      <c r="B700" s="9">
        <v>88267</v>
      </c>
      <c r="C700" s="588" t="s">
        <v>37</v>
      </c>
      <c r="D700" s="588"/>
      <c r="E700" s="588"/>
      <c r="F700" s="588"/>
      <c r="G700" s="9" t="s">
        <v>6</v>
      </c>
      <c r="H700" s="9">
        <v>3.4000000000000002E-2</v>
      </c>
      <c r="I700" s="13">
        <v>17</v>
      </c>
      <c r="J700" s="13">
        <f t="shared" si="21"/>
        <v>0.56999999999999995</v>
      </c>
    </row>
    <row r="701" spans="1:10" ht="28.8">
      <c r="A701" s="10" t="s">
        <v>4</v>
      </c>
      <c r="B701" s="11">
        <v>89546</v>
      </c>
      <c r="C701" s="589" t="s">
        <v>391</v>
      </c>
      <c r="D701" s="590"/>
      <c r="E701" s="590"/>
      <c r="F701" s="590"/>
      <c r="G701" s="11" t="s">
        <v>36</v>
      </c>
      <c r="H701" s="11"/>
      <c r="I701" s="12">
        <f>J702+J703+J704+J705+J706</f>
        <v>12.270000000000001</v>
      </c>
      <c r="J701" s="12"/>
    </row>
    <row r="702" spans="1:10">
      <c r="A702" t="s">
        <v>7</v>
      </c>
      <c r="B702" s="9">
        <v>20078</v>
      </c>
      <c r="C702" s="588" t="s">
        <v>392</v>
      </c>
      <c r="D702" s="588"/>
      <c r="E702" s="588"/>
      <c r="F702" s="588"/>
      <c r="G702" s="9" t="s">
        <v>36</v>
      </c>
      <c r="H702" s="9">
        <v>0.02</v>
      </c>
      <c r="I702" s="13">
        <v>27</v>
      </c>
      <c r="J702" s="13">
        <f t="shared" si="21"/>
        <v>0.54</v>
      </c>
    </row>
    <row r="703" spans="1:10">
      <c r="A703" t="s">
        <v>7</v>
      </c>
      <c r="B703" s="9">
        <v>20085</v>
      </c>
      <c r="C703" s="588" t="s">
        <v>393</v>
      </c>
      <c r="D703" s="588"/>
      <c r="E703" s="588"/>
      <c r="F703" s="588"/>
      <c r="G703" s="9" t="s">
        <v>36</v>
      </c>
      <c r="H703" s="9">
        <v>1</v>
      </c>
      <c r="I703" s="13">
        <v>3.14</v>
      </c>
      <c r="J703" s="13">
        <f t="shared" si="21"/>
        <v>3.14</v>
      </c>
    </row>
    <row r="704" spans="1:10">
      <c r="A704" t="s">
        <v>7</v>
      </c>
      <c r="B704" s="9">
        <v>38418</v>
      </c>
      <c r="C704" s="588" t="s">
        <v>394</v>
      </c>
      <c r="D704" s="588"/>
      <c r="E704" s="588"/>
      <c r="F704" s="588"/>
      <c r="G704" s="9" t="s">
        <v>36</v>
      </c>
      <c r="H704" s="9">
        <v>1</v>
      </c>
      <c r="I704" s="13">
        <v>7.29</v>
      </c>
      <c r="J704" s="13">
        <f t="shared" si="21"/>
        <v>7.29</v>
      </c>
    </row>
    <row r="705" spans="1:10">
      <c r="A705" t="s">
        <v>13</v>
      </c>
      <c r="B705" s="9">
        <v>88248</v>
      </c>
      <c r="C705" s="588" t="s">
        <v>237</v>
      </c>
      <c r="D705" s="588"/>
      <c r="E705" s="588"/>
      <c r="F705" s="588"/>
      <c r="G705" s="9" t="s">
        <v>6</v>
      </c>
      <c r="H705" s="9">
        <v>4.4999999999999998E-2</v>
      </c>
      <c r="I705" s="13">
        <v>12</v>
      </c>
      <c r="J705" s="13">
        <f t="shared" si="21"/>
        <v>0.54</v>
      </c>
    </row>
    <row r="706" spans="1:10">
      <c r="A706" t="s">
        <v>13</v>
      </c>
      <c r="B706" s="9">
        <v>88267</v>
      </c>
      <c r="C706" s="588" t="s">
        <v>37</v>
      </c>
      <c r="D706" s="588"/>
      <c r="E706" s="588"/>
      <c r="F706" s="588"/>
      <c r="G706" s="9" t="s">
        <v>6</v>
      </c>
      <c r="H706" s="9">
        <v>4.4999999999999998E-2</v>
      </c>
      <c r="I706" s="13">
        <v>17</v>
      </c>
      <c r="J706" s="13">
        <f t="shared" si="21"/>
        <v>0.76</v>
      </c>
    </row>
    <row r="707" spans="1:10" ht="28.8">
      <c r="A707" s="10" t="s">
        <v>4</v>
      </c>
      <c r="B707" s="11">
        <v>89363</v>
      </c>
      <c r="C707" s="589" t="s">
        <v>395</v>
      </c>
      <c r="D707" s="590"/>
      <c r="E707" s="590"/>
      <c r="F707" s="590"/>
      <c r="G707" s="11" t="s">
        <v>36</v>
      </c>
      <c r="H707" s="11"/>
      <c r="I707" s="12">
        <f>J708+J709+J710+J711+J712+J713</f>
        <v>6.92</v>
      </c>
      <c r="J707" s="12"/>
    </row>
    <row r="708" spans="1:10">
      <c r="A708" t="s">
        <v>7</v>
      </c>
      <c r="B708" s="9">
        <v>122</v>
      </c>
      <c r="C708" s="588" t="s">
        <v>396</v>
      </c>
      <c r="D708" s="588"/>
      <c r="E708" s="588"/>
      <c r="F708" s="588"/>
      <c r="G708" s="9" t="s">
        <v>36</v>
      </c>
      <c r="H708" s="9">
        <v>7.0000000000000001E-3</v>
      </c>
      <c r="I708" s="13">
        <v>67</v>
      </c>
      <c r="J708" s="13">
        <f t="shared" si="21"/>
        <v>0.46</v>
      </c>
    </row>
    <row r="709" spans="1:10">
      <c r="A709" t="s">
        <v>7</v>
      </c>
      <c r="B709" s="9">
        <v>3500</v>
      </c>
      <c r="C709" s="588" t="s">
        <v>397</v>
      </c>
      <c r="D709" s="588"/>
      <c r="E709" s="588"/>
      <c r="F709" s="588"/>
      <c r="G709" s="9" t="s">
        <v>36</v>
      </c>
      <c r="H709" s="9">
        <v>1</v>
      </c>
      <c r="I709" s="13">
        <v>1.41</v>
      </c>
      <c r="J709" s="13">
        <f t="shared" si="21"/>
        <v>1.41</v>
      </c>
    </row>
    <row r="710" spans="1:10">
      <c r="A710" t="s">
        <v>7</v>
      </c>
      <c r="B710" s="9">
        <v>20083</v>
      </c>
      <c r="C710" s="588" t="s">
        <v>375</v>
      </c>
      <c r="D710" s="588"/>
      <c r="E710" s="588"/>
      <c r="F710" s="588"/>
      <c r="G710" s="9" t="s">
        <v>36</v>
      </c>
      <c r="H710" s="9">
        <v>8.0000000000000002E-3</v>
      </c>
      <c r="I710" s="13">
        <v>76</v>
      </c>
      <c r="J710" s="13">
        <f t="shared" si="21"/>
        <v>0.6</v>
      </c>
    </row>
    <row r="711" spans="1:10">
      <c r="A711" t="s">
        <v>7</v>
      </c>
      <c r="B711" s="9">
        <v>38383</v>
      </c>
      <c r="C711" s="588" t="s">
        <v>376</v>
      </c>
      <c r="D711" s="588"/>
      <c r="E711" s="588"/>
      <c r="F711" s="588"/>
      <c r="G711" s="9" t="s">
        <v>36</v>
      </c>
      <c r="H711" s="9">
        <v>0.05</v>
      </c>
      <c r="I711" s="13">
        <v>2</v>
      </c>
      <c r="J711" s="13">
        <f t="shared" si="21"/>
        <v>0.1</v>
      </c>
    </row>
    <row r="712" spans="1:10">
      <c r="A712" t="s">
        <v>13</v>
      </c>
      <c r="B712" s="9">
        <v>88248</v>
      </c>
      <c r="C712" s="588" t="s">
        <v>237</v>
      </c>
      <c r="D712" s="588"/>
      <c r="E712" s="588"/>
      <c r="F712" s="588"/>
      <c r="G712" s="9" t="s">
        <v>6</v>
      </c>
      <c r="H712" s="9">
        <v>0.15</v>
      </c>
      <c r="I712" s="13">
        <v>12</v>
      </c>
      <c r="J712" s="13">
        <f t="shared" si="21"/>
        <v>1.8</v>
      </c>
    </row>
    <row r="713" spans="1:10">
      <c r="A713" t="s">
        <v>13</v>
      </c>
      <c r="B713" s="9">
        <v>88267</v>
      </c>
      <c r="C713" s="588" t="s">
        <v>37</v>
      </c>
      <c r="D713" s="588"/>
      <c r="E713" s="588"/>
      <c r="F713" s="588"/>
      <c r="G713" s="9" t="s">
        <v>6</v>
      </c>
      <c r="H713" s="9">
        <v>0.15</v>
      </c>
      <c r="I713" s="13">
        <v>17</v>
      </c>
      <c r="J713" s="13">
        <f t="shared" si="21"/>
        <v>2.5499999999999998</v>
      </c>
    </row>
    <row r="714" spans="1:10" ht="28.8">
      <c r="A714" s="10" t="s">
        <v>4</v>
      </c>
      <c r="B714" s="11">
        <v>89367</v>
      </c>
      <c r="C714" s="589" t="s">
        <v>398</v>
      </c>
      <c r="D714" s="590"/>
      <c r="E714" s="590"/>
      <c r="F714" s="590"/>
      <c r="G714" s="11" t="s">
        <v>36</v>
      </c>
      <c r="H714" s="11"/>
      <c r="I714" s="12">
        <f>J715+J716+J717+J718+J719+J720</f>
        <v>8.7800000000000011</v>
      </c>
      <c r="J714" s="12"/>
    </row>
    <row r="715" spans="1:10">
      <c r="A715" t="s">
        <v>7</v>
      </c>
      <c r="B715" s="9">
        <v>122</v>
      </c>
      <c r="C715" s="588" t="s">
        <v>396</v>
      </c>
      <c r="D715" s="588"/>
      <c r="E715" s="588"/>
      <c r="F715" s="588"/>
      <c r="G715" s="9" t="s">
        <v>36</v>
      </c>
      <c r="H715" s="9">
        <v>8.9999999999999993E-3</v>
      </c>
      <c r="I715" s="13">
        <v>67</v>
      </c>
      <c r="J715" s="13">
        <f t="shared" si="21"/>
        <v>0.6</v>
      </c>
    </row>
    <row r="716" spans="1:10">
      <c r="A716" t="s">
        <v>7</v>
      </c>
      <c r="B716" s="9">
        <v>3536</v>
      </c>
      <c r="C716" s="588" t="s">
        <v>399</v>
      </c>
      <c r="D716" s="588"/>
      <c r="E716" s="588"/>
      <c r="F716" s="588"/>
      <c r="G716" s="9" t="s">
        <v>36</v>
      </c>
      <c r="H716" s="9">
        <v>1</v>
      </c>
      <c r="I716" s="13">
        <v>2.0499999999999998</v>
      </c>
      <c r="J716" s="13">
        <f t="shared" si="21"/>
        <v>2.0499999999999998</v>
      </c>
    </row>
    <row r="717" spans="1:10">
      <c r="A717" t="s">
        <v>7</v>
      </c>
      <c r="B717" s="9">
        <v>20083</v>
      </c>
      <c r="C717" s="588" t="s">
        <v>375</v>
      </c>
      <c r="D717" s="588"/>
      <c r="E717" s="588"/>
      <c r="F717" s="588"/>
      <c r="G717" s="9" t="s">
        <v>36</v>
      </c>
      <c r="H717" s="9">
        <v>1.0999999999999999E-2</v>
      </c>
      <c r="I717" s="13">
        <v>76</v>
      </c>
      <c r="J717" s="13">
        <f t="shared" si="21"/>
        <v>0.83</v>
      </c>
    </row>
    <row r="718" spans="1:10">
      <c r="A718" t="s">
        <v>7</v>
      </c>
      <c r="B718" s="9">
        <v>38383</v>
      </c>
      <c r="C718" s="588" t="s">
        <v>376</v>
      </c>
      <c r="D718" s="588"/>
      <c r="E718" s="588"/>
      <c r="F718" s="588"/>
      <c r="G718" s="9" t="s">
        <v>36</v>
      </c>
      <c r="H718" s="9">
        <v>0.06</v>
      </c>
      <c r="I718" s="13">
        <v>2</v>
      </c>
      <c r="J718" s="13">
        <f t="shared" si="21"/>
        <v>0.12</v>
      </c>
    </row>
    <row r="719" spans="1:10">
      <c r="A719" t="s">
        <v>13</v>
      </c>
      <c r="B719" s="9">
        <v>88248</v>
      </c>
      <c r="C719" s="588" t="s">
        <v>237</v>
      </c>
      <c r="D719" s="588"/>
      <c r="E719" s="588"/>
      <c r="F719" s="588"/>
      <c r="G719" s="9" t="s">
        <v>6</v>
      </c>
      <c r="H719" s="9">
        <v>0.17899999999999999</v>
      </c>
      <c r="I719" s="13">
        <v>12</v>
      </c>
      <c r="J719" s="13">
        <f t="shared" si="21"/>
        <v>2.14</v>
      </c>
    </row>
    <row r="720" spans="1:10">
      <c r="A720" t="s">
        <v>13</v>
      </c>
      <c r="B720" s="9">
        <v>88267</v>
      </c>
      <c r="C720" s="588" t="s">
        <v>37</v>
      </c>
      <c r="D720" s="588"/>
      <c r="E720" s="588"/>
      <c r="F720" s="588"/>
      <c r="G720" s="9" t="s">
        <v>6</v>
      </c>
      <c r="H720" s="9">
        <v>0.17899999999999999</v>
      </c>
      <c r="I720" s="13">
        <v>17</v>
      </c>
      <c r="J720" s="13">
        <f t="shared" si="21"/>
        <v>3.04</v>
      </c>
    </row>
    <row r="721" spans="1:10" ht="28.8">
      <c r="A721" s="10" t="s">
        <v>4</v>
      </c>
      <c r="B721" s="11">
        <v>89501</v>
      </c>
      <c r="C721" s="589" t="s">
        <v>400</v>
      </c>
      <c r="D721" s="590"/>
      <c r="E721" s="590"/>
      <c r="F721" s="590"/>
      <c r="G721" s="11" t="s">
        <v>36</v>
      </c>
      <c r="H721" s="11"/>
      <c r="I721" s="12">
        <f>J722+J723+J724+J725+J726+J727</f>
        <v>11.31</v>
      </c>
      <c r="J721" s="12"/>
    </row>
    <row r="722" spans="1:10">
      <c r="A722" t="s">
        <v>7</v>
      </c>
      <c r="B722" s="9">
        <v>122</v>
      </c>
      <c r="C722" s="588" t="s">
        <v>396</v>
      </c>
      <c r="D722" s="588"/>
      <c r="E722" s="588"/>
      <c r="F722" s="588"/>
      <c r="G722" s="9" t="s">
        <v>36</v>
      </c>
      <c r="H722" s="9">
        <v>1.7999999999999999E-2</v>
      </c>
      <c r="I722" s="13">
        <v>67</v>
      </c>
      <c r="J722" s="13">
        <f t="shared" si="21"/>
        <v>1.2</v>
      </c>
    </row>
    <row r="723" spans="1:10">
      <c r="A723" t="s">
        <v>7</v>
      </c>
      <c r="B723" s="9">
        <v>3540</v>
      </c>
      <c r="C723" s="588" t="s">
        <v>401</v>
      </c>
      <c r="D723" s="588"/>
      <c r="E723" s="588"/>
      <c r="F723" s="588"/>
      <c r="G723" s="9" t="s">
        <v>36</v>
      </c>
      <c r="H723" s="9">
        <v>1</v>
      </c>
      <c r="I723" s="13">
        <v>5.28</v>
      </c>
      <c r="J723" s="13">
        <f t="shared" si="21"/>
        <v>5.28</v>
      </c>
    </row>
    <row r="724" spans="1:10">
      <c r="A724" t="s">
        <v>7</v>
      </c>
      <c r="B724" s="9">
        <v>20083</v>
      </c>
      <c r="C724" s="588" t="s">
        <v>375</v>
      </c>
      <c r="D724" s="588"/>
      <c r="E724" s="588"/>
      <c r="F724" s="588"/>
      <c r="G724" s="9" t="s">
        <v>36</v>
      </c>
      <c r="H724" s="9">
        <v>2.1999999999999999E-2</v>
      </c>
      <c r="I724" s="13">
        <v>76</v>
      </c>
      <c r="J724" s="13">
        <f t="shared" si="21"/>
        <v>1.67</v>
      </c>
    </row>
    <row r="725" spans="1:10">
      <c r="A725" t="s">
        <v>7</v>
      </c>
      <c r="B725" s="9">
        <v>38383</v>
      </c>
      <c r="C725" s="588" t="s">
        <v>376</v>
      </c>
      <c r="D725" s="588"/>
      <c r="E725" s="588"/>
      <c r="F725" s="588"/>
      <c r="G725" s="9" t="s">
        <v>36</v>
      </c>
      <c r="H725" s="9">
        <v>2.4E-2</v>
      </c>
      <c r="I725" s="13">
        <v>2</v>
      </c>
      <c r="J725" s="13">
        <f t="shared" si="21"/>
        <v>0.04</v>
      </c>
    </row>
    <row r="726" spans="1:10">
      <c r="A726" t="s">
        <v>13</v>
      </c>
      <c r="B726" s="9">
        <v>88248</v>
      </c>
      <c r="C726" s="588" t="s">
        <v>237</v>
      </c>
      <c r="D726" s="588"/>
      <c r="E726" s="588"/>
      <c r="F726" s="588"/>
      <c r="G726" s="9" t="s">
        <v>6</v>
      </c>
      <c r="H726" s="9">
        <v>0.108</v>
      </c>
      <c r="I726" s="13">
        <v>12</v>
      </c>
      <c r="J726" s="13">
        <f t="shared" si="21"/>
        <v>1.29</v>
      </c>
    </row>
    <row r="727" spans="1:10">
      <c r="A727" t="s">
        <v>13</v>
      </c>
      <c r="B727" s="9">
        <v>88267</v>
      </c>
      <c r="C727" s="588" t="s">
        <v>37</v>
      </c>
      <c r="D727" s="588"/>
      <c r="E727" s="588"/>
      <c r="F727" s="588"/>
      <c r="G727" s="9" t="s">
        <v>6</v>
      </c>
      <c r="H727" s="9">
        <v>0.108</v>
      </c>
      <c r="I727" s="13">
        <v>17</v>
      </c>
      <c r="J727" s="13">
        <f t="shared" si="21"/>
        <v>1.83</v>
      </c>
    </row>
    <row r="728" spans="1:10" ht="28.8">
      <c r="A728" s="10" t="s">
        <v>4</v>
      </c>
      <c r="B728" s="11">
        <v>89502</v>
      </c>
      <c r="C728" s="589" t="s">
        <v>402</v>
      </c>
      <c r="D728" s="590"/>
      <c r="E728" s="590"/>
      <c r="F728" s="590"/>
      <c r="G728" s="11" t="s">
        <v>36</v>
      </c>
      <c r="H728" s="11"/>
      <c r="I728" s="12">
        <f>J729+J730+J731+J732+J733+J734</f>
        <v>12.979999999999999</v>
      </c>
      <c r="J728" s="12"/>
    </row>
    <row r="729" spans="1:10">
      <c r="A729" t="s">
        <v>7</v>
      </c>
      <c r="B729" s="9">
        <v>122</v>
      </c>
      <c r="C729" s="588" t="s">
        <v>396</v>
      </c>
      <c r="D729" s="588"/>
      <c r="E729" s="588"/>
      <c r="F729" s="588"/>
      <c r="G729" s="9" t="s">
        <v>36</v>
      </c>
      <c r="H729" s="9">
        <v>1.7999999999999999E-2</v>
      </c>
      <c r="I729" s="13">
        <v>67</v>
      </c>
      <c r="J729" s="13">
        <f t="shared" si="21"/>
        <v>1.2</v>
      </c>
    </row>
    <row r="730" spans="1:10">
      <c r="A730" t="s">
        <v>7</v>
      </c>
      <c r="B730" s="9">
        <v>3503</v>
      </c>
      <c r="C730" s="588" t="s">
        <v>403</v>
      </c>
      <c r="D730" s="588"/>
      <c r="E730" s="588"/>
      <c r="F730" s="588"/>
      <c r="G730" s="9" t="s">
        <v>36</v>
      </c>
      <c r="H730" s="9">
        <v>1</v>
      </c>
      <c r="I730" s="13">
        <v>6.95</v>
      </c>
      <c r="J730" s="13">
        <f t="shared" si="21"/>
        <v>6.95</v>
      </c>
    </row>
    <row r="731" spans="1:10">
      <c r="A731" t="s">
        <v>7</v>
      </c>
      <c r="B731" s="9">
        <v>20083</v>
      </c>
      <c r="C731" s="588" t="s">
        <v>375</v>
      </c>
      <c r="D731" s="588"/>
      <c r="E731" s="588"/>
      <c r="F731" s="588"/>
      <c r="G731" s="9" t="s">
        <v>36</v>
      </c>
      <c r="H731" s="9">
        <v>2.1999999999999999E-2</v>
      </c>
      <c r="I731" s="13">
        <v>76</v>
      </c>
      <c r="J731" s="13">
        <f t="shared" si="21"/>
        <v>1.67</v>
      </c>
    </row>
    <row r="732" spans="1:10">
      <c r="A732" t="s">
        <v>7</v>
      </c>
      <c r="B732" s="9">
        <v>38383</v>
      </c>
      <c r="C732" s="588" t="s">
        <v>376</v>
      </c>
      <c r="D732" s="588"/>
      <c r="E732" s="588"/>
      <c r="F732" s="588"/>
      <c r="G732" s="9" t="s">
        <v>36</v>
      </c>
      <c r="H732" s="9">
        <v>2.4E-2</v>
      </c>
      <c r="I732" s="13">
        <v>2</v>
      </c>
      <c r="J732" s="13">
        <f t="shared" si="21"/>
        <v>0.04</v>
      </c>
    </row>
    <row r="733" spans="1:10">
      <c r="A733" t="s">
        <v>13</v>
      </c>
      <c r="B733" s="9">
        <v>88248</v>
      </c>
      <c r="C733" s="588" t="s">
        <v>237</v>
      </c>
      <c r="D733" s="588"/>
      <c r="E733" s="588"/>
      <c r="F733" s="588"/>
      <c r="G733" s="9" t="s">
        <v>6</v>
      </c>
      <c r="H733" s="9">
        <v>0.108</v>
      </c>
      <c r="I733" s="13">
        <v>12</v>
      </c>
      <c r="J733" s="13">
        <f t="shared" si="21"/>
        <v>1.29</v>
      </c>
    </row>
    <row r="734" spans="1:10">
      <c r="A734" t="s">
        <v>13</v>
      </c>
      <c r="B734" s="9">
        <v>88267</v>
      </c>
      <c r="C734" s="588" t="s">
        <v>37</v>
      </c>
      <c r="D734" s="588"/>
      <c r="E734" s="588"/>
      <c r="F734" s="588"/>
      <c r="G734" s="9" t="s">
        <v>6</v>
      </c>
      <c r="H734" s="9">
        <v>0.108</v>
      </c>
      <c r="I734" s="13">
        <v>17</v>
      </c>
      <c r="J734" s="13">
        <f t="shared" si="21"/>
        <v>1.83</v>
      </c>
    </row>
    <row r="735" spans="1:10" ht="28.8">
      <c r="A735" s="10" t="s">
        <v>4</v>
      </c>
      <c r="B735" s="11">
        <v>94672</v>
      </c>
      <c r="C735" s="589" t="s">
        <v>404</v>
      </c>
      <c r="D735" s="590"/>
      <c r="E735" s="590"/>
      <c r="F735" s="590"/>
      <c r="G735" s="11" t="s">
        <v>36</v>
      </c>
      <c r="H735" s="11"/>
      <c r="I735" s="12">
        <f>J736+J737+J738+J739+J740+J741</f>
        <v>8.27</v>
      </c>
      <c r="J735" s="12"/>
    </row>
    <row r="736" spans="1:10">
      <c r="A736" t="s">
        <v>7</v>
      </c>
      <c r="B736" s="9">
        <v>3522</v>
      </c>
      <c r="C736" s="588" t="s">
        <v>405</v>
      </c>
      <c r="D736" s="588"/>
      <c r="E736" s="588"/>
      <c r="F736" s="588"/>
      <c r="G736" s="9" t="s">
        <v>36</v>
      </c>
      <c r="H736" s="9">
        <v>1</v>
      </c>
      <c r="I736" s="13">
        <v>3.14</v>
      </c>
      <c r="J736" s="13">
        <f t="shared" si="21"/>
        <v>3.14</v>
      </c>
    </row>
    <row r="737" spans="1:10">
      <c r="A737" t="s">
        <v>7</v>
      </c>
      <c r="B737" s="9">
        <v>20080</v>
      </c>
      <c r="C737" s="588" t="s">
        <v>374</v>
      </c>
      <c r="D737" s="588"/>
      <c r="E737" s="588"/>
      <c r="F737" s="588"/>
      <c r="G737" s="9" t="s">
        <v>36</v>
      </c>
      <c r="H737" s="9">
        <v>0.04</v>
      </c>
      <c r="I737" s="13">
        <v>21.845700000000001</v>
      </c>
      <c r="J737" s="13">
        <f t="shared" si="21"/>
        <v>0.87</v>
      </c>
    </row>
    <row r="738" spans="1:10">
      <c r="A738" t="s">
        <v>7</v>
      </c>
      <c r="B738" s="9">
        <v>20083</v>
      </c>
      <c r="C738" s="588" t="s">
        <v>375</v>
      </c>
      <c r="D738" s="588"/>
      <c r="E738" s="588"/>
      <c r="F738" s="588"/>
      <c r="G738" s="9" t="s">
        <v>36</v>
      </c>
      <c r="H738" s="9">
        <v>0.01</v>
      </c>
      <c r="I738" s="13">
        <v>76</v>
      </c>
      <c r="J738" s="13">
        <f t="shared" si="21"/>
        <v>0.76</v>
      </c>
    </row>
    <row r="739" spans="1:10">
      <c r="A739" t="s">
        <v>7</v>
      </c>
      <c r="B739" s="9">
        <v>38383</v>
      </c>
      <c r="C739" s="588" t="s">
        <v>376</v>
      </c>
      <c r="D739" s="588"/>
      <c r="E739" s="588"/>
      <c r="F739" s="588"/>
      <c r="G739" s="9" t="s">
        <v>36</v>
      </c>
      <c r="H739" s="9">
        <v>1.2E-2</v>
      </c>
      <c r="I739" s="13">
        <v>2</v>
      </c>
      <c r="J739" s="13">
        <f t="shared" si="21"/>
        <v>0.02</v>
      </c>
    </row>
    <row r="740" spans="1:10">
      <c r="A740" t="s">
        <v>13</v>
      </c>
      <c r="B740" s="9">
        <v>88248</v>
      </c>
      <c r="C740" s="588" t="s">
        <v>237</v>
      </c>
      <c r="D740" s="588"/>
      <c r="E740" s="588"/>
      <c r="F740" s="588"/>
      <c r="G740" s="9" t="s">
        <v>6</v>
      </c>
      <c r="H740" s="9">
        <v>0.12</v>
      </c>
      <c r="I740" s="13">
        <v>12</v>
      </c>
      <c r="J740" s="13">
        <f t="shared" si="21"/>
        <v>1.44</v>
      </c>
    </row>
    <row r="741" spans="1:10">
      <c r="A741" t="s">
        <v>13</v>
      </c>
      <c r="B741" s="9">
        <v>88267</v>
      </c>
      <c r="C741" s="588" t="s">
        <v>37</v>
      </c>
      <c r="D741" s="588"/>
      <c r="E741" s="588"/>
      <c r="F741" s="588"/>
      <c r="G741" s="9" t="s">
        <v>6</v>
      </c>
      <c r="H741" s="9">
        <v>0.12</v>
      </c>
      <c r="I741" s="13">
        <v>17</v>
      </c>
      <c r="J741" s="13">
        <f t="shared" si="21"/>
        <v>2.04</v>
      </c>
    </row>
    <row r="742" spans="1:10" ht="28.8">
      <c r="A742" s="10" t="s">
        <v>4</v>
      </c>
      <c r="B742" s="11">
        <v>89445</v>
      </c>
      <c r="C742" s="589" t="s">
        <v>406</v>
      </c>
      <c r="D742" s="590"/>
      <c r="E742" s="590"/>
      <c r="F742" s="590"/>
      <c r="G742" s="11" t="s">
        <v>36</v>
      </c>
      <c r="H742" s="11"/>
      <c r="I742" s="12">
        <f>J743+J744+J745+J746+J747+J748</f>
        <v>12.23</v>
      </c>
      <c r="J742" s="12"/>
    </row>
    <row r="743" spans="1:10">
      <c r="A743" t="s">
        <v>7</v>
      </c>
      <c r="B743" s="9">
        <v>122</v>
      </c>
      <c r="C743" s="588" t="s">
        <v>396</v>
      </c>
      <c r="D743" s="588"/>
      <c r="E743" s="588"/>
      <c r="F743" s="588"/>
      <c r="G743" s="9" t="s">
        <v>36</v>
      </c>
      <c r="H743" s="9">
        <v>1.4E-2</v>
      </c>
      <c r="I743" s="13">
        <v>67</v>
      </c>
      <c r="J743" s="13">
        <f t="shared" si="21"/>
        <v>0.93</v>
      </c>
    </row>
    <row r="744" spans="1:10">
      <c r="A744" t="s">
        <v>7</v>
      </c>
      <c r="B744" s="9">
        <v>7136</v>
      </c>
      <c r="C744" s="588" t="s">
        <v>407</v>
      </c>
      <c r="D744" s="588"/>
      <c r="E744" s="588"/>
      <c r="F744" s="588"/>
      <c r="G744" s="9" t="s">
        <v>36</v>
      </c>
      <c r="H744" s="9">
        <v>1</v>
      </c>
      <c r="I744" s="13">
        <v>5.77</v>
      </c>
      <c r="J744" s="13">
        <f t="shared" si="21"/>
        <v>5.77</v>
      </c>
    </row>
    <row r="745" spans="1:10">
      <c r="A745" t="s">
        <v>7</v>
      </c>
      <c r="B745" s="9">
        <v>20083</v>
      </c>
      <c r="C745" s="588" t="s">
        <v>375</v>
      </c>
      <c r="D745" s="588"/>
      <c r="E745" s="588"/>
      <c r="F745" s="588"/>
      <c r="G745" s="9" t="s">
        <v>36</v>
      </c>
      <c r="H745" s="9">
        <v>1.7000000000000001E-2</v>
      </c>
      <c r="I745" s="13">
        <v>76</v>
      </c>
      <c r="J745" s="13">
        <f t="shared" si="21"/>
        <v>1.29</v>
      </c>
    </row>
    <row r="746" spans="1:10">
      <c r="A746" t="s">
        <v>7</v>
      </c>
      <c r="B746" s="9">
        <v>38383</v>
      </c>
      <c r="C746" s="588" t="s">
        <v>376</v>
      </c>
      <c r="D746" s="588"/>
      <c r="E746" s="588"/>
      <c r="F746" s="588"/>
      <c r="G746" s="9" t="s">
        <v>36</v>
      </c>
      <c r="H746" s="9">
        <v>5.2999999999999999E-2</v>
      </c>
      <c r="I746" s="13">
        <v>2</v>
      </c>
      <c r="J746" s="13">
        <f t="shared" si="21"/>
        <v>0.1</v>
      </c>
    </row>
    <row r="747" spans="1:10">
      <c r="A747" t="s">
        <v>13</v>
      </c>
      <c r="B747" s="9">
        <v>88248</v>
      </c>
      <c r="C747" s="588" t="s">
        <v>237</v>
      </c>
      <c r="D747" s="588"/>
      <c r="E747" s="588"/>
      <c r="F747" s="588"/>
      <c r="G747" s="9" t="s">
        <v>6</v>
      </c>
      <c r="H747" s="9">
        <v>0.14299999999999999</v>
      </c>
      <c r="I747" s="13">
        <v>12</v>
      </c>
      <c r="J747" s="13">
        <f t="shared" si="21"/>
        <v>1.71</v>
      </c>
    </row>
    <row r="748" spans="1:10">
      <c r="A748" t="s">
        <v>13</v>
      </c>
      <c r="B748" s="9">
        <v>88267</v>
      </c>
      <c r="C748" s="588" t="s">
        <v>37</v>
      </c>
      <c r="D748" s="588"/>
      <c r="E748" s="588"/>
      <c r="F748" s="588"/>
      <c r="G748" s="9" t="s">
        <v>6</v>
      </c>
      <c r="H748" s="9">
        <v>0.14299999999999999</v>
      </c>
      <c r="I748" s="13">
        <v>17</v>
      </c>
      <c r="J748" s="13">
        <f t="shared" si="21"/>
        <v>2.4300000000000002</v>
      </c>
    </row>
    <row r="749" spans="1:10" ht="28.8">
      <c r="A749" s="10" t="s">
        <v>4</v>
      </c>
      <c r="B749" s="11">
        <v>89627</v>
      </c>
      <c r="C749" s="589" t="s">
        <v>408</v>
      </c>
      <c r="D749" s="590"/>
      <c r="E749" s="590"/>
      <c r="F749" s="590"/>
      <c r="G749" s="11" t="s">
        <v>36</v>
      </c>
      <c r="H749" s="11"/>
      <c r="I749" s="12">
        <f>J750+J751+J752+J753+J754+J755</f>
        <v>16.89</v>
      </c>
      <c r="J749" s="12"/>
    </row>
    <row r="750" spans="1:10">
      <c r="A750" t="s">
        <v>7</v>
      </c>
      <c r="B750" s="9">
        <v>122</v>
      </c>
      <c r="C750" s="588" t="s">
        <v>396</v>
      </c>
      <c r="D750" s="588"/>
      <c r="E750" s="588"/>
      <c r="F750" s="588"/>
      <c r="G750" s="9" t="s">
        <v>36</v>
      </c>
      <c r="H750" s="9">
        <v>2.5999999999999999E-2</v>
      </c>
      <c r="I750" s="13">
        <v>67</v>
      </c>
      <c r="J750" s="13">
        <f t="shared" si="21"/>
        <v>1.74</v>
      </c>
    </row>
    <row r="751" spans="1:10">
      <c r="A751" t="s">
        <v>7</v>
      </c>
      <c r="B751" s="9">
        <v>7129</v>
      </c>
      <c r="C751" s="588" t="s">
        <v>409</v>
      </c>
      <c r="D751" s="588"/>
      <c r="E751" s="588"/>
      <c r="F751" s="588"/>
      <c r="G751" s="9" t="s">
        <v>36</v>
      </c>
      <c r="H751" s="9">
        <v>1</v>
      </c>
      <c r="I751" s="13">
        <v>8.42</v>
      </c>
      <c r="J751" s="13">
        <f t="shared" si="21"/>
        <v>8.42</v>
      </c>
    </row>
    <row r="752" spans="1:10">
      <c r="A752" t="s">
        <v>7</v>
      </c>
      <c r="B752" s="9">
        <v>20083</v>
      </c>
      <c r="C752" s="588" t="s">
        <v>375</v>
      </c>
      <c r="D752" s="588"/>
      <c r="E752" s="588"/>
      <c r="F752" s="588"/>
      <c r="G752" s="9" t="s">
        <v>36</v>
      </c>
      <c r="H752" s="9">
        <v>3.3000000000000002E-2</v>
      </c>
      <c r="I752" s="13">
        <v>76</v>
      </c>
      <c r="J752" s="13">
        <f t="shared" si="21"/>
        <v>2.5</v>
      </c>
    </row>
    <row r="753" spans="1:10">
      <c r="A753" t="s">
        <v>7</v>
      </c>
      <c r="B753" s="9">
        <v>38383</v>
      </c>
      <c r="C753" s="588" t="s">
        <v>376</v>
      </c>
      <c r="D753" s="588"/>
      <c r="E753" s="588"/>
      <c r="F753" s="588"/>
      <c r="G753" s="9" t="s">
        <v>36</v>
      </c>
      <c r="H753" s="9">
        <v>3.5999999999999997E-2</v>
      </c>
      <c r="I753" s="13">
        <v>2</v>
      </c>
      <c r="J753" s="13">
        <f t="shared" si="21"/>
        <v>7.0000000000000007E-2</v>
      </c>
    </row>
    <row r="754" spans="1:10">
      <c r="A754" t="s">
        <v>13</v>
      </c>
      <c r="B754" s="9">
        <v>88248</v>
      </c>
      <c r="C754" s="588" t="s">
        <v>237</v>
      </c>
      <c r="D754" s="588"/>
      <c r="E754" s="588"/>
      <c r="F754" s="588"/>
      <c r="G754" s="9" t="s">
        <v>6</v>
      </c>
      <c r="H754" s="9">
        <v>0.14399999999999999</v>
      </c>
      <c r="I754" s="13">
        <v>12</v>
      </c>
      <c r="J754" s="13">
        <f t="shared" si="21"/>
        <v>1.72</v>
      </c>
    </row>
    <row r="755" spans="1:10">
      <c r="A755" t="s">
        <v>13</v>
      </c>
      <c r="B755" s="9">
        <v>88267</v>
      </c>
      <c r="C755" s="588" t="s">
        <v>37</v>
      </c>
      <c r="D755" s="588"/>
      <c r="E755" s="588"/>
      <c r="F755" s="588"/>
      <c r="G755" s="9" t="s">
        <v>6</v>
      </c>
      <c r="H755" s="9">
        <v>0.14399999999999999</v>
      </c>
      <c r="I755" s="13">
        <v>17</v>
      </c>
      <c r="J755" s="13">
        <f t="shared" si="21"/>
        <v>2.44</v>
      </c>
    </row>
    <row r="756" spans="1:10" ht="28.8">
      <c r="A756" s="10" t="s">
        <v>4</v>
      </c>
      <c r="B756" s="11">
        <v>94690</v>
      </c>
      <c r="C756" s="589" t="s">
        <v>410</v>
      </c>
      <c r="D756" s="590"/>
      <c r="E756" s="590"/>
      <c r="F756" s="590"/>
      <c r="G756" s="11" t="s">
        <v>36</v>
      </c>
      <c r="H756" s="11"/>
      <c r="I756" s="12">
        <f>J757+J758+J759+J760+J761+J762</f>
        <v>10.91</v>
      </c>
      <c r="J756" s="12"/>
    </row>
    <row r="757" spans="1:10">
      <c r="A757" t="s">
        <v>7</v>
      </c>
      <c r="B757" s="9">
        <v>7140</v>
      </c>
      <c r="C757" s="588" t="s">
        <v>411</v>
      </c>
      <c r="D757" s="588"/>
      <c r="E757" s="588"/>
      <c r="F757" s="588"/>
      <c r="G757" s="9" t="s">
        <v>36</v>
      </c>
      <c r="H757" s="9">
        <v>1</v>
      </c>
      <c r="I757" s="13">
        <v>3.89</v>
      </c>
      <c r="J757" s="13">
        <f t="shared" si="21"/>
        <v>3.89</v>
      </c>
    </row>
    <row r="758" spans="1:10">
      <c r="A758" t="s">
        <v>7</v>
      </c>
      <c r="B758" s="9">
        <v>20080</v>
      </c>
      <c r="C758" s="588" t="s">
        <v>374</v>
      </c>
      <c r="D758" s="588"/>
      <c r="E758" s="588"/>
      <c r="F758" s="588"/>
      <c r="G758" s="9" t="s">
        <v>36</v>
      </c>
      <c r="H758" s="9">
        <v>0.06</v>
      </c>
      <c r="I758" s="13">
        <v>22</v>
      </c>
      <c r="J758" s="13">
        <f t="shared" si="21"/>
        <v>1.32</v>
      </c>
    </row>
    <row r="759" spans="1:10">
      <c r="A759" t="s">
        <v>7</v>
      </c>
      <c r="B759" s="9">
        <v>20083</v>
      </c>
      <c r="C759" s="588" t="s">
        <v>375</v>
      </c>
      <c r="D759" s="588"/>
      <c r="E759" s="588"/>
      <c r="F759" s="588"/>
      <c r="G759" s="9" t="s">
        <v>36</v>
      </c>
      <c r="H759" s="9">
        <v>1.4E-2</v>
      </c>
      <c r="I759" s="13">
        <v>76</v>
      </c>
      <c r="J759" s="13">
        <f t="shared" si="21"/>
        <v>1.06</v>
      </c>
    </row>
    <row r="760" spans="1:10">
      <c r="A760" t="s">
        <v>7</v>
      </c>
      <c r="B760" s="9">
        <v>38383</v>
      </c>
      <c r="C760" s="588" t="s">
        <v>376</v>
      </c>
      <c r="D760" s="588"/>
      <c r="E760" s="588"/>
      <c r="F760" s="588"/>
      <c r="G760" s="9" t="s">
        <v>36</v>
      </c>
      <c r="H760" s="9">
        <v>2.4E-2</v>
      </c>
      <c r="I760" s="13">
        <v>2</v>
      </c>
      <c r="J760" s="13">
        <f t="shared" si="21"/>
        <v>0.04</v>
      </c>
    </row>
    <row r="761" spans="1:10">
      <c r="A761" t="s">
        <v>13</v>
      </c>
      <c r="B761" s="9">
        <v>88248</v>
      </c>
      <c r="C761" s="588" t="s">
        <v>237</v>
      </c>
      <c r="D761" s="588"/>
      <c r="E761" s="588"/>
      <c r="F761" s="588"/>
      <c r="G761" s="9" t="s">
        <v>6</v>
      </c>
      <c r="H761" s="9">
        <v>0.159</v>
      </c>
      <c r="I761" s="13">
        <v>12</v>
      </c>
      <c r="J761" s="13">
        <f t="shared" si="21"/>
        <v>1.9</v>
      </c>
    </row>
    <row r="762" spans="1:10">
      <c r="A762" t="s">
        <v>13</v>
      </c>
      <c r="B762" s="9">
        <v>88267</v>
      </c>
      <c r="C762" s="588" t="s">
        <v>37</v>
      </c>
      <c r="D762" s="588"/>
      <c r="E762" s="588"/>
      <c r="F762" s="588"/>
      <c r="G762" s="9" t="s">
        <v>6</v>
      </c>
      <c r="H762" s="9">
        <v>0.159</v>
      </c>
      <c r="I762" s="13">
        <v>17</v>
      </c>
      <c r="J762" s="13">
        <f t="shared" si="21"/>
        <v>2.7</v>
      </c>
    </row>
    <row r="763" spans="1:10" ht="28.8">
      <c r="A763" s="10" t="s">
        <v>4</v>
      </c>
      <c r="B763" s="11">
        <v>94694</v>
      </c>
      <c r="C763" s="589" t="s">
        <v>412</v>
      </c>
      <c r="D763" s="590"/>
      <c r="E763" s="590"/>
      <c r="F763" s="590"/>
      <c r="G763" s="11" t="s">
        <v>36</v>
      </c>
      <c r="H763" s="11"/>
      <c r="I763" s="12">
        <f>J764+J765+J766+J767+J768+J769</f>
        <v>20.540000000000003</v>
      </c>
      <c r="J763" s="12"/>
    </row>
    <row r="764" spans="1:10">
      <c r="A764" t="s">
        <v>7</v>
      </c>
      <c r="B764" s="9">
        <v>7142</v>
      </c>
      <c r="C764" s="588" t="s">
        <v>413</v>
      </c>
      <c r="D764" s="588"/>
      <c r="E764" s="588"/>
      <c r="F764" s="588"/>
      <c r="G764" s="9" t="s">
        <v>36</v>
      </c>
      <c r="H764" s="9">
        <v>1</v>
      </c>
      <c r="I764" s="13">
        <v>9.51</v>
      </c>
      <c r="J764" s="13">
        <f t="shared" si="21"/>
        <v>9.51</v>
      </c>
    </row>
    <row r="765" spans="1:10">
      <c r="A765" t="s">
        <v>7</v>
      </c>
      <c r="B765" s="9">
        <v>20080</v>
      </c>
      <c r="C765" s="588" t="s">
        <v>374</v>
      </c>
      <c r="D765" s="588"/>
      <c r="E765" s="588"/>
      <c r="F765" s="588"/>
      <c r="G765" s="9" t="s">
        <v>36</v>
      </c>
      <c r="H765" s="9">
        <v>0.107</v>
      </c>
      <c r="I765" s="13">
        <v>22</v>
      </c>
      <c r="J765" s="13">
        <f t="shared" si="21"/>
        <v>2.35</v>
      </c>
    </row>
    <row r="766" spans="1:10">
      <c r="A766" t="s">
        <v>7</v>
      </c>
      <c r="B766" s="9">
        <v>20083</v>
      </c>
      <c r="C766" s="588" t="s">
        <v>375</v>
      </c>
      <c r="D766" s="588"/>
      <c r="E766" s="588"/>
      <c r="F766" s="588"/>
      <c r="G766" s="9" t="s">
        <v>36</v>
      </c>
      <c r="H766" s="9">
        <v>2.7E-2</v>
      </c>
      <c r="I766" s="13">
        <v>76</v>
      </c>
      <c r="J766" s="13">
        <f t="shared" si="21"/>
        <v>2.0499999999999998</v>
      </c>
    </row>
    <row r="767" spans="1:10">
      <c r="A767" t="s">
        <v>7</v>
      </c>
      <c r="B767" s="9">
        <v>38383</v>
      </c>
      <c r="C767" s="588" t="s">
        <v>376</v>
      </c>
      <c r="D767" s="588"/>
      <c r="E767" s="588"/>
      <c r="F767" s="588"/>
      <c r="G767" s="9" t="s">
        <v>36</v>
      </c>
      <c r="H767" s="9">
        <v>3.4000000000000002E-2</v>
      </c>
      <c r="I767" s="13">
        <v>2</v>
      </c>
      <c r="J767" s="13">
        <f t="shared" si="21"/>
        <v>0.06</v>
      </c>
    </row>
    <row r="768" spans="1:10">
      <c r="A768" t="s">
        <v>13</v>
      </c>
      <c r="B768" s="9">
        <v>88248</v>
      </c>
      <c r="C768" s="588" t="s">
        <v>237</v>
      </c>
      <c r="D768" s="588"/>
      <c r="E768" s="588"/>
      <c r="F768" s="588"/>
      <c r="G768" s="9" t="s">
        <v>6</v>
      </c>
      <c r="H768" s="9">
        <v>0.22700000000000001</v>
      </c>
      <c r="I768" s="13">
        <v>12</v>
      </c>
      <c r="J768" s="13">
        <f t="shared" si="21"/>
        <v>2.72</v>
      </c>
    </row>
    <row r="769" spans="1:10">
      <c r="A769" t="s">
        <v>13</v>
      </c>
      <c r="B769" s="9">
        <v>88267</v>
      </c>
      <c r="C769" s="588" t="s">
        <v>37</v>
      </c>
      <c r="D769" s="588"/>
      <c r="E769" s="588"/>
      <c r="F769" s="588"/>
      <c r="G769" s="9" t="s">
        <v>6</v>
      </c>
      <c r="H769" s="9">
        <v>0.22700000000000001</v>
      </c>
      <c r="I769" s="13">
        <v>17</v>
      </c>
      <c r="J769" s="13">
        <f t="shared" si="21"/>
        <v>3.85</v>
      </c>
    </row>
    <row r="770" spans="1:10" ht="28.8">
      <c r="A770" s="10" t="s">
        <v>4</v>
      </c>
      <c r="B770" s="11">
        <v>89420</v>
      </c>
      <c r="C770" s="589" t="s">
        <v>414</v>
      </c>
      <c r="D770" s="590"/>
      <c r="E770" s="590"/>
      <c r="F770" s="590"/>
      <c r="G770" s="11" t="s">
        <v>36</v>
      </c>
      <c r="H770" s="11"/>
      <c r="I770" s="12">
        <f>J771+J772+J773+J774+J775+J776</f>
        <v>7.2200000000000006</v>
      </c>
      <c r="J770" s="12"/>
    </row>
    <row r="771" spans="1:10">
      <c r="A771" t="s">
        <v>7</v>
      </c>
      <c r="B771" s="9">
        <v>122</v>
      </c>
      <c r="C771" s="588" t="s">
        <v>396</v>
      </c>
      <c r="D771" s="588"/>
      <c r="E771" s="588"/>
      <c r="F771" s="588"/>
      <c r="G771" s="9" t="s">
        <v>36</v>
      </c>
      <c r="H771" s="9">
        <v>6.0000000000000001E-3</v>
      </c>
      <c r="I771" s="13">
        <v>66.904347826099993</v>
      </c>
      <c r="J771" s="13">
        <f t="shared" si="21"/>
        <v>0.4</v>
      </c>
    </row>
    <row r="772" spans="1:10">
      <c r="A772" t="s">
        <v>7</v>
      </c>
      <c r="B772" s="9">
        <v>3855</v>
      </c>
      <c r="C772" s="588" t="s">
        <v>415</v>
      </c>
      <c r="D772" s="588"/>
      <c r="E772" s="588"/>
      <c r="F772" s="588"/>
      <c r="G772" s="9" t="s">
        <v>36</v>
      </c>
      <c r="H772" s="9">
        <v>1</v>
      </c>
      <c r="I772" s="13">
        <v>4.82</v>
      </c>
      <c r="J772" s="13">
        <f t="shared" si="21"/>
        <v>4.82</v>
      </c>
    </row>
    <row r="773" spans="1:10">
      <c r="A773" t="s">
        <v>7</v>
      </c>
      <c r="B773" s="9">
        <v>20083</v>
      </c>
      <c r="C773" s="588" t="s">
        <v>375</v>
      </c>
      <c r="D773" s="588"/>
      <c r="E773" s="588"/>
      <c r="F773" s="588"/>
      <c r="G773" s="9" t="s">
        <v>36</v>
      </c>
      <c r="H773" s="9">
        <v>6.0000000000000001E-3</v>
      </c>
      <c r="I773" s="13">
        <v>76</v>
      </c>
      <c r="J773" s="13">
        <f t="shared" si="21"/>
        <v>0.45</v>
      </c>
    </row>
    <row r="774" spans="1:10">
      <c r="A774" t="s">
        <v>7</v>
      </c>
      <c r="B774" s="9">
        <v>38383</v>
      </c>
      <c r="C774" s="588" t="s">
        <v>376</v>
      </c>
      <c r="D774" s="588"/>
      <c r="E774" s="588"/>
      <c r="F774" s="588"/>
      <c r="G774" s="9" t="s">
        <v>36</v>
      </c>
      <c r="H774" s="9">
        <v>2.5999999999999999E-2</v>
      </c>
      <c r="I774" s="13">
        <v>2</v>
      </c>
      <c r="J774" s="13">
        <f t="shared" si="21"/>
        <v>0.05</v>
      </c>
    </row>
    <row r="775" spans="1:10">
      <c r="A775" t="s">
        <v>13</v>
      </c>
      <c r="B775" s="9">
        <v>88248</v>
      </c>
      <c r="C775" s="588" t="s">
        <v>237</v>
      </c>
      <c r="D775" s="588"/>
      <c r="E775" s="588"/>
      <c r="F775" s="588"/>
      <c r="G775" s="9" t="s">
        <v>6</v>
      </c>
      <c r="H775" s="9">
        <v>5.1999999999999998E-2</v>
      </c>
      <c r="I775" s="13">
        <v>12</v>
      </c>
      <c r="J775" s="13">
        <f t="shared" si="21"/>
        <v>0.62</v>
      </c>
    </row>
    <row r="776" spans="1:10">
      <c r="A776" t="s">
        <v>13</v>
      </c>
      <c r="B776" s="9">
        <v>88267</v>
      </c>
      <c r="C776" s="588" t="s">
        <v>37</v>
      </c>
      <c r="D776" s="588"/>
      <c r="E776" s="588"/>
      <c r="F776" s="588"/>
      <c r="G776" s="9" t="s">
        <v>6</v>
      </c>
      <c r="H776" s="9">
        <v>5.1999999999999998E-2</v>
      </c>
      <c r="I776" s="13">
        <v>17</v>
      </c>
      <c r="J776" s="13">
        <f t="shared" si="21"/>
        <v>0.88</v>
      </c>
    </row>
    <row r="777" spans="1:10" ht="28.8">
      <c r="A777" s="10" t="s">
        <v>4</v>
      </c>
      <c r="B777" s="11">
        <v>94795</v>
      </c>
      <c r="C777" s="589" t="s">
        <v>416</v>
      </c>
      <c r="D777" s="590"/>
      <c r="E777" s="590"/>
      <c r="F777" s="590"/>
      <c r="G777" s="11" t="s">
        <v>36</v>
      </c>
      <c r="H777" s="11"/>
      <c r="I777" s="12">
        <f>J778+J779+J780+J781</f>
        <v>36.930000000000007</v>
      </c>
      <c r="J777" s="12"/>
    </row>
    <row r="778" spans="1:10">
      <c r="A778" t="s">
        <v>7</v>
      </c>
      <c r="B778" s="9">
        <v>3148</v>
      </c>
      <c r="C778" s="588" t="s">
        <v>370</v>
      </c>
      <c r="D778" s="588"/>
      <c r="E778" s="588"/>
      <c r="F778" s="588"/>
      <c r="G778" s="9" t="s">
        <v>36</v>
      </c>
      <c r="H778" s="9">
        <v>4.1999999999999997E-3</v>
      </c>
      <c r="I778" s="13">
        <v>16</v>
      </c>
      <c r="J778" s="13">
        <f t="shared" si="21"/>
        <v>0.06</v>
      </c>
    </row>
    <row r="779" spans="1:10">
      <c r="A779" t="s">
        <v>7</v>
      </c>
      <c r="B779" s="9">
        <v>11829</v>
      </c>
      <c r="C779" s="588" t="s">
        <v>417</v>
      </c>
      <c r="D779" s="588"/>
      <c r="E779" s="588"/>
      <c r="F779" s="588"/>
      <c r="G779" s="9" t="s">
        <v>36</v>
      </c>
      <c r="H779" s="9">
        <v>1</v>
      </c>
      <c r="I779" s="13">
        <v>33.270000000000003</v>
      </c>
      <c r="J779" s="13">
        <f t="shared" si="21"/>
        <v>33.270000000000003</v>
      </c>
    </row>
    <row r="780" spans="1:10">
      <c r="A780" t="s">
        <v>13</v>
      </c>
      <c r="B780" s="9">
        <v>88248</v>
      </c>
      <c r="C780" s="588" t="s">
        <v>237</v>
      </c>
      <c r="D780" s="588"/>
      <c r="E780" s="588"/>
      <c r="F780" s="588"/>
      <c r="G780" s="9" t="s">
        <v>6</v>
      </c>
      <c r="H780" s="9">
        <v>0.1242</v>
      </c>
      <c r="I780" s="13">
        <v>12</v>
      </c>
      <c r="J780" s="13">
        <f t="shared" si="21"/>
        <v>1.49</v>
      </c>
    </row>
    <row r="781" spans="1:10">
      <c r="A781" t="s">
        <v>13</v>
      </c>
      <c r="B781" s="9">
        <v>88267</v>
      </c>
      <c r="C781" s="588" t="s">
        <v>37</v>
      </c>
      <c r="D781" s="588"/>
      <c r="E781" s="588"/>
      <c r="F781" s="588"/>
      <c r="G781" s="9" t="s">
        <v>6</v>
      </c>
      <c r="H781" s="9">
        <v>0.1242</v>
      </c>
      <c r="I781" s="13">
        <v>17</v>
      </c>
      <c r="J781" s="13">
        <f t="shared" si="21"/>
        <v>2.11</v>
      </c>
    </row>
    <row r="782" spans="1:10" ht="28.8">
      <c r="A782" s="10" t="s">
        <v>4</v>
      </c>
      <c r="B782" s="11">
        <v>102608</v>
      </c>
      <c r="C782" s="589" t="s">
        <v>418</v>
      </c>
      <c r="D782" s="590"/>
      <c r="E782" s="590"/>
      <c r="F782" s="590"/>
      <c r="G782" s="11" t="s">
        <v>36</v>
      </c>
      <c r="H782" s="11"/>
      <c r="I782" s="12">
        <f>J783+J784+J785</f>
        <v>772.8599999999999</v>
      </c>
      <c r="J782" s="12"/>
    </row>
    <row r="783" spans="1:10">
      <c r="A783" t="s">
        <v>7</v>
      </c>
      <c r="B783" s="9">
        <v>34639</v>
      </c>
      <c r="C783" s="588" t="s">
        <v>419</v>
      </c>
      <c r="D783" s="588"/>
      <c r="E783" s="588"/>
      <c r="F783" s="588"/>
      <c r="G783" s="9" t="s">
        <v>36</v>
      </c>
      <c r="H783" s="9">
        <v>1</v>
      </c>
      <c r="I783" s="13">
        <v>767.05</v>
      </c>
      <c r="J783" s="13">
        <f t="shared" si="21"/>
        <v>767.05</v>
      </c>
    </row>
    <row r="784" spans="1:10">
      <c r="A784" t="s">
        <v>13</v>
      </c>
      <c r="B784" s="9">
        <v>88248</v>
      </c>
      <c r="C784" s="588" t="s">
        <v>237</v>
      </c>
      <c r="D784" s="588"/>
      <c r="E784" s="588"/>
      <c r="F784" s="588"/>
      <c r="G784" s="9" t="s">
        <v>6</v>
      </c>
      <c r="H784" s="9">
        <v>0.20080000000000001</v>
      </c>
      <c r="I784" s="13">
        <v>12</v>
      </c>
      <c r="J784" s="13">
        <f t="shared" si="21"/>
        <v>2.4</v>
      </c>
    </row>
    <row r="785" spans="1:10">
      <c r="A785" t="s">
        <v>13</v>
      </c>
      <c r="B785" s="9">
        <v>88267</v>
      </c>
      <c r="C785" s="588" t="s">
        <v>37</v>
      </c>
      <c r="D785" s="588"/>
      <c r="E785" s="588"/>
      <c r="F785" s="588"/>
      <c r="G785" s="9" t="s">
        <v>6</v>
      </c>
      <c r="H785" s="9">
        <v>0.20080000000000001</v>
      </c>
      <c r="I785" s="13">
        <v>17</v>
      </c>
      <c r="J785" s="13">
        <f t="shared" si="21"/>
        <v>3.41</v>
      </c>
    </row>
    <row r="786" spans="1:10" ht="28.8">
      <c r="A786" s="10" t="s">
        <v>4</v>
      </c>
      <c r="B786" s="11">
        <v>102607</v>
      </c>
      <c r="C786" s="589" t="s">
        <v>420</v>
      </c>
      <c r="D786" s="590"/>
      <c r="E786" s="590"/>
      <c r="F786" s="590"/>
      <c r="G786" s="11" t="s">
        <v>36</v>
      </c>
      <c r="H786" s="11"/>
      <c r="I786" s="12">
        <f>J787+J788+J789</f>
        <v>382.04</v>
      </c>
      <c r="J786" s="12"/>
    </row>
    <row r="787" spans="1:10">
      <c r="A787" t="s">
        <v>7</v>
      </c>
      <c r="B787" s="9">
        <v>34636</v>
      </c>
      <c r="C787" s="588" t="s">
        <v>421</v>
      </c>
      <c r="D787" s="588"/>
      <c r="E787" s="588"/>
      <c r="F787" s="588"/>
      <c r="G787" s="9" t="s">
        <v>36</v>
      </c>
      <c r="H787" s="9">
        <v>1</v>
      </c>
      <c r="I787" s="13">
        <v>377.67</v>
      </c>
      <c r="J787" s="13">
        <f t="shared" si="21"/>
        <v>377.67</v>
      </c>
    </row>
    <row r="788" spans="1:10">
      <c r="A788" t="s">
        <v>13</v>
      </c>
      <c r="B788" s="9">
        <v>88248</v>
      </c>
      <c r="C788" s="588" t="s">
        <v>237</v>
      </c>
      <c r="D788" s="588"/>
      <c r="E788" s="588"/>
      <c r="F788" s="588"/>
      <c r="G788" s="9" t="s">
        <v>6</v>
      </c>
      <c r="H788" s="9">
        <v>0.151</v>
      </c>
      <c r="I788" s="13">
        <v>12</v>
      </c>
      <c r="J788" s="13">
        <f t="shared" si="21"/>
        <v>1.81</v>
      </c>
    </row>
    <row r="789" spans="1:10">
      <c r="A789" t="s">
        <v>13</v>
      </c>
      <c r="B789" s="9">
        <v>88267</v>
      </c>
      <c r="C789" s="588" t="s">
        <v>37</v>
      </c>
      <c r="D789" s="588"/>
      <c r="E789" s="588"/>
      <c r="F789" s="588"/>
      <c r="G789" s="9" t="s">
        <v>6</v>
      </c>
      <c r="H789" s="9">
        <v>0.151</v>
      </c>
      <c r="I789" s="13">
        <v>17</v>
      </c>
      <c r="J789" s="13">
        <f t="shared" si="21"/>
        <v>2.56</v>
      </c>
    </row>
    <row r="790" spans="1:10" ht="28.8">
      <c r="A790" s="10" t="s">
        <v>4</v>
      </c>
      <c r="B790" s="11">
        <v>95544</v>
      </c>
      <c r="C790" s="589" t="s">
        <v>422</v>
      </c>
      <c r="D790" s="590"/>
      <c r="E790" s="590"/>
      <c r="F790" s="590"/>
      <c r="G790" s="11" t="s">
        <v>36</v>
      </c>
      <c r="H790" s="11"/>
      <c r="I790" s="12">
        <f>J791+J792+J793</f>
        <v>35.049999999999997</v>
      </c>
      <c r="J790" s="12"/>
    </row>
    <row r="791" spans="1:10">
      <c r="A791" t="s">
        <v>7</v>
      </c>
      <c r="B791" s="9">
        <v>11703</v>
      </c>
      <c r="C791" s="588" t="s">
        <v>423</v>
      </c>
      <c r="D791" s="588"/>
      <c r="E791" s="588"/>
      <c r="F791" s="588"/>
      <c r="G791" s="9" t="s">
        <v>36</v>
      </c>
      <c r="H791" s="9">
        <v>1</v>
      </c>
      <c r="I791" s="13">
        <v>28.49</v>
      </c>
      <c r="J791" s="13">
        <f t="shared" si="21"/>
        <v>28.49</v>
      </c>
    </row>
    <row r="792" spans="1:10">
      <c r="A792" t="s">
        <v>13</v>
      </c>
      <c r="B792" s="9">
        <v>88267</v>
      </c>
      <c r="C792" s="588" t="s">
        <v>37</v>
      </c>
      <c r="D792" s="588"/>
      <c r="E792" s="588"/>
      <c r="F792" s="588"/>
      <c r="G792" s="9" t="s">
        <v>6</v>
      </c>
      <c r="H792" s="9">
        <v>0.31619999999999998</v>
      </c>
      <c r="I792" s="13">
        <v>17</v>
      </c>
      <c r="J792" s="13">
        <f t="shared" si="21"/>
        <v>5.37</v>
      </c>
    </row>
    <row r="793" spans="1:10">
      <c r="A793" t="s">
        <v>13</v>
      </c>
      <c r="B793" s="9">
        <v>88316</v>
      </c>
      <c r="C793" s="588" t="s">
        <v>22</v>
      </c>
      <c r="D793" s="588"/>
      <c r="E793" s="588"/>
      <c r="F793" s="588"/>
      <c r="G793" s="9" t="s">
        <v>6</v>
      </c>
      <c r="H793" s="9">
        <v>9.9599999999999994E-2</v>
      </c>
      <c r="I793" s="13">
        <v>12</v>
      </c>
      <c r="J793" s="13">
        <f t="shared" si="21"/>
        <v>1.19</v>
      </c>
    </row>
    <row r="794" spans="1:10" ht="28.8">
      <c r="A794" s="10" t="s">
        <v>4</v>
      </c>
      <c r="B794" s="11">
        <v>95545</v>
      </c>
      <c r="C794" s="589" t="s">
        <v>424</v>
      </c>
      <c r="D794" s="590"/>
      <c r="E794" s="590"/>
      <c r="F794" s="590"/>
      <c r="G794" s="11" t="s">
        <v>36</v>
      </c>
      <c r="H794" s="11"/>
      <c r="I794" s="12">
        <f>J795+J796+J797</f>
        <v>34.33</v>
      </c>
      <c r="J794" s="12"/>
    </row>
    <row r="795" spans="1:10">
      <c r="A795" t="s">
        <v>7</v>
      </c>
      <c r="B795" s="9">
        <v>11757</v>
      </c>
      <c r="C795" s="588" t="s">
        <v>425</v>
      </c>
      <c r="D795" s="588"/>
      <c r="E795" s="588"/>
      <c r="F795" s="588"/>
      <c r="G795" s="9" t="s">
        <v>36</v>
      </c>
      <c r="H795" s="9">
        <v>1</v>
      </c>
      <c r="I795" s="13">
        <v>27.77</v>
      </c>
      <c r="J795" s="13">
        <f t="shared" si="21"/>
        <v>27.77</v>
      </c>
    </row>
    <row r="796" spans="1:10">
      <c r="A796" t="s">
        <v>13</v>
      </c>
      <c r="B796" s="9">
        <v>88267</v>
      </c>
      <c r="C796" s="588" t="s">
        <v>37</v>
      </c>
      <c r="D796" s="588"/>
      <c r="E796" s="588"/>
      <c r="F796" s="588"/>
      <c r="G796" s="9" t="s">
        <v>6</v>
      </c>
      <c r="H796" s="9">
        <v>0.31619999999999998</v>
      </c>
      <c r="I796" s="13">
        <v>17</v>
      </c>
      <c r="J796" s="13">
        <f t="shared" si="21"/>
        <v>5.37</v>
      </c>
    </row>
    <row r="797" spans="1:10">
      <c r="A797" t="s">
        <v>13</v>
      </c>
      <c r="B797" s="9">
        <v>88316</v>
      </c>
      <c r="C797" s="588" t="s">
        <v>22</v>
      </c>
      <c r="D797" s="588"/>
      <c r="E797" s="588"/>
      <c r="F797" s="588"/>
      <c r="G797" s="9" t="s">
        <v>6</v>
      </c>
      <c r="H797" s="9">
        <v>9.9599999999999994E-2</v>
      </c>
      <c r="I797" s="13">
        <v>12</v>
      </c>
      <c r="J797" s="13">
        <f t="shared" si="21"/>
        <v>1.19</v>
      </c>
    </row>
    <row r="798" spans="1:10" ht="28.8">
      <c r="A798" s="10" t="s">
        <v>4</v>
      </c>
      <c r="B798" s="11">
        <v>99253</v>
      </c>
      <c r="C798" s="589" t="s">
        <v>426</v>
      </c>
      <c r="D798" s="590"/>
      <c r="E798" s="590"/>
      <c r="F798" s="590"/>
      <c r="G798" s="11" t="s">
        <v>36</v>
      </c>
      <c r="H798" s="11"/>
      <c r="I798" s="12">
        <f>J799+J800+J801+J802+J803+J804+J805+J806+J807+J808</f>
        <v>448.03</v>
      </c>
      <c r="J798" s="12"/>
    </row>
    <row r="799" spans="1:10">
      <c r="A799" t="s">
        <v>13</v>
      </c>
      <c r="B799" s="9">
        <v>5678</v>
      </c>
      <c r="C799" s="588" t="s">
        <v>293</v>
      </c>
      <c r="D799" s="588"/>
      <c r="E799" s="588"/>
      <c r="F799" s="588"/>
      <c r="G799" s="9" t="s">
        <v>49</v>
      </c>
      <c r="H799" s="9">
        <v>8.6999999999999994E-3</v>
      </c>
      <c r="I799" s="13">
        <v>110.592</v>
      </c>
      <c r="J799" s="13">
        <f t="shared" si="21"/>
        <v>0.96</v>
      </c>
    </row>
    <row r="800" spans="1:10">
      <c r="A800" t="s">
        <v>13</v>
      </c>
      <c r="B800" s="9">
        <v>5679</v>
      </c>
      <c r="C800" s="588" t="s">
        <v>294</v>
      </c>
      <c r="D800" s="588"/>
      <c r="E800" s="588"/>
      <c r="F800" s="588"/>
      <c r="G800" s="9" t="s">
        <v>51</v>
      </c>
      <c r="H800" s="9">
        <v>2.9399999999999999E-2</v>
      </c>
      <c r="I800" s="13">
        <v>38.237499999999997</v>
      </c>
      <c r="J800" s="13">
        <f t="shared" si="21"/>
        <v>1.1200000000000001</v>
      </c>
    </row>
    <row r="801" spans="1:10">
      <c r="A801" t="s">
        <v>7</v>
      </c>
      <c r="B801" s="9">
        <v>7258</v>
      </c>
      <c r="C801" s="588" t="s">
        <v>427</v>
      </c>
      <c r="D801" s="588"/>
      <c r="E801" s="588"/>
      <c r="F801" s="588"/>
      <c r="G801" s="9" t="s">
        <v>36</v>
      </c>
      <c r="H801" s="9">
        <v>166.0916</v>
      </c>
      <c r="I801" s="13">
        <v>0.66438282360000001</v>
      </c>
      <c r="J801" s="13">
        <f t="shared" si="21"/>
        <v>110.34</v>
      </c>
    </row>
    <row r="802" spans="1:10">
      <c r="A802" t="s">
        <v>13</v>
      </c>
      <c r="B802" s="9">
        <v>87316</v>
      </c>
      <c r="C802" s="588" t="s">
        <v>428</v>
      </c>
      <c r="D802" s="588"/>
      <c r="E802" s="588"/>
      <c r="F802" s="588"/>
      <c r="G802" s="9" t="s">
        <v>39</v>
      </c>
      <c r="H802" s="9">
        <v>1.4E-3</v>
      </c>
      <c r="I802" s="13">
        <v>365.3446551724</v>
      </c>
      <c r="J802" s="13">
        <f t="shared" si="21"/>
        <v>0.51</v>
      </c>
    </row>
    <row r="803" spans="1:10">
      <c r="A803" t="s">
        <v>13</v>
      </c>
      <c r="B803" s="9">
        <v>88309</v>
      </c>
      <c r="C803" s="588" t="s">
        <v>32</v>
      </c>
      <c r="D803" s="588"/>
      <c r="E803" s="588"/>
      <c r="F803" s="588"/>
      <c r="G803" s="9" t="s">
        <v>6</v>
      </c>
      <c r="H803" s="9">
        <v>6.0895000000000001</v>
      </c>
      <c r="I803" s="13">
        <v>17</v>
      </c>
      <c r="J803" s="13">
        <f t="shared" si="21"/>
        <v>103.52</v>
      </c>
    </row>
    <row r="804" spans="1:10">
      <c r="A804" t="s">
        <v>13</v>
      </c>
      <c r="B804" s="9">
        <v>88316</v>
      </c>
      <c r="C804" s="588" t="s">
        <v>22</v>
      </c>
      <c r="D804" s="588"/>
      <c r="E804" s="588"/>
      <c r="F804" s="588"/>
      <c r="G804" s="9" t="s">
        <v>6</v>
      </c>
      <c r="H804" s="9">
        <v>6.0895000000000001</v>
      </c>
      <c r="I804" s="13">
        <v>12</v>
      </c>
      <c r="J804" s="13">
        <f t="shared" si="21"/>
        <v>73.069999999999993</v>
      </c>
    </row>
    <row r="805" spans="1:10">
      <c r="A805" t="s">
        <v>13</v>
      </c>
      <c r="B805" s="9">
        <v>88628</v>
      </c>
      <c r="C805" s="588" t="s">
        <v>429</v>
      </c>
      <c r="D805" s="588"/>
      <c r="E805" s="588"/>
      <c r="F805" s="588"/>
      <c r="G805" s="9" t="s">
        <v>39</v>
      </c>
      <c r="H805" s="9">
        <v>0.11559999999999999</v>
      </c>
      <c r="I805" s="13">
        <v>400</v>
      </c>
      <c r="J805" s="13">
        <f t="shared" si="21"/>
        <v>46.24</v>
      </c>
    </row>
    <row r="806" spans="1:10">
      <c r="A806" t="s">
        <v>13</v>
      </c>
      <c r="B806" s="9">
        <v>94970</v>
      </c>
      <c r="C806" s="588" t="s">
        <v>95</v>
      </c>
      <c r="D806" s="588"/>
      <c r="E806" s="588"/>
      <c r="F806" s="588"/>
      <c r="G806" s="9" t="s">
        <v>39</v>
      </c>
      <c r="H806" s="9">
        <v>7.4399999999999994E-2</v>
      </c>
      <c r="I806" s="13">
        <v>359.412173913</v>
      </c>
      <c r="J806" s="13">
        <f t="shared" si="21"/>
        <v>26.74</v>
      </c>
    </row>
    <row r="807" spans="1:10">
      <c r="A807" t="s">
        <v>13</v>
      </c>
      <c r="B807" s="9">
        <v>97735</v>
      </c>
      <c r="C807" s="588" t="s">
        <v>296</v>
      </c>
      <c r="D807" s="588"/>
      <c r="E807" s="588"/>
      <c r="F807" s="588"/>
      <c r="G807" s="9" t="s">
        <v>39</v>
      </c>
      <c r="H807" s="9">
        <v>4.48E-2</v>
      </c>
      <c r="I807" s="13">
        <v>1836.4017245775999</v>
      </c>
      <c r="J807" s="13">
        <f t="shared" si="21"/>
        <v>82.27</v>
      </c>
    </row>
    <row r="808" spans="1:10">
      <c r="A808" t="s">
        <v>13</v>
      </c>
      <c r="B808" s="9">
        <v>101616</v>
      </c>
      <c r="C808" s="588" t="s">
        <v>430</v>
      </c>
      <c r="D808" s="588"/>
      <c r="E808" s="588"/>
      <c r="F808" s="588"/>
      <c r="G808" s="9" t="s">
        <v>21</v>
      </c>
      <c r="H808" s="9">
        <v>0.81</v>
      </c>
      <c r="I808" s="13">
        <v>4.0291152815000002</v>
      </c>
      <c r="J808" s="13">
        <f t="shared" si="21"/>
        <v>3.26</v>
      </c>
    </row>
    <row r="809" spans="1:10" ht="28.8">
      <c r="A809" s="10" t="s">
        <v>4</v>
      </c>
      <c r="B809" s="11">
        <v>95469</v>
      </c>
      <c r="C809" s="589" t="s">
        <v>431</v>
      </c>
      <c r="D809" s="590"/>
      <c r="E809" s="590"/>
      <c r="F809" s="590"/>
      <c r="G809" s="11" t="s">
        <v>36</v>
      </c>
      <c r="H809" s="11"/>
      <c r="I809" s="12">
        <f>J810+J811+J812+J814+J813+J815</f>
        <v>234.57999999999998</v>
      </c>
      <c r="J809" s="12"/>
    </row>
    <row r="810" spans="1:10">
      <c r="A810" t="s">
        <v>7</v>
      </c>
      <c r="B810" s="9">
        <v>4384</v>
      </c>
      <c r="C810" s="588" t="s">
        <v>432</v>
      </c>
      <c r="D810" s="588"/>
      <c r="E810" s="588"/>
      <c r="F810" s="588"/>
      <c r="G810" s="9" t="s">
        <v>36</v>
      </c>
      <c r="H810" s="9">
        <v>2</v>
      </c>
      <c r="I810" s="13">
        <v>20.344999999999999</v>
      </c>
      <c r="J810" s="13">
        <f t="shared" si="21"/>
        <v>40.69</v>
      </c>
    </row>
    <row r="811" spans="1:10">
      <c r="A811" t="s">
        <v>7</v>
      </c>
      <c r="B811" s="9">
        <v>6138</v>
      </c>
      <c r="C811" s="588" t="s">
        <v>433</v>
      </c>
      <c r="D811" s="588"/>
      <c r="E811" s="588"/>
      <c r="F811" s="588"/>
      <c r="G811" s="9" t="s">
        <v>36</v>
      </c>
      <c r="H811" s="9">
        <v>1</v>
      </c>
      <c r="I811" s="13">
        <v>8.75</v>
      </c>
      <c r="J811" s="13">
        <f t="shared" si="21"/>
        <v>8.75</v>
      </c>
    </row>
    <row r="812" spans="1:10">
      <c r="A812" t="s">
        <v>7</v>
      </c>
      <c r="B812" s="9">
        <v>10420</v>
      </c>
      <c r="C812" s="588" t="s">
        <v>434</v>
      </c>
      <c r="D812" s="588"/>
      <c r="E812" s="588"/>
      <c r="F812" s="588"/>
      <c r="G812" s="9" t="s">
        <v>36</v>
      </c>
      <c r="H812" s="9">
        <v>1</v>
      </c>
      <c r="I812" s="13">
        <v>164.7</v>
      </c>
      <c r="J812" s="13">
        <f t="shared" si="21"/>
        <v>164.7</v>
      </c>
    </row>
    <row r="813" spans="1:10">
      <c r="A813" t="s">
        <v>7</v>
      </c>
      <c r="B813" s="9">
        <v>37329</v>
      </c>
      <c r="C813" s="588" t="s">
        <v>354</v>
      </c>
      <c r="D813" s="588"/>
      <c r="E813" s="588"/>
      <c r="F813" s="588"/>
      <c r="G813" s="9" t="s">
        <v>31</v>
      </c>
      <c r="H813" s="9">
        <v>8.8099999999999998E-2</v>
      </c>
      <c r="I813" s="13">
        <v>88.691164613699996</v>
      </c>
      <c r="J813" s="13">
        <f t="shared" si="21"/>
        <v>7.81</v>
      </c>
    </row>
    <row r="814" spans="1:10">
      <c r="A814" t="s">
        <v>13</v>
      </c>
      <c r="B814" s="9">
        <v>88267</v>
      </c>
      <c r="C814" s="588" t="s">
        <v>37</v>
      </c>
      <c r="D814" s="588"/>
      <c r="E814" s="588"/>
      <c r="F814" s="588"/>
      <c r="G814" s="9" t="s">
        <v>6</v>
      </c>
      <c r="H814" s="9">
        <v>0.49680000000000002</v>
      </c>
      <c r="I814" s="13">
        <v>17</v>
      </c>
      <c r="J814" s="13">
        <f t="shared" si="21"/>
        <v>8.44</v>
      </c>
    </row>
    <row r="815" spans="1:10">
      <c r="A815" t="s">
        <v>13</v>
      </c>
      <c r="B815" s="9">
        <v>88316</v>
      </c>
      <c r="C815" s="588" t="s">
        <v>22</v>
      </c>
      <c r="D815" s="588"/>
      <c r="E815" s="588"/>
      <c r="F815" s="588"/>
      <c r="G815" s="9" t="s">
        <v>6</v>
      </c>
      <c r="H815" s="9">
        <v>0.34949999999999998</v>
      </c>
      <c r="I815" s="13">
        <v>12</v>
      </c>
      <c r="J815" s="13">
        <f t="shared" si="21"/>
        <v>4.1900000000000004</v>
      </c>
    </row>
    <row r="816" spans="1:10" ht="28.8">
      <c r="A816" s="10" t="s">
        <v>4</v>
      </c>
      <c r="B816" s="11">
        <v>95472</v>
      </c>
      <c r="C816" s="589" t="s">
        <v>435</v>
      </c>
      <c r="D816" s="590"/>
      <c r="E816" s="590"/>
      <c r="F816" s="590"/>
      <c r="G816" s="11" t="s">
        <v>36</v>
      </c>
      <c r="H816" s="11"/>
      <c r="I816" s="12">
        <f>J817+J818</f>
        <v>607.94000000000005</v>
      </c>
      <c r="J816" s="12"/>
    </row>
    <row r="817" spans="1:10">
      <c r="A817" t="s">
        <v>7</v>
      </c>
      <c r="B817" s="9">
        <v>6142</v>
      </c>
      <c r="C817" s="588" t="s">
        <v>436</v>
      </c>
      <c r="D817" s="588"/>
      <c r="E817" s="588"/>
      <c r="F817" s="588"/>
      <c r="G817" s="9" t="s">
        <v>36</v>
      </c>
      <c r="H817" s="9">
        <v>1</v>
      </c>
      <c r="I817" s="13">
        <v>7.94</v>
      </c>
      <c r="J817" s="13">
        <f t="shared" si="21"/>
        <v>7.94</v>
      </c>
    </row>
    <row r="818" spans="1:10">
      <c r="A818" t="s">
        <v>13</v>
      </c>
      <c r="B818" s="9">
        <v>95471</v>
      </c>
      <c r="C818" s="588" t="s">
        <v>437</v>
      </c>
      <c r="D818" s="588"/>
      <c r="E818" s="588"/>
      <c r="F818" s="588"/>
      <c r="G818" s="9" t="s">
        <v>36</v>
      </c>
      <c r="H818" s="9">
        <v>1</v>
      </c>
      <c r="I818" s="13">
        <v>600</v>
      </c>
      <c r="J818" s="13">
        <f t="shared" si="21"/>
        <v>600</v>
      </c>
    </row>
    <row r="819" spans="1:10" ht="28.8">
      <c r="A819" s="10" t="s">
        <v>4</v>
      </c>
      <c r="B819" s="11">
        <v>89707</v>
      </c>
      <c r="C819" s="589" t="s">
        <v>438</v>
      </c>
      <c r="D819" s="590"/>
      <c r="E819" s="590"/>
      <c r="F819" s="590"/>
      <c r="G819" s="11" t="s">
        <v>36</v>
      </c>
      <c r="H819" s="11"/>
      <c r="I819" s="12">
        <f>J820+J821+J822+J823+J824+J825+J826+J827</f>
        <v>31.180000000000003</v>
      </c>
      <c r="J819" s="12"/>
    </row>
    <row r="820" spans="1:10">
      <c r="A820" t="s">
        <v>7</v>
      </c>
      <c r="B820" s="9">
        <v>122</v>
      </c>
      <c r="C820" s="588" t="s">
        <v>396</v>
      </c>
      <c r="D820" s="588"/>
      <c r="E820" s="588"/>
      <c r="F820" s="588"/>
      <c r="G820" s="9" t="s">
        <v>36</v>
      </c>
      <c r="H820" s="9">
        <v>1.4800000000000001E-2</v>
      </c>
      <c r="I820" s="13">
        <v>67</v>
      </c>
      <c r="J820" s="13">
        <f t="shared" si="21"/>
        <v>0.99</v>
      </c>
    </row>
    <row r="821" spans="1:10">
      <c r="A821" t="s">
        <v>7</v>
      </c>
      <c r="B821" s="9">
        <v>296</v>
      </c>
      <c r="C821" s="588" t="s">
        <v>439</v>
      </c>
      <c r="D821" s="588"/>
      <c r="E821" s="588"/>
      <c r="F821" s="588"/>
      <c r="G821" s="9" t="s">
        <v>36</v>
      </c>
      <c r="H821" s="9">
        <v>1</v>
      </c>
      <c r="I821" s="13">
        <v>2.39</v>
      </c>
      <c r="J821" s="13">
        <f t="shared" si="21"/>
        <v>2.39</v>
      </c>
    </row>
    <row r="822" spans="1:10">
      <c r="A822" t="s">
        <v>7</v>
      </c>
      <c r="B822" s="9">
        <v>5103</v>
      </c>
      <c r="C822" s="588" t="s">
        <v>440</v>
      </c>
      <c r="D822" s="588"/>
      <c r="E822" s="588"/>
      <c r="F822" s="588"/>
      <c r="G822" s="9" t="s">
        <v>36</v>
      </c>
      <c r="H822" s="9">
        <v>1</v>
      </c>
      <c r="I822" s="13">
        <v>18.170000000000002</v>
      </c>
      <c r="J822" s="13">
        <f t="shared" si="21"/>
        <v>18.170000000000002</v>
      </c>
    </row>
    <row r="823" spans="1:10">
      <c r="A823" t="s">
        <v>7</v>
      </c>
      <c r="B823" s="9">
        <v>20078</v>
      </c>
      <c r="C823" s="588" t="s">
        <v>392</v>
      </c>
      <c r="D823" s="588"/>
      <c r="E823" s="588"/>
      <c r="F823" s="588"/>
      <c r="G823" s="9" t="s">
        <v>36</v>
      </c>
      <c r="H823" s="9">
        <v>0.02</v>
      </c>
      <c r="I823" s="13">
        <v>27.718253968300001</v>
      </c>
      <c r="J823" s="13">
        <f t="shared" si="21"/>
        <v>0.55000000000000004</v>
      </c>
    </row>
    <row r="824" spans="1:10">
      <c r="A824" t="s">
        <v>7</v>
      </c>
      <c r="B824" s="9">
        <v>20083</v>
      </c>
      <c r="C824" s="588" t="s">
        <v>375</v>
      </c>
      <c r="D824" s="588"/>
      <c r="E824" s="588"/>
      <c r="F824" s="588"/>
      <c r="G824" s="9" t="s">
        <v>36</v>
      </c>
      <c r="H824" s="9">
        <v>2.2499999999999999E-2</v>
      </c>
      <c r="I824" s="13">
        <v>76</v>
      </c>
      <c r="J824" s="13">
        <f t="shared" si="21"/>
        <v>1.71</v>
      </c>
    </row>
    <row r="825" spans="1:10">
      <c r="A825" t="s">
        <v>7</v>
      </c>
      <c r="B825" s="9">
        <v>38383</v>
      </c>
      <c r="C825" s="588" t="s">
        <v>376</v>
      </c>
      <c r="D825" s="588"/>
      <c r="E825" s="588"/>
      <c r="F825" s="588"/>
      <c r="G825" s="9" t="s">
        <v>36</v>
      </c>
      <c r="H825" s="9">
        <v>6.4000000000000001E-2</v>
      </c>
      <c r="I825" s="13">
        <v>2</v>
      </c>
      <c r="J825" s="13">
        <f t="shared" si="21"/>
        <v>0.12</v>
      </c>
    </row>
    <row r="826" spans="1:10">
      <c r="A826" t="s">
        <v>13</v>
      </c>
      <c r="B826" s="9">
        <v>88248</v>
      </c>
      <c r="C826" s="588" t="s">
        <v>237</v>
      </c>
      <c r="D826" s="588"/>
      <c r="E826" s="588"/>
      <c r="F826" s="588"/>
      <c r="G826" s="9" t="s">
        <v>6</v>
      </c>
      <c r="H826" s="9">
        <v>0.25</v>
      </c>
      <c r="I826" s="13">
        <v>12</v>
      </c>
      <c r="J826" s="13">
        <f t="shared" si="21"/>
        <v>3</v>
      </c>
    </row>
    <row r="827" spans="1:10">
      <c r="A827" t="s">
        <v>13</v>
      </c>
      <c r="B827" s="9">
        <v>88267</v>
      </c>
      <c r="C827" s="588" t="s">
        <v>37</v>
      </c>
      <c r="D827" s="588"/>
      <c r="E827" s="588"/>
      <c r="F827" s="588"/>
      <c r="G827" s="9" t="s">
        <v>6</v>
      </c>
      <c r="H827" s="9">
        <v>0.25</v>
      </c>
      <c r="I827" s="13">
        <v>17</v>
      </c>
      <c r="J827" s="13">
        <f t="shared" si="21"/>
        <v>4.25</v>
      </c>
    </row>
    <row r="828" spans="1:10" ht="28.8">
      <c r="A828" s="10" t="s">
        <v>4</v>
      </c>
      <c r="B828" s="11">
        <v>100849</v>
      </c>
      <c r="C828" s="589" t="s">
        <v>441</v>
      </c>
      <c r="D828" s="590"/>
      <c r="E828" s="590"/>
      <c r="F828" s="590"/>
      <c r="G828" s="11" t="s">
        <v>36</v>
      </c>
      <c r="H828" s="11"/>
      <c r="I828" s="12">
        <f>J829+J830+J831</f>
        <v>41.75</v>
      </c>
      <c r="J828" s="12"/>
    </row>
    <row r="829" spans="1:10">
      <c r="A829" t="s">
        <v>7</v>
      </c>
      <c r="B829" s="9">
        <v>377</v>
      </c>
      <c r="C829" s="588" t="s">
        <v>442</v>
      </c>
      <c r="D829" s="588"/>
      <c r="E829" s="588"/>
      <c r="F829" s="588"/>
      <c r="G829" s="9" t="s">
        <v>36</v>
      </c>
      <c r="H829" s="9">
        <v>1</v>
      </c>
      <c r="I829" s="13">
        <v>38.56</v>
      </c>
      <c r="J829" s="13">
        <f t="shared" si="21"/>
        <v>38.56</v>
      </c>
    </row>
    <row r="830" spans="1:10">
      <c r="A830" t="s">
        <v>13</v>
      </c>
      <c r="B830" s="9">
        <v>88267</v>
      </c>
      <c r="C830" s="588" t="s">
        <v>37</v>
      </c>
      <c r="D830" s="588"/>
      <c r="E830" s="588"/>
      <c r="F830" s="588"/>
      <c r="G830" s="9" t="s">
        <v>6</v>
      </c>
      <c r="H830" s="9">
        <v>0.15359999999999999</v>
      </c>
      <c r="I830" s="13">
        <v>17</v>
      </c>
      <c r="J830" s="13">
        <f t="shared" si="21"/>
        <v>2.61</v>
      </c>
    </row>
    <row r="831" spans="1:10">
      <c r="A831" t="s">
        <v>13</v>
      </c>
      <c r="B831" s="9">
        <v>88316</v>
      </c>
      <c r="C831" s="588" t="s">
        <v>22</v>
      </c>
      <c r="D831" s="588"/>
      <c r="E831" s="588"/>
      <c r="F831" s="588"/>
      <c r="G831" s="9" t="s">
        <v>6</v>
      </c>
      <c r="H831" s="9">
        <v>4.8399999999999999E-2</v>
      </c>
      <c r="I831" s="13">
        <v>12</v>
      </c>
      <c r="J831" s="13">
        <f t="shared" si="21"/>
        <v>0.57999999999999996</v>
      </c>
    </row>
    <row r="832" spans="1:10" ht="28.8">
      <c r="A832" s="10" t="s">
        <v>4</v>
      </c>
      <c r="B832" s="11">
        <v>89714</v>
      </c>
      <c r="C832" s="589" t="s">
        <v>443</v>
      </c>
      <c r="D832" s="590"/>
      <c r="E832" s="590"/>
      <c r="F832" s="590"/>
      <c r="G832" s="11" t="s">
        <v>63</v>
      </c>
      <c r="H832" s="11"/>
      <c r="I832" s="12">
        <f>J833+J834+J835+J836+J837+J838</f>
        <v>45.55</v>
      </c>
      <c r="J832" s="12"/>
    </row>
    <row r="833" spans="1:10">
      <c r="A833" t="s">
        <v>7</v>
      </c>
      <c r="B833" s="9">
        <v>122</v>
      </c>
      <c r="C833" s="588" t="s">
        <v>396</v>
      </c>
      <c r="D833" s="588"/>
      <c r="E833" s="588"/>
      <c r="F833" s="588"/>
      <c r="G833" s="9" t="s">
        <v>36</v>
      </c>
      <c r="H833" s="9">
        <v>3.6299999999999999E-2</v>
      </c>
      <c r="I833" s="13">
        <v>67</v>
      </c>
      <c r="J833" s="13">
        <f t="shared" si="21"/>
        <v>2.4300000000000002</v>
      </c>
    </row>
    <row r="834" spans="1:10">
      <c r="A834" t="s">
        <v>7</v>
      </c>
      <c r="B834" s="9">
        <v>9836</v>
      </c>
      <c r="C834" s="588" t="s">
        <v>444</v>
      </c>
      <c r="D834" s="588"/>
      <c r="E834" s="588"/>
      <c r="F834" s="588"/>
      <c r="G834" s="9" t="s">
        <v>63</v>
      </c>
      <c r="H834" s="9">
        <v>1.05</v>
      </c>
      <c r="I834" s="13">
        <v>15.8832669114</v>
      </c>
      <c r="J834" s="13">
        <f t="shared" si="21"/>
        <v>16.670000000000002</v>
      </c>
    </row>
    <row r="835" spans="1:10">
      <c r="A835" t="s">
        <v>7</v>
      </c>
      <c r="B835" s="9">
        <v>20083</v>
      </c>
      <c r="C835" s="588" t="s">
        <v>375</v>
      </c>
      <c r="D835" s="588"/>
      <c r="E835" s="588"/>
      <c r="F835" s="588"/>
      <c r="G835" s="9" t="s">
        <v>36</v>
      </c>
      <c r="H835" s="9">
        <v>5.9299999999999999E-2</v>
      </c>
      <c r="I835" s="13">
        <v>76</v>
      </c>
      <c r="J835" s="13">
        <f t="shared" si="21"/>
        <v>4.5</v>
      </c>
    </row>
    <row r="836" spans="1:10">
      <c r="A836" t="s">
        <v>7</v>
      </c>
      <c r="B836" s="9">
        <v>38383</v>
      </c>
      <c r="C836" s="588" t="s">
        <v>376</v>
      </c>
      <c r="D836" s="588"/>
      <c r="E836" s="588"/>
      <c r="F836" s="588"/>
      <c r="G836" s="9" t="s">
        <v>36</v>
      </c>
      <c r="H836" s="9">
        <v>0.247</v>
      </c>
      <c r="I836" s="13">
        <v>2</v>
      </c>
      <c r="J836" s="13">
        <f t="shared" si="21"/>
        <v>0.49</v>
      </c>
    </row>
    <row r="837" spans="1:10">
      <c r="A837" t="s">
        <v>13</v>
      </c>
      <c r="B837" s="9">
        <v>88248</v>
      </c>
      <c r="C837" s="588" t="s">
        <v>237</v>
      </c>
      <c r="D837" s="588"/>
      <c r="E837" s="588"/>
      <c r="F837" s="588"/>
      <c r="G837" s="9" t="s">
        <v>6</v>
      </c>
      <c r="H837" s="9">
        <v>0.74</v>
      </c>
      <c r="I837" s="13">
        <v>12</v>
      </c>
      <c r="J837" s="13">
        <f t="shared" si="21"/>
        <v>8.8800000000000008</v>
      </c>
    </row>
    <row r="838" spans="1:10">
      <c r="A838" t="s">
        <v>13</v>
      </c>
      <c r="B838" s="9">
        <v>88267</v>
      </c>
      <c r="C838" s="588" t="s">
        <v>37</v>
      </c>
      <c r="D838" s="588"/>
      <c r="E838" s="588"/>
      <c r="F838" s="588"/>
      <c r="G838" s="9" t="s">
        <v>6</v>
      </c>
      <c r="H838" s="9">
        <v>0.74</v>
      </c>
      <c r="I838" s="13">
        <v>17</v>
      </c>
      <c r="J838" s="13">
        <f t="shared" si="21"/>
        <v>12.58</v>
      </c>
    </row>
    <row r="839" spans="1:10" ht="28.8">
      <c r="A839" s="10" t="s">
        <v>4</v>
      </c>
      <c r="B839" s="11">
        <v>89711</v>
      </c>
      <c r="C839" s="589" t="s">
        <v>445</v>
      </c>
      <c r="D839" s="590"/>
      <c r="E839" s="590"/>
      <c r="F839" s="590"/>
      <c r="G839" s="11" t="s">
        <v>63</v>
      </c>
      <c r="H839" s="11"/>
      <c r="I839" s="12">
        <f>J840+J841+J842+J843</f>
        <v>14.9</v>
      </c>
      <c r="J839" s="12"/>
    </row>
    <row r="840" spans="1:10">
      <c r="A840" t="s">
        <v>7</v>
      </c>
      <c r="B840" s="9">
        <v>9835</v>
      </c>
      <c r="C840" s="588" t="s">
        <v>446</v>
      </c>
      <c r="D840" s="588"/>
      <c r="E840" s="588"/>
      <c r="F840" s="588"/>
      <c r="G840" s="9" t="s">
        <v>63</v>
      </c>
      <c r="H840" s="9">
        <v>1.05</v>
      </c>
      <c r="I840" s="13">
        <v>5.7205240174999998</v>
      </c>
      <c r="J840" s="13">
        <f t="shared" si="21"/>
        <v>6</v>
      </c>
    </row>
    <row r="841" spans="1:10">
      <c r="A841" t="s">
        <v>7</v>
      </c>
      <c r="B841" s="9">
        <v>38383</v>
      </c>
      <c r="C841" s="588" t="s">
        <v>376</v>
      </c>
      <c r="D841" s="588"/>
      <c r="E841" s="588"/>
      <c r="F841" s="588"/>
      <c r="G841" s="9" t="s">
        <v>36</v>
      </c>
      <c r="H841" s="9">
        <v>0.1</v>
      </c>
      <c r="I841" s="13">
        <v>2</v>
      </c>
      <c r="J841" s="13">
        <f t="shared" si="21"/>
        <v>0.2</v>
      </c>
    </row>
    <row r="842" spans="1:10">
      <c r="A842" t="s">
        <v>13</v>
      </c>
      <c r="B842" s="9">
        <v>88248</v>
      </c>
      <c r="C842" s="588" t="s">
        <v>237</v>
      </c>
      <c r="D842" s="588"/>
      <c r="E842" s="588"/>
      <c r="F842" s="588"/>
      <c r="G842" s="9" t="s">
        <v>6</v>
      </c>
      <c r="H842" s="9">
        <v>0.3</v>
      </c>
      <c r="I842" s="13">
        <v>12</v>
      </c>
      <c r="J842" s="13">
        <f t="shared" si="21"/>
        <v>3.6</v>
      </c>
    </row>
    <row r="843" spans="1:10">
      <c r="A843" t="s">
        <v>13</v>
      </c>
      <c r="B843" s="9">
        <v>88267</v>
      </c>
      <c r="C843" s="588" t="s">
        <v>37</v>
      </c>
      <c r="D843" s="588"/>
      <c r="E843" s="588"/>
      <c r="F843" s="588"/>
      <c r="G843" s="9" t="s">
        <v>6</v>
      </c>
      <c r="H843" s="9">
        <v>0.3</v>
      </c>
      <c r="I843" s="13">
        <v>17</v>
      </c>
      <c r="J843" s="13">
        <f t="shared" si="21"/>
        <v>5.0999999999999996</v>
      </c>
    </row>
    <row r="844" spans="1:10" ht="28.8">
      <c r="A844" s="10" t="s">
        <v>4</v>
      </c>
      <c r="B844" s="11">
        <v>89712</v>
      </c>
      <c r="C844" s="589" t="s">
        <v>447</v>
      </c>
      <c r="D844" s="590"/>
      <c r="E844" s="590"/>
      <c r="F844" s="590"/>
      <c r="G844" s="11" t="s">
        <v>63</v>
      </c>
      <c r="H844" s="11"/>
      <c r="I844" s="12">
        <f>J845+J846+J847+J848+J849+J850</f>
        <v>23.450000000000003</v>
      </c>
      <c r="J844" s="12"/>
    </row>
    <row r="845" spans="1:10">
      <c r="A845" t="s">
        <v>7</v>
      </c>
      <c r="B845" s="9">
        <v>122</v>
      </c>
      <c r="C845" s="588" t="s">
        <v>396</v>
      </c>
      <c r="D845" s="588"/>
      <c r="E845" s="588"/>
      <c r="F845" s="588"/>
      <c r="G845" s="9" t="s">
        <v>36</v>
      </c>
      <c r="H845" s="9">
        <v>1.0800000000000001E-2</v>
      </c>
      <c r="I845" s="13">
        <v>67</v>
      </c>
      <c r="J845" s="13">
        <f t="shared" si="21"/>
        <v>0.72</v>
      </c>
    </row>
    <row r="846" spans="1:10">
      <c r="A846" t="s">
        <v>7</v>
      </c>
      <c r="B846" s="9">
        <v>9838</v>
      </c>
      <c r="C846" s="588" t="s">
        <v>448</v>
      </c>
      <c r="D846" s="588"/>
      <c r="E846" s="588"/>
      <c r="F846" s="588"/>
      <c r="G846" s="9" t="s">
        <v>63</v>
      </c>
      <c r="H846" s="9">
        <v>1.05</v>
      </c>
      <c r="I846" s="13">
        <v>9.7491025640999993</v>
      </c>
      <c r="J846" s="13">
        <f t="shared" si="21"/>
        <v>10.23</v>
      </c>
    </row>
    <row r="847" spans="1:10">
      <c r="A847" t="s">
        <v>7</v>
      </c>
      <c r="B847" s="9">
        <v>20083</v>
      </c>
      <c r="C847" s="588" t="s">
        <v>375</v>
      </c>
      <c r="D847" s="588"/>
      <c r="E847" s="588"/>
      <c r="F847" s="588"/>
      <c r="G847" s="9" t="s">
        <v>36</v>
      </c>
      <c r="H847" s="9">
        <v>1.6299999999999999E-2</v>
      </c>
      <c r="I847" s="13">
        <v>76</v>
      </c>
      <c r="J847" s="13">
        <f t="shared" si="21"/>
        <v>1.23</v>
      </c>
    </row>
    <row r="848" spans="1:10">
      <c r="A848" t="s">
        <v>7</v>
      </c>
      <c r="B848" s="9">
        <v>38383</v>
      </c>
      <c r="C848" s="588" t="s">
        <v>376</v>
      </c>
      <c r="D848" s="588"/>
      <c r="E848" s="588"/>
      <c r="F848" s="588"/>
      <c r="G848" s="9" t="s">
        <v>36</v>
      </c>
      <c r="H848" s="9">
        <v>0.127</v>
      </c>
      <c r="I848" s="13">
        <v>2</v>
      </c>
      <c r="J848" s="13">
        <f t="shared" si="21"/>
        <v>0.25</v>
      </c>
    </row>
    <row r="849" spans="1:10">
      <c r="A849" t="s">
        <v>13</v>
      </c>
      <c r="B849" s="9">
        <v>88248</v>
      </c>
      <c r="C849" s="588" t="s">
        <v>237</v>
      </c>
      <c r="D849" s="588"/>
      <c r="E849" s="588"/>
      <c r="F849" s="588"/>
      <c r="G849" s="9" t="s">
        <v>6</v>
      </c>
      <c r="H849" s="9">
        <v>0.38</v>
      </c>
      <c r="I849" s="13">
        <v>12</v>
      </c>
      <c r="J849" s="13">
        <f t="shared" si="21"/>
        <v>4.5599999999999996</v>
      </c>
    </row>
    <row r="850" spans="1:10">
      <c r="A850" t="s">
        <v>13</v>
      </c>
      <c r="B850" s="9">
        <v>88267</v>
      </c>
      <c r="C850" s="588" t="s">
        <v>37</v>
      </c>
      <c r="D850" s="588"/>
      <c r="E850" s="588"/>
      <c r="F850" s="588"/>
      <c r="G850" s="9" t="s">
        <v>6</v>
      </c>
      <c r="H850" s="9">
        <v>0.38</v>
      </c>
      <c r="I850" s="13">
        <v>17</v>
      </c>
      <c r="J850" s="13">
        <f t="shared" si="21"/>
        <v>6.46</v>
      </c>
    </row>
    <row r="851" spans="1:10" ht="28.8">
      <c r="A851" s="10" t="s">
        <v>4</v>
      </c>
      <c r="B851" s="11">
        <v>94676</v>
      </c>
      <c r="C851" s="589" t="s">
        <v>449</v>
      </c>
      <c r="D851" s="590"/>
      <c r="E851" s="590"/>
      <c r="F851" s="590"/>
      <c r="G851" s="11" t="s">
        <v>36</v>
      </c>
      <c r="H851" s="11"/>
      <c r="I851" s="12">
        <f>J852+J853+J854+J855+J856+J857</f>
        <v>12.78</v>
      </c>
      <c r="J851" s="12"/>
    </row>
    <row r="852" spans="1:10">
      <c r="A852" t="s">
        <v>7</v>
      </c>
      <c r="B852" s="9">
        <v>3535</v>
      </c>
      <c r="C852" s="588" t="s">
        <v>450</v>
      </c>
      <c r="D852" s="588"/>
      <c r="E852" s="588"/>
      <c r="F852" s="588"/>
      <c r="G852" s="9" t="s">
        <v>36</v>
      </c>
      <c r="H852" s="9">
        <v>1</v>
      </c>
      <c r="I852" s="13">
        <v>4.88</v>
      </c>
      <c r="J852" s="13">
        <f t="shared" si="21"/>
        <v>4.88</v>
      </c>
    </row>
    <row r="853" spans="1:10">
      <c r="A853" t="s">
        <v>7</v>
      </c>
      <c r="B853" s="9">
        <v>20080</v>
      </c>
      <c r="C853" s="588" t="s">
        <v>374</v>
      </c>
      <c r="D853" s="588"/>
      <c r="E853" s="588"/>
      <c r="F853" s="588"/>
      <c r="G853" s="9" t="s">
        <v>36</v>
      </c>
      <c r="H853" s="9">
        <v>7.0999999999999994E-2</v>
      </c>
      <c r="I853" s="13">
        <v>22.006516853899999</v>
      </c>
      <c r="J853" s="13">
        <f t="shared" si="21"/>
        <v>1.56</v>
      </c>
    </row>
    <row r="854" spans="1:10">
      <c r="A854" t="s">
        <v>7</v>
      </c>
      <c r="B854" s="9">
        <v>20083</v>
      </c>
      <c r="C854" s="588" t="s">
        <v>375</v>
      </c>
      <c r="D854" s="588"/>
      <c r="E854" s="588"/>
      <c r="F854" s="588"/>
      <c r="G854" s="9" t="s">
        <v>36</v>
      </c>
      <c r="H854" s="9">
        <v>1.7999999999999999E-2</v>
      </c>
      <c r="I854" s="13">
        <v>76</v>
      </c>
      <c r="J854" s="13">
        <f t="shared" si="21"/>
        <v>1.36</v>
      </c>
    </row>
    <row r="855" spans="1:10">
      <c r="A855" t="s">
        <v>7</v>
      </c>
      <c r="B855" s="9">
        <v>38383</v>
      </c>
      <c r="C855" s="588" t="s">
        <v>376</v>
      </c>
      <c r="D855" s="588"/>
      <c r="E855" s="588"/>
      <c r="F855" s="588"/>
      <c r="G855" s="9" t="s">
        <v>36</v>
      </c>
      <c r="H855" s="9">
        <v>1.7000000000000001E-2</v>
      </c>
      <c r="I855" s="13">
        <v>2</v>
      </c>
      <c r="J855" s="13">
        <f t="shared" si="21"/>
        <v>0.03</v>
      </c>
    </row>
    <row r="856" spans="1:10">
      <c r="A856" t="s">
        <v>13</v>
      </c>
      <c r="B856" s="9">
        <v>88248</v>
      </c>
      <c r="C856" s="588" t="s">
        <v>237</v>
      </c>
      <c r="D856" s="588"/>
      <c r="E856" s="588"/>
      <c r="F856" s="588"/>
      <c r="G856" s="9" t="s">
        <v>6</v>
      </c>
      <c r="H856" s="9">
        <v>0.17100000000000001</v>
      </c>
      <c r="I856" s="13">
        <v>12</v>
      </c>
      <c r="J856" s="13">
        <f t="shared" si="21"/>
        <v>2.0499999999999998</v>
      </c>
    </row>
    <row r="857" spans="1:10">
      <c r="A857" t="s">
        <v>13</v>
      </c>
      <c r="B857" s="9">
        <v>88267</v>
      </c>
      <c r="C857" s="588" t="s">
        <v>37</v>
      </c>
      <c r="D857" s="588"/>
      <c r="E857" s="588"/>
      <c r="F857" s="588"/>
      <c r="G857" s="9" t="s">
        <v>6</v>
      </c>
      <c r="H857" s="9">
        <v>0.17100000000000001</v>
      </c>
      <c r="I857" s="13">
        <v>17</v>
      </c>
      <c r="J857" s="13">
        <f t="shared" si="21"/>
        <v>2.9</v>
      </c>
    </row>
    <row r="858" spans="1:10" ht="28.8">
      <c r="A858" s="10" t="s">
        <v>4</v>
      </c>
      <c r="B858" s="11">
        <v>89753</v>
      </c>
      <c r="C858" s="589" t="s">
        <v>451</v>
      </c>
      <c r="D858" s="590"/>
      <c r="E858" s="590"/>
      <c r="F858" s="590"/>
      <c r="G858" s="11" t="s">
        <v>36</v>
      </c>
      <c r="H858" s="11"/>
      <c r="I858" s="12">
        <f>J859+J860+J862+J861+J863</f>
        <v>8</v>
      </c>
      <c r="J858" s="12"/>
    </row>
    <row r="859" spans="1:10">
      <c r="A859" t="s">
        <v>7</v>
      </c>
      <c r="B859" s="9">
        <v>296</v>
      </c>
      <c r="C859" s="588" t="s">
        <v>439</v>
      </c>
      <c r="D859" s="588"/>
      <c r="E859" s="588"/>
      <c r="F859" s="588"/>
      <c r="G859" s="9" t="s">
        <v>36</v>
      </c>
      <c r="H859" s="9">
        <v>1</v>
      </c>
      <c r="I859" s="13">
        <v>2</v>
      </c>
      <c r="J859" s="13">
        <f t="shared" si="21"/>
        <v>2</v>
      </c>
    </row>
    <row r="860" spans="1:10">
      <c r="A860" t="s">
        <v>7</v>
      </c>
      <c r="B860" s="9">
        <v>3875</v>
      </c>
      <c r="C860" s="588" t="s">
        <v>452</v>
      </c>
      <c r="D860" s="588"/>
      <c r="E860" s="588"/>
      <c r="F860" s="588"/>
      <c r="G860" s="9" t="s">
        <v>36</v>
      </c>
      <c r="H860" s="9">
        <v>1</v>
      </c>
      <c r="I860" s="13">
        <v>3.14</v>
      </c>
      <c r="J860" s="13">
        <f t="shared" si="21"/>
        <v>3.14</v>
      </c>
    </row>
    <row r="861" spans="1:10">
      <c r="A861" t="s">
        <v>7</v>
      </c>
      <c r="B861" s="9">
        <v>20078</v>
      </c>
      <c r="C861" s="588" t="s">
        <v>392</v>
      </c>
      <c r="D861" s="588"/>
      <c r="E861" s="588"/>
      <c r="F861" s="588"/>
      <c r="G861" s="9" t="s">
        <v>36</v>
      </c>
      <c r="H861" s="9">
        <v>0.02</v>
      </c>
      <c r="I861" s="13">
        <v>27</v>
      </c>
      <c r="J861" s="13">
        <f t="shared" si="21"/>
        <v>0.54</v>
      </c>
    </row>
    <row r="862" spans="1:10">
      <c r="A862" t="s">
        <v>13</v>
      </c>
      <c r="B862" s="9">
        <v>88248</v>
      </c>
      <c r="C862" s="588" t="s">
        <v>237</v>
      </c>
      <c r="D862" s="588"/>
      <c r="E862" s="588"/>
      <c r="F862" s="588"/>
      <c r="G862" s="9" t="s">
        <v>6</v>
      </c>
      <c r="H862" s="9">
        <v>0.08</v>
      </c>
      <c r="I862" s="13">
        <v>12</v>
      </c>
      <c r="J862" s="13">
        <f t="shared" si="21"/>
        <v>0.96</v>
      </c>
    </row>
    <row r="863" spans="1:10">
      <c r="A863" t="s">
        <v>13</v>
      </c>
      <c r="B863" s="9">
        <v>88267</v>
      </c>
      <c r="C863" s="588" t="s">
        <v>37</v>
      </c>
      <c r="D863" s="588"/>
      <c r="E863" s="588"/>
      <c r="F863" s="588"/>
      <c r="G863" s="9" t="s">
        <v>6</v>
      </c>
      <c r="H863" s="9">
        <v>0.08</v>
      </c>
      <c r="I863" s="13">
        <v>17</v>
      </c>
      <c r="J863" s="13">
        <f t="shared" si="21"/>
        <v>1.36</v>
      </c>
    </row>
    <row r="864" spans="1:10" ht="28.8">
      <c r="A864" s="10" t="s">
        <v>4</v>
      </c>
      <c r="B864" s="11">
        <v>89778</v>
      </c>
      <c r="C864" s="589" t="s">
        <v>453</v>
      </c>
      <c r="D864" s="590"/>
      <c r="E864" s="590"/>
      <c r="F864" s="590"/>
      <c r="G864" s="11" t="s">
        <v>36</v>
      </c>
      <c r="H864" s="11"/>
      <c r="I864" s="12">
        <f>J865+J866+J867+J868+J869</f>
        <v>17.05</v>
      </c>
      <c r="J864" s="12"/>
    </row>
    <row r="865" spans="1:10">
      <c r="A865" t="s">
        <v>7</v>
      </c>
      <c r="B865" s="9">
        <v>301</v>
      </c>
      <c r="C865" s="588" t="s">
        <v>454</v>
      </c>
      <c r="D865" s="588"/>
      <c r="E865" s="588"/>
      <c r="F865" s="588"/>
      <c r="G865" s="9" t="s">
        <v>36</v>
      </c>
      <c r="H865" s="9">
        <v>1</v>
      </c>
      <c r="I865" s="13">
        <v>4</v>
      </c>
      <c r="J865" s="13">
        <f t="shared" si="21"/>
        <v>4</v>
      </c>
    </row>
    <row r="866" spans="1:10">
      <c r="A866" t="s">
        <v>7</v>
      </c>
      <c r="B866" s="9">
        <v>3899</v>
      </c>
      <c r="C866" s="588" t="s">
        <v>455</v>
      </c>
      <c r="D866" s="588"/>
      <c r="E866" s="588"/>
      <c r="F866" s="588"/>
      <c r="G866" s="9" t="s">
        <v>36</v>
      </c>
      <c r="H866" s="9">
        <v>1</v>
      </c>
      <c r="I866" s="13">
        <v>6.88</v>
      </c>
      <c r="J866" s="13">
        <f t="shared" si="21"/>
        <v>6.88</v>
      </c>
    </row>
    <row r="867" spans="1:10">
      <c r="A867" t="s">
        <v>7</v>
      </c>
      <c r="B867" s="9">
        <v>20078</v>
      </c>
      <c r="C867" s="588" t="s">
        <v>392</v>
      </c>
      <c r="D867" s="588"/>
      <c r="E867" s="588"/>
      <c r="F867" s="588"/>
      <c r="G867" s="9" t="s">
        <v>36</v>
      </c>
      <c r="H867" s="9">
        <v>4.5999999999999999E-2</v>
      </c>
      <c r="I867" s="13">
        <v>27</v>
      </c>
      <c r="J867" s="13">
        <f t="shared" si="21"/>
        <v>1.24</v>
      </c>
    </row>
    <row r="868" spans="1:10">
      <c r="A868" t="s">
        <v>13</v>
      </c>
      <c r="B868" s="9">
        <v>88248</v>
      </c>
      <c r="C868" s="588" t="s">
        <v>237</v>
      </c>
      <c r="D868" s="588"/>
      <c r="E868" s="588"/>
      <c r="F868" s="588"/>
      <c r="G868" s="9" t="s">
        <v>6</v>
      </c>
      <c r="H868" s="9">
        <v>0.17</v>
      </c>
      <c r="I868" s="13">
        <v>12</v>
      </c>
      <c r="J868" s="13">
        <f t="shared" si="21"/>
        <v>2.04</v>
      </c>
    </row>
    <row r="869" spans="1:10">
      <c r="A869" t="s">
        <v>13</v>
      </c>
      <c r="B869" s="9">
        <v>88267</v>
      </c>
      <c r="C869" s="588" t="s">
        <v>37</v>
      </c>
      <c r="D869" s="588"/>
      <c r="E869" s="588"/>
      <c r="F869" s="588"/>
      <c r="G869" s="9" t="s">
        <v>6</v>
      </c>
      <c r="H869" s="9">
        <v>0.17</v>
      </c>
      <c r="I869" s="13">
        <v>17</v>
      </c>
      <c r="J869" s="13">
        <f t="shared" si="21"/>
        <v>2.89</v>
      </c>
    </row>
    <row r="870" spans="1:10" ht="28.8">
      <c r="A870" s="10" t="s">
        <v>4</v>
      </c>
      <c r="B870" s="11">
        <v>89809</v>
      </c>
      <c r="C870" s="589" t="s">
        <v>456</v>
      </c>
      <c r="D870" s="590"/>
      <c r="E870" s="590"/>
      <c r="F870" s="590"/>
      <c r="G870" s="11" t="s">
        <v>36</v>
      </c>
      <c r="H870" s="11"/>
      <c r="I870" s="12">
        <f>J871+J872+J873+J874+J875</f>
        <v>17.75</v>
      </c>
      <c r="J870" s="12"/>
    </row>
    <row r="871" spans="1:10">
      <c r="A871" t="s">
        <v>7</v>
      </c>
      <c r="B871" s="9">
        <v>301</v>
      </c>
      <c r="C871" s="588" t="s">
        <v>454</v>
      </c>
      <c r="D871" s="588"/>
      <c r="E871" s="588"/>
      <c r="F871" s="588"/>
      <c r="G871" s="9" t="s">
        <v>36</v>
      </c>
      <c r="H871" s="9">
        <v>1</v>
      </c>
      <c r="I871" s="13">
        <v>4</v>
      </c>
      <c r="J871" s="13">
        <f t="shared" si="21"/>
        <v>4</v>
      </c>
    </row>
    <row r="872" spans="1:10">
      <c r="A872" t="s">
        <v>7</v>
      </c>
      <c r="B872" s="9">
        <v>3520</v>
      </c>
      <c r="C872" s="588" t="s">
        <v>457</v>
      </c>
      <c r="D872" s="588"/>
      <c r="E872" s="588"/>
      <c r="F872" s="588"/>
      <c r="G872" s="9" t="s">
        <v>36</v>
      </c>
      <c r="H872" s="9">
        <v>1</v>
      </c>
      <c r="I872" s="13">
        <v>9.0299999999999994</v>
      </c>
      <c r="J872" s="13">
        <f t="shared" si="21"/>
        <v>9.0299999999999994</v>
      </c>
    </row>
    <row r="873" spans="1:10">
      <c r="A873" t="s">
        <v>7</v>
      </c>
      <c r="B873" s="9">
        <v>20078</v>
      </c>
      <c r="C873" s="588" t="s">
        <v>392</v>
      </c>
      <c r="D873" s="588"/>
      <c r="E873" s="588"/>
      <c r="F873" s="588"/>
      <c r="G873" s="9" t="s">
        <v>36</v>
      </c>
      <c r="H873" s="9">
        <v>4.5999999999999999E-2</v>
      </c>
      <c r="I873" s="13">
        <v>27</v>
      </c>
      <c r="J873" s="13">
        <f t="shared" si="21"/>
        <v>1.24</v>
      </c>
    </row>
    <row r="874" spans="1:10">
      <c r="A874" t="s">
        <v>13</v>
      </c>
      <c r="B874" s="9">
        <v>88248</v>
      </c>
      <c r="C874" s="588" t="s">
        <v>237</v>
      </c>
      <c r="D874" s="588"/>
      <c r="E874" s="588"/>
      <c r="F874" s="588"/>
      <c r="G874" s="9" t="s">
        <v>6</v>
      </c>
      <c r="H874" s="9">
        <v>0.12</v>
      </c>
      <c r="I874" s="13">
        <v>12</v>
      </c>
      <c r="J874" s="13">
        <f t="shared" si="21"/>
        <v>1.44</v>
      </c>
    </row>
    <row r="875" spans="1:10">
      <c r="A875" t="s">
        <v>13</v>
      </c>
      <c r="B875" s="9">
        <v>88267</v>
      </c>
      <c r="C875" s="588" t="s">
        <v>37</v>
      </c>
      <c r="D875" s="588"/>
      <c r="E875" s="588"/>
      <c r="F875" s="588"/>
      <c r="G875" s="9" t="s">
        <v>6</v>
      </c>
      <c r="H875" s="9">
        <v>0.12</v>
      </c>
      <c r="I875" s="13">
        <v>17</v>
      </c>
      <c r="J875" s="13">
        <f t="shared" si="21"/>
        <v>2.04</v>
      </c>
    </row>
    <row r="876" spans="1:10" ht="28.8">
      <c r="A876" s="10" t="s">
        <v>4</v>
      </c>
      <c r="B876" s="11">
        <v>89724</v>
      </c>
      <c r="C876" s="589" t="s">
        <v>458</v>
      </c>
      <c r="D876" s="590"/>
      <c r="E876" s="590"/>
      <c r="F876" s="590"/>
      <c r="G876" s="11" t="s">
        <v>36</v>
      </c>
      <c r="H876" s="11"/>
      <c r="I876" s="12">
        <f>J877+J878+J879+J880+J881+J882</f>
        <v>8.6999999999999993</v>
      </c>
      <c r="J876" s="12"/>
    </row>
    <row r="877" spans="1:10">
      <c r="A877" t="s">
        <v>7</v>
      </c>
      <c r="B877" s="9">
        <v>122</v>
      </c>
      <c r="C877" s="588" t="s">
        <v>396</v>
      </c>
      <c r="D877" s="588"/>
      <c r="E877" s="588"/>
      <c r="F877" s="588"/>
      <c r="G877" s="9" t="s">
        <v>36</v>
      </c>
      <c r="H877" s="9">
        <v>9.9000000000000008E-3</v>
      </c>
      <c r="I877" s="13">
        <v>67</v>
      </c>
      <c r="J877" s="13">
        <f t="shared" si="21"/>
        <v>0.66</v>
      </c>
    </row>
    <row r="878" spans="1:10">
      <c r="A878" t="s">
        <v>7</v>
      </c>
      <c r="B878" s="9">
        <v>3517</v>
      </c>
      <c r="C878" s="588" t="s">
        <v>459</v>
      </c>
      <c r="D878" s="588"/>
      <c r="E878" s="588"/>
      <c r="F878" s="588"/>
      <c r="G878" s="9" t="s">
        <v>36</v>
      </c>
      <c r="H878" s="9">
        <v>1</v>
      </c>
      <c r="I878" s="13">
        <v>3.96</v>
      </c>
      <c r="J878" s="13">
        <f t="shared" si="21"/>
        <v>3.96</v>
      </c>
    </row>
    <row r="879" spans="1:10">
      <c r="A879" t="s">
        <v>7</v>
      </c>
      <c r="B879" s="9">
        <v>20083</v>
      </c>
      <c r="C879" s="588" t="s">
        <v>375</v>
      </c>
      <c r="D879" s="588"/>
      <c r="E879" s="588"/>
      <c r="F879" s="588"/>
      <c r="G879" s="9" t="s">
        <v>36</v>
      </c>
      <c r="H879" s="9">
        <v>1.4999999999999999E-2</v>
      </c>
      <c r="I879" s="13">
        <v>76</v>
      </c>
      <c r="J879" s="13">
        <f t="shared" si="21"/>
        <v>1.1399999999999999</v>
      </c>
    </row>
    <row r="880" spans="1:10">
      <c r="A880" t="s">
        <v>7</v>
      </c>
      <c r="B880" s="9">
        <v>38383</v>
      </c>
      <c r="C880" s="588" t="s">
        <v>376</v>
      </c>
      <c r="D880" s="588"/>
      <c r="E880" s="588"/>
      <c r="F880" s="588"/>
      <c r="G880" s="9" t="s">
        <v>36</v>
      </c>
      <c r="H880" s="9">
        <v>2.1000000000000001E-2</v>
      </c>
      <c r="I880" s="13">
        <v>2</v>
      </c>
      <c r="J880" s="13">
        <f t="shared" si="21"/>
        <v>0.04</v>
      </c>
    </row>
    <row r="881" spans="1:10">
      <c r="A881" t="s">
        <v>13</v>
      </c>
      <c r="B881" s="9">
        <v>88248</v>
      </c>
      <c r="C881" s="588" t="s">
        <v>237</v>
      </c>
      <c r="D881" s="588"/>
      <c r="E881" s="588"/>
      <c r="F881" s="588"/>
      <c r="G881" s="9" t="s">
        <v>6</v>
      </c>
      <c r="H881" s="9">
        <v>0.1</v>
      </c>
      <c r="I881" s="13">
        <v>12</v>
      </c>
      <c r="J881" s="13">
        <f t="shared" si="21"/>
        <v>1.2</v>
      </c>
    </row>
    <row r="882" spans="1:10">
      <c r="A882" t="s">
        <v>13</v>
      </c>
      <c r="B882" s="9">
        <v>88267</v>
      </c>
      <c r="C882" s="588" t="s">
        <v>37</v>
      </c>
      <c r="D882" s="588"/>
      <c r="E882" s="588"/>
      <c r="F882" s="588"/>
      <c r="G882" s="9" t="s">
        <v>6</v>
      </c>
      <c r="H882" s="9">
        <v>0.1</v>
      </c>
      <c r="I882" s="13">
        <v>17</v>
      </c>
      <c r="J882" s="13">
        <f t="shared" si="21"/>
        <v>1.7</v>
      </c>
    </row>
    <row r="883" spans="1:10" ht="28.8">
      <c r="A883" s="10" t="s">
        <v>4</v>
      </c>
      <c r="B883" s="11">
        <v>89567</v>
      </c>
      <c r="C883" s="589" t="s">
        <v>460</v>
      </c>
      <c r="D883" s="590"/>
      <c r="E883" s="590"/>
      <c r="F883" s="590"/>
      <c r="G883" s="11" t="s">
        <v>36</v>
      </c>
      <c r="H883" s="11"/>
      <c r="I883" s="12">
        <f>J884+J885+J886+J887+J888</f>
        <v>79.989999999999995</v>
      </c>
      <c r="J883" s="12"/>
    </row>
    <row r="884" spans="1:10">
      <c r="A884" t="s">
        <v>7</v>
      </c>
      <c r="B884" s="9">
        <v>301</v>
      </c>
      <c r="C884" s="588" t="s">
        <v>454</v>
      </c>
      <c r="D884" s="588"/>
      <c r="E884" s="588"/>
      <c r="F884" s="588"/>
      <c r="G884" s="9" t="s">
        <v>36</v>
      </c>
      <c r="H884" s="9">
        <v>2</v>
      </c>
      <c r="I884" s="13">
        <v>4.2300000000000004</v>
      </c>
      <c r="J884" s="13">
        <f t="shared" si="21"/>
        <v>8.4600000000000009</v>
      </c>
    </row>
    <row r="885" spans="1:10">
      <c r="A885" t="s">
        <v>7</v>
      </c>
      <c r="B885" s="9">
        <v>20078</v>
      </c>
      <c r="C885" s="588" t="s">
        <v>392</v>
      </c>
      <c r="D885" s="588"/>
      <c r="E885" s="588"/>
      <c r="F885" s="588"/>
      <c r="G885" s="9" t="s">
        <v>36</v>
      </c>
      <c r="H885" s="9">
        <v>9.1999999999999998E-2</v>
      </c>
      <c r="I885" s="13">
        <v>27</v>
      </c>
      <c r="J885" s="13">
        <f t="shared" si="21"/>
        <v>2.48</v>
      </c>
    </row>
    <row r="886" spans="1:10">
      <c r="A886" t="s">
        <v>7</v>
      </c>
      <c r="B886" s="9">
        <v>20144</v>
      </c>
      <c r="C886" s="588" t="s">
        <v>461</v>
      </c>
      <c r="D886" s="588"/>
      <c r="E886" s="588"/>
      <c r="F886" s="588"/>
      <c r="G886" s="9" t="s">
        <v>36</v>
      </c>
      <c r="H886" s="9">
        <v>1</v>
      </c>
      <c r="I886" s="13">
        <v>63.69</v>
      </c>
      <c r="J886" s="13">
        <f t="shared" si="21"/>
        <v>63.69</v>
      </c>
    </row>
    <row r="887" spans="1:10">
      <c r="A887" t="s">
        <v>13</v>
      </c>
      <c r="B887" s="9">
        <v>88248</v>
      </c>
      <c r="C887" s="588" t="s">
        <v>237</v>
      </c>
      <c r="D887" s="588"/>
      <c r="E887" s="588"/>
      <c r="F887" s="588"/>
      <c r="G887" s="9" t="s">
        <v>6</v>
      </c>
      <c r="H887" s="9">
        <v>0.185</v>
      </c>
      <c r="I887" s="13">
        <v>12</v>
      </c>
      <c r="J887" s="13">
        <f t="shared" si="21"/>
        <v>2.2200000000000002</v>
      </c>
    </row>
    <row r="888" spans="1:10">
      <c r="A888" t="s">
        <v>13</v>
      </c>
      <c r="B888" s="9">
        <v>88267</v>
      </c>
      <c r="C888" s="588" t="s">
        <v>37</v>
      </c>
      <c r="D888" s="588"/>
      <c r="E888" s="588"/>
      <c r="F888" s="588"/>
      <c r="G888" s="9" t="s">
        <v>6</v>
      </c>
      <c r="H888" s="9">
        <v>0.185</v>
      </c>
      <c r="I888" s="13">
        <v>17</v>
      </c>
      <c r="J888" s="13">
        <f t="shared" si="21"/>
        <v>3.14</v>
      </c>
    </row>
    <row r="889" spans="1:10" ht="28.8">
      <c r="A889" s="10" t="s">
        <v>4</v>
      </c>
      <c r="B889" s="11">
        <v>89825</v>
      </c>
      <c r="C889" s="589" t="s">
        <v>462</v>
      </c>
      <c r="D889" s="590"/>
      <c r="E889" s="590"/>
      <c r="F889" s="590"/>
      <c r="G889" s="11" t="s">
        <v>36</v>
      </c>
      <c r="H889" s="11"/>
      <c r="I889" s="12">
        <f>J890+J891+J892+J893+J894</f>
        <v>14.52</v>
      </c>
      <c r="J889" s="12"/>
    </row>
    <row r="890" spans="1:10">
      <c r="A890" t="s">
        <v>7</v>
      </c>
      <c r="B890" s="9">
        <v>296</v>
      </c>
      <c r="C890" s="588" t="s">
        <v>439</v>
      </c>
      <c r="D890" s="588"/>
      <c r="E890" s="588"/>
      <c r="F890" s="588"/>
      <c r="G890" s="9" t="s">
        <v>36</v>
      </c>
      <c r="H890" s="9">
        <v>2</v>
      </c>
      <c r="I890" s="13">
        <v>2</v>
      </c>
      <c r="J890" s="13">
        <f t="shared" si="21"/>
        <v>4</v>
      </c>
    </row>
    <row r="891" spans="1:10">
      <c r="A891" t="s">
        <v>7</v>
      </c>
      <c r="B891" s="9">
        <v>7097</v>
      </c>
      <c r="C891" s="588" t="s">
        <v>463</v>
      </c>
      <c r="D891" s="588"/>
      <c r="E891" s="588"/>
      <c r="F891" s="588"/>
      <c r="G891" s="9" t="s">
        <v>36</v>
      </c>
      <c r="H891" s="9">
        <v>1</v>
      </c>
      <c r="I891" s="13">
        <v>7.7</v>
      </c>
      <c r="J891" s="13">
        <f t="shared" si="21"/>
        <v>7.7</v>
      </c>
    </row>
    <row r="892" spans="1:10">
      <c r="A892" t="s">
        <v>7</v>
      </c>
      <c r="B892" s="9">
        <v>20078</v>
      </c>
      <c r="C892" s="588" t="s">
        <v>392</v>
      </c>
      <c r="D892" s="588"/>
      <c r="E892" s="588"/>
      <c r="F892" s="588"/>
      <c r="G892" s="9" t="s">
        <v>36</v>
      </c>
      <c r="H892" s="9">
        <v>0.04</v>
      </c>
      <c r="I892" s="13">
        <v>27</v>
      </c>
      <c r="J892" s="13">
        <f t="shared" si="21"/>
        <v>1.08</v>
      </c>
    </row>
    <row r="893" spans="1:10">
      <c r="A893" t="s">
        <v>13</v>
      </c>
      <c r="B893" s="9">
        <v>88248</v>
      </c>
      <c r="C893" s="588" t="s">
        <v>237</v>
      </c>
      <c r="D893" s="588"/>
      <c r="E893" s="588"/>
      <c r="F893" s="588"/>
      <c r="G893" s="9" t="s">
        <v>6</v>
      </c>
      <c r="H893" s="9">
        <v>0.06</v>
      </c>
      <c r="I893" s="13">
        <v>12</v>
      </c>
      <c r="J893" s="13">
        <f t="shared" si="21"/>
        <v>0.72</v>
      </c>
    </row>
    <row r="894" spans="1:10">
      <c r="A894" t="s">
        <v>13</v>
      </c>
      <c r="B894" s="9">
        <v>88267</v>
      </c>
      <c r="C894" s="588" t="s">
        <v>37</v>
      </c>
      <c r="D894" s="588"/>
      <c r="E894" s="588"/>
      <c r="F894" s="588"/>
      <c r="G894" s="9" t="s">
        <v>6</v>
      </c>
      <c r="H894" s="9">
        <v>0.06</v>
      </c>
      <c r="I894" s="13">
        <v>17</v>
      </c>
      <c r="J894" s="13">
        <f t="shared" si="21"/>
        <v>1.02</v>
      </c>
    </row>
    <row r="895" spans="1:10" ht="28.8">
      <c r="A895" s="10" t="s">
        <v>4</v>
      </c>
      <c r="B895" s="11">
        <v>94678</v>
      </c>
      <c r="C895" s="589" t="s">
        <v>464</v>
      </c>
      <c r="D895" s="590"/>
      <c r="E895" s="590"/>
      <c r="F895" s="590"/>
      <c r="G895" s="11" t="s">
        <v>36</v>
      </c>
      <c r="H895" s="11"/>
      <c r="I895" s="12">
        <f>J896+J897+J898+J899+J900+J901</f>
        <v>13.179999999999998</v>
      </c>
      <c r="J895" s="12"/>
    </row>
    <row r="896" spans="1:10">
      <c r="A896" t="s">
        <v>7</v>
      </c>
      <c r="B896" s="9">
        <v>3540</v>
      </c>
      <c r="C896" s="588" t="s">
        <v>401</v>
      </c>
      <c r="D896" s="588"/>
      <c r="E896" s="588"/>
      <c r="F896" s="588"/>
      <c r="G896" s="9" t="s">
        <v>36</v>
      </c>
      <c r="H896" s="9">
        <v>1</v>
      </c>
      <c r="I896" s="13">
        <v>5.28</v>
      </c>
      <c r="J896" s="13">
        <f t="shared" si="21"/>
        <v>5.28</v>
      </c>
    </row>
    <row r="897" spans="1:10">
      <c r="A897" t="s">
        <v>7</v>
      </c>
      <c r="B897" s="9">
        <v>20080</v>
      </c>
      <c r="C897" s="588" t="s">
        <v>374</v>
      </c>
      <c r="D897" s="588"/>
      <c r="E897" s="588"/>
      <c r="F897" s="588"/>
      <c r="G897" s="9" t="s">
        <v>36</v>
      </c>
      <c r="H897" s="9">
        <v>7.0999999999999994E-2</v>
      </c>
      <c r="I897" s="13">
        <v>22</v>
      </c>
      <c r="J897" s="13">
        <f t="shared" si="21"/>
        <v>1.56</v>
      </c>
    </row>
    <row r="898" spans="1:10">
      <c r="A898" t="s">
        <v>7</v>
      </c>
      <c r="B898" s="9">
        <v>20083</v>
      </c>
      <c r="C898" s="588" t="s">
        <v>375</v>
      </c>
      <c r="D898" s="588"/>
      <c r="E898" s="588"/>
      <c r="F898" s="588"/>
      <c r="G898" s="9" t="s">
        <v>36</v>
      </c>
      <c r="H898" s="9">
        <v>1.7999999999999999E-2</v>
      </c>
      <c r="I898" s="13">
        <v>76</v>
      </c>
      <c r="J898" s="13">
        <f t="shared" si="21"/>
        <v>1.36</v>
      </c>
    </row>
    <row r="899" spans="1:10">
      <c r="A899" t="s">
        <v>7</v>
      </c>
      <c r="B899" s="9">
        <v>38383</v>
      </c>
      <c r="C899" s="588" t="s">
        <v>376</v>
      </c>
      <c r="D899" s="588"/>
      <c r="E899" s="588"/>
      <c r="F899" s="588"/>
      <c r="G899" s="9" t="s">
        <v>36</v>
      </c>
      <c r="H899" s="9">
        <v>1.7000000000000001E-2</v>
      </c>
      <c r="I899" s="13">
        <v>2</v>
      </c>
      <c r="J899" s="13">
        <f t="shared" si="21"/>
        <v>0.03</v>
      </c>
    </row>
    <row r="900" spans="1:10">
      <c r="A900" t="s">
        <v>13</v>
      </c>
      <c r="B900" s="9">
        <v>88248</v>
      </c>
      <c r="C900" s="588" t="s">
        <v>237</v>
      </c>
      <c r="D900" s="588"/>
      <c r="E900" s="588"/>
      <c r="F900" s="588"/>
      <c r="G900" s="9" t="s">
        <v>6</v>
      </c>
      <c r="H900" s="9">
        <v>0.17100000000000001</v>
      </c>
      <c r="I900" s="13">
        <v>12</v>
      </c>
      <c r="J900" s="13">
        <f t="shared" si="21"/>
        <v>2.0499999999999998</v>
      </c>
    </row>
    <row r="901" spans="1:10">
      <c r="A901" t="s">
        <v>13</v>
      </c>
      <c r="B901" s="9">
        <v>88267</v>
      </c>
      <c r="C901" s="588" t="s">
        <v>37</v>
      </c>
      <c r="D901" s="588"/>
      <c r="E901" s="588"/>
      <c r="F901" s="588"/>
      <c r="G901" s="9" t="s">
        <v>6</v>
      </c>
      <c r="H901" s="9">
        <v>0.17100000000000001</v>
      </c>
      <c r="I901" s="13">
        <v>17</v>
      </c>
      <c r="J901" s="13">
        <f t="shared" si="21"/>
        <v>2.9</v>
      </c>
    </row>
    <row r="902" spans="1:10" ht="28.8">
      <c r="A902" s="10" t="s">
        <v>4</v>
      </c>
      <c r="B902" s="11">
        <v>89802</v>
      </c>
      <c r="C902" s="589" t="s">
        <v>465</v>
      </c>
      <c r="D902" s="590"/>
      <c r="E902" s="590"/>
      <c r="F902" s="590"/>
      <c r="G902" s="11" t="s">
        <v>36</v>
      </c>
      <c r="H902" s="11"/>
      <c r="I902" s="12">
        <f>J903+J904+J905+J906+J907</f>
        <v>7.1</v>
      </c>
      <c r="J902" s="12"/>
    </row>
    <row r="903" spans="1:10">
      <c r="A903" t="s">
        <v>7</v>
      </c>
      <c r="B903" s="9">
        <v>296</v>
      </c>
      <c r="C903" s="588" t="s">
        <v>439</v>
      </c>
      <c r="D903" s="588"/>
      <c r="E903" s="588"/>
      <c r="F903" s="588"/>
      <c r="G903" s="9" t="s">
        <v>36</v>
      </c>
      <c r="H903" s="9">
        <v>1</v>
      </c>
      <c r="I903" s="13">
        <v>2</v>
      </c>
      <c r="J903" s="13">
        <f t="shared" si="21"/>
        <v>2</v>
      </c>
    </row>
    <row r="904" spans="1:10">
      <c r="A904" t="s">
        <v>7</v>
      </c>
      <c r="B904" s="9">
        <v>3518</v>
      </c>
      <c r="C904" s="588" t="s">
        <v>466</v>
      </c>
      <c r="D904" s="588"/>
      <c r="E904" s="588"/>
      <c r="F904" s="588"/>
      <c r="G904" s="9" t="s">
        <v>36</v>
      </c>
      <c r="H904" s="9">
        <v>1</v>
      </c>
      <c r="I904" s="13">
        <v>3.4</v>
      </c>
      <c r="J904" s="13">
        <f t="shared" si="21"/>
        <v>3.4</v>
      </c>
    </row>
    <row r="905" spans="1:10">
      <c r="A905" t="s">
        <v>7</v>
      </c>
      <c r="B905" s="9">
        <v>20078</v>
      </c>
      <c r="C905" s="588" t="s">
        <v>392</v>
      </c>
      <c r="D905" s="588"/>
      <c r="E905" s="588"/>
      <c r="F905" s="588"/>
      <c r="G905" s="9" t="s">
        <v>36</v>
      </c>
      <c r="H905" s="9">
        <v>0.02</v>
      </c>
      <c r="I905" s="13">
        <v>27</v>
      </c>
      <c r="J905" s="13">
        <f t="shared" si="21"/>
        <v>0.54</v>
      </c>
    </row>
    <row r="906" spans="1:10">
      <c r="A906" t="s">
        <v>13</v>
      </c>
      <c r="B906" s="9">
        <v>88248</v>
      </c>
      <c r="C906" s="588" t="s">
        <v>237</v>
      </c>
      <c r="D906" s="588"/>
      <c r="E906" s="588"/>
      <c r="F906" s="588"/>
      <c r="G906" s="9" t="s">
        <v>6</v>
      </c>
      <c r="H906" s="9">
        <v>0.04</v>
      </c>
      <c r="I906" s="13">
        <v>12</v>
      </c>
      <c r="J906" s="13">
        <f t="shared" si="21"/>
        <v>0.48</v>
      </c>
    </row>
    <row r="907" spans="1:10">
      <c r="A907" t="s">
        <v>13</v>
      </c>
      <c r="B907" s="9">
        <v>88267</v>
      </c>
      <c r="C907" s="588" t="s">
        <v>37</v>
      </c>
      <c r="D907" s="588"/>
      <c r="E907" s="588"/>
      <c r="F907" s="588"/>
      <c r="G907" s="9" t="s">
        <v>6</v>
      </c>
      <c r="H907" s="9">
        <v>0.04</v>
      </c>
      <c r="I907" s="13">
        <v>17</v>
      </c>
      <c r="J907" s="13">
        <f t="shared" si="21"/>
        <v>0.68</v>
      </c>
    </row>
    <row r="908" spans="1:10" ht="28.8">
      <c r="A908" s="10" t="s">
        <v>4</v>
      </c>
      <c r="B908" s="11">
        <v>98052</v>
      </c>
      <c r="C908" s="589" t="s">
        <v>467</v>
      </c>
      <c r="D908" s="590"/>
      <c r="E908" s="590"/>
      <c r="F908" s="590"/>
      <c r="G908" s="11" t="s">
        <v>36</v>
      </c>
      <c r="H908" s="11"/>
      <c r="I908" s="12">
        <f>J909+J910+J911+J912+J913+J914+J915+J916+J917</f>
        <v>1650.15</v>
      </c>
      <c r="J908" s="12"/>
    </row>
    <row r="909" spans="1:10">
      <c r="A909" t="s">
        <v>13</v>
      </c>
      <c r="B909" s="9">
        <v>5678</v>
      </c>
      <c r="C909" s="588" t="s">
        <v>293</v>
      </c>
      <c r="D909" s="588"/>
      <c r="E909" s="588"/>
      <c r="F909" s="588"/>
      <c r="G909" s="9" t="s">
        <v>49</v>
      </c>
      <c r="H909" s="9">
        <v>0.35449999999999998</v>
      </c>
      <c r="I909" s="13">
        <v>110</v>
      </c>
      <c r="J909" s="13">
        <f t="shared" si="21"/>
        <v>38.99</v>
      </c>
    </row>
    <row r="910" spans="1:10">
      <c r="A910" t="s">
        <v>13</v>
      </c>
      <c r="B910" s="9">
        <v>5679</v>
      </c>
      <c r="C910" s="588" t="s">
        <v>294</v>
      </c>
      <c r="D910" s="588"/>
      <c r="E910" s="588"/>
      <c r="F910" s="588"/>
      <c r="G910" s="9" t="s">
        <v>51</v>
      </c>
      <c r="H910" s="9">
        <v>1.1922999999999999</v>
      </c>
      <c r="I910" s="13">
        <v>38</v>
      </c>
      <c r="J910" s="13">
        <f t="shared" si="21"/>
        <v>45.3</v>
      </c>
    </row>
    <row r="911" spans="1:10">
      <c r="A911" t="s">
        <v>7</v>
      </c>
      <c r="B911" s="9">
        <v>12551</v>
      </c>
      <c r="C911" s="588" t="s">
        <v>468</v>
      </c>
      <c r="D911" s="588"/>
      <c r="E911" s="588"/>
      <c r="F911" s="588"/>
      <c r="G911" s="9" t="s">
        <v>36</v>
      </c>
      <c r="H911" s="9">
        <v>5</v>
      </c>
      <c r="I911" s="13">
        <v>223.446</v>
      </c>
      <c r="J911" s="13">
        <f t="shared" si="21"/>
        <v>1117.23</v>
      </c>
    </row>
    <row r="912" spans="1:10">
      <c r="A912" t="s">
        <v>13</v>
      </c>
      <c r="B912" s="9">
        <v>88309</v>
      </c>
      <c r="C912" s="588" t="s">
        <v>32</v>
      </c>
      <c r="D912" s="588"/>
      <c r="E912" s="588"/>
      <c r="F912" s="588"/>
      <c r="G912" s="9" t="s">
        <v>6</v>
      </c>
      <c r="H912" s="9">
        <v>2.9529000000000001</v>
      </c>
      <c r="I912" s="13">
        <v>17</v>
      </c>
      <c r="J912" s="13">
        <f t="shared" si="21"/>
        <v>50.19</v>
      </c>
    </row>
    <row r="913" spans="1:10">
      <c r="A913" t="s">
        <v>13</v>
      </c>
      <c r="B913" s="9">
        <v>88316</v>
      </c>
      <c r="C913" s="588" t="s">
        <v>22</v>
      </c>
      <c r="D913" s="588"/>
      <c r="E913" s="588"/>
      <c r="F913" s="588"/>
      <c r="G913" s="9" t="s">
        <v>6</v>
      </c>
      <c r="H913" s="9">
        <v>2.9529000000000001</v>
      </c>
      <c r="I913" s="13">
        <v>12</v>
      </c>
      <c r="J913" s="13">
        <f t="shared" si="21"/>
        <v>35.43</v>
      </c>
    </row>
    <row r="914" spans="1:10">
      <c r="A914" t="s">
        <v>13</v>
      </c>
      <c r="B914" s="9">
        <v>97738</v>
      </c>
      <c r="C914" s="588" t="s">
        <v>469</v>
      </c>
      <c r="D914" s="588"/>
      <c r="E914" s="588"/>
      <c r="F914" s="588"/>
      <c r="G914" s="9" t="s">
        <v>39</v>
      </c>
      <c r="H914" s="9">
        <v>1.54E-2</v>
      </c>
      <c r="I914" s="13">
        <v>4300</v>
      </c>
      <c r="J914" s="13">
        <f t="shared" si="21"/>
        <v>66.22</v>
      </c>
    </row>
    <row r="915" spans="1:10">
      <c r="A915" t="s">
        <v>13</v>
      </c>
      <c r="B915" s="9">
        <v>97739</v>
      </c>
      <c r="C915" s="588" t="s">
        <v>470</v>
      </c>
      <c r="D915" s="588"/>
      <c r="E915" s="588"/>
      <c r="F915" s="588"/>
      <c r="G915" s="9" t="s">
        <v>39</v>
      </c>
      <c r="H915" s="9">
        <v>7.9200000000000007E-2</v>
      </c>
      <c r="I915" s="13">
        <v>2284.9533059567998</v>
      </c>
      <c r="J915" s="13">
        <f t="shared" si="21"/>
        <v>180.96</v>
      </c>
    </row>
    <row r="916" spans="1:10">
      <c r="A916" t="s">
        <v>13</v>
      </c>
      <c r="B916" s="9">
        <v>100475</v>
      </c>
      <c r="C916" s="588" t="s">
        <v>471</v>
      </c>
      <c r="D916" s="588"/>
      <c r="E916" s="588"/>
      <c r="F916" s="588"/>
      <c r="G916" s="9" t="s">
        <v>39</v>
      </c>
      <c r="H916" s="9">
        <v>0.19320000000000001</v>
      </c>
      <c r="I916" s="13">
        <v>500</v>
      </c>
      <c r="J916" s="13">
        <f t="shared" si="21"/>
        <v>96.6</v>
      </c>
    </row>
    <row r="917" spans="1:10">
      <c r="A917" t="s">
        <v>13</v>
      </c>
      <c r="B917" s="9">
        <v>101625</v>
      </c>
      <c r="C917" s="588" t="s">
        <v>472</v>
      </c>
      <c r="D917" s="588"/>
      <c r="E917" s="588"/>
      <c r="F917" s="588"/>
      <c r="G917" s="9" t="s">
        <v>39</v>
      </c>
      <c r="H917" s="9">
        <v>0.15390000000000001</v>
      </c>
      <c r="I917" s="13">
        <v>125</v>
      </c>
      <c r="J917" s="13">
        <f t="shared" si="21"/>
        <v>19.23</v>
      </c>
    </row>
    <row r="918" spans="1:10" ht="28.8">
      <c r="A918" s="10" t="s">
        <v>4</v>
      </c>
      <c r="B918" s="11">
        <v>98062</v>
      </c>
      <c r="C918" s="589" t="s">
        <v>473</v>
      </c>
      <c r="D918" s="590"/>
      <c r="E918" s="590"/>
      <c r="F918" s="590"/>
      <c r="G918" s="11" t="s">
        <v>36</v>
      </c>
      <c r="H918" s="11"/>
      <c r="I918" s="12">
        <f>J919+J920+J921+J922+J923+J924+J925+J926+J927</f>
        <v>2338.7299999999996</v>
      </c>
      <c r="J918" s="12"/>
    </row>
    <row r="919" spans="1:10">
      <c r="A919" t="s">
        <v>13</v>
      </c>
      <c r="B919" s="9">
        <v>5678</v>
      </c>
      <c r="C919" s="588" t="s">
        <v>293</v>
      </c>
      <c r="D919" s="588"/>
      <c r="E919" s="588"/>
      <c r="F919" s="588"/>
      <c r="G919" s="9" t="s">
        <v>49</v>
      </c>
      <c r="H919" s="9">
        <v>0.40189999999999998</v>
      </c>
      <c r="I919" s="13">
        <v>110</v>
      </c>
      <c r="J919" s="13">
        <f t="shared" si="21"/>
        <v>44.2</v>
      </c>
    </row>
    <row r="920" spans="1:10">
      <c r="A920" t="s">
        <v>13</v>
      </c>
      <c r="B920" s="9">
        <v>5679</v>
      </c>
      <c r="C920" s="588" t="s">
        <v>294</v>
      </c>
      <c r="D920" s="588"/>
      <c r="E920" s="588"/>
      <c r="F920" s="588"/>
      <c r="G920" s="9" t="s">
        <v>51</v>
      </c>
      <c r="H920" s="9">
        <v>1.3516999999999999</v>
      </c>
      <c r="I920" s="13">
        <v>38</v>
      </c>
      <c r="J920" s="13">
        <f t="shared" si="21"/>
        <v>51.36</v>
      </c>
    </row>
    <row r="921" spans="1:10">
      <c r="A921" t="s">
        <v>7</v>
      </c>
      <c r="B921" s="9">
        <v>43446</v>
      </c>
      <c r="C921" s="588" t="s">
        <v>474</v>
      </c>
      <c r="D921" s="588"/>
      <c r="E921" s="588"/>
      <c r="F921" s="588"/>
      <c r="G921" s="9" t="s">
        <v>36</v>
      </c>
      <c r="H921" s="9">
        <v>4</v>
      </c>
      <c r="I921" s="13">
        <v>410.3775</v>
      </c>
      <c r="J921" s="13">
        <f t="shared" ref="J921:J964" si="22">TRUNC((H921*I921),2)</f>
        <v>1641.51</v>
      </c>
    </row>
    <row r="922" spans="1:10">
      <c r="A922" t="s">
        <v>13</v>
      </c>
      <c r="B922" s="9">
        <v>88309</v>
      </c>
      <c r="C922" s="588" t="s">
        <v>32</v>
      </c>
      <c r="D922" s="588"/>
      <c r="E922" s="588"/>
      <c r="F922" s="588"/>
      <c r="G922" s="9" t="s">
        <v>6</v>
      </c>
      <c r="H922" s="9">
        <v>1.5879000000000001</v>
      </c>
      <c r="I922" s="13">
        <v>17</v>
      </c>
      <c r="J922" s="13">
        <f t="shared" si="22"/>
        <v>26.99</v>
      </c>
    </row>
    <row r="923" spans="1:10">
      <c r="A923" t="s">
        <v>13</v>
      </c>
      <c r="B923" s="9">
        <v>88316</v>
      </c>
      <c r="C923" s="588" t="s">
        <v>22</v>
      </c>
      <c r="D923" s="588"/>
      <c r="E923" s="588"/>
      <c r="F923" s="588"/>
      <c r="G923" s="9" t="s">
        <v>6</v>
      </c>
      <c r="H923" s="9">
        <v>1.5879000000000001</v>
      </c>
      <c r="I923" s="13">
        <v>12</v>
      </c>
      <c r="J923" s="13">
        <f t="shared" si="22"/>
        <v>19.05</v>
      </c>
    </row>
    <row r="924" spans="1:10">
      <c r="A924" t="s">
        <v>13</v>
      </c>
      <c r="B924" s="9">
        <v>88628</v>
      </c>
      <c r="C924" s="588" t="s">
        <v>429</v>
      </c>
      <c r="D924" s="588"/>
      <c r="E924" s="588"/>
      <c r="F924" s="588"/>
      <c r="G924" s="9" t="s">
        <v>39</v>
      </c>
      <c r="H924" s="9">
        <v>5.8299999999999998E-2</v>
      </c>
      <c r="I924" s="13">
        <v>400</v>
      </c>
      <c r="J924" s="13">
        <f t="shared" si="22"/>
        <v>23.32</v>
      </c>
    </row>
    <row r="925" spans="1:10">
      <c r="A925" t="s">
        <v>13</v>
      </c>
      <c r="B925" s="9">
        <v>97738</v>
      </c>
      <c r="C925" s="588" t="s">
        <v>469</v>
      </c>
      <c r="D925" s="588"/>
      <c r="E925" s="588"/>
      <c r="F925" s="588"/>
      <c r="G925" s="9" t="s">
        <v>39</v>
      </c>
      <c r="H925" s="9">
        <v>1.54E-2</v>
      </c>
      <c r="I925" s="13">
        <v>4300</v>
      </c>
      <c r="J925" s="13">
        <f t="shared" si="22"/>
        <v>66.22</v>
      </c>
    </row>
    <row r="926" spans="1:10">
      <c r="A926" t="s">
        <v>13</v>
      </c>
      <c r="B926" s="9">
        <v>97740</v>
      </c>
      <c r="C926" s="588" t="s">
        <v>475</v>
      </c>
      <c r="D926" s="588"/>
      <c r="E926" s="588"/>
      <c r="F926" s="588"/>
      <c r="G926" s="9" t="s">
        <v>39</v>
      </c>
      <c r="H926" s="9">
        <v>0.23730000000000001</v>
      </c>
      <c r="I926" s="13">
        <v>1767.4913946847</v>
      </c>
      <c r="J926" s="13">
        <f t="shared" si="22"/>
        <v>419.42</v>
      </c>
    </row>
    <row r="927" spans="1:10">
      <c r="A927" t="s">
        <v>13</v>
      </c>
      <c r="B927" s="9">
        <v>101625</v>
      </c>
      <c r="C927" s="588" t="s">
        <v>472</v>
      </c>
      <c r="D927" s="588"/>
      <c r="E927" s="588"/>
      <c r="F927" s="588"/>
      <c r="G927" s="9" t="s">
        <v>39</v>
      </c>
      <c r="H927" s="9">
        <v>0.37330000000000002</v>
      </c>
      <c r="I927" s="13">
        <v>125</v>
      </c>
      <c r="J927" s="13">
        <f t="shared" si="22"/>
        <v>46.66</v>
      </c>
    </row>
    <row r="928" spans="1:10" ht="28.8">
      <c r="A928" s="10" t="s">
        <v>4</v>
      </c>
      <c r="B928" s="11">
        <v>86919</v>
      </c>
      <c r="C928" s="589" t="s">
        <v>476</v>
      </c>
      <c r="D928" s="590"/>
      <c r="E928" s="590"/>
      <c r="F928" s="590"/>
      <c r="G928" s="11" t="s">
        <v>36</v>
      </c>
      <c r="H928" s="11"/>
      <c r="I928" s="12">
        <f>J929+J930+J931+J932</f>
        <v>695.78</v>
      </c>
      <c r="J928" s="12"/>
    </row>
    <row r="929" spans="1:10">
      <c r="A929" t="s">
        <v>13</v>
      </c>
      <c r="B929" s="9">
        <v>86872</v>
      </c>
      <c r="C929" s="588" t="s">
        <v>477</v>
      </c>
      <c r="D929" s="588"/>
      <c r="E929" s="588"/>
      <c r="F929" s="588"/>
      <c r="G929" s="9" t="s">
        <v>36</v>
      </c>
      <c r="H929" s="9">
        <v>1</v>
      </c>
      <c r="I929" s="13">
        <v>567.04999999999995</v>
      </c>
      <c r="J929" s="13">
        <f t="shared" si="22"/>
        <v>567.04999999999995</v>
      </c>
    </row>
    <row r="930" spans="1:10">
      <c r="A930" t="s">
        <v>13</v>
      </c>
      <c r="B930" s="9">
        <v>86877</v>
      </c>
      <c r="C930" s="588" t="s">
        <v>478</v>
      </c>
      <c r="D930" s="588"/>
      <c r="E930" s="588"/>
      <c r="F930" s="588"/>
      <c r="G930" s="9" t="s">
        <v>36</v>
      </c>
      <c r="H930" s="9">
        <v>1</v>
      </c>
      <c r="I930" s="13">
        <v>42.47</v>
      </c>
      <c r="J930" s="13">
        <f t="shared" si="22"/>
        <v>42.47</v>
      </c>
    </row>
    <row r="931" spans="1:10">
      <c r="A931" t="s">
        <v>13</v>
      </c>
      <c r="B931" s="9">
        <v>86883</v>
      </c>
      <c r="C931" s="588" t="s">
        <v>479</v>
      </c>
      <c r="D931" s="588"/>
      <c r="E931" s="588"/>
      <c r="F931" s="588"/>
      <c r="G931" s="9" t="s">
        <v>36</v>
      </c>
      <c r="H931" s="9">
        <v>1</v>
      </c>
      <c r="I931" s="13">
        <v>11.57</v>
      </c>
      <c r="J931" s="13">
        <f t="shared" si="22"/>
        <v>11.57</v>
      </c>
    </row>
    <row r="932" spans="1:10">
      <c r="A932" t="s">
        <v>13</v>
      </c>
      <c r="B932" s="9">
        <v>86914</v>
      </c>
      <c r="C932" s="588" t="s">
        <v>367</v>
      </c>
      <c r="D932" s="588"/>
      <c r="E932" s="588"/>
      <c r="F932" s="588"/>
      <c r="G932" s="9" t="s">
        <v>36</v>
      </c>
      <c r="H932" s="9">
        <v>1</v>
      </c>
      <c r="I932" s="13">
        <v>74.69</v>
      </c>
      <c r="J932" s="13">
        <f t="shared" si="22"/>
        <v>74.69</v>
      </c>
    </row>
    <row r="933" spans="1:10" ht="28.8">
      <c r="A933" s="10" t="s">
        <v>4</v>
      </c>
      <c r="B933" s="11">
        <v>92776</v>
      </c>
      <c r="C933" s="589" t="s">
        <v>480</v>
      </c>
      <c r="D933" s="590"/>
      <c r="E933" s="590"/>
      <c r="F933" s="590"/>
      <c r="G933" s="11" t="s">
        <v>31</v>
      </c>
      <c r="H933" s="11"/>
      <c r="I933" s="12">
        <f>J934+J935+J936+J937+J938</f>
        <v>14.990000000000002</v>
      </c>
      <c r="J933" s="12"/>
    </row>
    <row r="934" spans="1:10">
      <c r="A934" t="s">
        <v>7</v>
      </c>
      <c r="B934" s="9">
        <v>39017</v>
      </c>
      <c r="C934" s="588" t="s">
        <v>72</v>
      </c>
      <c r="D934" s="588"/>
      <c r="E934" s="588"/>
      <c r="F934" s="588"/>
      <c r="G934" s="9" t="s">
        <v>36</v>
      </c>
      <c r="H934" s="9">
        <v>0.97</v>
      </c>
      <c r="I934" s="13">
        <v>0.18857142860000001</v>
      </c>
      <c r="J934" s="13">
        <f t="shared" si="22"/>
        <v>0.18</v>
      </c>
    </row>
    <row r="935" spans="1:10">
      <c r="A935" t="s">
        <v>7</v>
      </c>
      <c r="B935" s="9">
        <v>43132</v>
      </c>
      <c r="C935" s="588" t="s">
        <v>73</v>
      </c>
      <c r="D935" s="588"/>
      <c r="E935" s="588"/>
      <c r="F935" s="588"/>
      <c r="G935" s="9" t="s">
        <v>31</v>
      </c>
      <c r="H935" s="9">
        <v>2.5000000000000001E-2</v>
      </c>
      <c r="I935" s="13">
        <v>17.600000000000001</v>
      </c>
      <c r="J935" s="13">
        <f t="shared" si="22"/>
        <v>0.44</v>
      </c>
    </row>
    <row r="936" spans="1:10">
      <c r="A936" t="s">
        <v>13</v>
      </c>
      <c r="B936" s="9">
        <v>88238</v>
      </c>
      <c r="C936" s="588" t="s">
        <v>74</v>
      </c>
      <c r="D936" s="588"/>
      <c r="E936" s="588"/>
      <c r="F936" s="588"/>
      <c r="G936" s="9" t="s">
        <v>6</v>
      </c>
      <c r="H936" s="9">
        <v>2.8000000000000001E-2</v>
      </c>
      <c r="I936" s="13">
        <v>12</v>
      </c>
      <c r="J936" s="13">
        <f t="shared" si="22"/>
        <v>0.33</v>
      </c>
    </row>
    <row r="937" spans="1:10">
      <c r="A937" t="s">
        <v>13</v>
      </c>
      <c r="B937" s="9">
        <v>88245</v>
      </c>
      <c r="C937" s="588" t="s">
        <v>75</v>
      </c>
      <c r="D937" s="588"/>
      <c r="E937" s="588"/>
      <c r="F937" s="588"/>
      <c r="G937" s="9" t="s">
        <v>6</v>
      </c>
      <c r="H937" s="9">
        <v>0.17130000000000001</v>
      </c>
      <c r="I937" s="13">
        <v>17</v>
      </c>
      <c r="J937" s="13">
        <f t="shared" si="22"/>
        <v>2.91</v>
      </c>
    </row>
    <row r="938" spans="1:10">
      <c r="A938" t="s">
        <v>13</v>
      </c>
      <c r="B938" s="9">
        <v>92792</v>
      </c>
      <c r="C938" s="588" t="s">
        <v>78</v>
      </c>
      <c r="D938" s="588"/>
      <c r="E938" s="588"/>
      <c r="F938" s="588"/>
      <c r="G938" s="9" t="s">
        <v>31</v>
      </c>
      <c r="H938" s="9">
        <v>1</v>
      </c>
      <c r="I938" s="13">
        <v>11.13</v>
      </c>
      <c r="J938" s="13">
        <f t="shared" si="22"/>
        <v>11.13</v>
      </c>
    </row>
    <row r="939" spans="1:10" ht="28.8">
      <c r="A939" s="10" t="s">
        <v>4</v>
      </c>
      <c r="B939" s="11">
        <v>98504</v>
      </c>
      <c r="C939" s="589" t="s">
        <v>481</v>
      </c>
      <c r="D939" s="590"/>
      <c r="E939" s="590"/>
      <c r="F939" s="590"/>
      <c r="G939" s="11" t="s">
        <v>21</v>
      </c>
      <c r="H939" s="11"/>
      <c r="I939" s="12">
        <f>J940+J941+J942</f>
        <v>10.450000000000001</v>
      </c>
      <c r="J939" s="12"/>
    </row>
    <row r="940" spans="1:10">
      <c r="A940" t="s">
        <v>7</v>
      </c>
      <c r="B940" s="9">
        <v>3324</v>
      </c>
      <c r="C940" s="588" t="s">
        <v>482</v>
      </c>
      <c r="D940" s="588"/>
      <c r="E940" s="588"/>
      <c r="F940" s="588"/>
      <c r="G940" s="9" t="s">
        <v>21</v>
      </c>
      <c r="H940" s="9">
        <v>1</v>
      </c>
      <c r="I940" s="13">
        <v>8</v>
      </c>
      <c r="J940" s="13">
        <f t="shared" si="22"/>
        <v>8</v>
      </c>
    </row>
    <row r="941" spans="1:10">
      <c r="A941" t="s">
        <v>13</v>
      </c>
      <c r="B941" s="9">
        <v>88316</v>
      </c>
      <c r="C941" s="588" t="s">
        <v>22</v>
      </c>
      <c r="D941" s="588"/>
      <c r="E941" s="588"/>
      <c r="F941" s="588"/>
      <c r="G941" s="9" t="s">
        <v>6</v>
      </c>
      <c r="H941" s="9">
        <v>0.15640000000000001</v>
      </c>
      <c r="I941" s="13">
        <v>12</v>
      </c>
      <c r="J941" s="13">
        <f t="shared" si="22"/>
        <v>1.87</v>
      </c>
    </row>
    <row r="942" spans="1:10">
      <c r="A942" t="s">
        <v>13</v>
      </c>
      <c r="B942" s="9">
        <v>88441</v>
      </c>
      <c r="C942" s="588" t="s">
        <v>483</v>
      </c>
      <c r="D942" s="588"/>
      <c r="E942" s="588"/>
      <c r="F942" s="588"/>
      <c r="G942" s="9" t="s">
        <v>6</v>
      </c>
      <c r="H942" s="9">
        <v>3.9100000000000003E-2</v>
      </c>
      <c r="I942" s="13">
        <v>15</v>
      </c>
      <c r="J942" s="13">
        <f t="shared" si="22"/>
        <v>0.57999999999999996</v>
      </c>
    </row>
    <row r="943" spans="1:10" ht="28.8">
      <c r="A943" s="10" t="s">
        <v>4</v>
      </c>
      <c r="B943" s="11">
        <v>94273</v>
      </c>
      <c r="C943" s="589" t="s">
        <v>484</v>
      </c>
      <c r="D943" s="590"/>
      <c r="E943" s="590"/>
      <c r="F943" s="590"/>
      <c r="G943" s="11" t="s">
        <v>63</v>
      </c>
      <c r="H943" s="11"/>
      <c r="I943" s="12">
        <f>J944+J945+J946+J947+J948</f>
        <v>41.949999999999996</v>
      </c>
      <c r="J943" s="12"/>
    </row>
    <row r="944" spans="1:10">
      <c r="A944" t="s">
        <v>7</v>
      </c>
      <c r="B944" s="9">
        <v>370</v>
      </c>
      <c r="C944" s="588" t="s">
        <v>44</v>
      </c>
      <c r="D944" s="588"/>
      <c r="E944" s="588"/>
      <c r="F944" s="588"/>
      <c r="G944" s="9" t="s">
        <v>39</v>
      </c>
      <c r="H944" s="9">
        <v>7.0000000000000001E-3</v>
      </c>
      <c r="I944" s="13">
        <v>80</v>
      </c>
      <c r="J944" s="13">
        <f t="shared" si="22"/>
        <v>0.56000000000000005</v>
      </c>
    </row>
    <row r="945" spans="1:10">
      <c r="A945" t="s">
        <v>7</v>
      </c>
      <c r="B945" s="9">
        <v>4059</v>
      </c>
      <c r="C945" s="588" t="s">
        <v>485</v>
      </c>
      <c r="D945" s="588"/>
      <c r="E945" s="588"/>
      <c r="F945" s="588"/>
      <c r="G945" s="9" t="s">
        <v>63</v>
      </c>
      <c r="H945" s="9">
        <v>1.0049999999999999</v>
      </c>
      <c r="I945" s="13">
        <v>28.840126696799999</v>
      </c>
      <c r="J945" s="13">
        <f t="shared" si="22"/>
        <v>28.98</v>
      </c>
    </row>
    <row r="946" spans="1:10">
      <c r="A946" t="s">
        <v>13</v>
      </c>
      <c r="B946" s="9">
        <v>88309</v>
      </c>
      <c r="C946" s="588" t="s">
        <v>32</v>
      </c>
      <c r="D946" s="588"/>
      <c r="E946" s="588"/>
      <c r="F946" s="588"/>
      <c r="G946" s="9" t="s">
        <v>6</v>
      </c>
      <c r="H946" s="9">
        <v>0.39400000000000002</v>
      </c>
      <c r="I946" s="13">
        <v>17</v>
      </c>
      <c r="J946" s="13">
        <f t="shared" si="22"/>
        <v>6.69</v>
      </c>
    </row>
    <row r="947" spans="1:10">
      <c r="A947" t="s">
        <v>13</v>
      </c>
      <c r="B947" s="9">
        <v>88316</v>
      </c>
      <c r="C947" s="588" t="s">
        <v>22</v>
      </c>
      <c r="D947" s="588"/>
      <c r="E947" s="588"/>
      <c r="F947" s="588"/>
      <c r="G947" s="9" t="s">
        <v>6</v>
      </c>
      <c r="H947" s="9">
        <v>0.39400000000000002</v>
      </c>
      <c r="I947" s="13">
        <v>12</v>
      </c>
      <c r="J947" s="13">
        <f t="shared" si="22"/>
        <v>4.72</v>
      </c>
    </row>
    <row r="948" spans="1:10">
      <c r="A948" t="s">
        <v>13</v>
      </c>
      <c r="B948" s="9">
        <v>88629</v>
      </c>
      <c r="C948" s="588" t="s">
        <v>145</v>
      </c>
      <c r="D948" s="588"/>
      <c r="E948" s="588"/>
      <c r="F948" s="588"/>
      <c r="G948" s="9" t="s">
        <v>39</v>
      </c>
      <c r="H948" s="9">
        <v>2E-3</v>
      </c>
      <c r="I948" s="13">
        <v>500</v>
      </c>
      <c r="J948" s="13">
        <f t="shared" si="22"/>
        <v>1</v>
      </c>
    </row>
    <row r="949" spans="1:10" ht="28.8">
      <c r="A949" s="10" t="s">
        <v>4</v>
      </c>
      <c r="B949" s="11">
        <v>98563</v>
      </c>
      <c r="C949" s="589" t="s">
        <v>486</v>
      </c>
      <c r="D949" s="590"/>
      <c r="E949" s="590"/>
      <c r="F949" s="590"/>
      <c r="G949" s="11" t="s">
        <v>21</v>
      </c>
      <c r="H949" s="11"/>
      <c r="I949" s="12">
        <f>J950+J951+J952+J953</f>
        <v>25.46</v>
      </c>
      <c r="J949" s="12"/>
    </row>
    <row r="950" spans="1:10">
      <c r="A950" t="s">
        <v>7</v>
      </c>
      <c r="B950" s="9">
        <v>38365</v>
      </c>
      <c r="C950" s="588" t="s">
        <v>487</v>
      </c>
      <c r="D950" s="588"/>
      <c r="E950" s="588"/>
      <c r="F950" s="588"/>
      <c r="G950" s="9" t="s">
        <v>21</v>
      </c>
      <c r="H950" s="9">
        <v>1.04</v>
      </c>
      <c r="I950" s="13">
        <v>1.7388349514999999</v>
      </c>
      <c r="J950" s="13">
        <f t="shared" si="22"/>
        <v>1.8</v>
      </c>
    </row>
    <row r="951" spans="1:10">
      <c r="A951" t="s">
        <v>13</v>
      </c>
      <c r="B951" s="9">
        <v>87372</v>
      </c>
      <c r="C951" s="588" t="s">
        <v>488</v>
      </c>
      <c r="D951" s="588"/>
      <c r="E951" s="588"/>
      <c r="F951" s="588"/>
      <c r="G951" s="9" t="s">
        <v>39</v>
      </c>
      <c r="H951" s="9">
        <v>2.5000000000000001E-2</v>
      </c>
      <c r="I951" s="13">
        <v>620.8611711712</v>
      </c>
      <c r="J951" s="13">
        <f t="shared" si="22"/>
        <v>15.52</v>
      </c>
    </row>
    <row r="952" spans="1:10">
      <c r="A952" t="s">
        <v>13</v>
      </c>
      <c r="B952" s="9">
        <v>88309</v>
      </c>
      <c r="C952" s="588" t="s">
        <v>32</v>
      </c>
      <c r="D952" s="588"/>
      <c r="E952" s="588"/>
      <c r="F952" s="588"/>
      <c r="G952" s="9" t="s">
        <v>6</v>
      </c>
      <c r="H952" s="9">
        <v>0.41899999999999998</v>
      </c>
      <c r="I952" s="13">
        <v>17</v>
      </c>
      <c r="J952" s="13">
        <f t="shared" si="22"/>
        <v>7.12</v>
      </c>
    </row>
    <row r="953" spans="1:10">
      <c r="A953" t="s">
        <v>13</v>
      </c>
      <c r="B953" s="9">
        <v>88316</v>
      </c>
      <c r="C953" s="588" t="s">
        <v>22</v>
      </c>
      <c r="D953" s="588"/>
      <c r="E953" s="588"/>
      <c r="F953" s="588"/>
      <c r="G953" s="9" t="s">
        <v>6</v>
      </c>
      <c r="H953" s="9">
        <v>8.5000000000000006E-2</v>
      </c>
      <c r="I953" s="13">
        <v>12</v>
      </c>
      <c r="J953" s="13">
        <f t="shared" si="22"/>
        <v>1.02</v>
      </c>
    </row>
    <row r="954" spans="1:10" ht="28.8">
      <c r="A954" s="10" t="s">
        <v>4</v>
      </c>
      <c r="B954" s="11">
        <v>98564</v>
      </c>
      <c r="C954" s="589" t="s">
        <v>489</v>
      </c>
      <c r="D954" s="590"/>
      <c r="E954" s="590"/>
      <c r="F954" s="590"/>
      <c r="G954" s="11" t="s">
        <v>21</v>
      </c>
      <c r="H954" s="11"/>
      <c r="I954" s="12">
        <f>J955+J956+J957+J958</f>
        <v>37.109999999999992</v>
      </c>
      <c r="J954" s="12"/>
    </row>
    <row r="955" spans="1:10">
      <c r="A955" t="s">
        <v>7</v>
      </c>
      <c r="B955" s="9">
        <v>10931</v>
      </c>
      <c r="C955" s="588" t="s">
        <v>490</v>
      </c>
      <c r="D955" s="588"/>
      <c r="E955" s="588"/>
      <c r="F955" s="588"/>
      <c r="G955" s="9" t="s">
        <v>21</v>
      </c>
      <c r="H955" s="9">
        <v>1.05</v>
      </c>
      <c r="I955" s="13">
        <v>11.935415212800001</v>
      </c>
      <c r="J955" s="13">
        <f t="shared" si="22"/>
        <v>12.53</v>
      </c>
    </row>
    <row r="956" spans="1:10">
      <c r="A956" t="s">
        <v>13</v>
      </c>
      <c r="B956" s="9">
        <v>87372</v>
      </c>
      <c r="C956" s="588" t="s">
        <v>488</v>
      </c>
      <c r="D956" s="588"/>
      <c r="E956" s="588"/>
      <c r="F956" s="588"/>
      <c r="G956" s="9" t="s">
        <v>39</v>
      </c>
      <c r="H956" s="9">
        <v>2.5000000000000001E-2</v>
      </c>
      <c r="I956" s="13">
        <v>621.2612105856</v>
      </c>
      <c r="J956" s="13">
        <f t="shared" si="22"/>
        <v>15.53</v>
      </c>
    </row>
    <row r="957" spans="1:10">
      <c r="A957" t="s">
        <v>13</v>
      </c>
      <c r="B957" s="9">
        <v>88309</v>
      </c>
      <c r="C957" s="588" t="s">
        <v>32</v>
      </c>
      <c r="D957" s="588"/>
      <c r="E957" s="588"/>
      <c r="F957" s="588"/>
      <c r="G957" s="9" t="s">
        <v>6</v>
      </c>
      <c r="H957" s="9">
        <v>0.46700000000000003</v>
      </c>
      <c r="I957" s="13">
        <v>17</v>
      </c>
      <c r="J957" s="13">
        <f t="shared" si="22"/>
        <v>7.93</v>
      </c>
    </row>
    <row r="958" spans="1:10">
      <c r="A958" t="s">
        <v>13</v>
      </c>
      <c r="B958" s="9">
        <v>88316</v>
      </c>
      <c r="C958" s="588" t="s">
        <v>22</v>
      </c>
      <c r="D958" s="588"/>
      <c r="E958" s="588"/>
      <c r="F958" s="588"/>
      <c r="G958" s="9" t="s">
        <v>6</v>
      </c>
      <c r="H958" s="9">
        <v>9.4E-2</v>
      </c>
      <c r="I958" s="13">
        <v>12</v>
      </c>
      <c r="J958" s="13">
        <f t="shared" si="22"/>
        <v>1.1200000000000001</v>
      </c>
    </row>
    <row r="959" spans="1:10" ht="28.8">
      <c r="A959" s="10" t="s">
        <v>4</v>
      </c>
      <c r="B959" s="11">
        <v>98553</v>
      </c>
      <c r="C959" s="589" t="s">
        <v>491</v>
      </c>
      <c r="D959" s="590"/>
      <c r="E959" s="590"/>
      <c r="F959" s="590"/>
      <c r="G959" s="11" t="s">
        <v>21</v>
      </c>
      <c r="H959" s="11"/>
      <c r="I959" s="12">
        <f>J960+J961+J962</f>
        <v>87.690000000000012</v>
      </c>
      <c r="J959" s="12"/>
    </row>
    <row r="960" spans="1:10">
      <c r="A960" t="s">
        <v>7</v>
      </c>
      <c r="B960" s="9">
        <v>43148</v>
      </c>
      <c r="C960" s="588" t="s">
        <v>492</v>
      </c>
      <c r="D960" s="588"/>
      <c r="E960" s="588"/>
      <c r="F960" s="588"/>
      <c r="G960" s="9" t="s">
        <v>31</v>
      </c>
      <c r="H960" s="9">
        <v>2</v>
      </c>
      <c r="I960" s="13">
        <v>39.700000000000003</v>
      </c>
      <c r="J960" s="13">
        <f t="shared" si="22"/>
        <v>79.400000000000006</v>
      </c>
    </row>
    <row r="961" spans="1:10">
      <c r="A961" t="s">
        <v>13</v>
      </c>
      <c r="B961" s="9">
        <v>88243</v>
      </c>
      <c r="C961" s="588" t="s">
        <v>493</v>
      </c>
      <c r="D961" s="588"/>
      <c r="E961" s="588"/>
      <c r="F961" s="588"/>
      <c r="G961" s="9" t="s">
        <v>6</v>
      </c>
      <c r="H961" s="9">
        <v>9.6000000000000002E-2</v>
      </c>
      <c r="I961" s="13">
        <v>12</v>
      </c>
      <c r="J961" s="13">
        <f t="shared" si="22"/>
        <v>1.1499999999999999</v>
      </c>
    </row>
    <row r="962" spans="1:10">
      <c r="A962" t="s">
        <v>13</v>
      </c>
      <c r="B962" s="9">
        <v>88270</v>
      </c>
      <c r="C962" s="588" t="s">
        <v>494</v>
      </c>
      <c r="D962" s="588"/>
      <c r="E962" s="588"/>
      <c r="F962" s="588"/>
      <c r="G962" s="9" t="s">
        <v>6</v>
      </c>
      <c r="H962" s="9">
        <v>0.47599999999999998</v>
      </c>
      <c r="I962" s="13">
        <v>15</v>
      </c>
      <c r="J962" s="13">
        <f t="shared" si="22"/>
        <v>7.14</v>
      </c>
    </row>
    <row r="963" spans="1:10" ht="28.8">
      <c r="A963" s="10" t="s">
        <v>4</v>
      </c>
      <c r="B963" s="11">
        <v>99803</v>
      </c>
      <c r="C963" s="589" t="s">
        <v>495</v>
      </c>
      <c r="D963" s="590"/>
      <c r="E963" s="590"/>
      <c r="F963" s="590"/>
      <c r="G963" s="11" t="s">
        <v>21</v>
      </c>
      <c r="H963" s="11"/>
      <c r="I963" s="12">
        <f>J964</f>
        <v>1.1599999999999999</v>
      </c>
      <c r="J963" s="12"/>
    </row>
    <row r="964" spans="1:10">
      <c r="A964" t="s">
        <v>13</v>
      </c>
      <c r="B964" s="9">
        <v>88316</v>
      </c>
      <c r="C964" s="588" t="s">
        <v>22</v>
      </c>
      <c r="D964" s="588"/>
      <c r="E964" s="588"/>
      <c r="F964" s="588"/>
      <c r="G964" s="9" t="s">
        <v>6</v>
      </c>
      <c r="H964" s="9">
        <v>9.7000000000000003E-2</v>
      </c>
      <c r="I964" s="13">
        <v>12</v>
      </c>
      <c r="J964" s="13">
        <f t="shared" si="22"/>
        <v>1.1599999999999999</v>
      </c>
    </row>
    <row r="966" spans="1:10">
      <c r="B966" s="426">
        <v>36204</v>
      </c>
      <c r="C966" s="427" t="s">
        <v>916</v>
      </c>
      <c r="D966" s="428"/>
      <c r="E966" s="429"/>
      <c r="F966" s="430"/>
      <c r="G966" s="429"/>
      <c r="H966" s="431"/>
      <c r="I966" s="425">
        <f>J967+J968</f>
        <v>162.4</v>
      </c>
      <c r="J966" s="432"/>
    </row>
    <row r="967" spans="1:10">
      <c r="B967" s="433"/>
      <c r="C967" s="434" t="s">
        <v>916</v>
      </c>
      <c r="D967" s="435"/>
      <c r="E967" s="436"/>
      <c r="F967" s="437"/>
      <c r="G967" s="436" t="s">
        <v>1253</v>
      </c>
      <c r="H967" s="436">
        <v>1</v>
      </c>
      <c r="I967" s="438">
        <v>160</v>
      </c>
      <c r="J967" s="13">
        <f t="shared" ref="J967:J968" si="23">TRUNC((H967*I967),2)</f>
        <v>160</v>
      </c>
    </row>
    <row r="968" spans="1:10">
      <c r="B968" s="433"/>
      <c r="C968" s="591" t="s">
        <v>22</v>
      </c>
      <c r="D968" s="591"/>
      <c r="E968" s="591"/>
      <c r="F968" s="591"/>
      <c r="G968" s="436" t="s">
        <v>6</v>
      </c>
      <c r="H968" s="436">
        <v>0.2</v>
      </c>
      <c r="I968" s="13">
        <v>12</v>
      </c>
      <c r="J968" s="13">
        <f t="shared" si="23"/>
        <v>2.4</v>
      </c>
    </row>
  </sheetData>
  <sheetProtection formatCells="0" formatColumns="0" formatRows="0" insertColumns="0" insertRows="0" insertHyperlinks="0" deleteColumns="0" deleteRows="0" sort="0" autoFilter="0" pivotTables="0"/>
  <mergeCells count="959">
    <mergeCell ref="C968:F968"/>
    <mergeCell ref="C11:F11"/>
    <mergeCell ref="C12:F12"/>
    <mergeCell ref="C13:F13"/>
    <mergeCell ref="C14:F14"/>
    <mergeCell ref="C15:F15"/>
    <mergeCell ref="A5:D5"/>
    <mergeCell ref="A6:J6"/>
    <mergeCell ref="C9:F9"/>
    <mergeCell ref="C10:F10"/>
    <mergeCell ref="C21:F21"/>
    <mergeCell ref="C22:F22"/>
    <mergeCell ref="C23:F23"/>
    <mergeCell ref="C24:F24"/>
    <mergeCell ref="C25:F25"/>
    <mergeCell ref="C16:F16"/>
    <mergeCell ref="C17:F17"/>
    <mergeCell ref="C18:F18"/>
    <mergeCell ref="C19:F19"/>
    <mergeCell ref="C20:F20"/>
    <mergeCell ref="C31:F31"/>
    <mergeCell ref="C32:F32"/>
    <mergeCell ref="C33:F33"/>
    <mergeCell ref="C34:F34"/>
    <mergeCell ref="C35:F35"/>
    <mergeCell ref="C26:F26"/>
    <mergeCell ref="C27:F27"/>
    <mergeCell ref="C28:F28"/>
    <mergeCell ref="C29:F29"/>
    <mergeCell ref="C30:F30"/>
    <mergeCell ref="C41:F41"/>
    <mergeCell ref="C42:F42"/>
    <mergeCell ref="C43:F43"/>
    <mergeCell ref="C44:F44"/>
    <mergeCell ref="C45:F45"/>
    <mergeCell ref="C36:F36"/>
    <mergeCell ref="C37:F37"/>
    <mergeCell ref="C38:F38"/>
    <mergeCell ref="C39:F39"/>
    <mergeCell ref="C40:F40"/>
    <mergeCell ref="C51:F51"/>
    <mergeCell ref="C52:F52"/>
    <mergeCell ref="C53:F53"/>
    <mergeCell ref="C54:F54"/>
    <mergeCell ref="C55:F55"/>
    <mergeCell ref="C46:F46"/>
    <mergeCell ref="C47:F47"/>
    <mergeCell ref="C48:F48"/>
    <mergeCell ref="C49:F49"/>
    <mergeCell ref="C50:F50"/>
    <mergeCell ref="C61:F61"/>
    <mergeCell ref="C62:F62"/>
    <mergeCell ref="C63:F63"/>
    <mergeCell ref="C64:F64"/>
    <mergeCell ref="C65:F65"/>
    <mergeCell ref="C56:F56"/>
    <mergeCell ref="C57:F57"/>
    <mergeCell ref="C58:F58"/>
    <mergeCell ref="C59:F59"/>
    <mergeCell ref="C60:F60"/>
    <mergeCell ref="C71:F71"/>
    <mergeCell ref="C72:F72"/>
    <mergeCell ref="C73:F73"/>
    <mergeCell ref="C74:F74"/>
    <mergeCell ref="C75:F75"/>
    <mergeCell ref="C66:F66"/>
    <mergeCell ref="C67:F67"/>
    <mergeCell ref="C68:F68"/>
    <mergeCell ref="C69:F69"/>
    <mergeCell ref="C70:F70"/>
    <mergeCell ref="C81:F81"/>
    <mergeCell ref="C82:F82"/>
    <mergeCell ref="C83:F83"/>
    <mergeCell ref="C84:F84"/>
    <mergeCell ref="C85:F85"/>
    <mergeCell ref="C76:F76"/>
    <mergeCell ref="C77:F77"/>
    <mergeCell ref="C78:F78"/>
    <mergeCell ref="C79:F79"/>
    <mergeCell ref="C80:F80"/>
    <mergeCell ref="C91:F91"/>
    <mergeCell ref="C92:F92"/>
    <mergeCell ref="C93:F93"/>
    <mergeCell ref="C94:F94"/>
    <mergeCell ref="C95:F95"/>
    <mergeCell ref="C86:F86"/>
    <mergeCell ref="C87:F87"/>
    <mergeCell ref="C88:F88"/>
    <mergeCell ref="C89:F89"/>
    <mergeCell ref="C90:F90"/>
    <mergeCell ref="C101:F101"/>
    <mergeCell ref="C102:F102"/>
    <mergeCell ref="C103:F103"/>
    <mergeCell ref="C104:F104"/>
    <mergeCell ref="C105:F105"/>
    <mergeCell ref="C96:F96"/>
    <mergeCell ref="C97:F97"/>
    <mergeCell ref="C98:F98"/>
    <mergeCell ref="C99:F99"/>
    <mergeCell ref="C100:F100"/>
    <mergeCell ref="C111:F111"/>
    <mergeCell ref="C112:F112"/>
    <mergeCell ref="C113:F113"/>
    <mergeCell ref="C114:F114"/>
    <mergeCell ref="C115:F115"/>
    <mergeCell ref="C106:F106"/>
    <mergeCell ref="C107:F107"/>
    <mergeCell ref="C108:F108"/>
    <mergeCell ref="C109:F109"/>
    <mergeCell ref="C110:F110"/>
    <mergeCell ref="C121:F121"/>
    <mergeCell ref="C122:F122"/>
    <mergeCell ref="C123:F123"/>
    <mergeCell ref="C124:F124"/>
    <mergeCell ref="C125:F125"/>
    <mergeCell ref="C116:F116"/>
    <mergeCell ref="C117:F117"/>
    <mergeCell ref="C118:F118"/>
    <mergeCell ref="C119:F119"/>
    <mergeCell ref="C120:F120"/>
    <mergeCell ref="C131:F131"/>
    <mergeCell ref="C132:F132"/>
    <mergeCell ref="C133:F133"/>
    <mergeCell ref="C134:F134"/>
    <mergeCell ref="C135:F135"/>
    <mergeCell ref="C126:F126"/>
    <mergeCell ref="C127:F127"/>
    <mergeCell ref="C128:F128"/>
    <mergeCell ref="C129:F129"/>
    <mergeCell ref="C130:F130"/>
    <mergeCell ref="C141:F141"/>
    <mergeCell ref="C142:F142"/>
    <mergeCell ref="C143:F143"/>
    <mergeCell ref="C144:F144"/>
    <mergeCell ref="C145:F145"/>
    <mergeCell ref="C136:F136"/>
    <mergeCell ref="C137:F137"/>
    <mergeCell ref="C138:F138"/>
    <mergeCell ref="C139:F139"/>
    <mergeCell ref="C140:F140"/>
    <mergeCell ref="C151:F151"/>
    <mergeCell ref="C152:F152"/>
    <mergeCell ref="C153:F153"/>
    <mergeCell ref="C154:F154"/>
    <mergeCell ref="C155:F155"/>
    <mergeCell ref="C146:F146"/>
    <mergeCell ref="C147:F147"/>
    <mergeCell ref="C148:F148"/>
    <mergeCell ref="C149:F149"/>
    <mergeCell ref="C150:F150"/>
    <mergeCell ref="C161:F161"/>
    <mergeCell ref="C162:F162"/>
    <mergeCell ref="C163:F163"/>
    <mergeCell ref="C164:F164"/>
    <mergeCell ref="C165:F165"/>
    <mergeCell ref="C156:F156"/>
    <mergeCell ref="C157:F157"/>
    <mergeCell ref="C158:F158"/>
    <mergeCell ref="C159:F159"/>
    <mergeCell ref="C160:F160"/>
    <mergeCell ref="C171:F171"/>
    <mergeCell ref="C172:F172"/>
    <mergeCell ref="C173:F173"/>
    <mergeCell ref="C174:F174"/>
    <mergeCell ref="C175:F175"/>
    <mergeCell ref="C166:F166"/>
    <mergeCell ref="C167:F167"/>
    <mergeCell ref="C168:F168"/>
    <mergeCell ref="C169:F169"/>
    <mergeCell ref="C170:F170"/>
    <mergeCell ref="C181:F181"/>
    <mergeCell ref="C182:F182"/>
    <mergeCell ref="C183:F183"/>
    <mergeCell ref="C184:F184"/>
    <mergeCell ref="C185:F185"/>
    <mergeCell ref="C176:F176"/>
    <mergeCell ref="C177:F177"/>
    <mergeCell ref="C178:F178"/>
    <mergeCell ref="C179:F179"/>
    <mergeCell ref="C180:F180"/>
    <mergeCell ref="C191:F191"/>
    <mergeCell ref="C192:F192"/>
    <mergeCell ref="C193:F193"/>
    <mergeCell ref="C194:F194"/>
    <mergeCell ref="C195:F195"/>
    <mergeCell ref="C186:F186"/>
    <mergeCell ref="C187:F187"/>
    <mergeCell ref="C188:F188"/>
    <mergeCell ref="C189:F189"/>
    <mergeCell ref="C190:F190"/>
    <mergeCell ref="C201:F201"/>
    <mergeCell ref="C202:F202"/>
    <mergeCell ref="C203:F203"/>
    <mergeCell ref="C204:F204"/>
    <mergeCell ref="C205:F205"/>
    <mergeCell ref="C196:F196"/>
    <mergeCell ref="C197:F197"/>
    <mergeCell ref="C198:F198"/>
    <mergeCell ref="C199:F199"/>
    <mergeCell ref="C200:F200"/>
    <mergeCell ref="C211:F211"/>
    <mergeCell ref="C212:F212"/>
    <mergeCell ref="C213:F213"/>
    <mergeCell ref="C214:F214"/>
    <mergeCell ref="C215:F215"/>
    <mergeCell ref="C206:F206"/>
    <mergeCell ref="C207:F207"/>
    <mergeCell ref="C208:F208"/>
    <mergeCell ref="C209:F209"/>
    <mergeCell ref="C210:F210"/>
    <mergeCell ref="C221:F221"/>
    <mergeCell ref="C222:F222"/>
    <mergeCell ref="C223:F223"/>
    <mergeCell ref="C224:F224"/>
    <mergeCell ref="C225:F225"/>
    <mergeCell ref="C216:F216"/>
    <mergeCell ref="C217:F217"/>
    <mergeCell ref="C218:F218"/>
    <mergeCell ref="C219:F219"/>
    <mergeCell ref="C220:F220"/>
    <mergeCell ref="C231:F231"/>
    <mergeCell ref="C232:F232"/>
    <mergeCell ref="C233:F233"/>
    <mergeCell ref="C234:F234"/>
    <mergeCell ref="C235:F235"/>
    <mergeCell ref="C226:F226"/>
    <mergeCell ref="C227:F227"/>
    <mergeCell ref="C228:F228"/>
    <mergeCell ref="C229:F229"/>
    <mergeCell ref="C230:F230"/>
    <mergeCell ref="C241:F241"/>
    <mergeCell ref="C242:F242"/>
    <mergeCell ref="C243:F243"/>
    <mergeCell ref="C244:F244"/>
    <mergeCell ref="C245:F245"/>
    <mergeCell ref="C236:F236"/>
    <mergeCell ref="C237:F237"/>
    <mergeCell ref="C238:F238"/>
    <mergeCell ref="C239:F239"/>
    <mergeCell ref="C240:F240"/>
    <mergeCell ref="C251:F251"/>
    <mergeCell ref="C252:F252"/>
    <mergeCell ref="C253:F253"/>
    <mergeCell ref="C254:F254"/>
    <mergeCell ref="C255:F255"/>
    <mergeCell ref="C246:F246"/>
    <mergeCell ref="C247:F247"/>
    <mergeCell ref="C248:F248"/>
    <mergeCell ref="C249:F249"/>
    <mergeCell ref="C250:F250"/>
    <mergeCell ref="C261:F261"/>
    <mergeCell ref="C262:F262"/>
    <mergeCell ref="C263:F263"/>
    <mergeCell ref="C264:F264"/>
    <mergeCell ref="C265:F265"/>
    <mergeCell ref="C256:F256"/>
    <mergeCell ref="C257:F257"/>
    <mergeCell ref="C258:F258"/>
    <mergeCell ref="C259:F259"/>
    <mergeCell ref="C260:F260"/>
    <mergeCell ref="C271:F271"/>
    <mergeCell ref="C272:F272"/>
    <mergeCell ref="C273:F273"/>
    <mergeCell ref="C274:F274"/>
    <mergeCell ref="C275:F275"/>
    <mergeCell ref="C266:F266"/>
    <mergeCell ref="C267:F267"/>
    <mergeCell ref="C268:F268"/>
    <mergeCell ref="C269:F269"/>
    <mergeCell ref="C270:F270"/>
    <mergeCell ref="C281:F281"/>
    <mergeCell ref="C282:F282"/>
    <mergeCell ref="C283:F283"/>
    <mergeCell ref="C284:F284"/>
    <mergeCell ref="C285:F285"/>
    <mergeCell ref="C276:F276"/>
    <mergeCell ref="C277:F277"/>
    <mergeCell ref="C278:F278"/>
    <mergeCell ref="C279:F279"/>
    <mergeCell ref="C280:F280"/>
    <mergeCell ref="C291:F291"/>
    <mergeCell ref="C292:F292"/>
    <mergeCell ref="C293:F293"/>
    <mergeCell ref="C294:F294"/>
    <mergeCell ref="C295:F295"/>
    <mergeCell ref="C286:F286"/>
    <mergeCell ref="C287:F287"/>
    <mergeCell ref="C288:F288"/>
    <mergeCell ref="C289:F289"/>
    <mergeCell ref="C290:F290"/>
    <mergeCell ref="C301:F301"/>
    <mergeCell ref="C302:F302"/>
    <mergeCell ref="C303:F303"/>
    <mergeCell ref="C304:F304"/>
    <mergeCell ref="C305:F305"/>
    <mergeCell ref="C296:F296"/>
    <mergeCell ref="C297:F297"/>
    <mergeCell ref="C298:F298"/>
    <mergeCell ref="C299:F299"/>
    <mergeCell ref="C300:F300"/>
    <mergeCell ref="C311:F311"/>
    <mergeCell ref="C312:F312"/>
    <mergeCell ref="C313:F313"/>
    <mergeCell ref="C314:F314"/>
    <mergeCell ref="C315:F315"/>
    <mergeCell ref="C306:F306"/>
    <mergeCell ref="C307:F307"/>
    <mergeCell ref="C308:F308"/>
    <mergeCell ref="C309:F309"/>
    <mergeCell ref="C310:F310"/>
    <mergeCell ref="C321:F321"/>
    <mergeCell ref="C322:F322"/>
    <mergeCell ref="C323:F323"/>
    <mergeCell ref="C324:F324"/>
    <mergeCell ref="C325:F325"/>
    <mergeCell ref="C316:F316"/>
    <mergeCell ref="C317:F317"/>
    <mergeCell ref="C318:F318"/>
    <mergeCell ref="C319:F319"/>
    <mergeCell ref="C320:F320"/>
    <mergeCell ref="C331:F331"/>
    <mergeCell ref="C332:F332"/>
    <mergeCell ref="C333:F333"/>
    <mergeCell ref="C334:F334"/>
    <mergeCell ref="C335:F335"/>
    <mergeCell ref="C326:F326"/>
    <mergeCell ref="C327:F327"/>
    <mergeCell ref="C328:F328"/>
    <mergeCell ref="C329:F329"/>
    <mergeCell ref="C330:F330"/>
    <mergeCell ref="C341:F341"/>
    <mergeCell ref="C342:F342"/>
    <mergeCell ref="C343:F343"/>
    <mergeCell ref="C344:F344"/>
    <mergeCell ref="C345:F345"/>
    <mergeCell ref="C336:F336"/>
    <mergeCell ref="C337:F337"/>
    <mergeCell ref="C338:F338"/>
    <mergeCell ref="C339:F339"/>
    <mergeCell ref="C340:F340"/>
    <mergeCell ref="C351:F351"/>
    <mergeCell ref="C352:F352"/>
    <mergeCell ref="C353:F353"/>
    <mergeCell ref="C354:F354"/>
    <mergeCell ref="C355:F355"/>
    <mergeCell ref="C346:F346"/>
    <mergeCell ref="C347:F347"/>
    <mergeCell ref="C348:F348"/>
    <mergeCell ref="C349:F349"/>
    <mergeCell ref="C350:F350"/>
    <mergeCell ref="C361:F361"/>
    <mergeCell ref="C362:F362"/>
    <mergeCell ref="C363:F363"/>
    <mergeCell ref="C364:F364"/>
    <mergeCell ref="C365:F365"/>
    <mergeCell ref="C356:F356"/>
    <mergeCell ref="C357:F357"/>
    <mergeCell ref="C358:F358"/>
    <mergeCell ref="C359:F359"/>
    <mergeCell ref="C360:F360"/>
    <mergeCell ref="C371:F371"/>
    <mergeCell ref="C372:F372"/>
    <mergeCell ref="C373:F373"/>
    <mergeCell ref="C374:F374"/>
    <mergeCell ref="C375:F375"/>
    <mergeCell ref="C366:F366"/>
    <mergeCell ref="C367:F367"/>
    <mergeCell ref="C368:F368"/>
    <mergeCell ref="C369:F369"/>
    <mergeCell ref="C370:F370"/>
    <mergeCell ref="C381:F381"/>
    <mergeCell ref="C382:F382"/>
    <mergeCell ref="C383:F383"/>
    <mergeCell ref="C384:F384"/>
    <mergeCell ref="C385:F385"/>
    <mergeCell ref="C376:F376"/>
    <mergeCell ref="C377:F377"/>
    <mergeCell ref="C378:F378"/>
    <mergeCell ref="C379:F379"/>
    <mergeCell ref="C380:F380"/>
    <mergeCell ref="C391:F391"/>
    <mergeCell ref="C392:F392"/>
    <mergeCell ref="C393:F393"/>
    <mergeCell ref="C394:F394"/>
    <mergeCell ref="C395:F395"/>
    <mergeCell ref="C386:F386"/>
    <mergeCell ref="C387:F387"/>
    <mergeCell ref="C388:F388"/>
    <mergeCell ref="C389:F389"/>
    <mergeCell ref="C390:F390"/>
    <mergeCell ref="C401:F401"/>
    <mergeCell ref="C402:F402"/>
    <mergeCell ref="C403:F403"/>
    <mergeCell ref="C404:F404"/>
    <mergeCell ref="C405:F405"/>
    <mergeCell ref="C396:F396"/>
    <mergeCell ref="C397:F397"/>
    <mergeCell ref="C398:F398"/>
    <mergeCell ref="C399:F399"/>
    <mergeCell ref="C400:F400"/>
    <mergeCell ref="C411:F411"/>
    <mergeCell ref="C412:F412"/>
    <mergeCell ref="C413:F413"/>
    <mergeCell ref="C414:F414"/>
    <mergeCell ref="C415:F415"/>
    <mergeCell ref="C406:F406"/>
    <mergeCell ref="C407:F407"/>
    <mergeCell ref="C408:F408"/>
    <mergeCell ref="C409:F409"/>
    <mergeCell ref="C410:F410"/>
    <mergeCell ref="C421:F421"/>
    <mergeCell ref="C422:F422"/>
    <mergeCell ref="C423:F423"/>
    <mergeCell ref="C424:F424"/>
    <mergeCell ref="C425:F425"/>
    <mergeCell ref="C416:F416"/>
    <mergeCell ref="C417:F417"/>
    <mergeCell ref="C418:F418"/>
    <mergeCell ref="C419:F419"/>
    <mergeCell ref="C420:F420"/>
    <mergeCell ref="C431:F431"/>
    <mergeCell ref="C432:F432"/>
    <mergeCell ref="C433:F433"/>
    <mergeCell ref="C434:F434"/>
    <mergeCell ref="C435:F435"/>
    <mergeCell ref="C426:F426"/>
    <mergeCell ref="C427:F427"/>
    <mergeCell ref="C428:F428"/>
    <mergeCell ref="C429:F429"/>
    <mergeCell ref="C430:F430"/>
    <mergeCell ref="C441:F441"/>
    <mergeCell ref="C442:F442"/>
    <mergeCell ref="C443:F443"/>
    <mergeCell ref="C444:F444"/>
    <mergeCell ref="C445:F445"/>
    <mergeCell ref="C436:F436"/>
    <mergeCell ref="C437:F437"/>
    <mergeCell ref="C438:F438"/>
    <mergeCell ref="C439:F439"/>
    <mergeCell ref="C440:F440"/>
    <mergeCell ref="C451:F451"/>
    <mergeCell ref="C452:F452"/>
    <mergeCell ref="C453:F453"/>
    <mergeCell ref="C454:F454"/>
    <mergeCell ref="C455:F455"/>
    <mergeCell ref="C446:F446"/>
    <mergeCell ref="C447:F447"/>
    <mergeCell ref="C448:F448"/>
    <mergeCell ref="C449:F449"/>
    <mergeCell ref="C450:F450"/>
    <mergeCell ref="C461:F461"/>
    <mergeCell ref="C462:F462"/>
    <mergeCell ref="C463:F463"/>
    <mergeCell ref="C464:F464"/>
    <mergeCell ref="C465:F465"/>
    <mergeCell ref="C456:F456"/>
    <mergeCell ref="C457:F457"/>
    <mergeCell ref="C458:F458"/>
    <mergeCell ref="C459:F459"/>
    <mergeCell ref="C460:F460"/>
    <mergeCell ref="C471:F471"/>
    <mergeCell ref="C472:F472"/>
    <mergeCell ref="C473:F473"/>
    <mergeCell ref="C474:F474"/>
    <mergeCell ref="C475:F475"/>
    <mergeCell ref="C466:F466"/>
    <mergeCell ref="C467:F467"/>
    <mergeCell ref="C468:F468"/>
    <mergeCell ref="C469:F469"/>
    <mergeCell ref="C470:F470"/>
    <mergeCell ref="C481:F481"/>
    <mergeCell ref="C482:F482"/>
    <mergeCell ref="C483:F483"/>
    <mergeCell ref="C484:F484"/>
    <mergeCell ref="C485:F485"/>
    <mergeCell ref="C476:F476"/>
    <mergeCell ref="C477:F477"/>
    <mergeCell ref="C478:F478"/>
    <mergeCell ref="C479:F479"/>
    <mergeCell ref="C480:F480"/>
    <mergeCell ref="C491:F491"/>
    <mergeCell ref="C492:F492"/>
    <mergeCell ref="C493:F493"/>
    <mergeCell ref="C494:F494"/>
    <mergeCell ref="C495:F495"/>
    <mergeCell ref="C486:F486"/>
    <mergeCell ref="C487:F487"/>
    <mergeCell ref="C488:F488"/>
    <mergeCell ref="C489:F489"/>
    <mergeCell ref="C490:F490"/>
    <mergeCell ref="C501:F501"/>
    <mergeCell ref="C502:F502"/>
    <mergeCell ref="C503:F503"/>
    <mergeCell ref="C504:F504"/>
    <mergeCell ref="C505:F505"/>
    <mergeCell ref="C496:F496"/>
    <mergeCell ref="C497:F497"/>
    <mergeCell ref="C498:F498"/>
    <mergeCell ref="C499:F499"/>
    <mergeCell ref="C500:F500"/>
    <mergeCell ref="C511:F511"/>
    <mergeCell ref="C512:F512"/>
    <mergeCell ref="C513:F513"/>
    <mergeCell ref="C514:F514"/>
    <mergeCell ref="C515:F515"/>
    <mergeCell ref="C506:F506"/>
    <mergeCell ref="C507:F507"/>
    <mergeCell ref="C508:F508"/>
    <mergeCell ref="C509:F509"/>
    <mergeCell ref="C510:F510"/>
    <mergeCell ref="C521:F521"/>
    <mergeCell ref="C522:F522"/>
    <mergeCell ref="C523:F523"/>
    <mergeCell ref="C524:F524"/>
    <mergeCell ref="C525:F525"/>
    <mergeCell ref="C516:F516"/>
    <mergeCell ref="C517:F517"/>
    <mergeCell ref="C518:F518"/>
    <mergeCell ref="C519:F519"/>
    <mergeCell ref="C520:F520"/>
    <mergeCell ref="C531:F531"/>
    <mergeCell ref="C532:F532"/>
    <mergeCell ref="C533:F533"/>
    <mergeCell ref="C534:F534"/>
    <mergeCell ref="C535:F535"/>
    <mergeCell ref="C526:F526"/>
    <mergeCell ref="C527:F527"/>
    <mergeCell ref="C528:F528"/>
    <mergeCell ref="C529:F529"/>
    <mergeCell ref="C530:F530"/>
    <mergeCell ref="C541:F541"/>
    <mergeCell ref="C542:F542"/>
    <mergeCell ref="C543:F543"/>
    <mergeCell ref="C544:F544"/>
    <mergeCell ref="C545:F545"/>
    <mergeCell ref="C536:F536"/>
    <mergeCell ref="C537:F537"/>
    <mergeCell ref="C538:F538"/>
    <mergeCell ref="C539:F539"/>
    <mergeCell ref="C540:F540"/>
    <mergeCell ref="C551:F551"/>
    <mergeCell ref="C552:F552"/>
    <mergeCell ref="C553:F553"/>
    <mergeCell ref="C554:F554"/>
    <mergeCell ref="C555:F555"/>
    <mergeCell ref="C546:F546"/>
    <mergeCell ref="C547:F547"/>
    <mergeCell ref="C548:F548"/>
    <mergeCell ref="C549:F549"/>
    <mergeCell ref="C550:F550"/>
    <mergeCell ref="C561:F561"/>
    <mergeCell ref="C562:F562"/>
    <mergeCell ref="C563:F563"/>
    <mergeCell ref="C564:F564"/>
    <mergeCell ref="C565:F565"/>
    <mergeCell ref="C556:F556"/>
    <mergeCell ref="C557:F557"/>
    <mergeCell ref="C558:F558"/>
    <mergeCell ref="C559:F559"/>
    <mergeCell ref="C560:F560"/>
    <mergeCell ref="C571:F571"/>
    <mergeCell ref="C572:F572"/>
    <mergeCell ref="C573:F573"/>
    <mergeCell ref="C574:F574"/>
    <mergeCell ref="C575:F575"/>
    <mergeCell ref="C566:F566"/>
    <mergeCell ref="C567:F567"/>
    <mergeCell ref="C568:F568"/>
    <mergeCell ref="C569:F569"/>
    <mergeCell ref="C570:F570"/>
    <mergeCell ref="C581:F581"/>
    <mergeCell ref="C582:F582"/>
    <mergeCell ref="C583:F583"/>
    <mergeCell ref="C584:F584"/>
    <mergeCell ref="C585:F585"/>
    <mergeCell ref="C576:F576"/>
    <mergeCell ref="C577:F577"/>
    <mergeCell ref="C578:F578"/>
    <mergeCell ref="C579:F579"/>
    <mergeCell ref="C580:F580"/>
    <mergeCell ref="C591:F591"/>
    <mergeCell ref="C592:F592"/>
    <mergeCell ref="C593:F593"/>
    <mergeCell ref="C594:F594"/>
    <mergeCell ref="C595:F595"/>
    <mergeCell ref="C586:F586"/>
    <mergeCell ref="C587:F587"/>
    <mergeCell ref="C588:F588"/>
    <mergeCell ref="C589:F589"/>
    <mergeCell ref="C590:F590"/>
    <mergeCell ref="C601:F601"/>
    <mergeCell ref="C602:F602"/>
    <mergeCell ref="C603:F603"/>
    <mergeCell ref="C604:F604"/>
    <mergeCell ref="C605:F605"/>
    <mergeCell ref="C596:F596"/>
    <mergeCell ref="C597:F597"/>
    <mergeCell ref="C598:F598"/>
    <mergeCell ref="C599:F599"/>
    <mergeCell ref="C600:F600"/>
    <mergeCell ref="C611:F611"/>
    <mergeCell ref="C612:F612"/>
    <mergeCell ref="C613:F613"/>
    <mergeCell ref="C614:F614"/>
    <mergeCell ref="C615:F615"/>
    <mergeCell ref="C606:F606"/>
    <mergeCell ref="C607:F607"/>
    <mergeCell ref="C608:F608"/>
    <mergeCell ref="C609:F609"/>
    <mergeCell ref="C610:F610"/>
    <mergeCell ref="C621:F621"/>
    <mergeCell ref="C622:F622"/>
    <mergeCell ref="C623:F623"/>
    <mergeCell ref="C624:F624"/>
    <mergeCell ref="C625:F625"/>
    <mergeCell ref="C616:F616"/>
    <mergeCell ref="C617:F617"/>
    <mergeCell ref="C618:F618"/>
    <mergeCell ref="C619:F619"/>
    <mergeCell ref="C620:F620"/>
    <mergeCell ref="C631:F631"/>
    <mergeCell ref="C632:F632"/>
    <mergeCell ref="C633:F633"/>
    <mergeCell ref="C634:F634"/>
    <mergeCell ref="C635:F635"/>
    <mergeCell ref="C626:F626"/>
    <mergeCell ref="C627:F627"/>
    <mergeCell ref="C628:F628"/>
    <mergeCell ref="C629:F629"/>
    <mergeCell ref="C630:F630"/>
    <mergeCell ref="C641:F641"/>
    <mergeCell ref="C642:F642"/>
    <mergeCell ref="C643:F643"/>
    <mergeCell ref="C644:F644"/>
    <mergeCell ref="C645:F645"/>
    <mergeCell ref="C636:F636"/>
    <mergeCell ref="C637:F637"/>
    <mergeCell ref="C638:F638"/>
    <mergeCell ref="C639:F639"/>
    <mergeCell ref="C640:F640"/>
    <mergeCell ref="C651:F651"/>
    <mergeCell ref="C652:F652"/>
    <mergeCell ref="C653:F653"/>
    <mergeCell ref="C654:F654"/>
    <mergeCell ref="C655:F655"/>
    <mergeCell ref="C646:F646"/>
    <mergeCell ref="C647:F647"/>
    <mergeCell ref="C648:F648"/>
    <mergeCell ref="C649:F649"/>
    <mergeCell ref="C650:F650"/>
    <mergeCell ref="C661:F661"/>
    <mergeCell ref="C662:F662"/>
    <mergeCell ref="C663:F663"/>
    <mergeCell ref="C664:F664"/>
    <mergeCell ref="C665:F665"/>
    <mergeCell ref="C656:F656"/>
    <mergeCell ref="C657:F657"/>
    <mergeCell ref="C658:F658"/>
    <mergeCell ref="C659:F659"/>
    <mergeCell ref="C660:F660"/>
    <mergeCell ref="C671:F671"/>
    <mergeCell ref="C672:F672"/>
    <mergeCell ref="C673:F673"/>
    <mergeCell ref="C674:F674"/>
    <mergeCell ref="C675:F675"/>
    <mergeCell ref="C666:F666"/>
    <mergeCell ref="C667:F667"/>
    <mergeCell ref="C668:F668"/>
    <mergeCell ref="C669:F669"/>
    <mergeCell ref="C670:F670"/>
    <mergeCell ref="C681:F681"/>
    <mergeCell ref="C682:F682"/>
    <mergeCell ref="C683:F683"/>
    <mergeCell ref="C684:F684"/>
    <mergeCell ref="C685:F685"/>
    <mergeCell ref="C676:F676"/>
    <mergeCell ref="C677:F677"/>
    <mergeCell ref="C678:F678"/>
    <mergeCell ref="C679:F679"/>
    <mergeCell ref="C680:F680"/>
    <mergeCell ref="C691:F691"/>
    <mergeCell ref="C692:F692"/>
    <mergeCell ref="C693:F693"/>
    <mergeCell ref="C694:F694"/>
    <mergeCell ref="C695:F695"/>
    <mergeCell ref="C686:F686"/>
    <mergeCell ref="C687:F687"/>
    <mergeCell ref="C688:F688"/>
    <mergeCell ref="C689:F689"/>
    <mergeCell ref="C690:F690"/>
    <mergeCell ref="C701:F701"/>
    <mergeCell ref="C702:F702"/>
    <mergeCell ref="C703:F703"/>
    <mergeCell ref="C704:F704"/>
    <mergeCell ref="C705:F705"/>
    <mergeCell ref="C696:F696"/>
    <mergeCell ref="C697:F697"/>
    <mergeCell ref="C698:F698"/>
    <mergeCell ref="C699:F699"/>
    <mergeCell ref="C700:F700"/>
    <mergeCell ref="C711:F711"/>
    <mergeCell ref="C712:F712"/>
    <mergeCell ref="C713:F713"/>
    <mergeCell ref="C714:F714"/>
    <mergeCell ref="C715:F715"/>
    <mergeCell ref="C706:F706"/>
    <mergeCell ref="C707:F707"/>
    <mergeCell ref="C708:F708"/>
    <mergeCell ref="C709:F709"/>
    <mergeCell ref="C710:F710"/>
    <mergeCell ref="C721:F721"/>
    <mergeCell ref="C722:F722"/>
    <mergeCell ref="C723:F723"/>
    <mergeCell ref="C724:F724"/>
    <mergeCell ref="C725:F725"/>
    <mergeCell ref="C716:F716"/>
    <mergeCell ref="C717:F717"/>
    <mergeCell ref="C718:F718"/>
    <mergeCell ref="C719:F719"/>
    <mergeCell ref="C720:F720"/>
    <mergeCell ref="C731:F731"/>
    <mergeCell ref="C732:F732"/>
    <mergeCell ref="C733:F733"/>
    <mergeCell ref="C734:F734"/>
    <mergeCell ref="C735:F735"/>
    <mergeCell ref="C726:F726"/>
    <mergeCell ref="C727:F727"/>
    <mergeCell ref="C728:F728"/>
    <mergeCell ref="C729:F729"/>
    <mergeCell ref="C730:F730"/>
    <mergeCell ref="C741:F741"/>
    <mergeCell ref="C742:F742"/>
    <mergeCell ref="C743:F743"/>
    <mergeCell ref="C744:F744"/>
    <mergeCell ref="C745:F745"/>
    <mergeCell ref="C736:F736"/>
    <mergeCell ref="C737:F737"/>
    <mergeCell ref="C738:F738"/>
    <mergeCell ref="C739:F739"/>
    <mergeCell ref="C740:F740"/>
    <mergeCell ref="C751:F751"/>
    <mergeCell ref="C752:F752"/>
    <mergeCell ref="C753:F753"/>
    <mergeCell ref="C754:F754"/>
    <mergeCell ref="C755:F755"/>
    <mergeCell ref="C746:F746"/>
    <mergeCell ref="C747:F747"/>
    <mergeCell ref="C748:F748"/>
    <mergeCell ref="C749:F749"/>
    <mergeCell ref="C750:F750"/>
    <mergeCell ref="C761:F761"/>
    <mergeCell ref="C762:F762"/>
    <mergeCell ref="C763:F763"/>
    <mergeCell ref="C764:F764"/>
    <mergeCell ref="C765:F765"/>
    <mergeCell ref="C756:F756"/>
    <mergeCell ref="C757:F757"/>
    <mergeCell ref="C758:F758"/>
    <mergeCell ref="C759:F759"/>
    <mergeCell ref="C760:F760"/>
    <mergeCell ref="C771:F771"/>
    <mergeCell ref="C772:F772"/>
    <mergeCell ref="C773:F773"/>
    <mergeCell ref="C774:F774"/>
    <mergeCell ref="C775:F775"/>
    <mergeCell ref="C766:F766"/>
    <mergeCell ref="C767:F767"/>
    <mergeCell ref="C768:F768"/>
    <mergeCell ref="C769:F769"/>
    <mergeCell ref="C770:F770"/>
    <mergeCell ref="C781:F781"/>
    <mergeCell ref="C782:F782"/>
    <mergeCell ref="C783:F783"/>
    <mergeCell ref="C784:F784"/>
    <mergeCell ref="C785:F785"/>
    <mergeCell ref="C776:F776"/>
    <mergeCell ref="C777:F777"/>
    <mergeCell ref="C778:F778"/>
    <mergeCell ref="C779:F779"/>
    <mergeCell ref="C780:F780"/>
    <mergeCell ref="C791:F791"/>
    <mergeCell ref="C792:F792"/>
    <mergeCell ref="C793:F793"/>
    <mergeCell ref="C794:F794"/>
    <mergeCell ref="C795:F795"/>
    <mergeCell ref="C786:F786"/>
    <mergeCell ref="C787:F787"/>
    <mergeCell ref="C788:F788"/>
    <mergeCell ref="C789:F789"/>
    <mergeCell ref="C790:F790"/>
    <mergeCell ref="C801:F801"/>
    <mergeCell ref="C802:F802"/>
    <mergeCell ref="C803:F803"/>
    <mergeCell ref="C804:F804"/>
    <mergeCell ref="C805:F805"/>
    <mergeCell ref="C796:F796"/>
    <mergeCell ref="C797:F797"/>
    <mergeCell ref="C798:F798"/>
    <mergeCell ref="C799:F799"/>
    <mergeCell ref="C800:F800"/>
    <mergeCell ref="C811:F811"/>
    <mergeCell ref="C812:F812"/>
    <mergeCell ref="C813:F813"/>
    <mergeCell ref="C814:F814"/>
    <mergeCell ref="C815:F815"/>
    <mergeCell ref="C806:F806"/>
    <mergeCell ref="C807:F807"/>
    <mergeCell ref="C808:F808"/>
    <mergeCell ref="C809:F809"/>
    <mergeCell ref="C810:F810"/>
    <mergeCell ref="C821:F821"/>
    <mergeCell ref="C822:F822"/>
    <mergeCell ref="C823:F823"/>
    <mergeCell ref="C824:F824"/>
    <mergeCell ref="C825:F825"/>
    <mergeCell ref="C816:F816"/>
    <mergeCell ref="C817:F817"/>
    <mergeCell ref="C818:F818"/>
    <mergeCell ref="C819:F819"/>
    <mergeCell ref="C820:F820"/>
    <mergeCell ref="C831:F831"/>
    <mergeCell ref="C832:F832"/>
    <mergeCell ref="C833:F833"/>
    <mergeCell ref="C834:F834"/>
    <mergeCell ref="C835:F835"/>
    <mergeCell ref="C826:F826"/>
    <mergeCell ref="C827:F827"/>
    <mergeCell ref="C828:F828"/>
    <mergeCell ref="C829:F829"/>
    <mergeCell ref="C830:F830"/>
    <mergeCell ref="C841:F841"/>
    <mergeCell ref="C842:F842"/>
    <mergeCell ref="C843:F843"/>
    <mergeCell ref="C844:F844"/>
    <mergeCell ref="C845:F845"/>
    <mergeCell ref="C836:F836"/>
    <mergeCell ref="C837:F837"/>
    <mergeCell ref="C838:F838"/>
    <mergeCell ref="C839:F839"/>
    <mergeCell ref="C840:F840"/>
    <mergeCell ref="C851:F851"/>
    <mergeCell ref="C852:F852"/>
    <mergeCell ref="C853:F853"/>
    <mergeCell ref="C854:F854"/>
    <mergeCell ref="C855:F855"/>
    <mergeCell ref="C846:F846"/>
    <mergeCell ref="C847:F847"/>
    <mergeCell ref="C848:F848"/>
    <mergeCell ref="C849:F849"/>
    <mergeCell ref="C850:F850"/>
    <mergeCell ref="C861:F861"/>
    <mergeCell ref="C862:F862"/>
    <mergeCell ref="C863:F863"/>
    <mergeCell ref="C864:F864"/>
    <mergeCell ref="C865:F865"/>
    <mergeCell ref="C856:F856"/>
    <mergeCell ref="C857:F857"/>
    <mergeCell ref="C858:F858"/>
    <mergeCell ref="C859:F859"/>
    <mergeCell ref="C860:F860"/>
    <mergeCell ref="C871:F871"/>
    <mergeCell ref="C872:F872"/>
    <mergeCell ref="C873:F873"/>
    <mergeCell ref="C874:F874"/>
    <mergeCell ref="C875:F875"/>
    <mergeCell ref="C866:F866"/>
    <mergeCell ref="C867:F867"/>
    <mergeCell ref="C868:F868"/>
    <mergeCell ref="C869:F869"/>
    <mergeCell ref="C870:F870"/>
    <mergeCell ref="C881:F881"/>
    <mergeCell ref="C882:F882"/>
    <mergeCell ref="C883:F883"/>
    <mergeCell ref="C884:F884"/>
    <mergeCell ref="C885:F885"/>
    <mergeCell ref="C876:F876"/>
    <mergeCell ref="C877:F877"/>
    <mergeCell ref="C878:F878"/>
    <mergeCell ref="C879:F879"/>
    <mergeCell ref="C880:F880"/>
    <mergeCell ref="C891:F891"/>
    <mergeCell ref="C892:F892"/>
    <mergeCell ref="C893:F893"/>
    <mergeCell ref="C894:F894"/>
    <mergeCell ref="C895:F895"/>
    <mergeCell ref="C886:F886"/>
    <mergeCell ref="C887:F887"/>
    <mergeCell ref="C888:F888"/>
    <mergeCell ref="C889:F889"/>
    <mergeCell ref="C890:F890"/>
    <mergeCell ref="C901:F901"/>
    <mergeCell ref="C902:F902"/>
    <mergeCell ref="C903:F903"/>
    <mergeCell ref="C904:F904"/>
    <mergeCell ref="C905:F905"/>
    <mergeCell ref="C896:F896"/>
    <mergeCell ref="C897:F897"/>
    <mergeCell ref="C898:F898"/>
    <mergeCell ref="C899:F899"/>
    <mergeCell ref="C900:F900"/>
    <mergeCell ref="C911:F911"/>
    <mergeCell ref="C912:F912"/>
    <mergeCell ref="C913:F913"/>
    <mergeCell ref="C914:F914"/>
    <mergeCell ref="C915:F915"/>
    <mergeCell ref="C906:F906"/>
    <mergeCell ref="C907:F907"/>
    <mergeCell ref="C908:F908"/>
    <mergeCell ref="C909:F909"/>
    <mergeCell ref="C910:F910"/>
    <mergeCell ref="C921:F921"/>
    <mergeCell ref="C922:F922"/>
    <mergeCell ref="C923:F923"/>
    <mergeCell ref="C924:F924"/>
    <mergeCell ref="C925:F925"/>
    <mergeCell ref="C916:F916"/>
    <mergeCell ref="C917:F917"/>
    <mergeCell ref="C918:F918"/>
    <mergeCell ref="C919:F919"/>
    <mergeCell ref="C920:F920"/>
    <mergeCell ref="C931:F931"/>
    <mergeCell ref="C932:F932"/>
    <mergeCell ref="C933:F933"/>
    <mergeCell ref="C934:F934"/>
    <mergeCell ref="C935:F935"/>
    <mergeCell ref="C926:F926"/>
    <mergeCell ref="C927:F927"/>
    <mergeCell ref="C928:F928"/>
    <mergeCell ref="C929:F929"/>
    <mergeCell ref="C930:F930"/>
    <mergeCell ref="C941:F941"/>
    <mergeCell ref="C942:F942"/>
    <mergeCell ref="C943:F943"/>
    <mergeCell ref="C944:F944"/>
    <mergeCell ref="C945:F945"/>
    <mergeCell ref="C936:F936"/>
    <mergeCell ref="C937:F937"/>
    <mergeCell ref="C938:F938"/>
    <mergeCell ref="C939:F939"/>
    <mergeCell ref="C940:F940"/>
    <mergeCell ref="C951:F951"/>
    <mergeCell ref="C952:F952"/>
    <mergeCell ref="C953:F953"/>
    <mergeCell ref="C954:F954"/>
    <mergeCell ref="C955:F955"/>
    <mergeCell ref="C946:F946"/>
    <mergeCell ref="C947:F947"/>
    <mergeCell ref="C948:F948"/>
    <mergeCell ref="C949:F949"/>
    <mergeCell ref="C950:F950"/>
    <mergeCell ref="C961:F961"/>
    <mergeCell ref="C962:F962"/>
    <mergeCell ref="C963:F963"/>
    <mergeCell ref="C964:F964"/>
    <mergeCell ref="C956:F956"/>
    <mergeCell ref="C957:F957"/>
    <mergeCell ref="C958:F958"/>
    <mergeCell ref="C959:F959"/>
    <mergeCell ref="C960:F960"/>
  </mergeCells>
  <pageMargins left="0" right="0" top="0" bottom="0.8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W341"/>
  <sheetViews>
    <sheetView view="pageBreakPreview" topLeftCell="A22" zoomScale="60" zoomScaleNormal="100" workbookViewId="0">
      <selection activeCell="G4" sqref="G4"/>
    </sheetView>
  </sheetViews>
  <sheetFormatPr defaultColWidth="10" defaultRowHeight="13.8"/>
  <cols>
    <col min="1" max="1" width="10.33203125" style="305" customWidth="1"/>
    <col min="2" max="2" width="46.88671875" style="299" customWidth="1"/>
    <col min="3" max="3" width="8.44140625" style="308" customWidth="1"/>
    <col min="4" max="4" width="12.109375" style="309" customWidth="1"/>
    <col min="5" max="5" width="12.88671875" style="110" customWidth="1"/>
    <col min="6" max="6" width="14.6640625" style="110" customWidth="1"/>
    <col min="7" max="7" width="9.44140625" style="262" customWidth="1"/>
    <col min="8" max="8" width="9.88671875" style="262" customWidth="1"/>
    <col min="9" max="9" width="10.33203125" style="71" customWidth="1"/>
    <col min="10" max="257" width="9.44140625" style="71" customWidth="1"/>
    <col min="258" max="1024" width="9.44140625" style="31" customWidth="1"/>
    <col min="1025" max="1025" width="10" style="31" customWidth="1"/>
    <col min="1026" max="16384" width="10" style="31"/>
  </cols>
  <sheetData>
    <row r="1" spans="1:17" s="261" customFormat="1" ht="13.2">
      <c r="A1" s="652" t="s">
        <v>984</v>
      </c>
      <c r="B1" s="652"/>
      <c r="C1" s="652"/>
      <c r="D1" s="652"/>
      <c r="E1" s="652"/>
      <c r="F1" s="652"/>
      <c r="G1" s="259"/>
      <c r="H1" s="260"/>
    </row>
    <row r="2" spans="1:17" s="261" customFormat="1" ht="13.2">
      <c r="A2" s="653" t="s">
        <v>985</v>
      </c>
      <c r="B2" s="654" t="s">
        <v>986</v>
      </c>
      <c r="C2" s="654" t="s">
        <v>987</v>
      </c>
      <c r="D2" s="655" t="s">
        <v>988</v>
      </c>
      <c r="E2" s="655" t="s">
        <v>989</v>
      </c>
      <c r="F2" s="655" t="s">
        <v>990</v>
      </c>
      <c r="G2" s="259"/>
      <c r="H2" s="260"/>
    </row>
    <row r="3" spans="1:17" s="263" customFormat="1" ht="13.2">
      <c r="A3" s="653"/>
      <c r="B3" s="654"/>
      <c r="C3" s="654"/>
      <c r="D3" s="655"/>
      <c r="E3" s="655"/>
      <c r="F3" s="655"/>
      <c r="G3" s="262"/>
      <c r="H3" s="262"/>
    </row>
    <row r="4" spans="1:17" s="265" customFormat="1" ht="13.2">
      <c r="A4" s="264"/>
      <c r="B4" s="264"/>
      <c r="C4" s="264"/>
      <c r="D4" s="264"/>
      <c r="E4" s="264"/>
      <c r="F4" s="264"/>
    </row>
    <row r="5" spans="1:17" s="265" customFormat="1" ht="31.2">
      <c r="A5" s="266" t="s">
        <v>991</v>
      </c>
      <c r="B5" s="266" t="s">
        <v>992</v>
      </c>
      <c r="C5" s="266" t="s">
        <v>993</v>
      </c>
      <c r="D5" s="266" t="s">
        <v>994</v>
      </c>
      <c r="E5" s="266" t="s">
        <v>995</v>
      </c>
      <c r="F5" s="266" t="s">
        <v>996</v>
      </c>
    </row>
    <row r="6" spans="1:17" s="265" customFormat="1" ht="31.2">
      <c r="A6" s="267" t="s">
        <v>997</v>
      </c>
      <c r="B6" s="268" t="s">
        <v>520</v>
      </c>
      <c r="C6" s="266" t="s">
        <v>521</v>
      </c>
      <c r="D6" s="269"/>
      <c r="E6" s="270"/>
      <c r="F6" s="270"/>
    </row>
    <row r="7" spans="1:17" s="265" customFormat="1" ht="60">
      <c r="A7" s="271">
        <v>4417</v>
      </c>
      <c r="B7" s="272" t="s">
        <v>998</v>
      </c>
      <c r="C7" s="271" t="s">
        <v>63</v>
      </c>
      <c r="D7" s="273" t="s">
        <v>999</v>
      </c>
      <c r="E7" s="274">
        <v>5.8</v>
      </c>
      <c r="F7" s="274">
        <f t="shared" ref="F7:F13" si="0">TRUNC((D7*E7),2)</f>
        <v>5.8</v>
      </c>
    </row>
    <row r="8" spans="1:17" s="265" customFormat="1" ht="60">
      <c r="A8" s="271">
        <v>4491</v>
      </c>
      <c r="B8" s="272" t="s">
        <v>1000</v>
      </c>
      <c r="C8" s="271" t="s">
        <v>63</v>
      </c>
      <c r="D8" s="273" t="s">
        <v>1001</v>
      </c>
      <c r="E8" s="274">
        <v>8</v>
      </c>
      <c r="F8" s="274">
        <f t="shared" si="0"/>
        <v>32</v>
      </c>
    </row>
    <row r="9" spans="1:17" s="265" customFormat="1" ht="45">
      <c r="A9" s="271">
        <v>4813</v>
      </c>
      <c r="B9" s="272" t="s">
        <v>1002</v>
      </c>
      <c r="C9" s="271" t="s">
        <v>21</v>
      </c>
      <c r="D9" s="273" t="s">
        <v>999</v>
      </c>
      <c r="E9" s="274">
        <v>200</v>
      </c>
      <c r="F9" s="274">
        <f t="shared" si="0"/>
        <v>200</v>
      </c>
    </row>
    <row r="10" spans="1:17" s="265" customFormat="1" ht="30">
      <c r="A10" s="271">
        <v>5075</v>
      </c>
      <c r="B10" s="272" t="s">
        <v>1003</v>
      </c>
      <c r="C10" s="271" t="s">
        <v>31</v>
      </c>
      <c r="D10" s="273" t="s">
        <v>1004</v>
      </c>
      <c r="E10" s="274">
        <v>20</v>
      </c>
      <c r="F10" s="274">
        <f t="shared" si="0"/>
        <v>2.2000000000000002</v>
      </c>
    </row>
    <row r="11" spans="1:17" s="265" customFormat="1" ht="30">
      <c r="A11" s="271">
        <v>88262</v>
      </c>
      <c r="B11" s="272" t="s">
        <v>56</v>
      </c>
      <c r="C11" s="271" t="s">
        <v>6</v>
      </c>
      <c r="D11" s="273" t="s">
        <v>999</v>
      </c>
      <c r="E11" s="274">
        <v>17</v>
      </c>
      <c r="F11" s="274">
        <f t="shared" si="0"/>
        <v>17</v>
      </c>
    </row>
    <row r="12" spans="1:17" s="265" customFormat="1" ht="30">
      <c r="A12" s="271">
        <v>88316</v>
      </c>
      <c r="B12" s="272" t="s">
        <v>22</v>
      </c>
      <c r="C12" s="271" t="s">
        <v>6</v>
      </c>
      <c r="D12" s="273" t="s">
        <v>1005</v>
      </c>
      <c r="E12" s="274">
        <v>12</v>
      </c>
      <c r="F12" s="274">
        <f t="shared" si="0"/>
        <v>24</v>
      </c>
    </row>
    <row r="13" spans="1:17" s="265" customFormat="1" ht="60">
      <c r="A13" s="271">
        <v>94962</v>
      </c>
      <c r="B13" s="272" t="s">
        <v>1006</v>
      </c>
      <c r="C13" s="271" t="s">
        <v>39</v>
      </c>
      <c r="D13" s="273" t="s">
        <v>1007</v>
      </c>
      <c r="E13" s="274">
        <v>300</v>
      </c>
      <c r="F13" s="274">
        <f t="shared" si="0"/>
        <v>3</v>
      </c>
    </row>
    <row r="14" spans="1:17" s="265" customFormat="1" ht="27.75" customHeight="1">
      <c r="A14" s="651" t="s">
        <v>1008</v>
      </c>
      <c r="B14" s="651"/>
      <c r="C14" s="651"/>
      <c r="D14" s="651"/>
      <c r="E14" s="270" t="s">
        <v>976</v>
      </c>
      <c r="F14" s="270">
        <f>SUM(F7:F13)</f>
        <v>284</v>
      </c>
      <c r="M14" s="275" t="s">
        <v>1009</v>
      </c>
      <c r="N14" s="276" t="s">
        <v>540</v>
      </c>
      <c r="O14" s="277">
        <v>8</v>
      </c>
      <c r="P14" s="277">
        <v>10</v>
      </c>
      <c r="Q14" s="277">
        <f>O14*P14</f>
        <v>80</v>
      </c>
    </row>
    <row r="15" spans="1:17" s="265" customFormat="1" ht="23.25" customHeight="1">
      <c r="A15" s="278"/>
      <c r="B15" s="279"/>
      <c r="C15" s="279"/>
      <c r="D15" s="280"/>
      <c r="E15" s="280"/>
      <c r="F15" s="280"/>
    </row>
    <row r="16" spans="1:17" s="265" customFormat="1" ht="19.5" customHeight="1">
      <c r="A16" s="281" t="s">
        <v>522</v>
      </c>
      <c r="B16" s="282" t="s">
        <v>1010</v>
      </c>
      <c r="C16" s="276"/>
      <c r="D16" s="283"/>
      <c r="E16" s="277"/>
      <c r="F16" s="284"/>
    </row>
    <row r="17" spans="1:11" s="265" customFormat="1" ht="15.75" customHeight="1">
      <c r="A17" s="285"/>
      <c r="B17" s="286" t="s">
        <v>1011</v>
      </c>
      <c r="C17" s="276"/>
      <c r="D17" s="283"/>
      <c r="E17" s="277"/>
      <c r="F17" s="284"/>
    </row>
    <row r="18" spans="1:11" s="265" customFormat="1" ht="14.25" customHeight="1">
      <c r="A18" s="285"/>
      <c r="B18" s="282" t="s">
        <v>1012</v>
      </c>
      <c r="C18" s="276"/>
      <c r="D18" s="283"/>
      <c r="E18" s="277"/>
      <c r="F18" s="287"/>
    </row>
    <row r="19" spans="1:11" s="265" customFormat="1" ht="13.5" customHeight="1">
      <c r="A19" s="285"/>
      <c r="B19" s="288" t="s">
        <v>1013</v>
      </c>
      <c r="C19" s="276" t="s">
        <v>524</v>
      </c>
      <c r="D19" s="277">
        <v>1</v>
      </c>
      <c r="E19" s="277">
        <v>280</v>
      </c>
      <c r="F19" s="287">
        <f>D19*E19</f>
        <v>280</v>
      </c>
    </row>
    <row r="20" spans="1:11" s="265" customFormat="1" ht="13.5" customHeight="1">
      <c r="A20" s="285"/>
      <c r="B20" s="289" t="s">
        <v>1009</v>
      </c>
      <c r="C20" s="276" t="s">
        <v>540</v>
      </c>
      <c r="D20" s="277">
        <v>8</v>
      </c>
      <c r="E20" s="277">
        <v>10</v>
      </c>
      <c r="F20" s="277">
        <f>D20*E20</f>
        <v>80</v>
      </c>
    </row>
    <row r="21" spans="1:11" s="265" customFormat="1" ht="17.25" customHeight="1">
      <c r="A21" s="285"/>
      <c r="B21" s="282" t="s">
        <v>1014</v>
      </c>
      <c r="C21" s="276"/>
      <c r="D21" s="283"/>
      <c r="E21" s="277"/>
      <c r="F21" s="290">
        <f>F19+F20</f>
        <v>360</v>
      </c>
    </row>
    <row r="22" spans="1:11" s="265" customFormat="1" ht="16.5" customHeight="1">
      <c r="A22" s="285"/>
      <c r="B22" s="282" t="s">
        <v>1015</v>
      </c>
      <c r="C22" s="276"/>
      <c r="D22" s="291"/>
      <c r="E22" s="292"/>
      <c r="F22" s="293">
        <f>F21</f>
        <v>360</v>
      </c>
    </row>
    <row r="23" spans="1:11" s="265" customFormat="1" ht="27" customHeight="1">
      <c r="A23" s="285"/>
      <c r="B23" s="289" t="s">
        <v>1016</v>
      </c>
      <c r="C23" s="294"/>
      <c r="D23" s="295"/>
      <c r="E23" s="47"/>
      <c r="F23" s="47"/>
    </row>
    <row r="24" spans="1:11" s="265" customFormat="1" ht="23.25" customHeight="1">
      <c r="A24" s="261"/>
      <c r="B24" s="261"/>
      <c r="C24" s="261"/>
      <c r="D24" s="261"/>
      <c r="E24" s="261"/>
      <c r="F24" s="261"/>
    </row>
    <row r="25" spans="1:11" s="265" customFormat="1" ht="19.5" customHeight="1">
      <c r="A25" s="281" t="s">
        <v>1017</v>
      </c>
      <c r="B25" s="296" t="s">
        <v>1018</v>
      </c>
      <c r="C25" s="297"/>
      <c r="D25" s="297"/>
      <c r="E25" s="298"/>
      <c r="F25" s="298"/>
    </row>
    <row r="26" spans="1:11" s="265" customFormat="1" ht="18.75" customHeight="1">
      <c r="A26" s="285"/>
      <c r="B26" s="299" t="s">
        <v>1019</v>
      </c>
      <c r="C26" s="298"/>
      <c r="D26" s="298"/>
      <c r="E26" s="298"/>
      <c r="F26" s="298"/>
    </row>
    <row r="27" spans="1:11" s="265" customFormat="1" ht="18.75" customHeight="1">
      <c r="A27" s="285"/>
      <c r="B27" s="298" t="s">
        <v>1018</v>
      </c>
      <c r="C27" s="298"/>
      <c r="D27" s="298"/>
      <c r="E27" s="298"/>
      <c r="F27" s="298"/>
    </row>
    <row r="28" spans="1:11" s="265" customFormat="1" ht="18.75" customHeight="1">
      <c r="A28" s="285"/>
      <c r="B28" s="298" t="s">
        <v>540</v>
      </c>
      <c r="C28" s="298"/>
      <c r="D28" s="298"/>
      <c r="E28" s="298"/>
      <c r="F28" s="298"/>
    </row>
    <row r="29" spans="1:11" s="265" customFormat="1" ht="18.75" customHeight="1">
      <c r="A29" s="285"/>
      <c r="B29" s="298" t="s">
        <v>1020</v>
      </c>
      <c r="C29" s="298" t="s">
        <v>515</v>
      </c>
      <c r="D29" s="300">
        <v>1.3</v>
      </c>
      <c r="E29" s="298">
        <v>17</v>
      </c>
      <c r="F29" s="298">
        <f>TRUNC(D29*E29,2)</f>
        <v>22.1</v>
      </c>
      <c r="K29" s="265">
        <f>680.36*30%</f>
        <v>204.108</v>
      </c>
    </row>
    <row r="30" spans="1:11" s="265" customFormat="1" ht="13.5" customHeight="1">
      <c r="A30" s="285"/>
      <c r="B30" s="298" t="s">
        <v>1021</v>
      </c>
      <c r="C30" s="298" t="s">
        <v>515</v>
      </c>
      <c r="D30" s="300">
        <v>13</v>
      </c>
      <c r="E30" s="298">
        <v>12</v>
      </c>
      <c r="F30" s="298">
        <f>TRUNC(D30*E30,2)</f>
        <v>156</v>
      </c>
    </row>
    <row r="31" spans="1:11" s="265" customFormat="1" ht="23.25" customHeight="1">
      <c r="A31" s="285"/>
      <c r="B31" s="297" t="s">
        <v>1015</v>
      </c>
      <c r="C31" s="298"/>
      <c r="D31" s="298"/>
      <c r="E31" s="298"/>
      <c r="F31" s="297">
        <f>TRUNC(F29+F30,2)</f>
        <v>178.1</v>
      </c>
    </row>
    <row r="32" spans="1:11" s="265" customFormat="1" ht="23.25" customHeight="1">
      <c r="A32" s="260"/>
      <c r="B32" s="298" t="s">
        <v>1022</v>
      </c>
      <c r="C32" s="298"/>
      <c r="D32" s="298"/>
      <c r="E32" s="298"/>
      <c r="F32" s="298"/>
    </row>
    <row r="33" spans="1:16" s="265" customFormat="1" ht="23.25" customHeight="1">
      <c r="A33" s="261"/>
      <c r="B33" s="261"/>
      <c r="C33" s="261"/>
      <c r="D33" s="261"/>
      <c r="E33" s="261"/>
      <c r="F33" s="261"/>
    </row>
    <row r="34" spans="1:16" s="265" customFormat="1" ht="55.2">
      <c r="A34" s="301" t="s">
        <v>594</v>
      </c>
      <c r="B34" s="282" t="s">
        <v>1023</v>
      </c>
      <c r="C34" s="260"/>
      <c r="D34" s="260"/>
      <c r="E34" s="260"/>
      <c r="F34" s="287"/>
    </row>
    <row r="35" spans="1:16" s="265" customFormat="1" ht="24" customHeight="1">
      <c r="A35" s="302"/>
      <c r="B35" s="282" t="s">
        <v>1024</v>
      </c>
      <c r="C35" s="260"/>
      <c r="D35" s="260"/>
      <c r="E35" s="260"/>
      <c r="F35" s="287"/>
    </row>
    <row r="36" spans="1:16" s="265" customFormat="1" ht="24" customHeight="1">
      <c r="A36" s="302"/>
      <c r="B36" s="282" t="s">
        <v>1025</v>
      </c>
      <c r="C36" s="288"/>
      <c r="D36" s="260"/>
      <c r="E36" s="260"/>
      <c r="F36" s="287"/>
    </row>
    <row r="37" spans="1:16" s="265" customFormat="1" ht="24" customHeight="1">
      <c r="A37" s="302"/>
      <c r="B37" s="288" t="s">
        <v>1026</v>
      </c>
      <c r="C37" s="276" t="s">
        <v>515</v>
      </c>
      <c r="D37" s="303">
        <v>0.5</v>
      </c>
      <c r="E37" s="260">
        <v>17</v>
      </c>
      <c r="F37" s="287">
        <f>D37*E37</f>
        <v>8.5</v>
      </c>
      <c r="J37" s="304">
        <f>F39+58.16</f>
        <v>72.66</v>
      </c>
    </row>
    <row r="38" spans="1:16" s="265" customFormat="1" ht="24" customHeight="1">
      <c r="A38" s="302"/>
      <c r="B38" s="288" t="s">
        <v>1027</v>
      </c>
      <c r="C38" s="276" t="s">
        <v>515</v>
      </c>
      <c r="D38" s="303">
        <v>0.5</v>
      </c>
      <c r="E38" s="260">
        <v>12</v>
      </c>
      <c r="F38" s="287">
        <f>D38*E38</f>
        <v>6</v>
      </c>
    </row>
    <row r="39" spans="1:16" s="265" customFormat="1" ht="24" customHeight="1">
      <c r="A39" s="302"/>
      <c r="B39" s="282" t="s">
        <v>1014</v>
      </c>
      <c r="C39" s="294"/>
      <c r="D39" s="260"/>
      <c r="E39" s="260"/>
      <c r="F39" s="293">
        <f>F38+F37</f>
        <v>14.5</v>
      </c>
      <c r="P39" s="265">
        <f>12.26*12*256.72</f>
        <v>37768.646400000005</v>
      </c>
    </row>
    <row r="40" spans="1:16" s="265" customFormat="1" ht="24" customHeight="1">
      <c r="A40" s="302"/>
      <c r="B40" s="282" t="s">
        <v>1012</v>
      </c>
      <c r="C40" s="294"/>
      <c r="D40" s="260"/>
      <c r="E40" s="260"/>
      <c r="F40" s="287"/>
    </row>
    <row r="41" spans="1:16" s="265" customFormat="1" ht="29.25" customHeight="1">
      <c r="A41" s="302"/>
      <c r="B41" s="288" t="s">
        <v>1028</v>
      </c>
      <c r="C41" s="294" t="s">
        <v>584</v>
      </c>
      <c r="D41" s="303">
        <v>1</v>
      </c>
      <c r="E41" s="260">
        <v>58</v>
      </c>
      <c r="F41" s="287">
        <f>D41*E41</f>
        <v>58</v>
      </c>
    </row>
    <row r="42" spans="1:16" s="265" customFormat="1" ht="24" customHeight="1">
      <c r="A42" s="302"/>
      <c r="B42" s="282" t="s">
        <v>1014</v>
      </c>
      <c r="C42" s="260"/>
      <c r="D42" s="303"/>
      <c r="E42" s="260"/>
      <c r="F42" s="293">
        <f>F41</f>
        <v>58</v>
      </c>
      <c r="I42" s="265">
        <f>404.4/6</f>
        <v>67.399999999999991</v>
      </c>
    </row>
    <row r="43" spans="1:16" s="265" customFormat="1" ht="24" customHeight="1">
      <c r="A43" s="302"/>
      <c r="B43" s="282" t="s">
        <v>1015</v>
      </c>
      <c r="C43" s="260"/>
      <c r="D43" s="303"/>
      <c r="E43" s="260"/>
      <c r="F43" s="293">
        <f>F42+F39</f>
        <v>72.5</v>
      </c>
    </row>
    <row r="44" spans="1:16" s="265" customFormat="1" ht="24" customHeight="1">
      <c r="A44" s="302"/>
      <c r="B44" s="288"/>
      <c r="C44" s="260"/>
      <c r="D44" s="303"/>
      <c r="E44" s="260"/>
      <c r="F44" s="287"/>
      <c r="J44" s="265">
        <f>405/6</f>
        <v>67.5</v>
      </c>
      <c r="O44" s="265">
        <f>214.01*(15.84+58.16)</f>
        <v>15836.74</v>
      </c>
    </row>
    <row r="45" spans="1:16" s="265" customFormat="1" ht="30.75" customHeight="1">
      <c r="A45" s="302"/>
      <c r="B45" s="288" t="s">
        <v>1029</v>
      </c>
      <c r="C45" s="260"/>
      <c r="D45" s="303"/>
      <c r="E45" s="260"/>
      <c r="F45" s="287"/>
    </row>
    <row r="46" spans="1:16" s="265" customFormat="1" ht="30.75" customHeight="1">
      <c r="A46" s="302"/>
      <c r="B46" s="288" t="s">
        <v>1030</v>
      </c>
      <c r="C46" s="260"/>
      <c r="D46" s="303"/>
      <c r="E46" s="260"/>
      <c r="F46" s="287"/>
      <c r="I46" s="265">
        <f>349/6</f>
        <v>58.166666666666664</v>
      </c>
    </row>
    <row r="47" spans="1:16" s="265" customFormat="1" ht="30.75" customHeight="1">
      <c r="A47" s="302"/>
      <c r="B47" s="288" t="s">
        <v>1031</v>
      </c>
      <c r="C47" s="260"/>
      <c r="D47" s="303"/>
      <c r="E47" s="260"/>
      <c r="F47" s="287"/>
    </row>
    <row r="48" spans="1:16" s="265" customFormat="1" ht="24" customHeight="1">
      <c r="A48" s="302"/>
      <c r="B48" s="288" t="s">
        <v>1032</v>
      </c>
      <c r="C48" s="260"/>
      <c r="D48" s="303"/>
      <c r="E48" s="260"/>
      <c r="F48" s="287"/>
      <c r="H48" s="265">
        <f>8.75*6.9+17.85*11</f>
        <v>256.72500000000002</v>
      </c>
      <c r="J48" s="265">
        <f>11.05/1.2</f>
        <v>9.2083333333333339</v>
      </c>
      <c r="L48" s="265" t="s">
        <v>563</v>
      </c>
      <c r="N48" s="265">
        <f>214.01/256.72</f>
        <v>0.83363197257712673</v>
      </c>
    </row>
    <row r="49" spans="1:7" s="265" customFormat="1" ht="18" customHeight="1">
      <c r="A49" s="302"/>
      <c r="B49" s="288"/>
      <c r="C49" s="260"/>
      <c r="D49" s="303"/>
      <c r="E49" s="260"/>
      <c r="F49" s="287"/>
      <c r="G49" s="265">
        <f>9*12.7</f>
        <v>114.3</v>
      </c>
    </row>
    <row r="50" spans="1:7" s="265" customFormat="1" ht="23.25" customHeight="1">
      <c r="A50" s="260"/>
      <c r="B50" s="298"/>
      <c r="C50" s="298"/>
      <c r="D50" s="298"/>
      <c r="E50" s="298"/>
      <c r="F50" s="298"/>
      <c r="G50" s="265">
        <f>114.3/147.43</f>
        <v>0.77528318524045303</v>
      </c>
    </row>
    <row r="51" spans="1:7">
      <c r="A51" s="261"/>
      <c r="B51" s="261"/>
      <c r="C51" s="261"/>
      <c r="D51" s="261"/>
      <c r="E51" s="261"/>
      <c r="F51" s="261"/>
    </row>
    <row r="52" spans="1:7" ht="26.4">
      <c r="B52" s="306" t="s">
        <v>1033</v>
      </c>
      <c r="C52" s="260"/>
      <c r="D52" s="260"/>
      <c r="E52" s="260"/>
      <c r="F52" s="260"/>
    </row>
    <row r="53" spans="1:7">
      <c r="B53" s="306" t="s">
        <v>1034</v>
      </c>
      <c r="C53" s="260"/>
      <c r="D53" s="260"/>
      <c r="E53" s="260"/>
      <c r="F53" s="260"/>
    </row>
    <row r="54" spans="1:7">
      <c r="B54" s="282" t="s">
        <v>1012</v>
      </c>
      <c r="C54" s="260"/>
      <c r="D54" s="260"/>
      <c r="E54" s="260"/>
      <c r="F54" s="260"/>
    </row>
    <row r="55" spans="1:7">
      <c r="A55" s="285"/>
      <c r="B55" s="260" t="s">
        <v>1035</v>
      </c>
      <c r="C55" s="260" t="s">
        <v>584</v>
      </c>
      <c r="D55" s="303">
        <v>18</v>
      </c>
      <c r="E55" s="303">
        <v>28.6</v>
      </c>
      <c r="F55" s="303">
        <f t="shared" ref="F55:F62" si="1">D55*E55</f>
        <v>514.80000000000007</v>
      </c>
    </row>
    <row r="56" spans="1:7">
      <c r="B56" s="260" t="s">
        <v>1036</v>
      </c>
      <c r="C56" s="260" t="s">
        <v>521</v>
      </c>
      <c r="D56" s="303">
        <v>10.4</v>
      </c>
      <c r="E56" s="303">
        <v>176.15</v>
      </c>
      <c r="F56" s="53">
        <f t="shared" si="1"/>
        <v>1831.96</v>
      </c>
    </row>
    <row r="57" spans="1:7">
      <c r="B57" s="260" t="s">
        <v>1037</v>
      </c>
      <c r="C57" s="260" t="s">
        <v>584</v>
      </c>
      <c r="D57" s="303">
        <v>9</v>
      </c>
      <c r="E57" s="303">
        <v>25</v>
      </c>
      <c r="F57" s="53">
        <f t="shared" si="1"/>
        <v>225</v>
      </c>
    </row>
    <row r="58" spans="1:7">
      <c r="A58" s="285"/>
      <c r="B58" s="260" t="s">
        <v>1038</v>
      </c>
      <c r="C58" s="260" t="s">
        <v>524</v>
      </c>
      <c r="D58" s="303">
        <v>2</v>
      </c>
      <c r="E58" s="303">
        <v>34</v>
      </c>
      <c r="F58" s="53">
        <f t="shared" si="1"/>
        <v>68</v>
      </c>
    </row>
    <row r="59" spans="1:7">
      <c r="A59" s="285"/>
      <c r="B59" s="260" t="s">
        <v>1039</v>
      </c>
      <c r="C59" s="260" t="s">
        <v>584</v>
      </c>
      <c r="D59" s="303">
        <v>1</v>
      </c>
      <c r="E59" s="303">
        <v>181.89</v>
      </c>
      <c r="F59" s="53">
        <f t="shared" si="1"/>
        <v>181.89</v>
      </c>
    </row>
    <row r="60" spans="1:7">
      <c r="B60" s="260" t="s">
        <v>1040</v>
      </c>
      <c r="C60" s="260" t="s">
        <v>584</v>
      </c>
      <c r="D60" s="303">
        <v>8</v>
      </c>
      <c r="E60" s="303">
        <v>105.45</v>
      </c>
      <c r="F60" s="53">
        <f t="shared" si="1"/>
        <v>843.6</v>
      </c>
    </row>
    <row r="61" spans="1:7">
      <c r="A61" s="285"/>
      <c r="B61" s="260" t="s">
        <v>1041</v>
      </c>
      <c r="C61" s="260" t="s">
        <v>524</v>
      </c>
      <c r="D61" s="303">
        <v>1</v>
      </c>
      <c r="E61" s="303">
        <v>75</v>
      </c>
      <c r="F61" s="53">
        <f t="shared" si="1"/>
        <v>75</v>
      </c>
    </row>
    <row r="62" spans="1:7">
      <c r="A62" s="285"/>
      <c r="B62" s="260" t="s">
        <v>1042</v>
      </c>
      <c r="C62" s="260" t="s">
        <v>566</v>
      </c>
      <c r="D62" s="303">
        <v>2</v>
      </c>
      <c r="E62" s="303">
        <v>5</v>
      </c>
      <c r="F62" s="53">
        <f t="shared" si="1"/>
        <v>10</v>
      </c>
    </row>
    <row r="63" spans="1:7">
      <c r="B63" s="307" t="s">
        <v>1014</v>
      </c>
      <c r="C63" s="260"/>
      <c r="D63" s="303"/>
      <c r="E63" s="303"/>
      <c r="F63" s="37">
        <f>SUM(F55:F62,2)</f>
        <v>3752.25</v>
      </c>
    </row>
    <row r="64" spans="1:7">
      <c r="B64" s="282" t="s">
        <v>1025</v>
      </c>
      <c r="C64" s="260"/>
      <c r="D64" s="303"/>
      <c r="E64" s="303"/>
      <c r="F64" s="53">
        <f>D64*E64</f>
        <v>0</v>
      </c>
    </row>
    <row r="65" spans="1:11">
      <c r="B65" s="260" t="s">
        <v>1026</v>
      </c>
      <c r="C65" s="260" t="s">
        <v>515</v>
      </c>
      <c r="D65" s="303">
        <v>8</v>
      </c>
      <c r="E65" s="303">
        <v>17</v>
      </c>
      <c r="F65" s="53">
        <f>D65*E65</f>
        <v>136</v>
      </c>
    </row>
    <row r="66" spans="1:11">
      <c r="B66" s="260" t="s">
        <v>1043</v>
      </c>
      <c r="C66" s="260" t="s">
        <v>515</v>
      </c>
      <c r="D66" s="303">
        <v>8</v>
      </c>
      <c r="E66" s="303">
        <v>12</v>
      </c>
      <c r="F66" s="53">
        <f>D66*E66</f>
        <v>96</v>
      </c>
    </row>
    <row r="67" spans="1:11">
      <c r="B67" s="260" t="s">
        <v>1020</v>
      </c>
      <c r="C67" s="260" t="s">
        <v>515</v>
      </c>
      <c r="D67" s="303">
        <v>8</v>
      </c>
      <c r="E67" s="303">
        <v>17</v>
      </c>
      <c r="F67" s="53">
        <f>D67*E67</f>
        <v>136</v>
      </c>
    </row>
    <row r="68" spans="1:11">
      <c r="B68" s="260" t="s">
        <v>1021</v>
      </c>
      <c r="C68" s="260" t="s">
        <v>515</v>
      </c>
      <c r="D68" s="303">
        <v>8</v>
      </c>
      <c r="E68" s="303">
        <v>12</v>
      </c>
      <c r="F68" s="53">
        <f>D68*E68</f>
        <v>96</v>
      </c>
    </row>
    <row r="69" spans="1:11">
      <c r="B69" s="307" t="s">
        <v>1014</v>
      </c>
      <c r="C69" s="260"/>
      <c r="D69" s="303"/>
      <c r="E69" s="303"/>
      <c r="F69" s="37">
        <f>SUM(F65:F68)</f>
        <v>464</v>
      </c>
    </row>
    <row r="70" spans="1:11">
      <c r="B70" s="282" t="s">
        <v>1015</v>
      </c>
      <c r="C70" s="260"/>
      <c r="D70" s="260"/>
      <c r="E70" s="303"/>
      <c r="F70" s="37">
        <f>SUM(F63+F69)</f>
        <v>4216.25</v>
      </c>
    </row>
    <row r="71" spans="1:11">
      <c r="B71" s="288" t="s">
        <v>1044</v>
      </c>
      <c r="C71" s="260"/>
      <c r="D71" s="260"/>
      <c r="E71" s="303"/>
      <c r="F71" s="37" t="s">
        <v>1045</v>
      </c>
    </row>
    <row r="72" spans="1:11" s="265" customFormat="1" ht="16.5" customHeight="1">
      <c r="A72" s="305"/>
      <c r="B72" s="299"/>
      <c r="C72" s="308"/>
      <c r="D72" s="309"/>
      <c r="E72" s="110"/>
      <c r="F72" s="110"/>
    </row>
    <row r="73" spans="1:11" s="311" customFormat="1" ht="13.2">
      <c r="A73" s="310"/>
      <c r="B73" s="310"/>
      <c r="C73" s="310"/>
      <c r="D73" s="310"/>
      <c r="E73" s="310"/>
      <c r="F73" s="310"/>
      <c r="G73" s="265"/>
      <c r="H73" s="265"/>
    </row>
    <row r="74" spans="1:11" s="311" customFormat="1" ht="41.4" hidden="1">
      <c r="A74" s="312" t="s">
        <v>612</v>
      </c>
      <c r="B74" s="296" t="s">
        <v>1046</v>
      </c>
      <c r="C74" s="299"/>
      <c r="D74" s="299"/>
      <c r="E74" s="299"/>
      <c r="F74" s="313"/>
      <c r="G74" s="265"/>
      <c r="H74" s="265"/>
    </row>
    <row r="75" spans="1:11" s="311" customFormat="1" hidden="1">
      <c r="A75" s="314"/>
      <c r="B75" s="296" t="s">
        <v>1047</v>
      </c>
      <c r="C75" s="299"/>
      <c r="D75" s="299"/>
      <c r="E75" s="299"/>
      <c r="F75" s="313"/>
      <c r="G75" s="265"/>
      <c r="H75" s="265"/>
    </row>
    <row r="76" spans="1:11" s="311" customFormat="1" hidden="1">
      <c r="A76" s="314"/>
      <c r="B76" s="296" t="s">
        <v>1025</v>
      </c>
      <c r="C76" s="315"/>
      <c r="D76" s="299"/>
      <c r="E76" s="299"/>
      <c r="F76" s="313"/>
      <c r="G76" s="265"/>
      <c r="H76" s="265"/>
    </row>
    <row r="77" spans="1:11" s="311" customFormat="1" hidden="1">
      <c r="A77" s="314"/>
      <c r="B77" s="315" t="s">
        <v>1026</v>
      </c>
      <c r="C77" s="276" t="s">
        <v>515</v>
      </c>
      <c r="D77" s="316">
        <v>60</v>
      </c>
      <c r="E77" s="299">
        <v>8.93</v>
      </c>
      <c r="F77" s="313">
        <f>D77*E77</f>
        <v>535.79999999999995</v>
      </c>
      <c r="G77" s="265"/>
      <c r="H77" s="265"/>
    </row>
    <row r="78" spans="1:11" s="311" customFormat="1" hidden="1">
      <c r="A78" s="314"/>
      <c r="B78" s="315" t="s">
        <v>1027</v>
      </c>
      <c r="C78" s="276" t="s">
        <v>515</v>
      </c>
      <c r="D78" s="316">
        <v>60</v>
      </c>
      <c r="E78" s="299">
        <v>5.95</v>
      </c>
      <c r="F78" s="313">
        <f>D78*E78</f>
        <v>357</v>
      </c>
      <c r="G78" s="265"/>
      <c r="H78" s="265"/>
    </row>
    <row r="79" spans="1:11" s="311" customFormat="1" hidden="1">
      <c r="A79" s="314"/>
      <c r="B79" s="296" t="s">
        <v>1014</v>
      </c>
      <c r="C79" s="299"/>
      <c r="D79" s="299"/>
      <c r="E79" s="299"/>
      <c r="F79" s="317">
        <f>F78+F77</f>
        <v>892.8</v>
      </c>
      <c r="G79" s="265"/>
      <c r="H79" s="265"/>
      <c r="K79" s="311">
        <f>E77+E78</f>
        <v>14.879999999999999</v>
      </c>
    </row>
    <row r="80" spans="1:11" s="311" customFormat="1" hidden="1">
      <c r="A80" s="314"/>
      <c r="B80" s="296" t="s">
        <v>1012</v>
      </c>
      <c r="C80" s="299"/>
      <c r="D80" s="299"/>
      <c r="E80" s="299"/>
      <c r="F80" s="313"/>
      <c r="G80" s="265"/>
      <c r="H80" s="265"/>
    </row>
    <row r="81" spans="1:11" s="311" customFormat="1" hidden="1">
      <c r="A81" s="314"/>
      <c r="B81" s="315" t="s">
        <v>1048</v>
      </c>
      <c r="C81" s="299" t="s">
        <v>521</v>
      </c>
      <c r="D81" s="316">
        <v>23.2</v>
      </c>
      <c r="E81" s="299">
        <v>59.22</v>
      </c>
      <c r="F81" s="313">
        <f>D81*E81</f>
        <v>1373.904</v>
      </c>
      <c r="G81" s="265"/>
      <c r="H81" s="265"/>
    </row>
    <row r="82" spans="1:11" s="311" customFormat="1" hidden="1">
      <c r="A82" s="314"/>
      <c r="B82" s="315" t="s">
        <v>1049</v>
      </c>
      <c r="C82" s="299" t="s">
        <v>584</v>
      </c>
      <c r="D82" s="316">
        <v>30</v>
      </c>
      <c r="E82" s="299">
        <v>17.5</v>
      </c>
      <c r="F82" s="313">
        <f>D82*E82</f>
        <v>525</v>
      </c>
      <c r="G82" s="265"/>
      <c r="H82" s="265"/>
    </row>
    <row r="83" spans="1:11" s="311" customFormat="1" hidden="1">
      <c r="A83" s="314"/>
      <c r="B83" s="315" t="s">
        <v>1050</v>
      </c>
      <c r="C83" s="299" t="s">
        <v>524</v>
      </c>
      <c r="D83" s="316">
        <v>12</v>
      </c>
      <c r="E83" s="299">
        <v>4.9000000000000004</v>
      </c>
      <c r="F83" s="313">
        <f>D83*E83</f>
        <v>58.800000000000004</v>
      </c>
      <c r="G83" s="265"/>
      <c r="H83" s="265"/>
      <c r="I83" s="318">
        <f>F86*0.4</f>
        <v>878.26559999999995</v>
      </c>
      <c r="K83" s="318">
        <f>I83/K79</f>
        <v>59.023225806451613</v>
      </c>
    </row>
    <row r="84" spans="1:11" s="311" customFormat="1" hidden="1">
      <c r="A84" s="314"/>
      <c r="B84" s="315" t="s">
        <v>1051</v>
      </c>
      <c r="C84" s="299" t="s">
        <v>584</v>
      </c>
      <c r="D84" s="316">
        <v>12</v>
      </c>
      <c r="E84" s="299">
        <v>19.829999999999998</v>
      </c>
      <c r="F84" s="313">
        <f>D84*E84</f>
        <v>237.95999999999998</v>
      </c>
      <c r="G84" s="265"/>
      <c r="H84" s="265"/>
    </row>
    <row r="85" spans="1:11" s="311" customFormat="1" hidden="1">
      <c r="A85" s="314"/>
      <c r="B85" s="315"/>
      <c r="C85" s="299"/>
      <c r="D85" s="316"/>
      <c r="E85" s="299"/>
      <c r="F85" s="313"/>
      <c r="G85" s="265"/>
      <c r="H85" s="265"/>
    </row>
    <row r="86" spans="1:11" s="311" customFormat="1" hidden="1">
      <c r="A86" s="314"/>
      <c r="B86" s="296" t="s">
        <v>1014</v>
      </c>
      <c r="C86" s="299"/>
      <c r="D86" s="316"/>
      <c r="E86" s="299"/>
      <c r="F86" s="317">
        <f>F81+F82+F83+F84</f>
        <v>2195.6639999999998</v>
      </c>
      <c r="G86" s="265"/>
      <c r="H86" s="265"/>
    </row>
    <row r="87" spans="1:11" s="311" customFormat="1" hidden="1">
      <c r="A87" s="314"/>
      <c r="B87" s="296" t="s">
        <v>1015</v>
      </c>
      <c r="C87" s="299"/>
      <c r="D87" s="316"/>
      <c r="E87" s="299"/>
      <c r="F87" s="317">
        <f>F86+F79</f>
        <v>3088.4639999999999</v>
      </c>
      <c r="G87" s="265"/>
      <c r="H87" s="265"/>
    </row>
    <row r="88" spans="1:11" s="311" customFormat="1" hidden="1">
      <c r="A88" s="314"/>
      <c r="B88" s="296" t="s">
        <v>1052</v>
      </c>
      <c r="C88" s="299"/>
      <c r="D88" s="316"/>
      <c r="E88" s="299"/>
      <c r="F88" s="317">
        <f>F87/D81</f>
        <v>133.12344827586207</v>
      </c>
      <c r="G88" s="265"/>
      <c r="H88" s="265"/>
    </row>
    <row r="89" spans="1:11" s="311" customFormat="1" hidden="1">
      <c r="A89" s="314"/>
      <c r="B89" s="315" t="s">
        <v>1053</v>
      </c>
      <c r="C89" s="299"/>
      <c r="D89" s="316"/>
      <c r="E89" s="299"/>
      <c r="F89" s="313"/>
      <c r="G89" s="265"/>
      <c r="H89" s="265"/>
    </row>
    <row r="90" spans="1:11" s="311" customFormat="1" hidden="1">
      <c r="A90" s="314"/>
      <c r="B90" s="315" t="s">
        <v>1054</v>
      </c>
      <c r="C90" s="299"/>
      <c r="D90" s="316"/>
      <c r="E90" s="299"/>
      <c r="F90" s="313"/>
      <c r="G90" s="265"/>
      <c r="H90" s="265"/>
    </row>
    <row r="91" spans="1:11" s="311" customFormat="1" hidden="1">
      <c r="A91" s="314"/>
      <c r="B91" s="315" t="s">
        <v>1055</v>
      </c>
      <c r="C91" s="299"/>
      <c r="D91" s="316"/>
      <c r="E91" s="299"/>
      <c r="F91" s="313"/>
      <c r="G91" s="265"/>
      <c r="H91" s="265"/>
    </row>
    <row r="92" spans="1:11" s="311" customFormat="1" hidden="1">
      <c r="A92" s="314"/>
      <c r="B92" s="315" t="s">
        <v>1056</v>
      </c>
      <c r="C92" s="299"/>
      <c r="D92" s="316"/>
      <c r="E92" s="299"/>
      <c r="F92" s="313"/>
      <c r="G92" s="265"/>
      <c r="H92" s="265"/>
    </row>
    <row r="93" spans="1:11" s="311" customFormat="1" hidden="1">
      <c r="A93" s="314"/>
      <c r="B93" s="315" t="s">
        <v>1057</v>
      </c>
      <c r="C93" s="299"/>
      <c r="D93" s="316"/>
      <c r="E93" s="299"/>
      <c r="F93" s="313"/>
      <c r="G93" s="265"/>
      <c r="H93" s="265"/>
    </row>
    <row r="94" spans="1:11" s="311" customFormat="1" hidden="1">
      <c r="A94" s="314"/>
      <c r="B94" s="310" t="s">
        <v>1058</v>
      </c>
      <c r="C94" s="299"/>
      <c r="D94" s="316"/>
      <c r="E94" s="299"/>
      <c r="F94" s="313"/>
      <c r="G94" s="265"/>
      <c r="H94" s="265"/>
    </row>
    <row r="95" spans="1:11" s="311" customFormat="1" hidden="1">
      <c r="A95" s="314"/>
      <c r="B95" s="315" t="s">
        <v>1059</v>
      </c>
      <c r="C95" s="299"/>
      <c r="D95" s="316"/>
      <c r="E95" s="299"/>
      <c r="F95" s="313"/>
      <c r="G95" s="265"/>
      <c r="H95" s="265"/>
    </row>
    <row r="96" spans="1:11" s="325" customFormat="1" hidden="1">
      <c r="A96" s="319"/>
      <c r="B96" s="320"/>
      <c r="C96" s="321"/>
      <c r="D96" s="321"/>
      <c r="E96" s="321"/>
      <c r="F96" s="322"/>
      <c r="G96" s="323"/>
      <c r="H96" s="324"/>
    </row>
    <row r="97" spans="1:9" s="310" customFormat="1" ht="27.6">
      <c r="A97" s="301" t="s">
        <v>648</v>
      </c>
      <c r="B97" s="282" t="s">
        <v>1060</v>
      </c>
      <c r="C97" s="307"/>
      <c r="D97" s="307"/>
      <c r="E97" s="307"/>
      <c r="F97" s="293"/>
      <c r="G97" s="323"/>
      <c r="H97" s="324"/>
      <c r="I97" s="310">
        <f>186.6/187.85</f>
        <v>0.99334575459142938</v>
      </c>
    </row>
    <row r="98" spans="1:9" s="310" customFormat="1">
      <c r="A98" s="301"/>
      <c r="B98" s="286" t="s">
        <v>1061</v>
      </c>
      <c r="C98" s="307"/>
      <c r="D98" s="307"/>
      <c r="E98" s="307"/>
      <c r="F98" s="293"/>
      <c r="G98" s="323"/>
      <c r="H98" s="324"/>
    </row>
    <row r="99" spans="1:9" s="310" customFormat="1">
      <c r="A99" s="301"/>
      <c r="B99" s="282" t="s">
        <v>1025</v>
      </c>
      <c r="C99" s="307"/>
      <c r="D99" s="307"/>
      <c r="E99" s="307"/>
      <c r="F99" s="293"/>
      <c r="G99" s="323"/>
      <c r="H99" s="324"/>
    </row>
    <row r="100" spans="1:9" s="310" customFormat="1">
      <c r="A100" s="301"/>
      <c r="B100" s="288" t="s">
        <v>1020</v>
      </c>
      <c r="C100" s="260" t="s">
        <v>515</v>
      </c>
      <c r="D100" s="260">
        <v>1.6</v>
      </c>
      <c r="E100" s="260">
        <v>17</v>
      </c>
      <c r="F100" s="287">
        <v>17</v>
      </c>
      <c r="G100" s="323"/>
      <c r="H100" s="324"/>
    </row>
    <row r="101" spans="1:9" s="310" customFormat="1">
      <c r="A101" s="301"/>
      <c r="B101" s="288" t="s">
        <v>1021</v>
      </c>
      <c r="C101" s="260" t="s">
        <v>515</v>
      </c>
      <c r="D101" s="260">
        <v>1.1000000000000001</v>
      </c>
      <c r="E101" s="260">
        <v>12</v>
      </c>
      <c r="F101" s="287">
        <v>13</v>
      </c>
      <c r="G101" s="323"/>
      <c r="H101" s="324"/>
    </row>
    <row r="102" spans="1:9" s="310" customFormat="1">
      <c r="A102" s="301"/>
      <c r="B102" s="282" t="s">
        <v>1014</v>
      </c>
      <c r="C102" s="307"/>
      <c r="D102" s="307"/>
      <c r="E102" s="307"/>
      <c r="F102" s="293">
        <f>F101+F100</f>
        <v>30</v>
      </c>
      <c r="G102" s="323"/>
      <c r="H102" s="324"/>
    </row>
    <row r="103" spans="1:9" s="310" customFormat="1">
      <c r="A103" s="301"/>
      <c r="B103" s="282" t="s">
        <v>1012</v>
      </c>
      <c r="C103" s="307"/>
      <c r="D103" s="307"/>
      <c r="E103" s="307"/>
      <c r="F103" s="293"/>
      <c r="G103" s="323"/>
      <c r="H103" s="324"/>
    </row>
    <row r="104" spans="1:9" s="310" customFormat="1">
      <c r="A104" s="301"/>
      <c r="B104" s="288" t="s">
        <v>1062</v>
      </c>
      <c r="C104" s="260" t="s">
        <v>566</v>
      </c>
      <c r="D104" s="260">
        <v>1.3</v>
      </c>
      <c r="E104" s="303">
        <v>0.66</v>
      </c>
      <c r="F104" s="287">
        <f>D104*E104</f>
        <v>0.8580000000000001</v>
      </c>
      <c r="G104" s="323"/>
      <c r="H104" s="324"/>
    </row>
    <row r="105" spans="1:9" s="310" customFormat="1" ht="27.6">
      <c r="A105" s="301"/>
      <c r="B105" s="288" t="s">
        <v>1063</v>
      </c>
      <c r="C105" s="260" t="s">
        <v>521</v>
      </c>
      <c r="D105" s="260">
        <v>1.1000000000000001</v>
      </c>
      <c r="E105" s="303">
        <v>106.4</v>
      </c>
      <c r="F105" s="287">
        <f>D105*E105</f>
        <v>117.04000000000002</v>
      </c>
      <c r="G105" s="323"/>
      <c r="H105" s="324"/>
      <c r="I105" s="310">
        <f>4*4*6.65</f>
        <v>106.4</v>
      </c>
    </row>
    <row r="106" spans="1:9" s="310" customFormat="1" ht="41.4">
      <c r="A106" s="301"/>
      <c r="B106" s="288" t="s">
        <v>1064</v>
      </c>
      <c r="C106" s="307" t="s">
        <v>540</v>
      </c>
      <c r="D106" s="307">
        <v>1.4999999999999999E-2</v>
      </c>
      <c r="E106" s="307">
        <v>263.25</v>
      </c>
      <c r="F106" s="287">
        <f>D106*E106</f>
        <v>3.94875</v>
      </c>
      <c r="G106" s="323"/>
      <c r="H106" s="324"/>
    </row>
    <row r="107" spans="1:9" s="310" customFormat="1">
      <c r="A107" s="301"/>
      <c r="B107" s="282" t="s">
        <v>1014</v>
      </c>
      <c r="C107" s="307"/>
      <c r="D107" s="307"/>
      <c r="E107" s="307"/>
      <c r="F107" s="293">
        <f>F106+F105+F104</f>
        <v>121.84675000000003</v>
      </c>
      <c r="G107" s="323"/>
      <c r="H107" s="324"/>
    </row>
    <row r="108" spans="1:9" s="310" customFormat="1">
      <c r="A108" s="301"/>
      <c r="B108" s="282" t="s">
        <v>1015</v>
      </c>
      <c r="C108" s="307"/>
      <c r="D108" s="307"/>
      <c r="E108" s="307"/>
      <c r="F108" s="293">
        <f>F107+F102</f>
        <v>151.84675000000004</v>
      </c>
      <c r="G108" s="323"/>
      <c r="H108" s="324"/>
    </row>
    <row r="109" spans="1:9" s="310" customFormat="1" ht="27.6">
      <c r="A109" s="301"/>
      <c r="B109" s="288" t="s">
        <v>1065</v>
      </c>
      <c r="C109" s="307"/>
      <c r="D109" s="307"/>
      <c r="E109" s="307"/>
      <c r="F109" s="293"/>
      <c r="G109" s="323"/>
      <c r="H109" s="324"/>
    </row>
    <row r="110" spans="1:9" s="265" customFormat="1" ht="23.25" customHeight="1">
      <c r="A110" s="261"/>
      <c r="B110" s="261"/>
      <c r="C110" s="261"/>
      <c r="D110" s="261"/>
      <c r="E110" s="261"/>
      <c r="F110" s="261"/>
    </row>
    <row r="111" spans="1:9" s="265" customFormat="1" ht="24" customHeight="1">
      <c r="A111" s="326" t="s">
        <v>658</v>
      </c>
      <c r="B111" s="327" t="s">
        <v>1066</v>
      </c>
      <c r="C111" s="298"/>
      <c r="D111" s="298"/>
      <c r="E111" s="298"/>
      <c r="F111" s="298"/>
    </row>
    <row r="112" spans="1:9" s="265" customFormat="1" ht="24" customHeight="1">
      <c r="A112" s="44">
        <v>3767</v>
      </c>
      <c r="B112" s="51" t="s">
        <v>1067</v>
      </c>
      <c r="C112" s="299" t="s">
        <v>1068</v>
      </c>
      <c r="D112" s="298">
        <v>0.06</v>
      </c>
      <c r="E112" s="298">
        <v>1.1200000000000001</v>
      </c>
      <c r="F112" s="300">
        <f>D112*E112</f>
        <v>6.720000000000001E-2</v>
      </c>
    </row>
    <row r="113" spans="1:12" s="265" customFormat="1" ht="24" customHeight="1">
      <c r="A113" s="44">
        <v>88316</v>
      </c>
      <c r="B113" s="51" t="s">
        <v>22</v>
      </c>
      <c r="C113" s="299" t="s">
        <v>6</v>
      </c>
      <c r="D113" s="298">
        <v>0.18</v>
      </c>
      <c r="E113" s="298">
        <v>12</v>
      </c>
      <c r="F113" s="300">
        <f>D113*E113</f>
        <v>2.16</v>
      </c>
    </row>
    <row r="114" spans="1:12" s="265" customFormat="1" ht="24" customHeight="1">
      <c r="A114" s="298"/>
      <c r="B114" s="297" t="s">
        <v>1069</v>
      </c>
      <c r="C114" s="298"/>
      <c r="D114" s="298"/>
      <c r="E114" s="298"/>
      <c r="F114" s="300">
        <f>F112+F113</f>
        <v>2.2272000000000003</v>
      </c>
    </row>
    <row r="115" spans="1:12">
      <c r="A115" s="261"/>
      <c r="B115" s="261"/>
      <c r="C115" s="261"/>
      <c r="D115" s="261"/>
      <c r="E115" s="261"/>
      <c r="F115" s="261"/>
    </row>
    <row r="116" spans="1:12" ht="27.6">
      <c r="A116" s="328" t="s">
        <v>828</v>
      </c>
      <c r="B116" s="282" t="s">
        <v>1070</v>
      </c>
      <c r="C116" s="328"/>
      <c r="D116" s="328"/>
      <c r="E116" s="328"/>
      <c r="F116" s="328"/>
    </row>
    <row r="117" spans="1:12">
      <c r="A117" s="328"/>
      <c r="B117" s="282" t="s">
        <v>1071</v>
      </c>
      <c r="C117" s="328"/>
      <c r="D117" s="328"/>
      <c r="E117" s="328"/>
      <c r="F117" s="328"/>
    </row>
    <row r="118" spans="1:12">
      <c r="A118" s="328"/>
      <c r="B118" s="282" t="s">
        <v>1025</v>
      </c>
      <c r="C118" s="328"/>
      <c r="D118" s="328"/>
      <c r="E118" s="328"/>
      <c r="F118" s="328"/>
    </row>
    <row r="119" spans="1:12" ht="26.4">
      <c r="A119" s="298">
        <v>88267</v>
      </c>
      <c r="B119" s="329" t="s">
        <v>1072</v>
      </c>
      <c r="C119" s="328" t="s">
        <v>515</v>
      </c>
      <c r="D119" s="328">
        <v>0.39</v>
      </c>
      <c r="E119" s="328">
        <v>17</v>
      </c>
      <c r="F119" s="330">
        <f>D119*E119</f>
        <v>6.63</v>
      </c>
    </row>
    <row r="120" spans="1:12" ht="26.4">
      <c r="A120" s="298">
        <v>88248</v>
      </c>
      <c r="B120" s="329" t="s">
        <v>1073</v>
      </c>
      <c r="C120" s="328" t="s">
        <v>515</v>
      </c>
      <c r="D120" s="328">
        <v>0.19</v>
      </c>
      <c r="E120" s="328">
        <v>12</v>
      </c>
      <c r="F120" s="330">
        <f>D120*E120</f>
        <v>2.2800000000000002</v>
      </c>
    </row>
    <row r="121" spans="1:12">
      <c r="A121" s="331"/>
      <c r="B121" s="332" t="s">
        <v>1014</v>
      </c>
      <c r="C121" s="276"/>
      <c r="D121" s="333"/>
      <c r="E121" s="334"/>
      <c r="F121" s="335">
        <f>F119++F120</f>
        <v>8.91</v>
      </c>
    </row>
    <row r="122" spans="1:12" ht="26.4">
      <c r="A122" s="328" t="s">
        <v>1074</v>
      </c>
      <c r="B122" s="329" t="s">
        <v>1070</v>
      </c>
      <c r="C122" s="328" t="s">
        <v>524</v>
      </c>
      <c r="D122" s="328">
        <v>1</v>
      </c>
      <c r="E122" s="328">
        <v>859.9</v>
      </c>
      <c r="F122" s="330">
        <f>D122*E122</f>
        <v>859.9</v>
      </c>
    </row>
    <row r="123" spans="1:12" ht="39.6">
      <c r="A123" s="331">
        <v>4351</v>
      </c>
      <c r="B123" s="329" t="s">
        <v>1075</v>
      </c>
      <c r="C123" s="328" t="s">
        <v>524</v>
      </c>
      <c r="D123" s="328">
        <v>2</v>
      </c>
      <c r="E123" s="328">
        <v>17.25</v>
      </c>
      <c r="F123" s="330">
        <f>D123*E123</f>
        <v>34.5</v>
      </c>
    </row>
    <row r="124" spans="1:12">
      <c r="A124" s="298">
        <v>34357</v>
      </c>
      <c r="B124" s="336" t="s">
        <v>1076</v>
      </c>
      <c r="C124" s="328" t="s">
        <v>566</v>
      </c>
      <c r="D124" s="328">
        <v>5.0700000000000002E-2</v>
      </c>
      <c r="E124" s="328">
        <v>4.8099999999999996</v>
      </c>
      <c r="F124" s="330">
        <f>D124*E124</f>
        <v>0.243867</v>
      </c>
    </row>
    <row r="125" spans="1:12">
      <c r="A125" s="285"/>
      <c r="B125" s="332" t="s">
        <v>1014</v>
      </c>
      <c r="C125" s="276"/>
      <c r="D125" s="333"/>
      <c r="E125" s="334"/>
      <c r="F125" s="337">
        <f>F122+F124+F123</f>
        <v>894.643867</v>
      </c>
    </row>
    <row r="126" spans="1:12">
      <c r="A126" s="285"/>
      <c r="B126" s="332" t="s">
        <v>1015</v>
      </c>
      <c r="C126" s="276"/>
      <c r="D126" s="338"/>
      <c r="E126" s="339"/>
      <c r="F126" s="335">
        <f>F125+F121</f>
        <v>903.55386699999997</v>
      </c>
    </row>
    <row r="127" spans="1:12">
      <c r="A127" s="340"/>
      <c r="B127" s="341" t="s">
        <v>1077</v>
      </c>
      <c r="C127" s="340"/>
      <c r="D127" s="340"/>
      <c r="E127" s="340"/>
      <c r="F127" s="340"/>
    </row>
    <row r="128" spans="1:12" s="311" customFormat="1" ht="13.2">
      <c r="A128" s="261"/>
      <c r="B128" s="261"/>
      <c r="C128" s="261"/>
      <c r="D128" s="261"/>
      <c r="E128" s="261"/>
      <c r="F128" s="261"/>
      <c r="G128" s="265"/>
      <c r="H128" s="265"/>
      <c r="L128" s="342"/>
    </row>
    <row r="129" spans="1:8" s="263" customFormat="1">
      <c r="A129" s="264"/>
      <c r="B129" s="320"/>
      <c r="C129" s="343"/>
      <c r="D129" s="344"/>
      <c r="E129" s="345"/>
      <c r="F129" s="346"/>
      <c r="G129" s="262"/>
      <c r="H129" s="262"/>
    </row>
    <row r="130" spans="1:8" s="71" customFormat="1" ht="41.4">
      <c r="A130" s="301" t="s">
        <v>1078</v>
      </c>
      <c r="B130" s="282" t="s">
        <v>1079</v>
      </c>
      <c r="C130" s="276"/>
      <c r="D130" s="347"/>
      <c r="E130" s="50"/>
      <c r="F130" s="50"/>
      <c r="G130" s="262"/>
      <c r="H130" s="262"/>
    </row>
    <row r="131" spans="1:8" s="71" customFormat="1">
      <c r="A131" s="302"/>
      <c r="B131" s="286" t="s">
        <v>1011</v>
      </c>
      <c r="C131" s="276"/>
      <c r="D131" s="347"/>
      <c r="E131" s="50"/>
      <c r="F131" s="50"/>
      <c r="G131" s="262"/>
      <c r="H131" s="262"/>
    </row>
    <row r="132" spans="1:8" s="71" customFormat="1">
      <c r="A132" s="302"/>
      <c r="B132" s="282" t="s">
        <v>1025</v>
      </c>
      <c r="C132" s="276"/>
      <c r="D132" s="347"/>
      <c r="E132" s="50"/>
      <c r="F132" s="50"/>
      <c r="G132" s="262"/>
      <c r="H132" s="262"/>
    </row>
    <row r="133" spans="1:8" s="71" customFormat="1">
      <c r="A133" s="302"/>
      <c r="B133" s="288" t="s">
        <v>1021</v>
      </c>
      <c r="C133" s="276" t="s">
        <v>515</v>
      </c>
      <c r="D133" s="347">
        <v>1</v>
      </c>
      <c r="E133" s="260">
        <v>12</v>
      </c>
      <c r="F133" s="50">
        <f>D133*E133</f>
        <v>12</v>
      </c>
      <c r="G133" s="262"/>
      <c r="H133" s="262"/>
    </row>
    <row r="134" spans="1:8" s="71" customFormat="1">
      <c r="A134" s="302"/>
      <c r="B134" s="288" t="s">
        <v>1020</v>
      </c>
      <c r="C134" s="276" t="s">
        <v>515</v>
      </c>
      <c r="D134" s="347">
        <v>1</v>
      </c>
      <c r="E134" s="260">
        <v>17</v>
      </c>
      <c r="F134" s="50">
        <f>D134*E134</f>
        <v>17</v>
      </c>
      <c r="G134" s="262"/>
      <c r="H134" s="262"/>
    </row>
    <row r="135" spans="1:8" s="71" customFormat="1">
      <c r="A135" s="302"/>
      <c r="B135" s="282" t="s">
        <v>1014</v>
      </c>
      <c r="C135" s="276"/>
      <c r="D135" s="347"/>
      <c r="E135" s="50"/>
      <c r="F135" s="348">
        <f>F133+F134</f>
        <v>29</v>
      </c>
      <c r="G135" s="262"/>
      <c r="H135" s="262"/>
    </row>
    <row r="136" spans="1:8" s="71" customFormat="1">
      <c r="A136" s="302"/>
      <c r="B136" s="282" t="s">
        <v>1012</v>
      </c>
      <c r="C136" s="276"/>
      <c r="D136" s="347"/>
      <c r="E136" s="50"/>
      <c r="F136" s="50"/>
      <c r="G136" s="262"/>
      <c r="H136" s="262"/>
    </row>
    <row r="137" spans="1:8" s="71" customFormat="1">
      <c r="A137" s="302" t="s">
        <v>1080</v>
      </c>
      <c r="B137" s="288" t="s">
        <v>1081</v>
      </c>
      <c r="C137" s="276" t="s">
        <v>524</v>
      </c>
      <c r="D137" s="347">
        <v>2</v>
      </c>
      <c r="E137" s="50">
        <v>97.84</v>
      </c>
      <c r="F137" s="50">
        <f>D137*E137</f>
        <v>195.68</v>
      </c>
      <c r="G137" s="262"/>
      <c r="H137" s="262"/>
    </row>
    <row r="138" spans="1:8" s="71" customFormat="1">
      <c r="A138" s="302"/>
      <c r="B138" s="282" t="s">
        <v>1014</v>
      </c>
      <c r="C138" s="276"/>
      <c r="D138" s="347"/>
      <c r="E138" s="50"/>
      <c r="F138" s="348">
        <f>F137</f>
        <v>195.68</v>
      </c>
      <c r="G138" s="262"/>
      <c r="H138" s="262"/>
    </row>
    <row r="139" spans="1:8" s="71" customFormat="1">
      <c r="A139" s="331"/>
      <c r="B139" s="282" t="s">
        <v>1015</v>
      </c>
      <c r="C139" s="276"/>
      <c r="D139" s="347"/>
      <c r="E139" s="50"/>
      <c r="F139" s="293">
        <f>F138+F135</f>
        <v>224.68</v>
      </c>
      <c r="G139" s="262"/>
      <c r="H139" s="262"/>
    </row>
    <row r="140" spans="1:8" s="71" customFormat="1">
      <c r="A140" s="331"/>
      <c r="B140" s="288" t="s">
        <v>1082</v>
      </c>
      <c r="C140" s="276"/>
      <c r="D140" s="347"/>
      <c r="E140" s="50"/>
      <c r="F140" s="284"/>
      <c r="G140" s="262"/>
      <c r="H140" s="262"/>
    </row>
    <row r="141" spans="1:8" s="262" customFormat="1" ht="13.2">
      <c r="A141" s="261"/>
      <c r="B141" s="261"/>
      <c r="C141" s="261"/>
      <c r="D141" s="261"/>
      <c r="E141" s="261"/>
      <c r="F141" s="261"/>
    </row>
    <row r="142" spans="1:8" s="262" customFormat="1" ht="51.75" customHeight="1">
      <c r="A142" s="301" t="s">
        <v>1083</v>
      </c>
      <c r="B142" s="282" t="s">
        <v>1084</v>
      </c>
      <c r="C142" s="276"/>
      <c r="D142" s="347"/>
      <c r="E142" s="50"/>
      <c r="F142" s="50"/>
    </row>
    <row r="143" spans="1:8" s="262" customFormat="1" ht="19.5" customHeight="1">
      <c r="A143" s="302"/>
      <c r="B143" s="286" t="s">
        <v>1011</v>
      </c>
      <c r="C143" s="276"/>
      <c r="D143" s="347"/>
      <c r="E143" s="50"/>
      <c r="F143" s="50"/>
    </row>
    <row r="144" spans="1:8" s="262" customFormat="1" ht="19.5" customHeight="1">
      <c r="A144" s="302"/>
      <c r="B144" s="282" t="s">
        <v>1025</v>
      </c>
      <c r="C144" s="276"/>
      <c r="D144" s="347"/>
      <c r="E144" s="50"/>
      <c r="F144" s="50"/>
    </row>
    <row r="145" spans="1:6" s="262" customFormat="1" ht="19.5" customHeight="1">
      <c r="A145" s="302"/>
      <c r="B145" s="288" t="s">
        <v>1021</v>
      </c>
      <c r="C145" s="276" t="s">
        <v>515</v>
      </c>
      <c r="D145" s="347">
        <v>1</v>
      </c>
      <c r="E145" s="50">
        <v>12</v>
      </c>
      <c r="F145" s="50">
        <f>D145*E145</f>
        <v>12</v>
      </c>
    </row>
    <row r="146" spans="1:6" s="262" customFormat="1" ht="19.5" customHeight="1">
      <c r="A146" s="302"/>
      <c r="B146" s="288" t="s">
        <v>1020</v>
      </c>
      <c r="C146" s="276" t="s">
        <v>515</v>
      </c>
      <c r="D146" s="347">
        <v>1</v>
      </c>
      <c r="E146" s="50">
        <v>17</v>
      </c>
      <c r="F146" s="50">
        <f>D146*E146</f>
        <v>17</v>
      </c>
    </row>
    <row r="147" spans="1:6" s="262" customFormat="1" ht="19.5" customHeight="1">
      <c r="A147" s="302"/>
      <c r="B147" s="282" t="s">
        <v>1014</v>
      </c>
      <c r="C147" s="276"/>
      <c r="D147" s="347"/>
      <c r="E147" s="50"/>
      <c r="F147" s="348">
        <f>F145+F146</f>
        <v>29</v>
      </c>
    </row>
    <row r="148" spans="1:6" s="262" customFormat="1" ht="19.5" customHeight="1">
      <c r="A148" s="302"/>
      <c r="B148" s="282" t="s">
        <v>1012</v>
      </c>
      <c r="C148" s="276"/>
      <c r="D148" s="347"/>
      <c r="E148" s="50"/>
      <c r="F148" s="50"/>
    </row>
    <row r="149" spans="1:6" s="262" customFormat="1" ht="19.5" customHeight="1">
      <c r="A149" s="302" t="s">
        <v>1085</v>
      </c>
      <c r="B149" s="288" t="s">
        <v>1086</v>
      </c>
      <c r="C149" s="276" t="s">
        <v>524</v>
      </c>
      <c r="D149" s="347">
        <v>3</v>
      </c>
      <c r="E149" s="50">
        <v>121.36</v>
      </c>
      <c r="F149" s="50">
        <f>D149*E149</f>
        <v>364.08</v>
      </c>
    </row>
    <row r="150" spans="1:6" s="262" customFormat="1" ht="19.5" customHeight="1">
      <c r="A150" s="302"/>
      <c r="B150" s="282" t="s">
        <v>1014</v>
      </c>
      <c r="C150" s="276"/>
      <c r="D150" s="347"/>
      <c r="E150" s="50"/>
      <c r="F150" s="348">
        <f>F149</f>
        <v>364.08</v>
      </c>
    </row>
    <row r="151" spans="1:6" s="262" customFormat="1">
      <c r="A151" s="331"/>
      <c r="B151" s="282" t="s">
        <v>1015</v>
      </c>
      <c r="C151" s="276"/>
      <c r="D151" s="347"/>
      <c r="E151" s="50"/>
      <c r="F151" s="293">
        <f>F150+F147</f>
        <v>393.08</v>
      </c>
    </row>
    <row r="152" spans="1:6" s="262" customFormat="1" ht="13.2">
      <c r="A152" s="261"/>
      <c r="B152" s="261"/>
      <c r="C152" s="261"/>
      <c r="D152" s="261"/>
      <c r="E152" s="261"/>
      <c r="F152" s="261"/>
    </row>
    <row r="153" spans="1:6" ht="26.4">
      <c r="A153" s="349" t="s">
        <v>929</v>
      </c>
      <c r="B153" s="327" t="s">
        <v>1087</v>
      </c>
    </row>
    <row r="154" spans="1:6">
      <c r="B154" s="282" t="s">
        <v>1025</v>
      </c>
    </row>
    <row r="155" spans="1:6">
      <c r="B155" s="82"/>
      <c r="F155" s="110">
        <f>D155*E155</f>
        <v>0</v>
      </c>
    </row>
    <row r="156" spans="1:6">
      <c r="B156" s="82" t="s">
        <v>1088</v>
      </c>
      <c r="C156" s="308" t="s">
        <v>515</v>
      </c>
      <c r="D156" s="309">
        <v>1</v>
      </c>
      <c r="E156" s="110">
        <v>12</v>
      </c>
      <c r="F156" s="110">
        <f>D156*E156</f>
        <v>12</v>
      </c>
    </row>
    <row r="157" spans="1:6">
      <c r="B157" s="332" t="s">
        <v>1014</v>
      </c>
      <c r="F157" s="110">
        <f>F155+F156</f>
        <v>12</v>
      </c>
    </row>
    <row r="158" spans="1:6">
      <c r="A158" s="261"/>
      <c r="B158" s="261"/>
      <c r="C158" s="261"/>
      <c r="D158" s="261"/>
      <c r="E158" s="261"/>
      <c r="F158" s="261"/>
    </row>
    <row r="159" spans="1:6" ht="21">
      <c r="A159" s="349" t="s">
        <v>931</v>
      </c>
      <c r="B159" s="350" t="s">
        <v>938</v>
      </c>
    </row>
    <row r="160" spans="1:6">
      <c r="B160" s="306" t="s">
        <v>1034</v>
      </c>
    </row>
    <row r="161" spans="1:11" ht="21">
      <c r="A161" s="44" t="s">
        <v>1089</v>
      </c>
      <c r="B161" s="82" t="s">
        <v>1090</v>
      </c>
      <c r="C161" s="308" t="s">
        <v>521</v>
      </c>
      <c r="D161" s="309">
        <v>0.375</v>
      </c>
      <c r="E161" s="110">
        <v>519.75</v>
      </c>
      <c r="F161" s="110">
        <f>D161*E161</f>
        <v>194.90625</v>
      </c>
      <c r="G161" s="262">
        <f>0.5*0.75</f>
        <v>0.375</v>
      </c>
      <c r="J161" s="71">
        <v>519.75</v>
      </c>
      <c r="K161" s="71">
        <f>0.5*0.75</f>
        <v>0.375</v>
      </c>
    </row>
    <row r="162" spans="1:11" ht="21">
      <c r="A162" s="44" t="s">
        <v>1091</v>
      </c>
      <c r="B162" s="82" t="s">
        <v>62</v>
      </c>
      <c r="C162" s="308" t="s">
        <v>584</v>
      </c>
      <c r="D162" s="309">
        <v>1.6</v>
      </c>
      <c r="E162" s="110">
        <v>9.0399999999999991</v>
      </c>
      <c r="F162" s="110">
        <f>D162*E162</f>
        <v>14.463999999999999</v>
      </c>
    </row>
    <row r="163" spans="1:11" ht="21">
      <c r="A163" s="44">
        <v>94974</v>
      </c>
      <c r="B163" s="82" t="s">
        <v>1092</v>
      </c>
      <c r="C163" s="308" t="s">
        <v>540</v>
      </c>
      <c r="D163" s="309">
        <v>0.2</v>
      </c>
      <c r="E163" s="110">
        <v>370</v>
      </c>
      <c r="F163" s="110">
        <f>D163*E163</f>
        <v>74</v>
      </c>
    </row>
    <row r="164" spans="1:11">
      <c r="B164" s="332" t="s">
        <v>1014</v>
      </c>
      <c r="F164" s="110">
        <f>F161+F162+F163</f>
        <v>283.37025</v>
      </c>
    </row>
    <row r="165" spans="1:11">
      <c r="B165" s="282" t="s">
        <v>1025</v>
      </c>
      <c r="H165" s="262">
        <v>16.02</v>
      </c>
    </row>
    <row r="166" spans="1:11">
      <c r="B166" s="82" t="s">
        <v>1093</v>
      </c>
      <c r="C166" s="308" t="s">
        <v>515</v>
      </c>
      <c r="D166" s="309">
        <v>0.5</v>
      </c>
      <c r="E166" s="110">
        <v>17</v>
      </c>
      <c r="F166" s="110">
        <f>D166*E166</f>
        <v>8.5</v>
      </c>
      <c r="H166" s="262">
        <v>19.98</v>
      </c>
    </row>
    <row r="167" spans="1:11">
      <c r="B167" s="82" t="s">
        <v>1088</v>
      </c>
      <c r="C167" s="308" t="s">
        <v>515</v>
      </c>
      <c r="D167" s="309">
        <v>1</v>
      </c>
      <c r="E167" s="110">
        <v>12</v>
      </c>
      <c r="F167" s="110">
        <f>D167*E167</f>
        <v>12</v>
      </c>
      <c r="J167" s="71">
        <f>0.5*0.75</f>
        <v>0.375</v>
      </c>
    </row>
    <row r="168" spans="1:11">
      <c r="B168" s="332" t="s">
        <v>1014</v>
      </c>
      <c r="F168" s="110">
        <f>F166+F167</f>
        <v>20.5</v>
      </c>
    </row>
    <row r="169" spans="1:11">
      <c r="B169" s="332" t="s">
        <v>1015</v>
      </c>
      <c r="F169" s="110">
        <f>F168+F164</f>
        <v>303.87025</v>
      </c>
    </row>
    <row r="170" spans="1:11">
      <c r="A170" s="264"/>
      <c r="B170" s="264"/>
      <c r="C170" s="264"/>
      <c r="D170" s="264"/>
      <c r="E170" s="264"/>
      <c r="F170" s="264"/>
    </row>
    <row r="171" spans="1:11" s="262" customFormat="1" ht="66">
      <c r="A171" s="299" t="s">
        <v>965</v>
      </c>
      <c r="B171" s="351" t="s">
        <v>943</v>
      </c>
      <c r="C171" s="299"/>
      <c r="D171" s="299"/>
      <c r="E171" s="299"/>
      <c r="F171" s="299"/>
    </row>
    <row r="172" spans="1:11" s="262" customFormat="1" ht="13.2">
      <c r="A172" s="299"/>
      <c r="B172" s="299"/>
      <c r="C172" s="299"/>
      <c r="D172" s="299"/>
      <c r="E172" s="299"/>
      <c r="F172" s="299"/>
    </row>
    <row r="173" spans="1:11" s="262" customFormat="1" ht="13.2">
      <c r="A173" s="352">
        <v>88309</v>
      </c>
      <c r="B173" s="351" t="s">
        <v>1094</v>
      </c>
      <c r="C173" s="351" t="s">
        <v>6</v>
      </c>
      <c r="D173" s="299">
        <v>0.28999999999999998</v>
      </c>
      <c r="E173" s="299">
        <v>17</v>
      </c>
      <c r="F173" s="299">
        <f>D173*E173</f>
        <v>4.93</v>
      </c>
    </row>
    <row r="174" spans="1:11" s="262" customFormat="1" ht="13.2">
      <c r="A174" s="352">
        <v>88316</v>
      </c>
      <c r="B174" s="351" t="s">
        <v>1095</v>
      </c>
      <c r="C174" s="351" t="s">
        <v>6</v>
      </c>
      <c r="D174" s="299">
        <v>0.28999999999999998</v>
      </c>
      <c r="E174" s="299">
        <v>12</v>
      </c>
      <c r="F174" s="299">
        <f>D174*E174</f>
        <v>3.4799999999999995</v>
      </c>
    </row>
    <row r="175" spans="1:11" s="262" customFormat="1" ht="13.2">
      <c r="A175" s="299"/>
      <c r="B175" s="299" t="s">
        <v>1096</v>
      </c>
      <c r="C175" s="299"/>
      <c r="D175" s="299"/>
      <c r="E175" s="299"/>
      <c r="F175" s="299">
        <f>F173+F174</f>
        <v>8.41</v>
      </c>
    </row>
    <row r="176" spans="1:11" s="262" customFormat="1" ht="13.2">
      <c r="A176" s="299"/>
      <c r="B176" s="299"/>
      <c r="C176" s="299"/>
      <c r="D176" s="299"/>
      <c r="E176" s="299"/>
      <c r="F176" s="299"/>
    </row>
    <row r="177" spans="1:11" s="262" customFormat="1" ht="26.4">
      <c r="A177" s="353" t="s">
        <v>1097</v>
      </c>
      <c r="B177" s="351" t="s">
        <v>1098</v>
      </c>
      <c r="C177" s="299" t="s">
        <v>524</v>
      </c>
      <c r="D177" s="299">
        <v>1</v>
      </c>
      <c r="E177" s="299">
        <v>20.95</v>
      </c>
      <c r="F177" s="299">
        <f>D177*E177</f>
        <v>20.95</v>
      </c>
    </row>
    <row r="178" spans="1:11" s="262" customFormat="1" ht="26.4">
      <c r="A178" s="352">
        <v>34349</v>
      </c>
      <c r="B178" s="351" t="s">
        <v>1099</v>
      </c>
      <c r="C178" s="299" t="s">
        <v>524</v>
      </c>
      <c r="D178" s="299">
        <v>0.5</v>
      </c>
      <c r="E178" s="299">
        <v>25.64</v>
      </c>
      <c r="F178" s="299">
        <f>D178*E178</f>
        <v>12.82</v>
      </c>
    </row>
    <row r="179" spans="1:11" s="262" customFormat="1" ht="26.4">
      <c r="A179" s="352">
        <v>90437</v>
      </c>
      <c r="B179" s="351" t="s">
        <v>1100</v>
      </c>
      <c r="C179" s="299" t="s">
        <v>524</v>
      </c>
      <c r="D179" s="299">
        <v>0.125</v>
      </c>
      <c r="E179" s="299">
        <v>25.36</v>
      </c>
      <c r="F179" s="299">
        <f>D179*E179</f>
        <v>3.17</v>
      </c>
    </row>
    <row r="180" spans="1:11" s="262" customFormat="1" ht="26.4">
      <c r="A180" s="352">
        <v>94974</v>
      </c>
      <c r="B180" s="351" t="s">
        <v>1101</v>
      </c>
      <c r="C180" s="299" t="s">
        <v>540</v>
      </c>
      <c r="D180" s="299">
        <v>0.16300000000000001</v>
      </c>
      <c r="E180" s="299">
        <v>370</v>
      </c>
      <c r="F180" s="299">
        <f>D180*E180</f>
        <v>60.31</v>
      </c>
    </row>
    <row r="181" spans="1:11" s="262" customFormat="1" ht="13.2">
      <c r="A181" s="299"/>
      <c r="B181" s="299" t="s">
        <v>1102</v>
      </c>
      <c r="C181" s="299"/>
      <c r="D181" s="299"/>
      <c r="E181" s="299"/>
      <c r="F181" s="299">
        <f>F177+F178+F179+F180</f>
        <v>97.25</v>
      </c>
    </row>
    <row r="182" spans="1:11" s="262" customFormat="1" ht="13.2">
      <c r="A182" s="331"/>
      <c r="B182" s="354" t="s">
        <v>1103</v>
      </c>
      <c r="C182" s="299"/>
      <c r="D182" s="299"/>
      <c r="E182" s="299"/>
      <c r="F182" s="299">
        <f>F175+F181</f>
        <v>105.66</v>
      </c>
    </row>
    <row r="183" spans="1:11" s="262" customFormat="1" ht="13.2">
      <c r="A183" s="261"/>
      <c r="B183" s="261"/>
      <c r="C183" s="261"/>
      <c r="D183" s="261"/>
      <c r="E183" s="261"/>
      <c r="F183" s="261"/>
    </row>
    <row r="184" spans="1:11" ht="39.6">
      <c r="A184" s="312" t="s">
        <v>961</v>
      </c>
      <c r="B184" s="306" t="s">
        <v>1104</v>
      </c>
      <c r="C184" s="298"/>
      <c r="D184" s="298"/>
      <c r="E184" s="298"/>
      <c r="F184" s="298"/>
    </row>
    <row r="185" spans="1:11">
      <c r="A185" s="298"/>
      <c r="B185" s="299" t="s">
        <v>1011</v>
      </c>
      <c r="C185" s="298"/>
      <c r="D185" s="298"/>
      <c r="E185" s="298"/>
      <c r="F185" s="298"/>
    </row>
    <row r="186" spans="1:11" ht="26.4">
      <c r="A186" s="298"/>
      <c r="B186" s="355" t="s">
        <v>1105</v>
      </c>
      <c r="C186" s="299" t="s">
        <v>524</v>
      </c>
      <c r="D186" s="300">
        <v>1</v>
      </c>
      <c r="E186" s="300">
        <v>1619.12</v>
      </c>
      <c r="F186" s="300">
        <f>TRUNC(D186*E186,2)</f>
        <v>1619.12</v>
      </c>
      <c r="K186" s="71">
        <f>725/6</f>
        <v>120.83333333333333</v>
      </c>
    </row>
    <row r="187" spans="1:11">
      <c r="A187" s="298"/>
      <c r="B187" s="355" t="s">
        <v>1106</v>
      </c>
      <c r="C187" s="299" t="s">
        <v>524</v>
      </c>
      <c r="D187" s="300">
        <v>24</v>
      </c>
      <c r="E187" s="298">
        <v>0.98</v>
      </c>
      <c r="F187" s="298">
        <f>TRUNC(D187*E187,2)</f>
        <v>23.52</v>
      </c>
      <c r="K187" s="71">
        <f>120.83*(6.2+6.2+1)</f>
        <v>1619.1220000000001</v>
      </c>
    </row>
    <row r="188" spans="1:11" ht="26.4">
      <c r="A188" s="352">
        <v>100748</v>
      </c>
      <c r="B188" s="355" t="s">
        <v>1107</v>
      </c>
      <c r="C188" s="299" t="s">
        <v>521</v>
      </c>
      <c r="D188" s="300">
        <v>5.18</v>
      </c>
      <c r="E188" s="300">
        <v>7.27</v>
      </c>
      <c r="F188" s="300">
        <f>TRUNC(D188*E188,2)</f>
        <v>37.65</v>
      </c>
    </row>
    <row r="189" spans="1:11">
      <c r="A189" s="297"/>
      <c r="B189" s="297" t="s">
        <v>1108</v>
      </c>
      <c r="C189" s="297"/>
      <c r="D189" s="297"/>
      <c r="E189" s="297"/>
      <c r="F189" s="297">
        <f>F186+F187+F188</f>
        <v>1680.29</v>
      </c>
      <c r="J189" s="71" t="s">
        <v>1109</v>
      </c>
    </row>
    <row r="190" spans="1:11">
      <c r="A190" s="298"/>
      <c r="B190" s="299" t="s">
        <v>1025</v>
      </c>
      <c r="C190" s="298"/>
      <c r="D190" s="298"/>
      <c r="E190" s="298"/>
      <c r="F190" s="298"/>
    </row>
    <row r="191" spans="1:11">
      <c r="A191" s="298"/>
      <c r="B191" s="299" t="s">
        <v>1021</v>
      </c>
      <c r="C191" s="299" t="s">
        <v>515</v>
      </c>
      <c r="D191" s="298">
        <v>5</v>
      </c>
      <c r="E191" s="300">
        <v>12</v>
      </c>
      <c r="F191" s="298">
        <f>TRUNC(D191*E191,2)</f>
        <v>60</v>
      </c>
    </row>
    <row r="192" spans="1:11">
      <c r="A192" s="298"/>
      <c r="B192" s="299" t="s">
        <v>1020</v>
      </c>
      <c r="C192" s="299" t="s">
        <v>515</v>
      </c>
      <c r="D192" s="298">
        <v>5</v>
      </c>
      <c r="E192" s="300">
        <v>17</v>
      </c>
      <c r="F192" s="300">
        <f>TRUNC(D192*E192,2)</f>
        <v>85</v>
      </c>
    </row>
    <row r="193" spans="1:11">
      <c r="A193" s="297"/>
      <c r="B193" s="297" t="s">
        <v>1108</v>
      </c>
      <c r="C193" s="297"/>
      <c r="D193" s="297"/>
      <c r="E193" s="297"/>
      <c r="F193" s="297">
        <f>F191+F192</f>
        <v>145</v>
      </c>
    </row>
    <row r="194" spans="1:11">
      <c r="A194" s="298"/>
      <c r="B194" s="297" t="s">
        <v>1110</v>
      </c>
      <c r="C194" s="298"/>
      <c r="D194" s="298"/>
      <c r="E194" s="298"/>
      <c r="F194" s="297">
        <f>F193+F189</f>
        <v>1825.29</v>
      </c>
    </row>
    <row r="195" spans="1:11">
      <c r="A195" s="298"/>
      <c r="B195" s="327" t="s">
        <v>1111</v>
      </c>
      <c r="C195" s="298"/>
      <c r="D195" s="298"/>
      <c r="E195" s="298"/>
      <c r="F195" s="297"/>
    </row>
    <row r="196" spans="1:11">
      <c r="A196" s="298"/>
      <c r="B196" s="327" t="s">
        <v>1112</v>
      </c>
      <c r="C196" s="298"/>
      <c r="D196" s="298"/>
      <c r="E196" s="298"/>
      <c r="F196" s="297"/>
    </row>
    <row r="197" spans="1:11">
      <c r="A197" s="298"/>
      <c r="B197" s="327" t="s">
        <v>1113</v>
      </c>
      <c r="C197" s="298"/>
      <c r="D197" s="298"/>
      <c r="E197" s="298"/>
      <c r="F197" s="297"/>
    </row>
    <row r="198" spans="1:11">
      <c r="A198" s="261"/>
      <c r="B198" s="261"/>
      <c r="C198" s="261"/>
      <c r="D198" s="261"/>
      <c r="E198" s="261"/>
      <c r="F198" s="261"/>
    </row>
    <row r="199" spans="1:11">
      <c r="A199" s="356"/>
      <c r="B199" s="357"/>
      <c r="C199" s="358"/>
      <c r="D199" s="359"/>
      <c r="E199" s="116"/>
      <c r="F199" s="116"/>
    </row>
    <row r="201" spans="1:11" s="311" customFormat="1" ht="13.2">
      <c r="G201" s="265"/>
      <c r="H201" s="265"/>
    </row>
    <row r="202" spans="1:11" s="311" customFormat="1" ht="41.4" hidden="1">
      <c r="A202" s="312" t="s">
        <v>612</v>
      </c>
      <c r="B202" s="296" t="s">
        <v>1046</v>
      </c>
      <c r="C202" s="299"/>
      <c r="D202" s="299"/>
      <c r="E202" s="299"/>
      <c r="F202" s="313"/>
      <c r="G202" s="265"/>
      <c r="H202" s="265"/>
    </row>
    <row r="203" spans="1:11" s="311" customFormat="1" hidden="1">
      <c r="A203" s="314"/>
      <c r="B203" s="296" t="s">
        <v>1047</v>
      </c>
      <c r="C203" s="299"/>
      <c r="D203" s="299"/>
      <c r="E203" s="299"/>
      <c r="F203" s="313"/>
      <c r="G203" s="265"/>
      <c r="H203" s="265"/>
    </row>
    <row r="204" spans="1:11" s="311" customFormat="1" hidden="1">
      <c r="A204" s="314"/>
      <c r="B204" s="296" t="s">
        <v>1025</v>
      </c>
      <c r="C204" s="315"/>
      <c r="D204" s="299"/>
      <c r="E204" s="299"/>
      <c r="F204" s="313"/>
      <c r="G204" s="265"/>
      <c r="H204" s="265"/>
    </row>
    <row r="205" spans="1:11" s="311" customFormat="1" hidden="1">
      <c r="A205" s="314"/>
      <c r="B205" s="315" t="s">
        <v>1026</v>
      </c>
      <c r="C205" s="276" t="s">
        <v>515</v>
      </c>
      <c r="D205" s="316">
        <v>60</v>
      </c>
      <c r="E205" s="299">
        <v>8.93</v>
      </c>
      <c r="F205" s="313">
        <f>D205*E205</f>
        <v>535.79999999999995</v>
      </c>
      <c r="G205" s="265"/>
      <c r="H205" s="265"/>
    </row>
    <row r="206" spans="1:11" s="311" customFormat="1" hidden="1">
      <c r="A206" s="314"/>
      <c r="B206" s="315" t="s">
        <v>1027</v>
      </c>
      <c r="C206" s="276" t="s">
        <v>515</v>
      </c>
      <c r="D206" s="316">
        <v>60</v>
      </c>
      <c r="E206" s="299">
        <v>5.95</v>
      </c>
      <c r="F206" s="313">
        <f>D206*E206</f>
        <v>357</v>
      </c>
      <c r="G206" s="265"/>
      <c r="H206" s="265"/>
    </row>
    <row r="207" spans="1:11" s="311" customFormat="1" hidden="1">
      <c r="A207" s="314"/>
      <c r="B207" s="296" t="s">
        <v>1014</v>
      </c>
      <c r="C207" s="299"/>
      <c r="D207" s="299"/>
      <c r="E207" s="299"/>
      <c r="F207" s="317">
        <f>F206+F205</f>
        <v>892.8</v>
      </c>
      <c r="G207" s="265"/>
      <c r="H207" s="265"/>
      <c r="K207" s="311">
        <f>E205+E206</f>
        <v>14.879999999999999</v>
      </c>
    </row>
    <row r="208" spans="1:11" s="311" customFormat="1" hidden="1">
      <c r="A208" s="314"/>
      <c r="B208" s="296" t="s">
        <v>1012</v>
      </c>
      <c r="C208" s="299"/>
      <c r="D208" s="299"/>
      <c r="E208" s="299"/>
      <c r="F208" s="313"/>
      <c r="G208" s="265"/>
      <c r="H208" s="265"/>
    </row>
    <row r="209" spans="1:11" s="311" customFormat="1" hidden="1">
      <c r="A209" s="314"/>
      <c r="B209" s="315" t="s">
        <v>1048</v>
      </c>
      <c r="C209" s="299" t="s">
        <v>521</v>
      </c>
      <c r="D209" s="316">
        <v>23.2</v>
      </c>
      <c r="E209" s="299">
        <v>59.22</v>
      </c>
      <c r="F209" s="313">
        <f>D209*E209</f>
        <v>1373.904</v>
      </c>
      <c r="G209" s="265"/>
      <c r="H209" s="265"/>
    </row>
    <row r="210" spans="1:11" s="311" customFormat="1" hidden="1">
      <c r="A210" s="314"/>
      <c r="B210" s="315" t="s">
        <v>1049</v>
      </c>
      <c r="C210" s="299" t="s">
        <v>584</v>
      </c>
      <c r="D210" s="316">
        <v>30</v>
      </c>
      <c r="E210" s="299">
        <v>17.5</v>
      </c>
      <c r="F210" s="313">
        <f>D210*E210</f>
        <v>525</v>
      </c>
      <c r="G210" s="265"/>
      <c r="H210" s="265"/>
    </row>
    <row r="211" spans="1:11" s="311" customFormat="1" hidden="1">
      <c r="A211" s="314"/>
      <c r="B211" s="315" t="s">
        <v>1050</v>
      </c>
      <c r="C211" s="299" t="s">
        <v>524</v>
      </c>
      <c r="D211" s="316">
        <v>12</v>
      </c>
      <c r="E211" s="299">
        <v>4.9000000000000004</v>
      </c>
      <c r="F211" s="313">
        <f>D211*E211</f>
        <v>58.800000000000004</v>
      </c>
      <c r="G211" s="265"/>
      <c r="H211" s="265"/>
      <c r="I211" s="318">
        <f>F214*0.4</f>
        <v>878.26559999999995</v>
      </c>
      <c r="K211" s="318">
        <f>I211/K207</f>
        <v>59.023225806451613</v>
      </c>
    </row>
    <row r="212" spans="1:11" s="311" customFormat="1" hidden="1">
      <c r="A212" s="314"/>
      <c r="B212" s="315" t="s">
        <v>1051</v>
      </c>
      <c r="C212" s="299" t="s">
        <v>584</v>
      </c>
      <c r="D212" s="316">
        <v>12</v>
      </c>
      <c r="E212" s="299">
        <v>19.829999999999998</v>
      </c>
      <c r="F212" s="313">
        <f>D212*E212</f>
        <v>237.95999999999998</v>
      </c>
      <c r="G212" s="265"/>
      <c r="H212" s="265"/>
    </row>
    <row r="213" spans="1:11" s="311" customFormat="1" hidden="1">
      <c r="A213" s="314"/>
      <c r="B213" s="315"/>
      <c r="C213" s="299"/>
      <c r="D213" s="316"/>
      <c r="E213" s="299"/>
      <c r="F213" s="313"/>
      <c r="G213" s="265"/>
      <c r="H213" s="265"/>
    </row>
    <row r="214" spans="1:11" s="311" customFormat="1" hidden="1">
      <c r="A214" s="314"/>
      <c r="B214" s="296" t="s">
        <v>1014</v>
      </c>
      <c r="C214" s="299"/>
      <c r="D214" s="316"/>
      <c r="E214" s="299"/>
      <c r="F214" s="317">
        <f>F209+F210+F211+F212</f>
        <v>2195.6639999999998</v>
      </c>
      <c r="G214" s="265"/>
      <c r="H214" s="265"/>
    </row>
    <row r="215" spans="1:11" s="311" customFormat="1" hidden="1">
      <c r="A215" s="314"/>
      <c r="B215" s="296" t="s">
        <v>1015</v>
      </c>
      <c r="C215" s="299"/>
      <c r="D215" s="316"/>
      <c r="E215" s="299"/>
      <c r="F215" s="317">
        <f>F214+F207</f>
        <v>3088.4639999999999</v>
      </c>
      <c r="G215" s="265"/>
      <c r="H215" s="265"/>
    </row>
    <row r="216" spans="1:11" s="311" customFormat="1" hidden="1">
      <c r="A216" s="314"/>
      <c r="B216" s="296" t="s">
        <v>1052</v>
      </c>
      <c r="C216" s="299"/>
      <c r="D216" s="316"/>
      <c r="E216" s="299"/>
      <c r="F216" s="317">
        <f>F215/D209</f>
        <v>133.12344827586207</v>
      </c>
      <c r="G216" s="265"/>
      <c r="H216" s="265"/>
    </row>
    <row r="217" spans="1:11" s="311" customFormat="1" hidden="1">
      <c r="A217" s="314"/>
      <c r="B217" s="315" t="s">
        <v>1053</v>
      </c>
      <c r="C217" s="299"/>
      <c r="D217" s="316"/>
      <c r="E217" s="299"/>
      <c r="F217" s="313"/>
      <c r="G217" s="265"/>
      <c r="H217" s="265"/>
    </row>
    <row r="218" spans="1:11" s="311" customFormat="1" hidden="1">
      <c r="A218" s="314"/>
      <c r="B218" s="315" t="s">
        <v>1054</v>
      </c>
      <c r="C218" s="299"/>
      <c r="D218" s="316"/>
      <c r="E218" s="299"/>
      <c r="F218" s="313"/>
      <c r="G218" s="265"/>
      <c r="H218" s="265"/>
    </row>
    <row r="219" spans="1:11" s="311" customFormat="1" hidden="1">
      <c r="A219" s="314"/>
      <c r="B219" s="315" t="s">
        <v>1055</v>
      </c>
      <c r="C219" s="299"/>
      <c r="D219" s="316"/>
      <c r="E219" s="299"/>
      <c r="F219" s="313"/>
      <c r="G219" s="265"/>
      <c r="H219" s="265"/>
    </row>
    <row r="220" spans="1:11" s="311" customFormat="1" hidden="1">
      <c r="A220" s="314"/>
      <c r="B220" s="315" t="s">
        <v>1056</v>
      </c>
      <c r="C220" s="299"/>
      <c r="D220" s="316"/>
      <c r="E220" s="299"/>
      <c r="F220" s="313"/>
      <c r="G220" s="265"/>
      <c r="H220" s="265"/>
    </row>
    <row r="221" spans="1:11" s="311" customFormat="1" hidden="1">
      <c r="A221" s="314"/>
      <c r="B221" s="315" t="s">
        <v>1057</v>
      </c>
      <c r="C221" s="299"/>
      <c r="D221" s="316"/>
      <c r="E221" s="299"/>
      <c r="F221" s="313"/>
      <c r="G221" s="265"/>
      <c r="H221" s="265"/>
    </row>
    <row r="222" spans="1:11" s="311" customFormat="1" hidden="1">
      <c r="A222" s="314"/>
      <c r="B222" s="310" t="s">
        <v>1058</v>
      </c>
      <c r="C222" s="299"/>
      <c r="D222" s="316"/>
      <c r="E222" s="299"/>
      <c r="F222" s="313"/>
      <c r="G222" s="265"/>
      <c r="H222" s="265"/>
    </row>
    <row r="223" spans="1:11" s="311" customFormat="1" hidden="1">
      <c r="A223" s="314"/>
      <c r="B223" s="315" t="s">
        <v>1059</v>
      </c>
      <c r="C223" s="299"/>
      <c r="D223" s="316"/>
      <c r="E223" s="299"/>
      <c r="F223" s="313"/>
      <c r="G223" s="265"/>
      <c r="H223" s="265"/>
    </row>
    <row r="224" spans="1:11" s="325" customFormat="1" hidden="1">
      <c r="A224" s="319"/>
      <c r="B224" s="320"/>
      <c r="C224" s="321"/>
      <c r="D224" s="321"/>
      <c r="E224" s="321"/>
      <c r="F224" s="322"/>
      <c r="G224" s="323"/>
      <c r="H224" s="324"/>
    </row>
    <row r="225" spans="1:8" s="310" customFormat="1">
      <c r="A225" s="301"/>
      <c r="B225" s="282"/>
      <c r="C225" s="307"/>
      <c r="D225" s="307"/>
      <c r="E225" s="307"/>
      <c r="F225" s="293"/>
      <c r="G225" s="323"/>
      <c r="H225" s="324"/>
    </row>
    <row r="226" spans="1:8" s="310" customFormat="1">
      <c r="A226" s="301"/>
      <c r="B226" s="286"/>
      <c r="C226" s="307"/>
      <c r="D226" s="307"/>
      <c r="E226" s="307"/>
      <c r="F226" s="293"/>
      <c r="G226" s="323"/>
      <c r="H226" s="324"/>
    </row>
    <row r="227" spans="1:8" s="310" customFormat="1">
      <c r="A227" s="301"/>
      <c r="B227" s="282"/>
      <c r="C227" s="307"/>
      <c r="D227" s="307"/>
      <c r="E227" s="307"/>
      <c r="F227" s="293"/>
      <c r="G227" s="323"/>
      <c r="H227" s="324"/>
    </row>
    <row r="228" spans="1:8" s="310" customFormat="1">
      <c r="A228" s="301"/>
      <c r="B228" s="288"/>
      <c r="C228" s="260"/>
      <c r="D228" s="260"/>
      <c r="E228" s="260"/>
      <c r="F228" s="287"/>
      <c r="G228" s="323"/>
      <c r="H228" s="324"/>
    </row>
    <row r="229" spans="1:8" s="310" customFormat="1">
      <c r="A229" s="301"/>
      <c r="B229" s="288"/>
      <c r="C229" s="260"/>
      <c r="D229" s="260"/>
      <c r="E229" s="260"/>
      <c r="F229" s="287"/>
      <c r="G229" s="323"/>
      <c r="H229" s="324"/>
    </row>
    <row r="230" spans="1:8" s="310" customFormat="1">
      <c r="A230" s="301"/>
      <c r="B230" s="282"/>
      <c r="C230" s="307"/>
      <c r="D230" s="307"/>
      <c r="E230" s="307"/>
      <c r="F230" s="293"/>
      <c r="G230" s="323"/>
      <c r="H230" s="324"/>
    </row>
    <row r="231" spans="1:8" s="310" customFormat="1">
      <c r="A231" s="301"/>
      <c r="B231" s="282"/>
      <c r="C231" s="307"/>
      <c r="D231" s="307"/>
      <c r="E231" s="307"/>
      <c r="F231" s="293"/>
      <c r="G231" s="323"/>
      <c r="H231" s="324"/>
    </row>
    <row r="232" spans="1:8" s="310" customFormat="1">
      <c r="A232" s="301"/>
      <c r="B232" s="288"/>
      <c r="C232" s="260"/>
      <c r="D232" s="260"/>
      <c r="E232" s="303"/>
      <c r="F232" s="287"/>
      <c r="G232" s="323"/>
      <c r="H232" s="324"/>
    </row>
    <row r="233" spans="1:8" s="310" customFormat="1">
      <c r="A233" s="301"/>
      <c r="B233" s="288"/>
      <c r="C233" s="260"/>
      <c r="D233" s="260"/>
      <c r="E233" s="303"/>
      <c r="F233" s="287"/>
      <c r="G233" s="323"/>
      <c r="H233" s="324"/>
    </row>
    <row r="234" spans="1:8" s="310" customFormat="1">
      <c r="A234" s="301"/>
      <c r="B234" s="288"/>
      <c r="C234" s="307"/>
      <c r="D234" s="307"/>
      <c r="E234" s="307"/>
      <c r="F234" s="287"/>
      <c r="G234" s="323"/>
      <c r="H234" s="324"/>
    </row>
    <row r="235" spans="1:8" s="310" customFormat="1">
      <c r="A235" s="301"/>
      <c r="B235" s="282"/>
      <c r="C235" s="307"/>
      <c r="D235" s="307"/>
      <c r="E235" s="307"/>
      <c r="F235" s="293"/>
      <c r="G235" s="323"/>
      <c r="H235" s="324"/>
    </row>
    <row r="236" spans="1:8" s="310" customFormat="1">
      <c r="A236" s="301"/>
      <c r="B236" s="282"/>
      <c r="C236" s="307"/>
      <c r="D236" s="307"/>
      <c r="E236" s="307"/>
      <c r="F236" s="293"/>
      <c r="G236" s="323"/>
      <c r="H236" s="324"/>
    </row>
    <row r="237" spans="1:8" s="310" customFormat="1">
      <c r="A237" s="301"/>
      <c r="B237" s="288"/>
      <c r="C237" s="307"/>
      <c r="D237" s="307"/>
      <c r="E237" s="307"/>
      <c r="F237" s="293"/>
      <c r="G237" s="323"/>
      <c r="H237" s="324"/>
    </row>
    <row r="238" spans="1:8" s="311" customFormat="1">
      <c r="A238" s="301"/>
      <c r="B238" s="286"/>
      <c r="C238" s="307"/>
      <c r="D238" s="360"/>
      <c r="E238" s="307"/>
      <c r="F238" s="293"/>
      <c r="G238" s="265"/>
      <c r="H238" s="265"/>
    </row>
    <row r="239" spans="1:8" s="311" customFormat="1">
      <c r="A239" s="301"/>
      <c r="B239" s="282"/>
      <c r="C239" s="307"/>
      <c r="D239" s="360"/>
      <c r="E239" s="307"/>
      <c r="F239" s="293"/>
      <c r="G239" s="265"/>
      <c r="H239" s="265"/>
    </row>
    <row r="240" spans="1:8" s="311" customFormat="1">
      <c r="A240" s="302"/>
      <c r="B240" s="288"/>
      <c r="C240" s="260"/>
      <c r="D240" s="303"/>
      <c r="E240" s="260"/>
      <c r="F240" s="287"/>
      <c r="G240" s="265"/>
      <c r="H240" s="265"/>
    </row>
    <row r="241" spans="1:8" s="311" customFormat="1">
      <c r="A241" s="302"/>
      <c r="B241" s="288"/>
      <c r="C241" s="260"/>
      <c r="D241" s="303"/>
      <c r="E241" s="260"/>
      <c r="F241" s="287"/>
      <c r="G241" s="265"/>
      <c r="H241" s="265"/>
    </row>
    <row r="242" spans="1:8" s="311" customFormat="1">
      <c r="A242" s="302"/>
      <c r="B242" s="282"/>
      <c r="C242" s="260"/>
      <c r="D242" s="303"/>
      <c r="E242" s="260"/>
      <c r="F242" s="293"/>
      <c r="G242" s="265"/>
      <c r="H242" s="265"/>
    </row>
    <row r="243" spans="1:8" s="311" customFormat="1">
      <c r="A243" s="302"/>
      <c r="B243" s="282"/>
      <c r="C243" s="260"/>
      <c r="D243" s="303"/>
      <c r="E243" s="260"/>
      <c r="F243" s="287"/>
      <c r="G243" s="265"/>
      <c r="H243" s="265"/>
    </row>
    <row r="244" spans="1:8" s="311" customFormat="1">
      <c r="A244" s="302"/>
      <c r="B244" s="288"/>
      <c r="C244" s="260"/>
      <c r="D244" s="303"/>
      <c r="E244" s="260"/>
      <c r="F244" s="287"/>
      <c r="G244" s="265"/>
      <c r="H244" s="265"/>
    </row>
    <row r="245" spans="1:8" s="311" customFormat="1">
      <c r="A245" s="302"/>
      <c r="B245" s="288"/>
      <c r="C245" s="260"/>
      <c r="D245" s="303"/>
      <c r="E245" s="260"/>
      <c r="F245" s="287"/>
      <c r="G245" s="265"/>
      <c r="H245" s="265"/>
    </row>
    <row r="246" spans="1:8" s="311" customFormat="1">
      <c r="A246" s="302"/>
      <c r="B246" s="288"/>
      <c r="C246" s="260"/>
      <c r="D246" s="303"/>
      <c r="E246" s="260"/>
      <c r="F246" s="287"/>
      <c r="G246" s="265"/>
      <c r="H246" s="265"/>
    </row>
    <row r="247" spans="1:8" s="311" customFormat="1">
      <c r="A247" s="301"/>
      <c r="B247" s="282"/>
      <c r="C247" s="307"/>
      <c r="D247" s="360"/>
      <c r="E247" s="307"/>
      <c r="F247" s="293"/>
      <c r="G247" s="265"/>
      <c r="H247" s="265"/>
    </row>
    <row r="248" spans="1:8" s="311" customFormat="1">
      <c r="A248" s="301"/>
      <c r="B248" s="282"/>
      <c r="C248" s="307"/>
      <c r="D248" s="360"/>
      <c r="E248" s="307"/>
      <c r="F248" s="293"/>
      <c r="G248" s="265"/>
      <c r="H248" s="265"/>
    </row>
    <row r="287" spans="1:8" s="71" customFormat="1" hidden="1">
      <c r="A287" s="361"/>
      <c r="B287" s="362"/>
      <c r="C287" s="363"/>
      <c r="D287" s="364"/>
      <c r="E287" s="365"/>
      <c r="F287" s="366"/>
      <c r="G287" s="262"/>
      <c r="H287" s="262"/>
    </row>
    <row r="288" spans="1:8" s="71" customFormat="1" hidden="1">
      <c r="A288" s="367"/>
      <c r="B288" s="296"/>
      <c r="C288" s="368"/>
      <c r="D288" s="369"/>
      <c r="E288" s="370"/>
      <c r="F288" s="371"/>
      <c r="G288" s="262"/>
      <c r="H288" s="262"/>
    </row>
    <row r="289" spans="1:8" s="71" customFormat="1" hidden="1">
      <c r="A289" s="367"/>
      <c r="B289" s="296"/>
      <c r="C289" s="368"/>
      <c r="D289" s="369"/>
      <c r="E289" s="370"/>
      <c r="F289" s="371"/>
      <c r="G289" s="262"/>
      <c r="H289" s="262"/>
    </row>
    <row r="290" spans="1:8" s="71" customFormat="1" hidden="1">
      <c r="A290" s="367"/>
      <c r="B290" s="296"/>
      <c r="C290" s="368"/>
      <c r="D290" s="369"/>
      <c r="E290" s="370"/>
      <c r="F290" s="371"/>
      <c r="G290" s="262"/>
      <c r="H290" s="262"/>
    </row>
    <row r="291" spans="1:8" s="71" customFormat="1" hidden="1">
      <c r="A291" s="367"/>
      <c r="B291" s="296"/>
      <c r="C291" s="368"/>
      <c r="D291" s="369"/>
      <c r="E291" s="370"/>
      <c r="F291" s="371"/>
      <c r="G291" s="262"/>
      <c r="H291" s="262"/>
    </row>
    <row r="292" spans="1:8" s="71" customFormat="1" hidden="1">
      <c r="A292" s="367"/>
      <c r="B292" s="296"/>
      <c r="C292" s="368"/>
      <c r="D292" s="369"/>
      <c r="E292" s="370"/>
      <c r="F292" s="371"/>
      <c r="G292" s="262"/>
      <c r="H292" s="262"/>
    </row>
    <row r="293" spans="1:8" s="71" customFormat="1" hidden="1">
      <c r="A293" s="367"/>
      <c r="B293" s="296"/>
      <c r="C293" s="368"/>
      <c r="D293" s="369"/>
      <c r="E293" s="370"/>
      <c r="F293" s="371"/>
      <c r="G293" s="262"/>
      <c r="H293" s="262"/>
    </row>
    <row r="294" spans="1:8" s="71" customFormat="1" hidden="1">
      <c r="A294" s="367"/>
      <c r="B294" s="296"/>
      <c r="C294" s="368"/>
      <c r="D294" s="369"/>
      <c r="E294" s="370"/>
      <c r="F294" s="371"/>
      <c r="G294" s="262"/>
      <c r="H294" s="262"/>
    </row>
    <row r="295" spans="1:8" s="71" customFormat="1" hidden="1">
      <c r="A295" s="367"/>
      <c r="B295" s="296"/>
      <c r="C295" s="368"/>
      <c r="D295" s="369"/>
      <c r="E295" s="370"/>
      <c r="F295" s="371"/>
      <c r="G295" s="262"/>
      <c r="H295" s="262"/>
    </row>
    <row r="296" spans="1:8" s="71" customFormat="1" hidden="1">
      <c r="A296" s="367"/>
      <c r="B296" s="296"/>
      <c r="C296" s="276"/>
      <c r="D296" s="347"/>
      <c r="E296" s="50"/>
      <c r="F296" s="371"/>
      <c r="G296" s="262"/>
      <c r="H296" s="262"/>
    </row>
    <row r="297" spans="1:8">
      <c r="A297" s="301"/>
      <c r="B297" s="350"/>
      <c r="C297" s="260"/>
      <c r="D297" s="260"/>
      <c r="E297" s="260"/>
      <c r="F297" s="287"/>
    </row>
    <row r="298" spans="1:8">
      <c r="A298" s="302"/>
      <c r="B298" s="282"/>
      <c r="C298" s="260"/>
      <c r="D298" s="260"/>
      <c r="E298" s="260"/>
      <c r="F298" s="287"/>
    </row>
    <row r="299" spans="1:8">
      <c r="A299" s="302"/>
      <c r="B299" s="282"/>
      <c r="C299" s="288"/>
      <c r="D299" s="260"/>
      <c r="E299" s="260"/>
      <c r="F299" s="287"/>
    </row>
    <row r="300" spans="1:8">
      <c r="A300" s="302"/>
      <c r="B300" s="288"/>
      <c r="C300" s="276"/>
      <c r="D300" s="303"/>
      <c r="E300" s="260"/>
      <c r="F300" s="287"/>
    </row>
    <row r="301" spans="1:8">
      <c r="A301" s="302"/>
      <c r="B301" s="288"/>
      <c r="C301" s="276"/>
      <c r="D301" s="303"/>
      <c r="E301" s="260"/>
      <c r="F301" s="287"/>
    </row>
    <row r="302" spans="1:8">
      <c r="A302" s="302"/>
      <c r="B302" s="282"/>
      <c r="C302" s="260"/>
      <c r="D302" s="260"/>
      <c r="E302" s="260"/>
      <c r="F302" s="293"/>
    </row>
    <row r="303" spans="1:8">
      <c r="A303" s="302"/>
      <c r="B303" s="282"/>
      <c r="C303" s="260"/>
      <c r="D303" s="260"/>
      <c r="E303" s="260"/>
      <c r="F303" s="287"/>
    </row>
    <row r="304" spans="1:8">
      <c r="A304" s="302"/>
      <c r="B304" s="288"/>
      <c r="C304" s="276"/>
      <c r="D304" s="303"/>
      <c r="E304" s="260"/>
      <c r="F304" s="287"/>
    </row>
    <row r="305" spans="1:7">
      <c r="A305" s="302"/>
      <c r="B305" s="282"/>
      <c r="C305" s="260"/>
      <c r="D305" s="303"/>
      <c r="E305" s="260"/>
      <c r="F305" s="293"/>
    </row>
    <row r="306" spans="1:7">
      <c r="A306" s="302"/>
      <c r="B306" s="282"/>
      <c r="C306" s="260"/>
      <c r="D306" s="303"/>
      <c r="E306" s="260"/>
      <c r="F306" s="293"/>
    </row>
    <row r="307" spans="1:7">
      <c r="A307" s="302"/>
      <c r="B307" s="288"/>
      <c r="C307" s="260"/>
      <c r="D307" s="303"/>
      <c r="E307" s="260"/>
      <c r="F307" s="287"/>
    </row>
    <row r="308" spans="1:7">
      <c r="A308" s="302"/>
      <c r="B308" s="288"/>
      <c r="C308" s="260"/>
      <c r="D308" s="303"/>
      <c r="E308" s="260"/>
      <c r="F308" s="287"/>
    </row>
    <row r="309" spans="1:7">
      <c r="A309" s="302"/>
      <c r="B309" s="288"/>
      <c r="C309" s="260"/>
      <c r="D309" s="303"/>
      <c r="E309" s="260"/>
      <c r="F309" s="287"/>
      <c r="G309" s="71"/>
    </row>
    <row r="310" spans="1:7">
      <c r="A310" s="302"/>
      <c r="B310" s="288"/>
      <c r="C310" s="260"/>
      <c r="D310" s="303"/>
      <c r="E310" s="260"/>
      <c r="F310" s="287"/>
    </row>
    <row r="311" spans="1:7">
      <c r="A311" s="302"/>
      <c r="B311" s="288"/>
      <c r="C311" s="260"/>
      <c r="D311" s="303"/>
      <c r="E311" s="260"/>
      <c r="F311" s="287"/>
    </row>
    <row r="312" spans="1:7">
      <c r="A312" s="301"/>
      <c r="B312" s="350"/>
      <c r="C312" s="260"/>
      <c r="D312" s="260"/>
      <c r="E312" s="260"/>
      <c r="F312" s="287"/>
    </row>
    <row r="313" spans="1:7">
      <c r="A313" s="302"/>
      <c r="B313" s="282"/>
      <c r="C313" s="260"/>
      <c r="D313" s="260"/>
      <c r="E313" s="260"/>
      <c r="F313" s="287"/>
    </row>
    <row r="314" spans="1:7">
      <c r="A314" s="302"/>
      <c r="B314" s="282"/>
      <c r="C314" s="288"/>
      <c r="D314" s="260"/>
      <c r="E314" s="260"/>
      <c r="F314" s="287"/>
    </row>
    <row r="315" spans="1:7">
      <c r="A315" s="302"/>
      <c r="B315" s="288"/>
      <c r="C315" s="276"/>
      <c r="D315" s="303"/>
      <c r="E315" s="260"/>
      <c r="F315" s="287"/>
    </row>
    <row r="316" spans="1:7">
      <c r="A316" s="302"/>
      <c r="B316" s="288"/>
      <c r="C316" s="276"/>
      <c r="D316" s="303"/>
      <c r="E316" s="260"/>
      <c r="F316" s="287"/>
    </row>
    <row r="317" spans="1:7">
      <c r="A317" s="302"/>
      <c r="B317" s="282"/>
      <c r="C317" s="260"/>
      <c r="D317" s="260"/>
      <c r="E317" s="260"/>
      <c r="F317" s="293"/>
    </row>
    <row r="318" spans="1:7">
      <c r="A318" s="302"/>
      <c r="B318" s="282"/>
      <c r="C318" s="260"/>
      <c r="D318" s="260"/>
      <c r="E318" s="260"/>
      <c r="F318" s="287"/>
    </row>
    <row r="319" spans="1:7">
      <c r="A319" s="302"/>
      <c r="B319" s="288"/>
      <c r="C319" s="276"/>
      <c r="D319" s="303"/>
      <c r="E319" s="260"/>
      <c r="F319" s="287"/>
    </row>
    <row r="320" spans="1:7">
      <c r="A320" s="302"/>
      <c r="B320" s="282"/>
      <c r="C320" s="260"/>
      <c r="D320" s="303"/>
      <c r="E320" s="260"/>
      <c r="F320" s="293"/>
    </row>
    <row r="321" spans="1:6">
      <c r="A321" s="302"/>
      <c r="B321" s="282"/>
      <c r="C321" s="260"/>
      <c r="D321" s="303"/>
      <c r="E321" s="260"/>
      <c r="F321" s="293"/>
    </row>
    <row r="322" spans="1:6">
      <c r="A322" s="302"/>
      <c r="B322" s="288"/>
      <c r="C322" s="260"/>
      <c r="D322" s="303"/>
      <c r="E322" s="260"/>
      <c r="F322" s="287"/>
    </row>
    <row r="323" spans="1:6">
      <c r="A323" s="302"/>
      <c r="B323" s="288"/>
      <c r="C323" s="260"/>
      <c r="D323" s="303"/>
      <c r="E323" s="260"/>
      <c r="F323" s="287"/>
    </row>
    <row r="324" spans="1:6">
      <c r="A324" s="302"/>
      <c r="B324" s="288"/>
      <c r="C324" s="260"/>
      <c r="D324" s="303"/>
      <c r="E324" s="260"/>
      <c r="F324" s="287"/>
    </row>
    <row r="325" spans="1:6">
      <c r="A325" s="302"/>
      <c r="B325" s="288"/>
      <c r="C325" s="260"/>
      <c r="D325" s="303"/>
      <c r="E325" s="260"/>
      <c r="F325" s="287"/>
    </row>
    <row r="326" spans="1:6">
      <c r="A326" s="302"/>
      <c r="B326" s="288"/>
      <c r="C326" s="260"/>
      <c r="D326" s="303"/>
      <c r="E326" s="260"/>
      <c r="F326" s="287"/>
    </row>
    <row r="337" spans="1:6">
      <c r="A337" s="44"/>
      <c r="B337" s="327"/>
      <c r="C337" s="298"/>
      <c r="D337" s="298"/>
      <c r="E337" s="298"/>
      <c r="F337" s="298"/>
    </row>
    <row r="338" spans="1:6">
      <c r="A338" s="44"/>
      <c r="B338" s="298"/>
      <c r="C338" s="298"/>
      <c r="D338" s="298"/>
      <c r="E338" s="298"/>
      <c r="F338" s="298"/>
    </row>
    <row r="339" spans="1:6">
      <c r="A339" s="44"/>
      <c r="B339" s="51"/>
      <c r="C339" s="299"/>
      <c r="D339" s="298"/>
      <c r="E339" s="298"/>
      <c r="F339" s="300"/>
    </row>
    <row r="340" spans="1:6">
      <c r="A340" s="44"/>
      <c r="B340" s="51"/>
      <c r="C340" s="299"/>
      <c r="D340" s="298"/>
      <c r="E340" s="298"/>
      <c r="F340" s="300"/>
    </row>
    <row r="341" spans="1:6">
      <c r="A341" s="298"/>
      <c r="B341" s="297"/>
      <c r="C341" s="298"/>
      <c r="D341" s="298"/>
      <c r="E341" s="298"/>
      <c r="F341" s="300"/>
    </row>
  </sheetData>
  <mergeCells count="8">
    <mergeCell ref="A14:D14"/>
    <mergeCell ref="A1:F1"/>
    <mergeCell ref="A2:A3"/>
    <mergeCell ref="B2:B3"/>
    <mergeCell ref="C2:C3"/>
    <mergeCell ref="D2:D3"/>
    <mergeCell ref="E2:E3"/>
    <mergeCell ref="F2:F3"/>
  </mergeCells>
  <printOptions horizontalCentered="1"/>
  <pageMargins left="0.59015748031496096" right="0.39370078740157505" top="1.015354330708661" bottom="0.88543307086614198" header="0.72007874015748008" footer="0.59015748031496096"/>
  <pageSetup scale="61" fitToWidth="0" fitToHeight="0" pageOrder="overThenDown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87"/>
  <sheetViews>
    <sheetView view="pageBreakPreview" topLeftCell="A385" zoomScaleNormal="100" zoomScaleSheetLayoutView="100" workbookViewId="0">
      <selection activeCell="H406" sqref="H406"/>
    </sheetView>
  </sheetViews>
  <sheetFormatPr defaultColWidth="10" defaultRowHeight="13.8"/>
  <cols>
    <col min="1" max="1" width="10" style="31" customWidth="1"/>
    <col min="2" max="2" width="36.109375" style="31" customWidth="1"/>
    <col min="3" max="4" width="10" style="31" customWidth="1"/>
    <col min="5" max="5" width="10" style="206" customWidth="1"/>
    <col min="6" max="6" width="10" style="31" customWidth="1"/>
    <col min="7" max="16384" width="10" style="31"/>
  </cols>
  <sheetData>
    <row r="1" spans="1:6" s="422" customFormat="1">
      <c r="A1" s="14" t="s">
        <v>1256</v>
      </c>
      <c r="B1" s="14" t="s">
        <v>1256</v>
      </c>
      <c r="E1" s="206"/>
    </row>
    <row r="2" spans="1:6" s="422" customFormat="1">
      <c r="A2" s="14" t="s">
        <v>1255</v>
      </c>
      <c r="B2" s="14" t="s">
        <v>1255</v>
      </c>
      <c r="E2" s="206"/>
    </row>
    <row r="4" spans="1:6">
      <c r="A4" s="656" t="s">
        <v>1114</v>
      </c>
      <c r="B4" s="656"/>
      <c r="C4" s="656"/>
      <c r="D4" s="656"/>
      <c r="E4" s="656"/>
      <c r="F4" s="656"/>
    </row>
    <row r="5" spans="1:6">
      <c r="A5" s="372"/>
      <c r="B5" s="372"/>
      <c r="C5" s="372"/>
      <c r="D5" s="372"/>
      <c r="E5" s="372"/>
      <c r="F5" s="372"/>
    </row>
    <row r="6" spans="1:6">
      <c r="A6" s="656" t="s">
        <v>679</v>
      </c>
      <c r="B6" s="656"/>
      <c r="C6" s="656"/>
      <c r="D6" s="656"/>
      <c r="E6" s="656"/>
      <c r="F6" s="656"/>
    </row>
    <row r="7" spans="1:6" ht="14.4" thickBot="1">
      <c r="A7" s="372"/>
      <c r="B7" s="372"/>
      <c r="C7" s="372"/>
      <c r="D7" s="372"/>
      <c r="E7" s="372"/>
      <c r="F7" s="372"/>
    </row>
    <row r="8" spans="1:6" ht="14.4" thickBot="1">
      <c r="A8" s="373"/>
      <c r="B8" s="373"/>
      <c r="C8" s="373"/>
      <c r="D8" s="373"/>
      <c r="E8" s="373"/>
      <c r="F8" s="373"/>
    </row>
    <row r="9" spans="1:6" ht="70.5" customHeight="1">
      <c r="A9" s="374" t="s">
        <v>680</v>
      </c>
      <c r="B9" s="355" t="s">
        <v>682</v>
      </c>
      <c r="C9" s="307">
        <v>1</v>
      </c>
      <c r="D9" s="307"/>
      <c r="E9" s="307"/>
      <c r="F9" s="335"/>
    </row>
    <row r="10" spans="1:6">
      <c r="A10" s="305"/>
      <c r="B10" s="286" t="s">
        <v>1115</v>
      </c>
      <c r="C10" s="307"/>
      <c r="D10" s="307"/>
      <c r="E10" s="307"/>
      <c r="F10" s="335"/>
    </row>
    <row r="11" spans="1:6">
      <c r="A11" s="305"/>
      <c r="B11" s="282" t="s">
        <v>1025</v>
      </c>
      <c r="C11" s="307"/>
      <c r="D11" s="307"/>
      <c r="E11" s="307"/>
      <c r="F11" s="335"/>
    </row>
    <row r="12" spans="1:6">
      <c r="A12" s="305" t="s">
        <v>1116</v>
      </c>
      <c r="B12" s="288" t="s">
        <v>1117</v>
      </c>
      <c r="C12" s="260" t="s">
        <v>515</v>
      </c>
      <c r="D12" s="260">
        <v>3.5</v>
      </c>
      <c r="E12" s="260">
        <v>17</v>
      </c>
      <c r="F12" s="330">
        <f>D12*E12</f>
        <v>59.5</v>
      </c>
    </row>
    <row r="13" spans="1:6">
      <c r="A13" s="305" t="s">
        <v>1118</v>
      </c>
      <c r="B13" s="288" t="s">
        <v>1119</v>
      </c>
      <c r="C13" s="260" t="s">
        <v>515</v>
      </c>
      <c r="D13" s="260">
        <v>1.2</v>
      </c>
      <c r="E13" s="303">
        <v>12</v>
      </c>
      <c r="F13" s="330">
        <f>D13*E13</f>
        <v>14.399999999999999</v>
      </c>
    </row>
    <row r="14" spans="1:6">
      <c r="A14" s="305" t="s">
        <v>1120</v>
      </c>
      <c r="B14" s="288" t="s">
        <v>1020</v>
      </c>
      <c r="C14" s="260" t="s">
        <v>515</v>
      </c>
      <c r="D14" s="260">
        <v>0.8</v>
      </c>
      <c r="E14" s="260">
        <v>17</v>
      </c>
      <c r="F14" s="330">
        <f>D14*E14</f>
        <v>13.600000000000001</v>
      </c>
    </row>
    <row r="15" spans="1:6">
      <c r="A15" s="305"/>
      <c r="B15" s="282" t="s">
        <v>1014</v>
      </c>
      <c r="C15" s="307"/>
      <c r="D15" s="307"/>
      <c r="E15" s="307"/>
      <c r="F15" s="335">
        <f>SUM(F12:F14)</f>
        <v>87.5</v>
      </c>
    </row>
    <row r="16" spans="1:6">
      <c r="A16" s="305"/>
      <c r="B16" s="282" t="s">
        <v>1012</v>
      </c>
      <c r="C16" s="307"/>
      <c r="D16" s="307"/>
      <c r="E16" s="307"/>
      <c r="F16" s="335"/>
    </row>
    <row r="17" spans="1:6" ht="54.75" customHeight="1">
      <c r="A17" s="375" t="s">
        <v>1121</v>
      </c>
      <c r="B17" s="45" t="s">
        <v>1122</v>
      </c>
      <c r="C17" s="307" t="s">
        <v>524</v>
      </c>
      <c r="D17" s="307">
        <v>1</v>
      </c>
      <c r="E17" s="260">
        <v>297.39999999999998</v>
      </c>
      <c r="F17" s="335">
        <v>383.71</v>
      </c>
    </row>
    <row r="18" spans="1:6" ht="41.4">
      <c r="A18" s="375" t="s">
        <v>1123</v>
      </c>
      <c r="B18" s="45" t="s">
        <v>1124</v>
      </c>
      <c r="C18" s="307" t="s">
        <v>584</v>
      </c>
      <c r="D18" s="307">
        <v>22.8</v>
      </c>
      <c r="E18" s="260">
        <v>34.619999999999997</v>
      </c>
      <c r="F18" s="335">
        <f t="shared" ref="F18:F35" si="0">(E18*D18)</f>
        <v>789.33600000000001</v>
      </c>
    </row>
    <row r="19" spans="1:6" ht="35.25" customHeight="1">
      <c r="A19" s="375">
        <v>41195</v>
      </c>
      <c r="B19" s="45" t="s">
        <v>1125</v>
      </c>
      <c r="C19" s="307" t="s">
        <v>524</v>
      </c>
      <c r="D19" s="307">
        <v>1</v>
      </c>
      <c r="E19" s="303">
        <v>470</v>
      </c>
      <c r="F19" s="335">
        <f t="shared" si="0"/>
        <v>470</v>
      </c>
    </row>
    <row r="20" spans="1:6" ht="57" customHeight="1">
      <c r="A20" s="375">
        <v>100578</v>
      </c>
      <c r="B20" s="45" t="s">
        <v>1126</v>
      </c>
      <c r="C20" s="307" t="s">
        <v>1127</v>
      </c>
      <c r="D20" s="307">
        <v>1</v>
      </c>
      <c r="E20" s="303">
        <v>415.39</v>
      </c>
      <c r="F20" s="335">
        <f t="shared" si="0"/>
        <v>415.39</v>
      </c>
    </row>
    <row r="21" spans="1:6" ht="30" customHeight="1">
      <c r="A21" s="375" t="s">
        <v>1128</v>
      </c>
      <c r="B21" s="45" t="s">
        <v>1129</v>
      </c>
      <c r="C21" s="307" t="s">
        <v>584</v>
      </c>
      <c r="D21" s="307">
        <v>5.5</v>
      </c>
      <c r="E21" s="260">
        <v>15.21</v>
      </c>
      <c r="F21" s="335">
        <f t="shared" si="0"/>
        <v>83.655000000000001</v>
      </c>
    </row>
    <row r="22" spans="1:6" ht="60" customHeight="1">
      <c r="A22" s="375" t="s">
        <v>1130</v>
      </c>
      <c r="B22" s="45" t="s">
        <v>1131</v>
      </c>
      <c r="C22" s="307" t="s">
        <v>524</v>
      </c>
      <c r="D22" s="307">
        <v>1</v>
      </c>
      <c r="E22" s="260">
        <v>12.73</v>
      </c>
      <c r="F22" s="335">
        <f t="shared" si="0"/>
        <v>12.73</v>
      </c>
    </row>
    <row r="23" spans="1:6" ht="33.75" customHeight="1">
      <c r="A23" s="375" t="s">
        <v>1132</v>
      </c>
      <c r="B23" s="45" t="s">
        <v>1133</v>
      </c>
      <c r="C23" s="307" t="s">
        <v>524</v>
      </c>
      <c r="D23" s="307">
        <v>5</v>
      </c>
      <c r="E23" s="260">
        <v>4.55</v>
      </c>
      <c r="F23" s="335">
        <f t="shared" si="0"/>
        <v>22.75</v>
      </c>
    </row>
    <row r="24" spans="1:6" ht="39.75" customHeight="1">
      <c r="A24" s="375" t="s">
        <v>1134</v>
      </c>
      <c r="B24" s="45" t="s">
        <v>1135</v>
      </c>
      <c r="C24" s="307" t="s">
        <v>524</v>
      </c>
      <c r="D24" s="307">
        <v>1</v>
      </c>
      <c r="E24" s="260">
        <v>21.96</v>
      </c>
      <c r="F24" s="335">
        <f t="shared" si="0"/>
        <v>21.96</v>
      </c>
    </row>
    <row r="25" spans="1:6" ht="36" customHeight="1">
      <c r="A25" s="375" t="s">
        <v>1136</v>
      </c>
      <c r="B25" s="45" t="s">
        <v>1137</v>
      </c>
      <c r="C25" s="307" t="s">
        <v>524</v>
      </c>
      <c r="D25" s="307">
        <v>1</v>
      </c>
      <c r="E25" s="260">
        <v>5.43</v>
      </c>
      <c r="F25" s="335">
        <f t="shared" si="0"/>
        <v>5.43</v>
      </c>
    </row>
    <row r="26" spans="1:6" ht="41.4">
      <c r="A26" s="375" t="s">
        <v>1138</v>
      </c>
      <c r="B26" s="45" t="s">
        <v>1139</v>
      </c>
      <c r="C26" s="307" t="s">
        <v>524</v>
      </c>
      <c r="D26" s="307">
        <v>2</v>
      </c>
      <c r="E26" s="303">
        <v>10.49</v>
      </c>
      <c r="F26" s="335">
        <f t="shared" si="0"/>
        <v>20.98</v>
      </c>
    </row>
    <row r="27" spans="1:6" ht="48.75" customHeight="1">
      <c r="A27" s="375" t="s">
        <v>1140</v>
      </c>
      <c r="B27" s="45" t="s">
        <v>343</v>
      </c>
      <c r="C27" s="307" t="s">
        <v>524</v>
      </c>
      <c r="D27" s="307">
        <v>2</v>
      </c>
      <c r="E27" s="303">
        <v>0.8</v>
      </c>
      <c r="F27" s="335">
        <f t="shared" si="0"/>
        <v>1.6</v>
      </c>
    </row>
    <row r="28" spans="1:6" ht="28.5" customHeight="1">
      <c r="A28" s="375" t="s">
        <v>1141</v>
      </c>
      <c r="B28" s="51" t="s">
        <v>275</v>
      </c>
      <c r="C28" s="307" t="s">
        <v>524</v>
      </c>
      <c r="D28" s="307">
        <v>1</v>
      </c>
      <c r="E28" s="260">
        <v>120.59</v>
      </c>
      <c r="F28" s="335">
        <f t="shared" si="0"/>
        <v>120.59</v>
      </c>
    </row>
    <row r="29" spans="1:6" ht="31.5" customHeight="1">
      <c r="A29" s="375" t="s">
        <v>1142</v>
      </c>
      <c r="B29" s="54" t="s">
        <v>749</v>
      </c>
      <c r="C29" s="307" t="s">
        <v>524</v>
      </c>
      <c r="D29" s="307">
        <v>3</v>
      </c>
      <c r="E29" s="260">
        <v>63.1</v>
      </c>
      <c r="F29" s="335">
        <f t="shared" si="0"/>
        <v>189.3</v>
      </c>
    </row>
    <row r="30" spans="1:6" ht="33" customHeight="1">
      <c r="A30" s="375" t="s">
        <v>1143</v>
      </c>
      <c r="B30" s="54" t="s">
        <v>232</v>
      </c>
      <c r="C30" s="307" t="s">
        <v>584</v>
      </c>
      <c r="D30" s="307">
        <f>(3*2.4)+1.5</f>
        <v>8.6999999999999993</v>
      </c>
      <c r="E30" s="260">
        <v>48.22</v>
      </c>
      <c r="F30" s="335">
        <f t="shared" si="0"/>
        <v>419.51399999999995</v>
      </c>
    </row>
    <row r="31" spans="1:6" ht="36.75" customHeight="1">
      <c r="A31" s="375" t="s">
        <v>1144</v>
      </c>
      <c r="B31" s="54" t="s">
        <v>1145</v>
      </c>
      <c r="C31" s="307" t="s">
        <v>524</v>
      </c>
      <c r="D31" s="307">
        <v>3</v>
      </c>
      <c r="E31" s="260">
        <v>5.07</v>
      </c>
      <c r="F31" s="335">
        <f t="shared" si="0"/>
        <v>15.21</v>
      </c>
    </row>
    <row r="32" spans="1:6" ht="28.5" customHeight="1">
      <c r="A32" s="375" t="s">
        <v>1146</v>
      </c>
      <c r="B32" s="54" t="s">
        <v>1147</v>
      </c>
      <c r="C32" s="307" t="s">
        <v>584</v>
      </c>
      <c r="D32" s="307">
        <v>1.2</v>
      </c>
      <c r="E32" s="260">
        <v>1.33</v>
      </c>
      <c r="F32" s="335">
        <f t="shared" si="0"/>
        <v>1.5960000000000001</v>
      </c>
    </row>
    <row r="33" spans="1:6" ht="40.5" customHeight="1">
      <c r="A33" s="375" t="s">
        <v>1148</v>
      </c>
      <c r="B33" s="54" t="s">
        <v>1149</v>
      </c>
      <c r="C33" s="307" t="s">
        <v>524</v>
      </c>
      <c r="D33" s="307">
        <v>1</v>
      </c>
      <c r="E33" s="260">
        <v>260</v>
      </c>
      <c r="F33" s="335">
        <f t="shared" si="0"/>
        <v>260</v>
      </c>
    </row>
    <row r="34" spans="1:6" ht="36.75" customHeight="1">
      <c r="A34" s="375" t="s">
        <v>1150</v>
      </c>
      <c r="B34" s="54" t="s">
        <v>1151</v>
      </c>
      <c r="C34" s="307" t="s">
        <v>524</v>
      </c>
      <c r="D34" s="307">
        <v>3</v>
      </c>
      <c r="E34" s="260">
        <v>37.82</v>
      </c>
      <c r="F34" s="335">
        <f t="shared" si="0"/>
        <v>113.46000000000001</v>
      </c>
    </row>
    <row r="35" spans="1:6" ht="37.5" customHeight="1">
      <c r="A35" s="375" t="s">
        <v>1152</v>
      </c>
      <c r="B35" s="54" t="s">
        <v>1153</v>
      </c>
      <c r="C35" s="307" t="s">
        <v>540</v>
      </c>
      <c r="D35" s="307">
        <v>0.81599999999999995</v>
      </c>
      <c r="E35" s="260">
        <v>400</v>
      </c>
      <c r="F35" s="335">
        <f t="shared" si="0"/>
        <v>326.39999999999998</v>
      </c>
    </row>
    <row r="36" spans="1:6">
      <c r="A36" s="305"/>
      <c r="B36" s="282" t="s">
        <v>1014</v>
      </c>
      <c r="C36" s="307"/>
      <c r="D36" s="307"/>
      <c r="E36" s="307"/>
      <c r="F36" s="335">
        <f>SUM(F17:F35)</f>
        <v>3673.6110000000008</v>
      </c>
    </row>
    <row r="37" spans="1:6" ht="14.4" thickBot="1">
      <c r="A37" s="305"/>
      <c r="B37" s="282" t="s">
        <v>1015</v>
      </c>
      <c r="C37" s="307"/>
      <c r="D37" s="307"/>
      <c r="E37" s="307"/>
      <c r="F37" s="335">
        <f>F36+F15</f>
        <v>3761.1110000000008</v>
      </c>
    </row>
    <row r="38" spans="1:6" ht="14.4" thickBot="1">
      <c r="A38" s="373"/>
      <c r="B38" s="373"/>
      <c r="C38" s="373"/>
      <c r="D38" s="373"/>
      <c r="E38" s="373"/>
      <c r="F38" s="373"/>
    </row>
    <row r="39" spans="1:6" ht="68.25" customHeight="1">
      <c r="A39" s="374" t="s">
        <v>721</v>
      </c>
      <c r="B39" s="355" t="s">
        <v>722</v>
      </c>
      <c r="C39" s="307">
        <v>1</v>
      </c>
      <c r="D39" s="307"/>
      <c r="E39" s="307"/>
      <c r="F39" s="335"/>
    </row>
    <row r="40" spans="1:6">
      <c r="A40" s="305"/>
      <c r="B40" s="286" t="s">
        <v>1154</v>
      </c>
      <c r="C40" s="307"/>
      <c r="D40" s="307"/>
      <c r="E40" s="307"/>
      <c r="F40" s="335"/>
    </row>
    <row r="41" spans="1:6">
      <c r="A41" s="305"/>
      <c r="B41" s="282" t="s">
        <v>1025</v>
      </c>
      <c r="C41" s="307"/>
      <c r="D41" s="307"/>
      <c r="E41" s="307"/>
      <c r="F41" s="335"/>
    </row>
    <row r="42" spans="1:6">
      <c r="A42" s="305" t="s">
        <v>1116</v>
      </c>
      <c r="B42" s="288" t="s">
        <v>1117</v>
      </c>
      <c r="C42" s="260" t="s">
        <v>515</v>
      </c>
      <c r="D42" s="260">
        <v>0.5</v>
      </c>
      <c r="E42" s="260">
        <v>17</v>
      </c>
      <c r="F42" s="330">
        <f>D42*E42</f>
        <v>8.5</v>
      </c>
    </row>
    <row r="43" spans="1:6">
      <c r="A43" s="305" t="s">
        <v>1118</v>
      </c>
      <c r="B43" s="288" t="s">
        <v>1119</v>
      </c>
      <c r="C43" s="260" t="s">
        <v>515</v>
      </c>
      <c r="D43" s="260">
        <v>0.3</v>
      </c>
      <c r="E43" s="303">
        <v>12</v>
      </c>
      <c r="F43" s="330">
        <f>D43*E43</f>
        <v>3.5999999999999996</v>
      </c>
    </row>
    <row r="44" spans="1:6">
      <c r="A44" s="305"/>
      <c r="B44" s="282" t="s">
        <v>1014</v>
      </c>
      <c r="C44" s="307"/>
      <c r="D44" s="307"/>
      <c r="E44" s="307"/>
      <c r="F44" s="335">
        <f>SUM(F42:F43)</f>
        <v>12.1</v>
      </c>
    </row>
    <row r="45" spans="1:6">
      <c r="A45" s="305"/>
      <c r="B45" s="282" t="s">
        <v>1012</v>
      </c>
      <c r="C45" s="307"/>
      <c r="D45" s="307"/>
      <c r="E45" s="307"/>
      <c r="F45" s="335"/>
    </row>
    <row r="46" spans="1:6" ht="73.5" customHeight="1">
      <c r="A46" s="305" t="s">
        <v>1155</v>
      </c>
      <c r="B46" s="315" t="s">
        <v>1156</v>
      </c>
      <c r="C46" s="307" t="s">
        <v>524</v>
      </c>
      <c r="D46" s="360">
        <v>1</v>
      </c>
      <c r="E46" s="307">
        <v>60</v>
      </c>
      <c r="F46" s="330">
        <f>(D46*E46)</f>
        <v>60</v>
      </c>
    </row>
    <row r="47" spans="1:6" ht="33" customHeight="1">
      <c r="A47" s="305" t="s">
        <v>1157</v>
      </c>
      <c r="B47" s="315" t="s">
        <v>1158</v>
      </c>
      <c r="C47" s="260" t="s">
        <v>524</v>
      </c>
      <c r="D47" s="303">
        <v>2</v>
      </c>
      <c r="E47" s="260">
        <v>14.26</v>
      </c>
      <c r="F47" s="330">
        <f>(D47*E47)</f>
        <v>28.52</v>
      </c>
    </row>
    <row r="48" spans="1:6" ht="45.75" customHeight="1">
      <c r="A48" s="305">
        <v>21127</v>
      </c>
      <c r="B48" s="315" t="s">
        <v>217</v>
      </c>
      <c r="C48" s="260" t="s">
        <v>524</v>
      </c>
      <c r="D48" s="260">
        <v>4.2000000000000003E-2</v>
      </c>
      <c r="E48" s="303">
        <v>3.68</v>
      </c>
      <c r="F48" s="330">
        <f>(D48*E48)</f>
        <v>0.15456</v>
      </c>
    </row>
    <row r="49" spans="1:6">
      <c r="A49" s="305"/>
      <c r="B49" s="282" t="s">
        <v>1014</v>
      </c>
      <c r="C49" s="307"/>
      <c r="D49" s="307"/>
      <c r="E49" s="307"/>
      <c r="F49" s="335">
        <f>SUM(F46:F48)</f>
        <v>88.67456</v>
      </c>
    </row>
    <row r="50" spans="1:6" ht="14.4" thickBot="1">
      <c r="A50" s="305"/>
      <c r="B50" s="282" t="s">
        <v>1015</v>
      </c>
      <c r="C50" s="307"/>
      <c r="D50" s="307"/>
      <c r="E50" s="307"/>
      <c r="F50" s="335">
        <f>F49+F44</f>
        <v>100.77455999999999</v>
      </c>
    </row>
    <row r="51" spans="1:6" ht="14.4" thickBot="1">
      <c r="A51" s="373"/>
      <c r="B51" s="373"/>
      <c r="C51" s="373"/>
      <c r="D51" s="373"/>
      <c r="E51" s="373"/>
      <c r="F51" s="373"/>
    </row>
    <row r="52" spans="1:6" ht="42.75" customHeight="1">
      <c r="A52" s="374" t="s">
        <v>725</v>
      </c>
      <c r="B52" s="355" t="s">
        <v>1159</v>
      </c>
      <c r="C52" s="307">
        <v>1</v>
      </c>
      <c r="D52" s="307"/>
      <c r="E52" s="307"/>
      <c r="F52" s="335"/>
    </row>
    <row r="53" spans="1:6">
      <c r="A53" s="305"/>
      <c r="B53" s="286" t="s">
        <v>1061</v>
      </c>
      <c r="C53" s="307"/>
      <c r="D53" s="307"/>
      <c r="E53" s="307"/>
      <c r="F53" s="335"/>
    </row>
    <row r="54" spans="1:6">
      <c r="A54" s="305"/>
      <c r="B54" s="282" t="s">
        <v>1025</v>
      </c>
      <c r="C54" s="307"/>
      <c r="D54" s="307"/>
      <c r="E54" s="307"/>
      <c r="F54" s="335"/>
    </row>
    <row r="55" spans="1:6">
      <c r="A55" s="305" t="s">
        <v>1116</v>
      </c>
      <c r="B55" s="288" t="s">
        <v>1117</v>
      </c>
      <c r="C55" s="260" t="s">
        <v>515</v>
      </c>
      <c r="D55" s="260">
        <v>0.6</v>
      </c>
      <c r="E55" s="260">
        <v>17</v>
      </c>
      <c r="F55" s="330">
        <f>D55*E55</f>
        <v>10.199999999999999</v>
      </c>
    </row>
    <row r="56" spans="1:6" ht="22.5" customHeight="1">
      <c r="A56" s="305" t="s">
        <v>1118</v>
      </c>
      <c r="B56" s="288" t="s">
        <v>1119</v>
      </c>
      <c r="C56" s="260" t="s">
        <v>515</v>
      </c>
      <c r="D56" s="260">
        <v>0.4</v>
      </c>
      <c r="E56" s="303">
        <v>12</v>
      </c>
      <c r="F56" s="330">
        <f>D56*E56</f>
        <v>4.8000000000000007</v>
      </c>
    </row>
    <row r="57" spans="1:6">
      <c r="A57" s="305"/>
      <c r="B57" s="282" t="s">
        <v>1014</v>
      </c>
      <c r="C57" s="307"/>
      <c r="D57" s="307"/>
      <c r="E57" s="307"/>
      <c r="F57" s="335">
        <f>SUM(F55:F56)</f>
        <v>15</v>
      </c>
    </row>
    <row r="58" spans="1:6">
      <c r="A58" s="305"/>
      <c r="B58" s="282" t="s">
        <v>1012</v>
      </c>
      <c r="C58" s="307"/>
      <c r="D58" s="307"/>
      <c r="E58" s="307"/>
      <c r="F58" s="335"/>
    </row>
    <row r="59" spans="1:6" ht="43.5" customHeight="1">
      <c r="A59" s="305" t="s">
        <v>1160</v>
      </c>
      <c r="B59" s="315" t="s">
        <v>1161</v>
      </c>
      <c r="C59" s="260" t="s">
        <v>524</v>
      </c>
      <c r="D59" s="260">
        <v>2</v>
      </c>
      <c r="E59" s="303">
        <v>42</v>
      </c>
      <c r="F59" s="330">
        <f>(D59*E59)</f>
        <v>84</v>
      </c>
    </row>
    <row r="60" spans="1:6" ht="47.25" customHeight="1">
      <c r="A60" s="305">
        <v>21127</v>
      </c>
      <c r="B60" s="315" t="s">
        <v>217</v>
      </c>
      <c r="C60" s="260" t="s">
        <v>524</v>
      </c>
      <c r="D60" s="260">
        <v>4.2000000000000003E-2</v>
      </c>
      <c r="E60" s="303">
        <v>3.68</v>
      </c>
      <c r="F60" s="330">
        <f>(D60*E60)</f>
        <v>0.15456</v>
      </c>
    </row>
    <row r="61" spans="1:6" ht="72" customHeight="1">
      <c r="A61" s="305" t="s">
        <v>1162</v>
      </c>
      <c r="B61" s="288" t="s">
        <v>192</v>
      </c>
      <c r="C61" s="288" t="s">
        <v>524</v>
      </c>
      <c r="D61" s="376">
        <v>2</v>
      </c>
      <c r="E61" s="288">
        <v>0.2</v>
      </c>
      <c r="F61" s="288">
        <f>D61*E61</f>
        <v>0.4</v>
      </c>
    </row>
    <row r="62" spans="1:6">
      <c r="A62" s="356"/>
      <c r="B62" s="377" t="s">
        <v>1014</v>
      </c>
      <c r="C62" s="378"/>
      <c r="D62" s="378"/>
      <c r="E62" s="378"/>
      <c r="F62" s="379">
        <f>SUM(F59:F61)</f>
        <v>84.554560000000009</v>
      </c>
    </row>
    <row r="63" spans="1:6" ht="14.4" thickBot="1">
      <c r="A63" s="305"/>
      <c r="B63" s="282" t="s">
        <v>1015</v>
      </c>
      <c r="C63" s="307"/>
      <c r="D63" s="307"/>
      <c r="E63" s="307"/>
      <c r="F63" s="335">
        <f>F62+F57</f>
        <v>99.554560000000009</v>
      </c>
    </row>
    <row r="64" spans="1:6" ht="14.4" thickBot="1">
      <c r="A64" s="373"/>
      <c r="B64" s="373"/>
      <c r="C64" s="373"/>
      <c r="D64" s="373"/>
      <c r="E64" s="373"/>
      <c r="F64" s="373"/>
    </row>
    <row r="65" spans="1:6" ht="39.6">
      <c r="A65" s="374" t="s">
        <v>727</v>
      </c>
      <c r="B65" s="355" t="s">
        <v>1163</v>
      </c>
      <c r="C65" s="307">
        <v>1</v>
      </c>
      <c r="D65" s="307"/>
      <c r="E65" s="307"/>
      <c r="F65" s="335"/>
    </row>
    <row r="66" spans="1:6">
      <c r="A66" s="305"/>
      <c r="B66" s="286" t="s">
        <v>1061</v>
      </c>
      <c r="C66" s="307"/>
      <c r="D66" s="307"/>
      <c r="E66" s="307"/>
      <c r="F66" s="335"/>
    </row>
    <row r="67" spans="1:6">
      <c r="A67" s="305"/>
      <c r="B67" s="282" t="s">
        <v>1025</v>
      </c>
      <c r="C67" s="307"/>
      <c r="D67" s="307"/>
      <c r="E67" s="307"/>
      <c r="F67" s="335"/>
    </row>
    <row r="68" spans="1:6">
      <c r="A68" s="305" t="s">
        <v>1116</v>
      </c>
      <c r="B68" s="288" t="s">
        <v>1117</v>
      </c>
      <c r="C68" s="260" t="s">
        <v>515</v>
      </c>
      <c r="D68" s="260">
        <v>0.6</v>
      </c>
      <c r="E68" s="260">
        <v>17</v>
      </c>
      <c r="F68" s="330">
        <f>D68*E68</f>
        <v>10.199999999999999</v>
      </c>
    </row>
    <row r="69" spans="1:6" ht="22.5" customHeight="1">
      <c r="A69" s="305" t="s">
        <v>1118</v>
      </c>
      <c r="B69" s="288" t="s">
        <v>1119</v>
      </c>
      <c r="C69" s="260" t="s">
        <v>515</v>
      </c>
      <c r="D69" s="260">
        <v>0.4</v>
      </c>
      <c r="E69" s="303">
        <v>12</v>
      </c>
      <c r="F69" s="330">
        <f>D69*E69</f>
        <v>4.8000000000000007</v>
      </c>
    </row>
    <row r="70" spans="1:6">
      <c r="A70" s="305"/>
      <c r="B70" s="282" t="s">
        <v>1014</v>
      </c>
      <c r="C70" s="307"/>
      <c r="D70" s="307"/>
      <c r="E70" s="307"/>
      <c r="F70" s="335">
        <f>SUM(F68:F69)</f>
        <v>15</v>
      </c>
    </row>
    <row r="71" spans="1:6">
      <c r="A71" s="305"/>
      <c r="B71" s="282" t="s">
        <v>1012</v>
      </c>
      <c r="C71" s="307"/>
      <c r="D71" s="307"/>
      <c r="E71" s="307"/>
      <c r="F71" s="335"/>
    </row>
    <row r="72" spans="1:6" ht="43.5" customHeight="1">
      <c r="A72" s="305" t="s">
        <v>1160</v>
      </c>
      <c r="B72" s="315" t="s">
        <v>1161</v>
      </c>
      <c r="C72" s="260" t="s">
        <v>524</v>
      </c>
      <c r="D72" s="260">
        <v>1</v>
      </c>
      <c r="E72" s="303">
        <v>42</v>
      </c>
      <c r="F72" s="330">
        <f>(D72*E72)</f>
        <v>42</v>
      </c>
    </row>
    <row r="73" spans="1:6" ht="47.25" customHeight="1">
      <c r="A73" s="305">
        <v>21127</v>
      </c>
      <c r="B73" s="315" t="s">
        <v>217</v>
      </c>
      <c r="C73" s="260" t="s">
        <v>524</v>
      </c>
      <c r="D73" s="260">
        <v>4.2000000000000003E-2</v>
      </c>
      <c r="E73" s="303">
        <v>3.68</v>
      </c>
      <c r="F73" s="330">
        <f>(D73*E73)</f>
        <v>0.15456</v>
      </c>
    </row>
    <row r="74" spans="1:6" ht="72" customHeight="1">
      <c r="A74" s="305" t="s">
        <v>1162</v>
      </c>
      <c r="B74" s="288" t="s">
        <v>192</v>
      </c>
      <c r="C74" s="288" t="s">
        <v>524</v>
      </c>
      <c r="D74" s="376">
        <v>2</v>
      </c>
      <c r="E74" s="288">
        <v>0.2</v>
      </c>
      <c r="F74" s="288">
        <f>D74*E74</f>
        <v>0.4</v>
      </c>
    </row>
    <row r="75" spans="1:6">
      <c r="A75" s="356"/>
      <c r="B75" s="377" t="s">
        <v>1014</v>
      </c>
      <c r="C75" s="378"/>
      <c r="D75" s="378"/>
      <c r="E75" s="378"/>
      <c r="F75" s="379">
        <f>SUM(F72:F74)</f>
        <v>42.554559999999995</v>
      </c>
    </row>
    <row r="76" spans="1:6">
      <c r="A76" s="305"/>
      <c r="B76" s="282" t="s">
        <v>1015</v>
      </c>
      <c r="C76" s="307"/>
      <c r="D76" s="307"/>
      <c r="E76" s="307"/>
      <c r="F76" s="335">
        <f>F75+F70</f>
        <v>57.554559999999995</v>
      </c>
    </row>
    <row r="77" spans="1:6" ht="14.4" thickBot="1">
      <c r="A77" s="305"/>
      <c r="B77" s="299"/>
      <c r="C77" s="308"/>
      <c r="D77" s="380"/>
      <c r="E77" s="381"/>
      <c r="F77" s="382"/>
    </row>
    <row r="78" spans="1:6" ht="14.4" thickBot="1">
      <c r="A78" s="373"/>
      <c r="B78" s="373"/>
      <c r="C78" s="373"/>
      <c r="D78" s="373"/>
      <c r="E78" s="373"/>
      <c r="F78" s="373"/>
    </row>
    <row r="79" spans="1:6" ht="43.5" customHeight="1">
      <c r="A79" s="374"/>
      <c r="B79" s="54" t="s">
        <v>1164</v>
      </c>
      <c r="C79" s="307">
        <v>1</v>
      </c>
      <c r="D79" s="307"/>
      <c r="E79" s="307"/>
      <c r="F79" s="335"/>
    </row>
    <row r="80" spans="1:6">
      <c r="A80" s="305"/>
      <c r="B80" s="286" t="s">
        <v>1165</v>
      </c>
      <c r="C80" s="307"/>
      <c r="D80" s="307"/>
      <c r="E80" s="307"/>
      <c r="F80" s="335"/>
    </row>
    <row r="81" spans="1:6">
      <c r="A81" s="305"/>
      <c r="B81" s="282" t="s">
        <v>1025</v>
      </c>
      <c r="C81" s="307"/>
      <c r="D81" s="307"/>
      <c r="E81" s="307"/>
      <c r="F81" s="335"/>
    </row>
    <row r="82" spans="1:6">
      <c r="A82" s="305" t="s">
        <v>1116</v>
      </c>
      <c r="B82" s="288" t="s">
        <v>1117</v>
      </c>
      <c r="C82" s="260" t="s">
        <v>515</v>
      </c>
      <c r="D82" s="260">
        <v>1.5</v>
      </c>
      <c r="E82" s="260">
        <v>17</v>
      </c>
      <c r="F82" s="330">
        <f>D82*E82</f>
        <v>25.5</v>
      </c>
    </row>
    <row r="83" spans="1:6">
      <c r="A83" s="305" t="s">
        <v>1118</v>
      </c>
      <c r="B83" s="288" t="s">
        <v>1119</v>
      </c>
      <c r="C83" s="260" t="s">
        <v>515</v>
      </c>
      <c r="D83" s="260">
        <v>1.5</v>
      </c>
      <c r="E83" s="303">
        <v>12</v>
      </c>
      <c r="F83" s="330">
        <f>D83*E83</f>
        <v>18</v>
      </c>
    </row>
    <row r="84" spans="1:6">
      <c r="A84" s="305" t="s">
        <v>1120</v>
      </c>
      <c r="B84" s="288" t="s">
        <v>1020</v>
      </c>
      <c r="C84" s="260" t="s">
        <v>515</v>
      </c>
      <c r="D84" s="260">
        <v>4</v>
      </c>
      <c r="E84" s="260">
        <v>17</v>
      </c>
      <c r="F84" s="330">
        <f>D84*E84</f>
        <v>68</v>
      </c>
    </row>
    <row r="85" spans="1:6" ht="27.75" customHeight="1">
      <c r="A85" s="285" t="s">
        <v>1166</v>
      </c>
      <c r="B85" s="288" t="s">
        <v>1167</v>
      </c>
      <c r="C85" s="260" t="s">
        <v>515</v>
      </c>
      <c r="D85" s="260">
        <v>2</v>
      </c>
      <c r="E85" s="260">
        <v>12</v>
      </c>
      <c r="F85" s="330">
        <f>D85*E85</f>
        <v>24</v>
      </c>
    </row>
    <row r="86" spans="1:6">
      <c r="A86" s="305"/>
      <c r="B86" s="282" t="s">
        <v>1014</v>
      </c>
      <c r="C86" s="307"/>
      <c r="D86" s="307"/>
      <c r="E86" s="307"/>
      <c r="F86" s="335">
        <f>SUM(F82:F85)</f>
        <v>135.5</v>
      </c>
    </row>
    <row r="87" spans="1:6">
      <c r="A87" s="305"/>
      <c r="B87" s="282" t="s">
        <v>1012</v>
      </c>
      <c r="C87" s="307"/>
      <c r="D87" s="307"/>
      <c r="E87" s="307"/>
      <c r="F87" s="335"/>
    </row>
    <row r="88" spans="1:6" ht="36" customHeight="1">
      <c r="A88" s="44">
        <v>5050</v>
      </c>
      <c r="B88" s="54" t="s">
        <v>1168</v>
      </c>
      <c r="C88" s="307" t="s">
        <v>524</v>
      </c>
      <c r="D88" s="307">
        <v>1</v>
      </c>
      <c r="E88" s="260">
        <v>560</v>
      </c>
      <c r="F88" s="335">
        <f>(E88*D88)</f>
        <v>560</v>
      </c>
    </row>
    <row r="89" spans="1:6" ht="25.5" customHeight="1">
      <c r="A89" s="44">
        <v>2512</v>
      </c>
      <c r="B89" s="54" t="s">
        <v>1169</v>
      </c>
      <c r="C89" s="307" t="s">
        <v>524</v>
      </c>
      <c r="D89" s="307">
        <v>2</v>
      </c>
      <c r="E89" s="260">
        <v>58.55</v>
      </c>
      <c r="F89" s="335">
        <f>(E89*D89)</f>
        <v>117.1</v>
      </c>
    </row>
    <row r="90" spans="1:6" ht="36.75" customHeight="1">
      <c r="A90" s="44">
        <v>101632</v>
      </c>
      <c r="B90" s="54" t="s">
        <v>313</v>
      </c>
      <c r="C90" s="307" t="s">
        <v>524</v>
      </c>
      <c r="D90" s="307">
        <v>1</v>
      </c>
      <c r="E90" s="260">
        <v>53.94</v>
      </c>
      <c r="F90" s="335">
        <f>(E90*D90)</f>
        <v>53.94</v>
      </c>
    </row>
    <row r="91" spans="1:6" ht="38.25" customHeight="1">
      <c r="A91" s="44">
        <v>38785</v>
      </c>
      <c r="B91" s="54" t="s">
        <v>1170</v>
      </c>
      <c r="C91" s="307" t="s">
        <v>524</v>
      </c>
      <c r="D91" s="307">
        <v>2</v>
      </c>
      <c r="E91" s="260">
        <v>250</v>
      </c>
      <c r="F91" s="335">
        <f>(E91*D91)</f>
        <v>500</v>
      </c>
    </row>
    <row r="92" spans="1:6" ht="79.5" customHeight="1">
      <c r="A92" s="44" t="s">
        <v>1171</v>
      </c>
      <c r="B92" s="54" t="s">
        <v>1172</v>
      </c>
      <c r="C92" s="307" t="s">
        <v>524</v>
      </c>
      <c r="D92" s="307">
        <v>1</v>
      </c>
      <c r="E92" s="260">
        <v>120</v>
      </c>
      <c r="F92" s="335">
        <f>(E92*D92)</f>
        <v>120</v>
      </c>
    </row>
    <row r="93" spans="1:6">
      <c r="A93" s="305"/>
      <c r="B93" s="282" t="s">
        <v>1014</v>
      </c>
      <c r="C93" s="307"/>
      <c r="D93" s="307"/>
      <c r="E93" s="307"/>
      <c r="F93" s="335">
        <f>SUM(F88:F92)</f>
        <v>1351.04</v>
      </c>
    </row>
    <row r="94" spans="1:6">
      <c r="A94" s="305"/>
      <c r="B94" s="282" t="s">
        <v>1015</v>
      </c>
      <c r="C94" s="307"/>
      <c r="D94" s="307"/>
      <c r="E94" s="307"/>
      <c r="F94" s="335">
        <f>F93+F86</f>
        <v>1486.54</v>
      </c>
    </row>
    <row r="95" spans="1:6">
      <c r="A95" s="383"/>
      <c r="B95" s="384"/>
      <c r="C95" s="343"/>
      <c r="D95" s="385"/>
      <c r="E95" s="385"/>
      <c r="F95" s="386"/>
    </row>
    <row r="96" spans="1:6" ht="39" customHeight="1">
      <c r="A96" s="374"/>
      <c r="B96" s="54" t="s">
        <v>1173</v>
      </c>
      <c r="C96" s="307">
        <v>1</v>
      </c>
      <c r="D96" s="307"/>
      <c r="E96" s="307"/>
      <c r="F96" s="335"/>
    </row>
    <row r="97" spans="1:6">
      <c r="A97" s="305"/>
      <c r="B97" s="286" t="s">
        <v>1154</v>
      </c>
      <c r="C97" s="307"/>
      <c r="D97" s="307"/>
      <c r="E97" s="307"/>
      <c r="F97" s="335"/>
    </row>
    <row r="98" spans="1:6">
      <c r="A98" s="305"/>
      <c r="B98" s="282" t="s">
        <v>1025</v>
      </c>
      <c r="C98" s="307"/>
      <c r="D98" s="307"/>
      <c r="E98" s="307"/>
      <c r="F98" s="335"/>
    </row>
    <row r="99" spans="1:6">
      <c r="A99" s="305" t="s">
        <v>1174</v>
      </c>
      <c r="B99" s="288" t="s">
        <v>1117</v>
      </c>
      <c r="C99" s="260" t="s">
        <v>515</v>
      </c>
      <c r="D99" s="260">
        <v>0.60000000000000009</v>
      </c>
      <c r="E99" s="260">
        <v>17</v>
      </c>
      <c r="F99" s="330">
        <f>D99*E99</f>
        <v>10.200000000000001</v>
      </c>
    </row>
    <row r="100" spans="1:6" ht="17.25" customHeight="1">
      <c r="A100" s="305" t="s">
        <v>1175</v>
      </c>
      <c r="B100" s="288" t="s">
        <v>1119</v>
      </c>
      <c r="C100" s="260" t="s">
        <v>515</v>
      </c>
      <c r="D100" s="260">
        <v>0.60000000000000009</v>
      </c>
      <c r="E100" s="303">
        <v>12</v>
      </c>
      <c r="F100" s="330">
        <f>D100*E100</f>
        <v>7.2000000000000011</v>
      </c>
    </row>
    <row r="101" spans="1:6">
      <c r="A101" s="305" t="s">
        <v>1176</v>
      </c>
      <c r="B101" s="288" t="s">
        <v>1020</v>
      </c>
      <c r="C101" s="260" t="s">
        <v>515</v>
      </c>
      <c r="D101" s="260">
        <v>3.5</v>
      </c>
      <c r="E101" s="260">
        <v>17</v>
      </c>
      <c r="F101" s="330">
        <f>D101*E101</f>
        <v>59.5</v>
      </c>
    </row>
    <row r="102" spans="1:6" ht="22.5" customHeight="1">
      <c r="A102" s="285" t="s">
        <v>1166</v>
      </c>
      <c r="B102" s="288" t="s">
        <v>1167</v>
      </c>
      <c r="C102" s="260" t="s">
        <v>515</v>
      </c>
      <c r="D102" s="260">
        <v>3.5</v>
      </c>
      <c r="E102" s="260">
        <v>12</v>
      </c>
      <c r="F102" s="330">
        <f>D102*E102</f>
        <v>42</v>
      </c>
    </row>
    <row r="103" spans="1:6">
      <c r="A103" s="305"/>
      <c r="B103" s="282" t="s">
        <v>1014</v>
      </c>
      <c r="C103" s="307"/>
      <c r="D103" s="307"/>
      <c r="E103" s="307"/>
      <c r="F103" s="335">
        <f>SUM(F99:F102)</f>
        <v>118.9</v>
      </c>
    </row>
    <row r="104" spans="1:6">
      <c r="A104" s="305"/>
      <c r="B104" s="282" t="s">
        <v>1012</v>
      </c>
      <c r="C104" s="307"/>
      <c r="D104" s="307"/>
      <c r="E104" s="307"/>
      <c r="F104" s="335"/>
    </row>
    <row r="105" spans="1:6">
      <c r="A105" s="375"/>
      <c r="B105" s="45" t="s">
        <v>1177</v>
      </c>
      <c r="C105" s="307" t="s">
        <v>524</v>
      </c>
      <c r="D105" s="307">
        <v>1</v>
      </c>
      <c r="E105" s="260">
        <v>242.22</v>
      </c>
      <c r="F105" s="335">
        <f>(E105*D105)</f>
        <v>242.22</v>
      </c>
    </row>
    <row r="106" spans="1:6" ht="36" customHeight="1">
      <c r="A106" s="44">
        <v>91939</v>
      </c>
      <c r="B106" s="54" t="s">
        <v>308</v>
      </c>
      <c r="C106" s="307" t="s">
        <v>524</v>
      </c>
      <c r="D106" s="307">
        <v>1</v>
      </c>
      <c r="E106" s="260">
        <v>18.670000000000002</v>
      </c>
      <c r="F106" s="335">
        <f>(E106*D106)</f>
        <v>18.670000000000002</v>
      </c>
    </row>
    <row r="107" spans="1:6">
      <c r="A107" s="305"/>
      <c r="B107" s="282" t="s">
        <v>1014</v>
      </c>
      <c r="C107" s="307"/>
      <c r="D107" s="307"/>
      <c r="E107" s="307"/>
      <c r="F107" s="335">
        <f>SUM(F105:F106)</f>
        <v>260.89</v>
      </c>
    </row>
    <row r="108" spans="1:6">
      <c r="A108" s="305"/>
      <c r="B108" s="282" t="s">
        <v>1015</v>
      </c>
      <c r="C108" s="307"/>
      <c r="D108" s="307"/>
      <c r="E108" s="307"/>
      <c r="F108" s="335">
        <f>F107+F103</f>
        <v>379.78999999999996</v>
      </c>
    </row>
    <row r="109" spans="1:6" ht="14.4" thickBot="1">
      <c r="A109" s="383"/>
      <c r="B109" s="384"/>
      <c r="C109" s="343"/>
      <c r="D109" s="385"/>
      <c r="E109" s="385"/>
      <c r="F109" s="386"/>
    </row>
    <row r="110" spans="1:6" ht="14.4" thickBot="1">
      <c r="A110" s="373"/>
      <c r="B110" s="373"/>
      <c r="C110" s="373"/>
      <c r="D110" s="373"/>
      <c r="E110" s="373"/>
      <c r="F110" s="373"/>
    </row>
    <row r="111" spans="1:6" ht="39.6">
      <c r="A111" s="374" t="s">
        <v>729</v>
      </c>
      <c r="B111" s="355" t="s">
        <v>1178</v>
      </c>
      <c r="C111" s="307">
        <v>1</v>
      </c>
      <c r="D111" s="307"/>
      <c r="E111" s="307"/>
      <c r="F111" s="335"/>
    </row>
    <row r="112" spans="1:6">
      <c r="A112" s="305"/>
      <c r="B112" s="286" t="s">
        <v>1061</v>
      </c>
      <c r="C112" s="307"/>
      <c r="D112" s="307"/>
      <c r="E112" s="307"/>
      <c r="F112" s="335"/>
    </row>
    <row r="113" spans="1:6">
      <c r="A113" s="305"/>
      <c r="B113" s="282" t="s">
        <v>1025</v>
      </c>
      <c r="C113" s="307"/>
      <c r="D113" s="307"/>
      <c r="E113" s="307"/>
      <c r="F113" s="335"/>
    </row>
    <row r="114" spans="1:6">
      <c r="A114" s="305" t="s">
        <v>1116</v>
      </c>
      <c r="B114" s="288" t="s">
        <v>1117</v>
      </c>
      <c r="C114" s="260" t="s">
        <v>515</v>
      </c>
      <c r="D114" s="260">
        <v>0.4</v>
      </c>
      <c r="E114" s="260">
        <v>17</v>
      </c>
      <c r="F114" s="330">
        <f>D114*E114</f>
        <v>6.8000000000000007</v>
      </c>
    </row>
    <row r="115" spans="1:6" ht="17.25" customHeight="1">
      <c r="A115" s="305" t="s">
        <v>1118</v>
      </c>
      <c r="B115" s="288" t="s">
        <v>1119</v>
      </c>
      <c r="C115" s="260" t="s">
        <v>515</v>
      </c>
      <c r="D115" s="260">
        <v>0.6</v>
      </c>
      <c r="E115" s="303">
        <v>12</v>
      </c>
      <c r="F115" s="330">
        <f>D115*E115</f>
        <v>7.1999999999999993</v>
      </c>
    </row>
    <row r="116" spans="1:6">
      <c r="A116" s="305"/>
      <c r="B116" s="282" t="s">
        <v>1014</v>
      </c>
      <c r="C116" s="307"/>
      <c r="D116" s="307"/>
      <c r="E116" s="307"/>
      <c r="F116" s="335">
        <f>SUM(F114:F115)</f>
        <v>14</v>
      </c>
    </row>
    <row r="117" spans="1:6">
      <c r="A117" s="305"/>
      <c r="B117" s="282" t="s">
        <v>1012</v>
      </c>
      <c r="C117" s="307"/>
      <c r="D117" s="307"/>
      <c r="E117" s="307"/>
      <c r="F117" s="335"/>
    </row>
    <row r="118" spans="1:6" ht="43.5" customHeight="1">
      <c r="A118" s="305" t="s">
        <v>1160</v>
      </c>
      <c r="B118" s="315" t="s">
        <v>1161</v>
      </c>
      <c r="C118" s="260" t="s">
        <v>524</v>
      </c>
      <c r="D118" s="260">
        <v>1</v>
      </c>
      <c r="E118" s="303">
        <v>40</v>
      </c>
      <c r="F118" s="330">
        <f>(D118*E118)</f>
        <v>40</v>
      </c>
    </row>
    <row r="119" spans="1:6" ht="45" customHeight="1">
      <c r="A119" s="305">
        <v>21127</v>
      </c>
      <c r="B119" s="315" t="s">
        <v>217</v>
      </c>
      <c r="C119" s="260" t="s">
        <v>524</v>
      </c>
      <c r="D119" s="260">
        <v>4.2000000000000003E-2</v>
      </c>
      <c r="E119" s="303">
        <v>3.78</v>
      </c>
      <c r="F119" s="330">
        <f>(D119*E119)</f>
        <v>0.15876000000000001</v>
      </c>
    </row>
    <row r="120" spans="1:6" ht="72" customHeight="1">
      <c r="A120" s="305" t="s">
        <v>1162</v>
      </c>
      <c r="B120" s="288" t="s">
        <v>192</v>
      </c>
      <c r="C120" s="288" t="s">
        <v>524</v>
      </c>
      <c r="D120" s="376">
        <v>2</v>
      </c>
      <c r="E120" s="288">
        <v>0.22</v>
      </c>
      <c r="F120" s="288">
        <f>D120*E120</f>
        <v>0.44</v>
      </c>
    </row>
    <row r="121" spans="1:6">
      <c r="A121" s="356"/>
      <c r="B121" s="377" t="s">
        <v>1014</v>
      </c>
      <c r="C121" s="378"/>
      <c r="D121" s="378"/>
      <c r="E121" s="378"/>
      <c r="F121" s="379">
        <f>SUM(F118:F120)</f>
        <v>40.598759999999999</v>
      </c>
    </row>
    <row r="122" spans="1:6" ht="14.4" thickBot="1">
      <c r="A122" s="305"/>
      <c r="B122" s="282" t="s">
        <v>1015</v>
      </c>
      <c r="C122" s="307"/>
      <c r="D122" s="307"/>
      <c r="E122" s="307"/>
      <c r="F122" s="335">
        <f>F121+F116</f>
        <v>54.598759999999999</v>
      </c>
    </row>
    <row r="123" spans="1:6" ht="14.4" thickBot="1">
      <c r="A123" s="373"/>
      <c r="B123" s="373"/>
      <c r="C123" s="373"/>
      <c r="D123" s="373"/>
      <c r="E123" s="373"/>
      <c r="F123" s="373"/>
    </row>
    <row r="124" spans="1:6" ht="35.25" customHeight="1">
      <c r="A124" s="374" t="s">
        <v>744</v>
      </c>
      <c r="B124" s="51" t="s">
        <v>747</v>
      </c>
      <c r="C124" s="307">
        <v>1</v>
      </c>
      <c r="D124" s="307"/>
      <c r="E124" s="307"/>
      <c r="F124" s="335"/>
    </row>
    <row r="125" spans="1:6">
      <c r="A125" s="305"/>
      <c r="B125" s="286" t="s">
        <v>1154</v>
      </c>
      <c r="C125" s="307"/>
      <c r="D125" s="307"/>
      <c r="E125" s="307"/>
      <c r="F125" s="335"/>
    </row>
    <row r="126" spans="1:6">
      <c r="A126" s="305"/>
      <c r="B126" s="282" t="s">
        <v>1025</v>
      </c>
      <c r="C126" s="307"/>
      <c r="D126" s="307"/>
      <c r="E126" s="307"/>
      <c r="F126" s="335"/>
    </row>
    <row r="127" spans="1:6">
      <c r="A127" s="305" t="s">
        <v>1116</v>
      </c>
      <c r="B127" s="288" t="s">
        <v>1117</v>
      </c>
      <c r="C127" s="260" t="s">
        <v>515</v>
      </c>
      <c r="D127" s="260">
        <v>0.3</v>
      </c>
      <c r="E127" s="260">
        <v>17</v>
      </c>
      <c r="F127" s="330">
        <f>D127*E127</f>
        <v>5.0999999999999996</v>
      </c>
    </row>
    <row r="128" spans="1:6" ht="28.5" customHeight="1">
      <c r="A128" s="305" t="s">
        <v>1118</v>
      </c>
      <c r="B128" s="51" t="s">
        <v>218</v>
      </c>
      <c r="C128" s="260" t="s">
        <v>515</v>
      </c>
      <c r="D128" s="260">
        <v>0.15</v>
      </c>
      <c r="E128" s="303">
        <v>12</v>
      </c>
      <c r="F128" s="330">
        <f>D128*E128</f>
        <v>1.7999999999999998</v>
      </c>
    </row>
    <row r="129" spans="1:6">
      <c r="A129" s="305"/>
      <c r="B129" s="282" t="s">
        <v>1014</v>
      </c>
      <c r="C129" s="307"/>
      <c r="D129" s="307"/>
      <c r="E129" s="307"/>
      <c r="F129" s="335">
        <f>SUM(F127:F128)</f>
        <v>6.8999999999999995</v>
      </c>
    </row>
    <row r="130" spans="1:6">
      <c r="A130" s="305"/>
      <c r="B130" s="282" t="s">
        <v>1012</v>
      </c>
      <c r="C130" s="307"/>
      <c r="D130" s="307"/>
      <c r="E130" s="307"/>
      <c r="F130" s="335"/>
    </row>
    <row r="131" spans="1:6" ht="39.75" customHeight="1">
      <c r="A131" s="305" t="s">
        <v>1179</v>
      </c>
      <c r="B131" s="51" t="s">
        <v>1180</v>
      </c>
      <c r="C131" s="307"/>
      <c r="D131" s="307">
        <v>1</v>
      </c>
      <c r="E131" s="307">
        <v>100</v>
      </c>
      <c r="F131" s="335">
        <f>(D131*E131)</f>
        <v>100</v>
      </c>
    </row>
    <row r="132" spans="1:6">
      <c r="A132" s="305"/>
      <c r="B132" s="315"/>
      <c r="C132" s="260" t="s">
        <v>524</v>
      </c>
      <c r="D132" s="260">
        <v>0</v>
      </c>
      <c r="E132" s="260">
        <v>0</v>
      </c>
      <c r="F132" s="330">
        <f>(D132*E132)</f>
        <v>0</v>
      </c>
    </row>
    <row r="133" spans="1:6">
      <c r="A133" s="305"/>
      <c r="B133" s="282" t="s">
        <v>1014</v>
      </c>
      <c r="C133" s="307"/>
      <c r="D133" s="307"/>
      <c r="E133" s="307"/>
      <c r="F133" s="335">
        <f>SUM(F131:F132)</f>
        <v>100</v>
      </c>
    </row>
    <row r="134" spans="1:6">
      <c r="A134" s="305"/>
      <c r="B134" s="282" t="s">
        <v>1015</v>
      </c>
      <c r="C134" s="307"/>
      <c r="D134" s="307"/>
      <c r="E134" s="307"/>
      <c r="F134" s="335">
        <f>F133+F129</f>
        <v>106.9</v>
      </c>
    </row>
    <row r="135" spans="1:6">
      <c r="A135" s="384"/>
      <c r="B135" s="384"/>
      <c r="C135" s="384"/>
      <c r="D135" s="384"/>
      <c r="E135" s="384"/>
      <c r="F135" s="384"/>
    </row>
    <row r="136" spans="1:6" ht="39.75" customHeight="1">
      <c r="A136" s="349"/>
      <c r="B136" s="387" t="s">
        <v>1181</v>
      </c>
      <c r="C136" s="297">
        <v>1</v>
      </c>
      <c r="D136" s="297"/>
      <c r="E136" s="307"/>
      <c r="F136" s="388"/>
    </row>
    <row r="137" spans="1:6">
      <c r="A137" s="305"/>
      <c r="B137" s="389" t="s">
        <v>1154</v>
      </c>
      <c r="C137" s="297"/>
      <c r="D137" s="297"/>
      <c r="E137" s="307"/>
      <c r="F137" s="388"/>
    </row>
    <row r="138" spans="1:6">
      <c r="A138" s="305"/>
      <c r="B138" s="296" t="s">
        <v>1025</v>
      </c>
      <c r="C138" s="297"/>
      <c r="D138" s="297"/>
      <c r="E138" s="307"/>
      <c r="F138" s="388"/>
    </row>
    <row r="139" spans="1:6">
      <c r="A139" s="305" t="s">
        <v>1116</v>
      </c>
      <c r="B139" s="315" t="s">
        <v>1117</v>
      </c>
      <c r="C139" s="299" t="s">
        <v>515</v>
      </c>
      <c r="D139" s="299">
        <v>0.60000000000000009</v>
      </c>
      <c r="E139" s="260">
        <v>17</v>
      </c>
      <c r="F139" s="390">
        <f>(D139*E139)</f>
        <v>10.200000000000001</v>
      </c>
    </row>
    <row r="140" spans="1:6" ht="21.75" customHeight="1">
      <c r="A140" s="305" t="s">
        <v>1118</v>
      </c>
      <c r="B140" s="315" t="s">
        <v>1119</v>
      </c>
      <c r="C140" s="299" t="s">
        <v>515</v>
      </c>
      <c r="D140" s="299">
        <v>0.60000000000000009</v>
      </c>
      <c r="E140" s="303">
        <v>12</v>
      </c>
      <c r="F140" s="390">
        <f>(D140*E140)</f>
        <v>7.2000000000000011</v>
      </c>
    </row>
    <row r="141" spans="1:6">
      <c r="A141" s="305"/>
      <c r="B141" s="296" t="s">
        <v>1014</v>
      </c>
      <c r="C141" s="297"/>
      <c r="D141" s="297"/>
      <c r="E141" s="307"/>
      <c r="F141" s="388">
        <f>SUM(F139:F140)</f>
        <v>17.400000000000002</v>
      </c>
    </row>
    <row r="142" spans="1:6">
      <c r="A142" s="305"/>
      <c r="B142" s="296" t="s">
        <v>1012</v>
      </c>
      <c r="C142" s="297"/>
      <c r="D142" s="297"/>
      <c r="E142" s="307"/>
      <c r="F142" s="388"/>
    </row>
    <row r="143" spans="1:6" ht="29.25" customHeight="1">
      <c r="A143" s="305" t="s">
        <v>1182</v>
      </c>
      <c r="B143" s="391" t="s">
        <v>1183</v>
      </c>
      <c r="C143" s="297"/>
      <c r="D143" s="297">
        <v>1</v>
      </c>
      <c r="E143" s="307">
        <v>340</v>
      </c>
      <c r="F143" s="388">
        <f>(D143*E143)</f>
        <v>340</v>
      </c>
    </row>
    <row r="144" spans="1:6">
      <c r="A144" s="305"/>
      <c r="B144" s="315"/>
      <c r="C144" s="299" t="s">
        <v>524</v>
      </c>
      <c r="D144" s="299">
        <v>0</v>
      </c>
      <c r="E144" s="260">
        <v>0</v>
      </c>
      <c r="F144" s="390">
        <f>(D144*E144)</f>
        <v>0</v>
      </c>
    </row>
    <row r="145" spans="1:6">
      <c r="A145" s="305"/>
      <c r="B145" s="296" t="s">
        <v>1014</v>
      </c>
      <c r="C145" s="297"/>
      <c r="D145" s="297"/>
      <c r="E145" s="307"/>
      <c r="F145" s="388">
        <f>SUM(F143:F144)</f>
        <v>340</v>
      </c>
    </row>
    <row r="146" spans="1:6">
      <c r="A146" s="305"/>
      <c r="B146" s="296" t="s">
        <v>1015</v>
      </c>
      <c r="C146" s="297"/>
      <c r="D146" s="297"/>
      <c r="E146" s="307"/>
      <c r="F146" s="388">
        <f>F145+F141</f>
        <v>357.4</v>
      </c>
    </row>
    <row r="147" spans="1:6">
      <c r="A147" s="384"/>
      <c r="B147" s="384"/>
      <c r="C147" s="384"/>
      <c r="D147" s="384"/>
      <c r="E147" s="384"/>
      <c r="F147" s="384"/>
    </row>
    <row r="148" spans="1:6" ht="42" customHeight="1">
      <c r="A148" s="374"/>
      <c r="B148" s="387" t="s">
        <v>783</v>
      </c>
      <c r="C148" s="392"/>
      <c r="D148" s="393"/>
      <c r="E148" s="394"/>
      <c r="F148" s="395"/>
    </row>
    <row r="149" spans="1:6">
      <c r="A149" s="285"/>
      <c r="B149" s="286" t="s">
        <v>1011</v>
      </c>
      <c r="C149" s="276"/>
      <c r="D149" s="333"/>
      <c r="E149" s="334"/>
      <c r="F149" s="284"/>
    </row>
    <row r="150" spans="1:6">
      <c r="A150" s="285"/>
      <c r="B150" s="282" t="s">
        <v>1025</v>
      </c>
      <c r="C150" s="276"/>
      <c r="D150" s="333"/>
      <c r="E150" s="334"/>
      <c r="F150" s="284"/>
    </row>
    <row r="151" spans="1:6" ht="33" customHeight="1">
      <c r="A151" s="302" t="s">
        <v>1120</v>
      </c>
      <c r="B151" s="288" t="s">
        <v>32</v>
      </c>
      <c r="C151" s="288" t="s">
        <v>515</v>
      </c>
      <c r="D151" s="376">
        <v>0.34739999999999999</v>
      </c>
      <c r="E151" s="288">
        <v>17</v>
      </c>
      <c r="F151" s="330">
        <f>(D151*E151)</f>
        <v>5.9058000000000002</v>
      </c>
    </row>
    <row r="152" spans="1:6" ht="33.75" customHeight="1">
      <c r="A152" s="302" t="s">
        <v>1184</v>
      </c>
      <c r="B152" s="288" t="s">
        <v>22</v>
      </c>
      <c r="C152" s="288" t="s">
        <v>515</v>
      </c>
      <c r="D152" s="376">
        <v>0.2</v>
      </c>
      <c r="E152" s="288">
        <v>12</v>
      </c>
      <c r="F152" s="330">
        <f>(D152*E152)</f>
        <v>2.4000000000000004</v>
      </c>
    </row>
    <row r="153" spans="1:6">
      <c r="A153" s="285"/>
      <c r="B153" s="282" t="s">
        <v>1014</v>
      </c>
      <c r="C153" s="276"/>
      <c r="D153" s="333"/>
      <c r="E153" s="334"/>
      <c r="F153" s="335">
        <f>F151++F152</f>
        <v>8.3058000000000014</v>
      </c>
    </row>
    <row r="154" spans="1:6">
      <c r="A154" s="285"/>
      <c r="B154" s="282" t="s">
        <v>1012</v>
      </c>
      <c r="C154" s="276"/>
      <c r="D154" s="333"/>
      <c r="E154" s="334"/>
      <c r="F154" s="330"/>
    </row>
    <row r="155" spans="1:6" ht="41.25" customHeight="1">
      <c r="A155" s="285" t="s">
        <v>1185</v>
      </c>
      <c r="B155" s="288" t="s">
        <v>1186</v>
      </c>
      <c r="C155" s="276" t="s">
        <v>524</v>
      </c>
      <c r="D155" s="333">
        <v>1</v>
      </c>
      <c r="E155" s="334">
        <v>60</v>
      </c>
      <c r="F155" s="330">
        <f>(D155*E155)</f>
        <v>60</v>
      </c>
    </row>
    <row r="156" spans="1:6">
      <c r="A156" s="285"/>
      <c r="B156" s="282" t="s">
        <v>1014</v>
      </c>
      <c r="C156" s="276"/>
      <c r="D156" s="333"/>
      <c r="E156" s="334"/>
      <c r="F156" s="337">
        <f>F155</f>
        <v>60</v>
      </c>
    </row>
    <row r="157" spans="1:6">
      <c r="A157" s="285"/>
      <c r="B157" s="282" t="s">
        <v>1015</v>
      </c>
      <c r="C157" s="276"/>
      <c r="D157" s="338"/>
      <c r="E157" s="339"/>
      <c r="F157" s="335">
        <f>F156+F153</f>
        <v>68.305800000000005</v>
      </c>
    </row>
    <row r="159" spans="1:6">
      <c r="A159" s="384"/>
      <c r="B159" s="384"/>
      <c r="C159" s="384"/>
      <c r="D159" s="384"/>
      <c r="E159" s="384"/>
      <c r="F159" s="384"/>
    </row>
    <row r="160" spans="1:6" ht="41.25" customHeight="1">
      <c r="A160" s="374" t="s">
        <v>710</v>
      </c>
      <c r="B160" s="387" t="s">
        <v>711</v>
      </c>
      <c r="C160" s="282"/>
      <c r="D160" s="396"/>
      <c r="E160" s="282"/>
      <c r="F160" s="282"/>
    </row>
    <row r="161" spans="1:6">
      <c r="A161" s="301"/>
      <c r="B161" s="286" t="s">
        <v>1187</v>
      </c>
      <c r="C161" s="282"/>
      <c r="D161" s="396"/>
      <c r="E161" s="282"/>
      <c r="F161" s="282"/>
    </row>
    <row r="162" spans="1:6">
      <c r="A162" s="301"/>
      <c r="B162" s="282" t="s">
        <v>1025</v>
      </c>
      <c r="C162" s="282"/>
      <c r="D162" s="396"/>
      <c r="E162" s="282"/>
      <c r="F162" s="282"/>
    </row>
    <row r="163" spans="1:6" ht="27.6">
      <c r="A163" s="305" t="s">
        <v>1120</v>
      </c>
      <c r="B163" s="288" t="s">
        <v>32</v>
      </c>
      <c r="C163" s="260" t="s">
        <v>515</v>
      </c>
      <c r="D163" s="260">
        <v>0.35</v>
      </c>
      <c r="E163" s="288">
        <v>17</v>
      </c>
      <c r="F163" s="330">
        <f>D163*E163</f>
        <v>5.9499999999999993</v>
      </c>
    </row>
    <row r="164" spans="1:6" ht="27.6">
      <c r="A164" s="305" t="s">
        <v>1184</v>
      </c>
      <c r="B164" s="288" t="s">
        <v>22</v>
      </c>
      <c r="C164" s="260" t="s">
        <v>515</v>
      </c>
      <c r="D164" s="260">
        <v>0.2</v>
      </c>
      <c r="E164" s="288">
        <v>12</v>
      </c>
      <c r="F164" s="330">
        <f>D164*E164</f>
        <v>2.4000000000000004</v>
      </c>
    </row>
    <row r="165" spans="1:6">
      <c r="A165" s="301"/>
      <c r="B165" s="282" t="s">
        <v>1014</v>
      </c>
      <c r="C165" s="282"/>
      <c r="D165" s="396"/>
      <c r="E165" s="282"/>
      <c r="F165" s="337">
        <f>SUM(F163:F164)</f>
        <v>8.35</v>
      </c>
    </row>
    <row r="166" spans="1:6">
      <c r="A166" s="301"/>
      <c r="B166" s="282" t="s">
        <v>1012</v>
      </c>
      <c r="C166" s="282"/>
      <c r="D166" s="396"/>
      <c r="E166" s="282"/>
      <c r="F166" s="282"/>
    </row>
    <row r="167" spans="1:6" ht="77.25" customHeight="1">
      <c r="A167" s="374" t="s">
        <v>1188</v>
      </c>
      <c r="B167" s="288" t="s">
        <v>1189</v>
      </c>
      <c r="C167" s="288" t="s">
        <v>524</v>
      </c>
      <c r="D167" s="376">
        <v>1</v>
      </c>
      <c r="E167" s="288">
        <v>40</v>
      </c>
      <c r="F167" s="288">
        <f>(D167*E167)</f>
        <v>40</v>
      </c>
    </row>
    <row r="168" spans="1:6" ht="75.75" customHeight="1">
      <c r="A168" s="374" t="s">
        <v>1162</v>
      </c>
      <c r="B168" s="288" t="s">
        <v>192</v>
      </c>
      <c r="C168" s="288" t="s">
        <v>524</v>
      </c>
      <c r="D168" s="376">
        <v>4</v>
      </c>
      <c r="E168" s="288">
        <v>0.2</v>
      </c>
      <c r="F168" s="288">
        <f>(D168*E168)</f>
        <v>0.8</v>
      </c>
    </row>
    <row r="169" spans="1:6">
      <c r="A169" s="301"/>
      <c r="B169" s="282" t="s">
        <v>1014</v>
      </c>
      <c r="C169" s="282"/>
      <c r="D169" s="396"/>
      <c r="E169" s="282"/>
      <c r="F169" s="282">
        <f>SUM(F167:F168)</f>
        <v>40.799999999999997</v>
      </c>
    </row>
    <row r="170" spans="1:6">
      <c r="A170" s="301"/>
      <c r="B170" s="282" t="s">
        <v>1015</v>
      </c>
      <c r="C170" s="282"/>
      <c r="D170" s="396"/>
      <c r="E170" s="396"/>
      <c r="F170" s="337">
        <f>F165+F169</f>
        <v>49.15</v>
      </c>
    </row>
    <row r="171" spans="1:6">
      <c r="A171" s="319"/>
      <c r="B171" s="320"/>
      <c r="C171" s="320"/>
      <c r="D171" s="397"/>
      <c r="E171" s="397"/>
      <c r="F171" s="320"/>
    </row>
    <row r="172" spans="1:6" ht="36.75" customHeight="1">
      <c r="A172" s="301" t="s">
        <v>731</v>
      </c>
      <c r="B172" s="387" t="s">
        <v>732</v>
      </c>
      <c r="C172" s="288"/>
      <c r="D172" s="288"/>
      <c r="E172" s="282"/>
      <c r="F172" s="282"/>
    </row>
    <row r="173" spans="1:6">
      <c r="A173" s="301"/>
      <c r="B173" s="286" t="s">
        <v>1187</v>
      </c>
      <c r="C173" s="282"/>
      <c r="D173" s="396"/>
      <c r="E173" s="282"/>
      <c r="F173" s="282"/>
    </row>
    <row r="174" spans="1:6" ht="19.5" customHeight="1">
      <c r="A174" s="301"/>
      <c r="B174" s="282" t="s">
        <v>1025</v>
      </c>
      <c r="C174" s="282"/>
      <c r="D174" s="396"/>
      <c r="E174" s="282"/>
      <c r="F174" s="282"/>
    </row>
    <row r="175" spans="1:6" ht="35.25" customHeight="1">
      <c r="A175" s="301" t="s">
        <v>1116</v>
      </c>
      <c r="B175" s="288" t="s">
        <v>219</v>
      </c>
      <c r="C175" s="288" t="s">
        <v>515</v>
      </c>
      <c r="D175" s="376">
        <v>0.3</v>
      </c>
      <c r="E175" s="260">
        <v>17</v>
      </c>
      <c r="F175" s="376">
        <f>D175*E175</f>
        <v>5.0999999999999996</v>
      </c>
    </row>
    <row r="176" spans="1:6" ht="31.5" customHeight="1">
      <c r="A176" s="301" t="s">
        <v>1118</v>
      </c>
      <c r="B176" s="288" t="s">
        <v>218</v>
      </c>
      <c r="C176" s="288" t="s">
        <v>515</v>
      </c>
      <c r="D176" s="376">
        <v>0.3</v>
      </c>
      <c r="E176" s="303">
        <v>12</v>
      </c>
      <c r="F176" s="376">
        <f>D176*E176</f>
        <v>3.5999999999999996</v>
      </c>
    </row>
    <row r="177" spans="1:6">
      <c r="A177" s="301"/>
      <c r="B177" s="282" t="s">
        <v>1014</v>
      </c>
      <c r="C177" s="282"/>
      <c r="D177" s="396"/>
      <c r="E177" s="282"/>
      <c r="F177" s="396">
        <f>F176+F175</f>
        <v>8.6999999999999993</v>
      </c>
    </row>
    <row r="178" spans="1:6">
      <c r="A178" s="301"/>
      <c r="B178" s="282" t="s">
        <v>1012</v>
      </c>
      <c r="C178" s="282"/>
      <c r="D178" s="396"/>
      <c r="E178" s="282"/>
      <c r="F178" s="282"/>
    </row>
    <row r="179" spans="1:6" ht="33" customHeight="1">
      <c r="A179" s="301">
        <v>34714</v>
      </c>
      <c r="B179" s="288" t="s">
        <v>1190</v>
      </c>
      <c r="C179" s="288" t="s">
        <v>524</v>
      </c>
      <c r="D179" s="376">
        <v>1</v>
      </c>
      <c r="E179" s="288">
        <v>82.57</v>
      </c>
      <c r="F179" s="288">
        <f>D179*E179</f>
        <v>82.57</v>
      </c>
    </row>
    <row r="180" spans="1:6" ht="69">
      <c r="A180" s="301" t="s">
        <v>1191</v>
      </c>
      <c r="B180" s="288" t="s">
        <v>274</v>
      </c>
      <c r="C180" s="288" t="s">
        <v>524</v>
      </c>
      <c r="D180" s="376">
        <v>3</v>
      </c>
      <c r="E180" s="288">
        <v>2.2599999999999998</v>
      </c>
      <c r="F180" s="288">
        <f>D180*E180</f>
        <v>6.7799999999999994</v>
      </c>
    </row>
    <row r="181" spans="1:6">
      <c r="A181" s="301"/>
      <c r="B181" s="282" t="s">
        <v>1014</v>
      </c>
      <c r="C181" s="282"/>
      <c r="D181" s="396"/>
      <c r="E181" s="282"/>
      <c r="F181" s="282">
        <f>SUM(F179:F180)</f>
        <v>89.35</v>
      </c>
    </row>
    <row r="182" spans="1:6">
      <c r="A182" s="301"/>
      <c r="B182" s="282" t="s">
        <v>1015</v>
      </c>
      <c r="C182" s="282"/>
      <c r="D182" s="396"/>
      <c r="E182" s="282"/>
      <c r="F182" s="396">
        <f>F177+F181</f>
        <v>98.05</v>
      </c>
    </row>
    <row r="183" spans="1:6">
      <c r="A183" s="319"/>
      <c r="B183" s="320"/>
      <c r="C183" s="320"/>
      <c r="D183" s="397"/>
      <c r="E183" s="397"/>
      <c r="F183" s="320"/>
    </row>
    <row r="184" spans="1:6" ht="38.25" customHeight="1">
      <c r="A184" s="301" t="s">
        <v>742</v>
      </c>
      <c r="B184" s="387" t="s">
        <v>1192</v>
      </c>
      <c r="C184" s="288"/>
      <c r="D184" s="288"/>
      <c r="E184" s="282"/>
      <c r="F184" s="282"/>
    </row>
    <row r="185" spans="1:6">
      <c r="A185" s="301"/>
      <c r="B185" s="286" t="s">
        <v>1187</v>
      </c>
      <c r="C185" s="282"/>
      <c r="D185" s="396"/>
      <c r="E185" s="282"/>
      <c r="F185" s="282"/>
    </row>
    <row r="186" spans="1:6">
      <c r="A186" s="301"/>
      <c r="B186" s="282" t="s">
        <v>1025</v>
      </c>
      <c r="C186" s="282"/>
      <c r="D186" s="396"/>
      <c r="E186" s="282"/>
      <c r="F186" s="282"/>
    </row>
    <row r="187" spans="1:6" ht="27" customHeight="1">
      <c r="A187" s="301" t="s">
        <v>1116</v>
      </c>
      <c r="B187" s="288" t="s">
        <v>219</v>
      </c>
      <c r="C187" s="288" t="s">
        <v>515</v>
      </c>
      <c r="D187" s="376">
        <v>0.1</v>
      </c>
      <c r="E187" s="260">
        <v>17</v>
      </c>
      <c r="F187" s="376">
        <f>D187*E187</f>
        <v>1.7000000000000002</v>
      </c>
    </row>
    <row r="188" spans="1:6" ht="30.75" customHeight="1">
      <c r="A188" s="301" t="s">
        <v>1118</v>
      </c>
      <c r="B188" s="288" t="s">
        <v>218</v>
      </c>
      <c r="C188" s="288" t="s">
        <v>515</v>
      </c>
      <c r="D188" s="376">
        <v>0.1</v>
      </c>
      <c r="E188" s="303">
        <v>12</v>
      </c>
      <c r="F188" s="376">
        <f>D188*E188</f>
        <v>1.2000000000000002</v>
      </c>
    </row>
    <row r="189" spans="1:6">
      <c r="A189" s="301"/>
      <c r="B189" s="282" t="s">
        <v>1014</v>
      </c>
      <c r="C189" s="282"/>
      <c r="D189" s="396"/>
      <c r="E189" s="282"/>
      <c r="F189" s="396">
        <f>F188+F187</f>
        <v>2.9000000000000004</v>
      </c>
    </row>
    <row r="190" spans="1:6">
      <c r="A190" s="301"/>
      <c r="B190" s="282" t="s">
        <v>1012</v>
      </c>
      <c r="C190" s="282"/>
      <c r="D190" s="396"/>
      <c r="E190" s="282"/>
      <c r="F190" s="282"/>
    </row>
    <row r="191" spans="1:6" ht="41.25" customHeight="1">
      <c r="A191" s="301" t="s">
        <v>1193</v>
      </c>
      <c r="B191" s="288" t="s">
        <v>1194</v>
      </c>
      <c r="C191" s="288" t="s">
        <v>524</v>
      </c>
      <c r="D191" s="376">
        <v>1</v>
      </c>
      <c r="E191" s="288">
        <v>145</v>
      </c>
      <c r="F191" s="288">
        <f>D191*E191</f>
        <v>145</v>
      </c>
    </row>
    <row r="192" spans="1:6">
      <c r="A192" s="301"/>
      <c r="B192" s="282" t="s">
        <v>1014</v>
      </c>
      <c r="C192" s="282"/>
      <c r="D192" s="396"/>
      <c r="E192" s="282"/>
      <c r="F192" s="282">
        <f>SUM(F191:F191)</f>
        <v>145</v>
      </c>
    </row>
    <row r="193" spans="1:6">
      <c r="A193" s="301"/>
      <c r="B193" s="282" t="s">
        <v>1015</v>
      </c>
      <c r="C193" s="282"/>
      <c r="D193" s="396"/>
      <c r="E193" s="282"/>
      <c r="F193" s="396">
        <f>F189+F192</f>
        <v>147.9</v>
      </c>
    </row>
    <row r="194" spans="1:6">
      <c r="A194" s="418"/>
      <c r="B194" s="419"/>
      <c r="C194" s="419"/>
      <c r="D194" s="420"/>
      <c r="E194" s="419"/>
      <c r="F194" s="420"/>
    </row>
    <row r="195" spans="1:6" ht="31.2">
      <c r="A195" s="301" t="s">
        <v>744</v>
      </c>
      <c r="B195" s="387" t="str">
        <f>orcam!C165</f>
        <v>DISPOSITIVO DR, 4 POLOS, SENSIBILIDADE DE 300 MA, CORRENTE DE 63 A, TIPO AC – FORNECIMENTO E INSTALAÇÃO</v>
      </c>
      <c r="C195" s="288"/>
      <c r="D195" s="288"/>
      <c r="E195" s="282"/>
      <c r="F195" s="282"/>
    </row>
    <row r="196" spans="1:6">
      <c r="A196" s="301"/>
      <c r="B196" s="286" t="s">
        <v>1187</v>
      </c>
      <c r="C196" s="282"/>
      <c r="D196" s="396"/>
      <c r="E196" s="282"/>
      <c r="F196" s="282"/>
    </row>
    <row r="197" spans="1:6">
      <c r="A197" s="301"/>
      <c r="B197" s="282" t="s">
        <v>1025</v>
      </c>
      <c r="C197" s="282"/>
      <c r="D197" s="396"/>
      <c r="E197" s="282"/>
      <c r="F197" s="282"/>
    </row>
    <row r="198" spans="1:6" ht="27.6">
      <c r="A198" s="301" t="s">
        <v>1116</v>
      </c>
      <c r="B198" s="288" t="s">
        <v>219</v>
      </c>
      <c r="C198" s="288" t="s">
        <v>515</v>
      </c>
      <c r="D198" s="376">
        <v>0.1</v>
      </c>
      <c r="E198" s="260">
        <v>17</v>
      </c>
      <c r="F198" s="376">
        <f>D198*E198</f>
        <v>1.7000000000000002</v>
      </c>
    </row>
    <row r="199" spans="1:6" ht="27.6">
      <c r="A199" s="301" t="s">
        <v>1118</v>
      </c>
      <c r="B199" s="288" t="s">
        <v>218</v>
      </c>
      <c r="C199" s="288" t="s">
        <v>515</v>
      </c>
      <c r="D199" s="376">
        <v>0.1</v>
      </c>
      <c r="E199" s="303">
        <v>12</v>
      </c>
      <c r="F199" s="376">
        <f>D199*E199</f>
        <v>1.2000000000000002</v>
      </c>
    </row>
    <row r="200" spans="1:6">
      <c r="A200" s="301"/>
      <c r="B200" s="282" t="s">
        <v>1014</v>
      </c>
      <c r="C200" s="282"/>
      <c r="D200" s="396"/>
      <c r="E200" s="282"/>
      <c r="F200" s="396">
        <f>F199+F198</f>
        <v>2.9000000000000004</v>
      </c>
    </row>
    <row r="201" spans="1:6">
      <c r="A201" s="301"/>
      <c r="B201" s="282" t="s">
        <v>1012</v>
      </c>
      <c r="C201" s="282"/>
      <c r="D201" s="396"/>
      <c r="E201" s="282"/>
      <c r="F201" s="282"/>
    </row>
    <row r="202" spans="1:6" ht="41.4" customHeight="1">
      <c r="A202" s="301" t="s">
        <v>1252</v>
      </c>
      <c r="B202" s="421" t="str">
        <f>orcam!C165</f>
        <v>DISPOSITIVO DR, 4 POLOS, SENSIBILIDADE DE 300 MA, CORRENTE DE 63 A, TIPO AC – FORNECIMENTO E INSTALAÇÃO</v>
      </c>
      <c r="C202" s="288" t="s">
        <v>524</v>
      </c>
      <c r="D202" s="376">
        <v>1</v>
      </c>
      <c r="E202" s="288">
        <v>200</v>
      </c>
      <c r="F202" s="288">
        <f>D202*E202</f>
        <v>200</v>
      </c>
    </row>
    <row r="203" spans="1:6">
      <c r="A203" s="301"/>
      <c r="B203" s="282" t="s">
        <v>1014</v>
      </c>
      <c r="C203" s="282"/>
      <c r="D203" s="396"/>
      <c r="E203" s="282"/>
      <c r="F203" s="282">
        <f>SUM(F202:F202)</f>
        <v>200</v>
      </c>
    </row>
    <row r="204" spans="1:6">
      <c r="A204" s="301"/>
      <c r="B204" s="282" t="s">
        <v>1015</v>
      </c>
      <c r="C204" s="282"/>
      <c r="D204" s="396"/>
      <c r="E204" s="282"/>
      <c r="F204" s="396">
        <f>F200+F203</f>
        <v>202.9</v>
      </c>
    </row>
    <row r="205" spans="1:6">
      <c r="A205" s="301"/>
      <c r="B205" s="282"/>
      <c r="C205" s="282"/>
      <c r="D205" s="396"/>
      <c r="E205" s="282"/>
      <c r="F205" s="396"/>
    </row>
    <row r="206" spans="1:6">
      <c r="A206" s="301"/>
      <c r="B206" s="282"/>
      <c r="C206" s="282"/>
      <c r="D206" s="396"/>
      <c r="E206" s="282"/>
      <c r="F206" s="396"/>
    </row>
    <row r="207" spans="1:6">
      <c r="A207" s="319"/>
      <c r="B207" s="320"/>
      <c r="C207" s="320"/>
      <c r="D207" s="397"/>
      <c r="E207" s="397"/>
      <c r="F207" s="320"/>
    </row>
    <row r="208" spans="1:6" ht="39" customHeight="1">
      <c r="A208" s="301" t="s">
        <v>748</v>
      </c>
      <c r="B208" s="387" t="s">
        <v>751</v>
      </c>
      <c r="C208" s="288"/>
      <c r="D208" s="288"/>
      <c r="E208" s="282"/>
      <c r="F208" s="282"/>
    </row>
    <row r="209" spans="1:6">
      <c r="A209" s="301"/>
      <c r="B209" s="286" t="s">
        <v>1187</v>
      </c>
      <c r="C209" s="282"/>
      <c r="D209" s="396"/>
      <c r="E209" s="282"/>
      <c r="F209" s="282"/>
    </row>
    <row r="210" spans="1:6" ht="22.5" customHeight="1">
      <c r="A210" s="301"/>
      <c r="B210" s="282" t="s">
        <v>1025</v>
      </c>
      <c r="C210" s="282"/>
      <c r="D210" s="396"/>
      <c r="E210" s="282"/>
      <c r="F210" s="282"/>
    </row>
    <row r="211" spans="1:6" ht="33.75" customHeight="1">
      <c r="A211" s="302" t="s">
        <v>1116</v>
      </c>
      <c r="B211" s="288" t="s">
        <v>219</v>
      </c>
      <c r="C211" s="288" t="s">
        <v>515</v>
      </c>
      <c r="D211" s="376">
        <v>0.1</v>
      </c>
      <c r="E211" s="260">
        <v>17</v>
      </c>
      <c r="F211" s="376">
        <f>D211*E211</f>
        <v>1.7000000000000002</v>
      </c>
    </row>
    <row r="212" spans="1:6" ht="33" customHeight="1">
      <c r="A212" s="302" t="s">
        <v>1118</v>
      </c>
      <c r="B212" s="288" t="s">
        <v>218</v>
      </c>
      <c r="C212" s="288" t="s">
        <v>515</v>
      </c>
      <c r="D212" s="376">
        <v>0.1</v>
      </c>
      <c r="E212" s="303">
        <v>12</v>
      </c>
      <c r="F212" s="376">
        <f>D212*E212</f>
        <v>1.2000000000000002</v>
      </c>
    </row>
    <row r="213" spans="1:6">
      <c r="A213" s="301"/>
      <c r="B213" s="282" t="s">
        <v>1014</v>
      </c>
      <c r="C213" s="282"/>
      <c r="D213" s="396"/>
      <c r="E213" s="282"/>
      <c r="F213" s="396">
        <f>F212+F211</f>
        <v>2.9000000000000004</v>
      </c>
    </row>
    <row r="214" spans="1:6">
      <c r="A214" s="301"/>
      <c r="B214" s="282" t="s">
        <v>1012</v>
      </c>
      <c r="C214" s="282"/>
      <c r="D214" s="396"/>
      <c r="E214" s="282"/>
      <c r="F214" s="282"/>
    </row>
    <row r="215" spans="1:6" ht="45" customHeight="1">
      <c r="A215" s="301" t="s">
        <v>1195</v>
      </c>
      <c r="B215" s="288" t="s">
        <v>1196</v>
      </c>
      <c r="C215" s="288" t="s">
        <v>524</v>
      </c>
      <c r="D215" s="376">
        <v>1</v>
      </c>
      <c r="E215" s="288">
        <v>11.71</v>
      </c>
      <c r="F215" s="288">
        <f>D215*E215</f>
        <v>11.71</v>
      </c>
    </row>
    <row r="216" spans="1:6">
      <c r="A216" s="301"/>
      <c r="B216" s="282" t="s">
        <v>1014</v>
      </c>
      <c r="C216" s="282"/>
      <c r="D216" s="396"/>
      <c r="E216" s="282"/>
      <c r="F216" s="282">
        <f>SUM(F215:F215)</f>
        <v>11.71</v>
      </c>
    </row>
    <row r="217" spans="1:6">
      <c r="A217" s="301"/>
      <c r="B217" s="282" t="s">
        <v>1015</v>
      </c>
      <c r="C217" s="282"/>
      <c r="D217" s="396"/>
      <c r="E217" s="282"/>
      <c r="F217" s="396">
        <f>F213+F216</f>
        <v>14.610000000000001</v>
      </c>
    </row>
    <row r="218" spans="1:6">
      <c r="A218" s="319"/>
      <c r="B218" s="320"/>
      <c r="C218" s="320"/>
      <c r="D218" s="397"/>
      <c r="E218" s="397"/>
      <c r="F218" s="320"/>
    </row>
    <row r="219" spans="1:6" ht="53.25" customHeight="1">
      <c r="A219" s="301" t="s">
        <v>750</v>
      </c>
      <c r="B219" s="387" t="s">
        <v>753</v>
      </c>
      <c r="C219" s="288"/>
      <c r="D219" s="288"/>
      <c r="E219" s="282"/>
      <c r="F219" s="282"/>
    </row>
    <row r="220" spans="1:6">
      <c r="A220" s="301"/>
      <c r="B220" s="286" t="s">
        <v>1187</v>
      </c>
      <c r="C220" s="282"/>
      <c r="D220" s="396"/>
      <c r="E220" s="282"/>
      <c r="F220" s="282"/>
    </row>
    <row r="221" spans="1:6">
      <c r="A221" s="301"/>
      <c r="B221" s="282" t="s">
        <v>1025</v>
      </c>
      <c r="C221" s="282"/>
      <c r="D221" s="396"/>
      <c r="E221" s="282"/>
      <c r="F221" s="282"/>
    </row>
    <row r="222" spans="1:6" ht="31.5" customHeight="1">
      <c r="A222" s="302" t="s">
        <v>1116</v>
      </c>
      <c r="B222" s="288" t="s">
        <v>219</v>
      </c>
      <c r="C222" s="288" t="s">
        <v>515</v>
      </c>
      <c r="D222" s="376">
        <v>0.08</v>
      </c>
      <c r="E222" s="260">
        <v>17</v>
      </c>
      <c r="F222" s="376">
        <f>D222*E222</f>
        <v>1.36</v>
      </c>
    </row>
    <row r="223" spans="1:6" ht="37.5" customHeight="1">
      <c r="A223" s="302" t="s">
        <v>1118</v>
      </c>
      <c r="B223" s="288" t="s">
        <v>218</v>
      </c>
      <c r="C223" s="288" t="s">
        <v>515</v>
      </c>
      <c r="D223" s="376">
        <v>0.08</v>
      </c>
      <c r="E223" s="303">
        <v>12</v>
      </c>
      <c r="F223" s="376">
        <f>D223*E223</f>
        <v>0.96</v>
      </c>
    </row>
    <row r="224" spans="1:6" ht="60.75" customHeight="1">
      <c r="A224" s="301"/>
      <c r="B224" s="282" t="s">
        <v>1014</v>
      </c>
      <c r="C224" s="282"/>
      <c r="D224" s="396"/>
      <c r="E224" s="282"/>
      <c r="F224" s="396">
        <f>F223+F222</f>
        <v>2.3200000000000003</v>
      </c>
    </row>
    <row r="225" spans="1:6">
      <c r="A225" s="301"/>
      <c r="B225" s="282" t="s">
        <v>1012</v>
      </c>
      <c r="C225" s="282"/>
      <c r="D225" s="396"/>
      <c r="E225" s="282"/>
      <c r="F225" s="282"/>
    </row>
    <row r="226" spans="1:6" ht="57" customHeight="1">
      <c r="A226" s="301" t="s">
        <v>1197</v>
      </c>
      <c r="B226" s="288" t="s">
        <v>1198</v>
      </c>
      <c r="C226" s="288" t="s">
        <v>524</v>
      </c>
      <c r="D226" s="376">
        <v>1</v>
      </c>
      <c r="E226" s="288">
        <v>2.5499999999999998</v>
      </c>
      <c r="F226" s="288">
        <f>D226*E226</f>
        <v>2.5499999999999998</v>
      </c>
    </row>
    <row r="227" spans="1:6" ht="56.25" customHeight="1">
      <c r="A227" s="301"/>
      <c r="B227" s="282" t="s">
        <v>1014</v>
      </c>
      <c r="C227" s="282"/>
      <c r="D227" s="396"/>
      <c r="E227" s="282"/>
      <c r="F227" s="282">
        <f>SUM(F226:F226)</f>
        <v>2.5499999999999998</v>
      </c>
    </row>
    <row r="228" spans="1:6">
      <c r="A228" s="301"/>
      <c r="B228" s="282" t="s">
        <v>1015</v>
      </c>
      <c r="C228" s="282"/>
      <c r="D228" s="396"/>
      <c r="E228" s="282"/>
      <c r="F228" s="396">
        <f>F224+F227</f>
        <v>4.87</v>
      </c>
    </row>
    <row r="229" spans="1:6">
      <c r="A229" s="319"/>
      <c r="B229" s="320"/>
      <c r="C229" s="320"/>
      <c r="D229" s="397"/>
      <c r="E229" s="397"/>
      <c r="F229" s="320"/>
    </row>
    <row r="230" spans="1:6" ht="41.4">
      <c r="A230" s="301" t="s">
        <v>752</v>
      </c>
      <c r="B230" s="387" t="s">
        <v>755</v>
      </c>
      <c r="C230" s="288"/>
      <c r="D230" s="288"/>
      <c r="E230" s="282"/>
      <c r="F230" s="282"/>
    </row>
    <row r="231" spans="1:6">
      <c r="A231" s="301"/>
      <c r="B231" s="286" t="s">
        <v>1187</v>
      </c>
      <c r="C231" s="282"/>
      <c r="D231" s="396"/>
      <c r="E231" s="282"/>
      <c r="F231" s="282"/>
    </row>
    <row r="232" spans="1:6">
      <c r="A232" s="301"/>
      <c r="B232" s="282" t="s">
        <v>1025</v>
      </c>
      <c r="C232" s="282"/>
      <c r="D232" s="396"/>
      <c r="E232" s="282"/>
      <c r="F232" s="282"/>
    </row>
    <row r="233" spans="1:6" ht="27.6">
      <c r="A233" s="302" t="s">
        <v>1116</v>
      </c>
      <c r="B233" s="288" t="s">
        <v>219</v>
      </c>
      <c r="C233" s="288" t="s">
        <v>515</v>
      </c>
      <c r="D233" s="376">
        <v>0.08</v>
      </c>
      <c r="E233" s="260">
        <v>17</v>
      </c>
      <c r="F233" s="376">
        <f>D233*E233</f>
        <v>1.36</v>
      </c>
    </row>
    <row r="234" spans="1:6" ht="41.25" customHeight="1">
      <c r="A234" s="302" t="s">
        <v>1118</v>
      </c>
      <c r="B234" s="288" t="s">
        <v>218</v>
      </c>
      <c r="C234" s="288" t="s">
        <v>515</v>
      </c>
      <c r="D234" s="376">
        <v>0.08</v>
      </c>
      <c r="E234" s="303">
        <v>12</v>
      </c>
      <c r="F234" s="376">
        <f>D234*E234</f>
        <v>0.96</v>
      </c>
    </row>
    <row r="235" spans="1:6">
      <c r="A235" s="301"/>
      <c r="B235" s="282" t="s">
        <v>1014</v>
      </c>
      <c r="C235" s="282"/>
      <c r="D235" s="396"/>
      <c r="E235" s="282"/>
      <c r="F235" s="396">
        <f>F234+F233</f>
        <v>2.3200000000000003</v>
      </c>
    </row>
    <row r="236" spans="1:6" ht="21.75" customHeight="1">
      <c r="A236" s="301"/>
      <c r="B236" s="282" t="s">
        <v>1012</v>
      </c>
      <c r="C236" s="282"/>
      <c r="D236" s="396"/>
      <c r="E236" s="282"/>
      <c r="F236" s="282"/>
    </row>
    <row r="237" spans="1:6" ht="59.25" customHeight="1">
      <c r="A237" s="301" t="s">
        <v>1199</v>
      </c>
      <c r="B237" s="288" t="s">
        <v>277</v>
      </c>
      <c r="C237" s="288" t="s">
        <v>524</v>
      </c>
      <c r="D237" s="376">
        <v>1</v>
      </c>
      <c r="E237" s="288">
        <v>1.63</v>
      </c>
      <c r="F237" s="288">
        <f>D237*E237</f>
        <v>1.63</v>
      </c>
    </row>
    <row r="238" spans="1:6" ht="35.25" customHeight="1">
      <c r="A238" s="301"/>
      <c r="B238" s="282" t="s">
        <v>1014</v>
      </c>
      <c r="C238" s="282"/>
      <c r="D238" s="396"/>
      <c r="E238" s="282"/>
      <c r="F238" s="282">
        <f>SUM(F237:F237)</f>
        <v>1.63</v>
      </c>
    </row>
    <row r="239" spans="1:6">
      <c r="A239" s="301"/>
      <c r="B239" s="282" t="s">
        <v>1015</v>
      </c>
      <c r="C239" s="282"/>
      <c r="D239" s="396"/>
      <c r="E239" s="282"/>
      <c r="F239" s="396">
        <f>F235+F238</f>
        <v>3.95</v>
      </c>
    </row>
    <row r="240" spans="1:6">
      <c r="A240" s="319"/>
      <c r="B240" s="320"/>
      <c r="C240" s="320"/>
      <c r="D240" s="397"/>
      <c r="E240" s="397"/>
      <c r="F240" s="320"/>
    </row>
    <row r="241" spans="1:6" ht="45.75" customHeight="1">
      <c r="A241" s="301" t="s">
        <v>754</v>
      </c>
      <c r="B241" s="387" t="s">
        <v>757</v>
      </c>
      <c r="C241" s="288"/>
      <c r="D241" s="288"/>
      <c r="E241" s="282"/>
      <c r="F241" s="282"/>
    </row>
    <row r="242" spans="1:6">
      <c r="A242" s="301"/>
      <c r="B242" s="286" t="s">
        <v>1187</v>
      </c>
      <c r="C242" s="282"/>
      <c r="D242" s="396"/>
      <c r="E242" s="282"/>
      <c r="F242" s="282"/>
    </row>
    <row r="243" spans="1:6" ht="21.75" customHeight="1">
      <c r="A243" s="301"/>
      <c r="B243" s="282" t="s">
        <v>1025</v>
      </c>
      <c r="C243" s="282"/>
      <c r="D243" s="396"/>
      <c r="E243" s="282"/>
      <c r="F243" s="282"/>
    </row>
    <row r="244" spans="1:6" ht="27.6">
      <c r="A244" s="302" t="s">
        <v>1116</v>
      </c>
      <c r="B244" s="288" t="s">
        <v>219</v>
      </c>
      <c r="C244" s="288" t="s">
        <v>515</v>
      </c>
      <c r="D244" s="376">
        <v>0.05</v>
      </c>
      <c r="E244" s="260">
        <v>17</v>
      </c>
      <c r="F244" s="376">
        <f>D244*E244</f>
        <v>0.85000000000000009</v>
      </c>
    </row>
    <row r="245" spans="1:6" ht="27.6">
      <c r="A245" s="302" t="s">
        <v>1118</v>
      </c>
      <c r="B245" s="288" t="s">
        <v>218</v>
      </c>
      <c r="C245" s="288" t="s">
        <v>515</v>
      </c>
      <c r="D245" s="376">
        <v>0.05</v>
      </c>
      <c r="E245" s="303">
        <v>12</v>
      </c>
      <c r="F245" s="376">
        <f>D245*E245</f>
        <v>0.60000000000000009</v>
      </c>
    </row>
    <row r="246" spans="1:6" ht="40.5" customHeight="1">
      <c r="A246" s="301"/>
      <c r="B246" s="282" t="s">
        <v>1014</v>
      </c>
      <c r="C246" s="282"/>
      <c r="D246" s="396"/>
      <c r="E246" s="282"/>
      <c r="F246" s="396">
        <f>F245+F244</f>
        <v>1.4500000000000002</v>
      </c>
    </row>
    <row r="247" spans="1:6">
      <c r="A247" s="301"/>
      <c r="B247" s="282" t="s">
        <v>1012</v>
      </c>
      <c r="C247" s="282"/>
      <c r="D247" s="396"/>
      <c r="E247" s="282"/>
      <c r="F247" s="282"/>
    </row>
    <row r="248" spans="1:6" ht="55.2">
      <c r="A248" s="301" t="s">
        <v>1200</v>
      </c>
      <c r="B248" s="288" t="s">
        <v>284</v>
      </c>
      <c r="C248" s="288" t="s">
        <v>524</v>
      </c>
      <c r="D248" s="376">
        <v>1</v>
      </c>
      <c r="E248" s="288">
        <v>1.06</v>
      </c>
      <c r="F248" s="288">
        <f>D248*E248</f>
        <v>1.06</v>
      </c>
    </row>
    <row r="249" spans="1:6" ht="32.25" customHeight="1">
      <c r="A249" s="301"/>
      <c r="B249" s="282" t="s">
        <v>1014</v>
      </c>
      <c r="C249" s="282"/>
      <c r="D249" s="396"/>
      <c r="E249" s="282"/>
      <c r="F249" s="282">
        <f>SUM(F248:F248)</f>
        <v>1.06</v>
      </c>
    </row>
    <row r="250" spans="1:6" ht="28.5" customHeight="1">
      <c r="A250" s="301"/>
      <c r="B250" s="282" t="s">
        <v>1015</v>
      </c>
      <c r="C250" s="282"/>
      <c r="D250" s="396"/>
      <c r="E250" s="282"/>
      <c r="F250" s="396">
        <f>F246+F249</f>
        <v>2.5100000000000002</v>
      </c>
    </row>
    <row r="251" spans="1:6">
      <c r="A251" s="319"/>
      <c r="B251" s="320"/>
      <c r="C251" s="320"/>
      <c r="D251" s="397"/>
      <c r="E251" s="397"/>
      <c r="F251" s="320"/>
    </row>
    <row r="252" spans="1:6" ht="69">
      <c r="A252" s="301"/>
      <c r="B252" s="288" t="s">
        <v>1201</v>
      </c>
      <c r="C252" s="288"/>
      <c r="D252" s="288"/>
      <c r="E252" s="282"/>
      <c r="F252" s="282"/>
    </row>
    <row r="253" spans="1:6" ht="55.5" customHeight="1">
      <c r="A253" s="301"/>
      <c r="B253" s="286" t="s">
        <v>1187</v>
      </c>
      <c r="C253" s="282"/>
      <c r="D253" s="396"/>
      <c r="E253" s="282"/>
      <c r="F253" s="282"/>
    </row>
    <row r="254" spans="1:6">
      <c r="A254" s="301"/>
      <c r="B254" s="282" t="s">
        <v>1025</v>
      </c>
      <c r="C254" s="282"/>
      <c r="D254" s="396"/>
      <c r="E254" s="282"/>
      <c r="F254" s="282"/>
    </row>
    <row r="255" spans="1:6" ht="27.6">
      <c r="A255" s="302" t="s">
        <v>1120</v>
      </c>
      <c r="B255" s="288" t="s">
        <v>32</v>
      </c>
      <c r="C255" s="288" t="s">
        <v>515</v>
      </c>
      <c r="D255" s="376">
        <v>0.34739999999999999</v>
      </c>
      <c r="E255" s="288">
        <v>17</v>
      </c>
      <c r="F255" s="376">
        <f>D255*E255</f>
        <v>5.9058000000000002</v>
      </c>
    </row>
    <row r="256" spans="1:6" ht="33" customHeight="1">
      <c r="A256" s="302" t="s">
        <v>1184</v>
      </c>
      <c r="B256" s="288" t="s">
        <v>22</v>
      </c>
      <c r="C256" s="288" t="s">
        <v>515</v>
      </c>
      <c r="D256" s="376">
        <v>0.34739999999999999</v>
      </c>
      <c r="E256" s="288">
        <v>12</v>
      </c>
      <c r="F256" s="376">
        <f>D256*E256</f>
        <v>4.1688000000000001</v>
      </c>
    </row>
    <row r="257" spans="1:6" ht="55.2">
      <c r="A257" s="302" t="s">
        <v>1202</v>
      </c>
      <c r="B257" s="288" t="s">
        <v>1203</v>
      </c>
      <c r="C257" s="288" t="s">
        <v>540</v>
      </c>
      <c r="D257" s="376">
        <v>1.41E-2</v>
      </c>
      <c r="E257" s="288">
        <v>145.88</v>
      </c>
      <c r="F257" s="376">
        <f>D257*E257</f>
        <v>2.056908</v>
      </c>
    </row>
    <row r="258" spans="1:6" ht="39.75" customHeight="1">
      <c r="A258" s="302"/>
      <c r="B258" s="282" t="s">
        <v>1014</v>
      </c>
      <c r="C258" s="282"/>
      <c r="D258" s="396"/>
      <c r="E258" s="282"/>
      <c r="F258" s="396">
        <f>SUM(F255:F257)</f>
        <v>12.131508</v>
      </c>
    </row>
    <row r="259" spans="1:6">
      <c r="A259" s="302"/>
      <c r="B259" s="282" t="s">
        <v>1012</v>
      </c>
      <c r="C259" s="282"/>
      <c r="D259" s="396"/>
      <c r="E259" s="282"/>
      <c r="F259" s="282"/>
    </row>
    <row r="260" spans="1:6" ht="55.2">
      <c r="A260" s="302" t="s">
        <v>1195</v>
      </c>
      <c r="B260" s="288" t="s">
        <v>1204</v>
      </c>
      <c r="C260" s="288" t="s">
        <v>524</v>
      </c>
      <c r="D260" s="376">
        <v>1</v>
      </c>
      <c r="E260" s="288">
        <v>254.11</v>
      </c>
      <c r="F260" s="288">
        <f>D260*E260</f>
        <v>254.11</v>
      </c>
    </row>
    <row r="261" spans="1:6" ht="33.75" customHeight="1">
      <c r="A261" s="301"/>
      <c r="B261" s="282" t="s">
        <v>1014</v>
      </c>
      <c r="C261" s="282"/>
      <c r="D261" s="396"/>
      <c r="E261" s="282"/>
      <c r="F261" s="282">
        <f>SUM(F260:F260)</f>
        <v>254.11</v>
      </c>
    </row>
    <row r="262" spans="1:6" ht="35.25" customHeight="1">
      <c r="A262" s="301"/>
      <c r="B262" s="282" t="s">
        <v>1015</v>
      </c>
      <c r="C262" s="282"/>
      <c r="D262" s="396"/>
      <c r="E262" s="282"/>
      <c r="F262" s="396">
        <f>F258+F261</f>
        <v>266.24150800000001</v>
      </c>
    </row>
    <row r="263" spans="1:6">
      <c r="A263" s="384"/>
      <c r="B263" s="384"/>
      <c r="C263" s="384"/>
      <c r="D263" s="384"/>
      <c r="E263" s="384"/>
      <c r="F263" s="384"/>
    </row>
    <row r="264" spans="1:6">
      <c r="A264" s="372"/>
      <c r="B264" s="398"/>
      <c r="C264" s="398"/>
      <c r="D264" s="399"/>
      <c r="E264" s="398"/>
      <c r="F264" s="399"/>
    </row>
    <row r="265" spans="1:6" ht="42" customHeight="1">
      <c r="A265" s="657" t="s">
        <v>1205</v>
      </c>
      <c r="B265" s="657"/>
      <c r="C265" s="657"/>
      <c r="D265" s="657"/>
      <c r="E265" s="657"/>
      <c r="F265" s="657"/>
    </row>
    <row r="266" spans="1:6">
      <c r="A266" s="384"/>
      <c r="B266" s="384"/>
      <c r="C266" s="384"/>
      <c r="D266" s="384"/>
      <c r="E266" s="384"/>
      <c r="F266" s="384"/>
    </row>
    <row r="267" spans="1:6" ht="31.2">
      <c r="A267" s="374" t="s">
        <v>1206</v>
      </c>
      <c r="B267" s="387" t="s">
        <v>711</v>
      </c>
      <c r="C267" s="282"/>
      <c r="D267" s="396"/>
      <c r="E267" s="282"/>
      <c r="F267" s="282"/>
    </row>
    <row r="268" spans="1:6" ht="27" customHeight="1">
      <c r="A268" s="301"/>
      <c r="B268" s="286" t="s">
        <v>1187</v>
      </c>
      <c r="C268" s="282"/>
      <c r="D268" s="396"/>
      <c r="E268" s="282"/>
      <c r="F268" s="282"/>
    </row>
    <row r="269" spans="1:6">
      <c r="A269" s="301"/>
      <c r="B269" s="282" t="s">
        <v>1025</v>
      </c>
      <c r="C269" s="282"/>
      <c r="D269" s="396"/>
      <c r="E269" s="282"/>
      <c r="F269" s="282"/>
    </row>
    <row r="270" spans="1:6" ht="30" customHeight="1">
      <c r="A270" s="305" t="s">
        <v>1120</v>
      </c>
      <c r="B270" s="288" t="s">
        <v>32</v>
      </c>
      <c r="C270" s="260" t="s">
        <v>515</v>
      </c>
      <c r="D270" s="260">
        <v>0.35</v>
      </c>
      <c r="E270" s="260">
        <v>17</v>
      </c>
      <c r="F270" s="330">
        <f>D270*E270</f>
        <v>5.9499999999999993</v>
      </c>
    </row>
    <row r="271" spans="1:6" ht="27.6">
      <c r="A271" s="305" t="s">
        <v>1184</v>
      </c>
      <c r="B271" s="288" t="s">
        <v>22</v>
      </c>
      <c r="C271" s="260" t="s">
        <v>515</v>
      </c>
      <c r="D271" s="260">
        <v>0.2</v>
      </c>
      <c r="E271" s="303">
        <v>12</v>
      </c>
      <c r="F271" s="330">
        <f>D271*E271</f>
        <v>2.4000000000000004</v>
      </c>
    </row>
    <row r="272" spans="1:6" ht="19.5" customHeight="1">
      <c r="A272" s="301"/>
      <c r="B272" s="282" t="s">
        <v>1014</v>
      </c>
      <c r="C272" s="282"/>
      <c r="D272" s="396"/>
      <c r="E272" s="282"/>
      <c r="F272" s="337">
        <f>SUM(F270:F271)</f>
        <v>8.35</v>
      </c>
    </row>
    <row r="273" spans="1:6" ht="30.75" customHeight="1">
      <c r="A273" s="301"/>
      <c r="B273" s="282" t="s">
        <v>1012</v>
      </c>
      <c r="C273" s="282"/>
      <c r="D273" s="396"/>
      <c r="E273" s="282"/>
      <c r="F273" s="282"/>
    </row>
    <row r="274" spans="1:6" ht="77.25" customHeight="1">
      <c r="A274" s="374" t="s">
        <v>1188</v>
      </c>
      <c r="B274" s="288" t="s">
        <v>1189</v>
      </c>
      <c r="C274" s="288" t="s">
        <v>524</v>
      </c>
      <c r="D274" s="376">
        <v>1</v>
      </c>
      <c r="E274" s="288">
        <v>38.94</v>
      </c>
      <c r="F274" s="288">
        <f>(D274*E274)</f>
        <v>38.94</v>
      </c>
    </row>
    <row r="275" spans="1:6" ht="69">
      <c r="A275" s="374" t="s">
        <v>1162</v>
      </c>
      <c r="B275" s="288" t="s">
        <v>192</v>
      </c>
      <c r="C275" s="288" t="s">
        <v>524</v>
      </c>
      <c r="D275" s="376">
        <v>4</v>
      </c>
      <c r="E275" s="288">
        <v>0.2</v>
      </c>
      <c r="F275" s="288">
        <f>(D275*E275)</f>
        <v>0.8</v>
      </c>
    </row>
    <row r="276" spans="1:6">
      <c r="A276" s="301"/>
      <c r="B276" s="282" t="s">
        <v>1014</v>
      </c>
      <c r="C276" s="282"/>
      <c r="D276" s="396"/>
      <c r="E276" s="282"/>
      <c r="F276" s="282">
        <f>SUM(F274:F275)</f>
        <v>39.739999999999995</v>
      </c>
    </row>
    <row r="277" spans="1:6" ht="26.25" customHeight="1">
      <c r="A277" s="301"/>
      <c r="B277" s="282" t="s">
        <v>1015</v>
      </c>
      <c r="C277" s="282"/>
      <c r="D277" s="396"/>
      <c r="E277" s="396"/>
      <c r="F277" s="337">
        <f>F272+F276</f>
        <v>48.089999999999996</v>
      </c>
    </row>
    <row r="278" spans="1:6">
      <c r="A278" s="384"/>
      <c r="B278" s="384"/>
      <c r="C278" s="384"/>
      <c r="D278" s="384"/>
      <c r="E278" s="384"/>
      <c r="F278" s="384"/>
    </row>
    <row r="279" spans="1:6">
      <c r="A279" s="319"/>
      <c r="B279" s="320"/>
      <c r="C279" s="320"/>
      <c r="D279" s="397"/>
      <c r="E279" s="397"/>
      <c r="F279" s="320"/>
    </row>
    <row r="280" spans="1:6" ht="31.2">
      <c r="A280" s="301" t="s">
        <v>798</v>
      </c>
      <c r="B280" s="387" t="s">
        <v>1207</v>
      </c>
      <c r="C280" s="282"/>
      <c r="D280" s="396"/>
      <c r="E280" s="282"/>
      <c r="F280" s="282"/>
    </row>
    <row r="281" spans="1:6">
      <c r="A281" s="301"/>
      <c r="B281" s="286" t="s">
        <v>1187</v>
      </c>
      <c r="C281" s="282"/>
      <c r="D281" s="396"/>
      <c r="E281" s="282"/>
      <c r="F281" s="282"/>
    </row>
    <row r="282" spans="1:6">
      <c r="A282" s="301"/>
      <c r="B282" s="282" t="s">
        <v>1025</v>
      </c>
      <c r="C282" s="282"/>
      <c r="D282" s="396"/>
      <c r="E282" s="282"/>
      <c r="F282" s="282"/>
    </row>
    <row r="283" spans="1:6" ht="27.6">
      <c r="A283" s="302" t="s">
        <v>1116</v>
      </c>
      <c r="B283" s="288" t="s">
        <v>219</v>
      </c>
      <c r="C283" s="288" t="s">
        <v>515</v>
      </c>
      <c r="D283" s="376">
        <v>1.2</v>
      </c>
      <c r="E283" s="260">
        <v>17</v>
      </c>
      <c r="F283" s="376">
        <f>D283*E283</f>
        <v>20.399999999999999</v>
      </c>
    </row>
    <row r="284" spans="1:6" ht="27.6">
      <c r="A284" s="302" t="s">
        <v>1118</v>
      </c>
      <c r="B284" s="288" t="s">
        <v>218</v>
      </c>
      <c r="C284" s="288" t="s">
        <v>515</v>
      </c>
      <c r="D284" s="376">
        <v>0.8</v>
      </c>
      <c r="E284" s="303">
        <v>12</v>
      </c>
      <c r="F284" s="376">
        <f>D284*E284</f>
        <v>9.6000000000000014</v>
      </c>
    </row>
    <row r="285" spans="1:6">
      <c r="A285" s="301"/>
      <c r="B285" s="282" t="s">
        <v>1014</v>
      </c>
      <c r="C285" s="282"/>
      <c r="D285" s="396"/>
      <c r="E285" s="282"/>
      <c r="F285" s="282">
        <f>F284+F283</f>
        <v>30</v>
      </c>
    </row>
    <row r="286" spans="1:6">
      <c r="A286" s="301"/>
      <c r="B286" s="282" t="s">
        <v>1012</v>
      </c>
      <c r="C286" s="282"/>
      <c r="D286" s="396"/>
      <c r="E286" s="282"/>
      <c r="F286" s="282"/>
    </row>
    <row r="287" spans="1:6" ht="55.2">
      <c r="A287" s="302" t="s">
        <v>1208</v>
      </c>
      <c r="B287" s="288" t="s">
        <v>1209</v>
      </c>
      <c r="C287" s="288" t="s">
        <v>524</v>
      </c>
      <c r="D287" s="376">
        <v>1</v>
      </c>
      <c r="E287" s="376">
        <f>C293</f>
        <v>725.24333333333334</v>
      </c>
      <c r="F287" s="376">
        <f>D287*E287</f>
        <v>725.24333333333334</v>
      </c>
    </row>
    <row r="288" spans="1:6">
      <c r="A288" s="301"/>
      <c r="B288" s="282" t="s">
        <v>1014</v>
      </c>
      <c r="C288" s="282"/>
      <c r="D288" s="396"/>
      <c r="E288" s="282"/>
      <c r="F288" s="396">
        <f>F287</f>
        <v>725.24333333333334</v>
      </c>
    </row>
    <row r="289" spans="1:6">
      <c r="A289" s="301"/>
      <c r="B289" s="282" t="s">
        <v>1015</v>
      </c>
      <c r="C289" s="282"/>
      <c r="D289" s="396"/>
      <c r="E289" s="282"/>
      <c r="F289" s="400">
        <f>F285+F288</f>
        <v>755.24333333333334</v>
      </c>
    </row>
    <row r="290" spans="1:6" ht="22.8">
      <c r="A290" s="401">
        <v>44477</v>
      </c>
      <c r="B290" s="402" t="s">
        <v>1210</v>
      </c>
      <c r="C290" s="403">
        <v>705.87</v>
      </c>
      <c r="D290" s="404" t="s">
        <v>1211</v>
      </c>
      <c r="E290" s="405" t="s">
        <v>1212</v>
      </c>
      <c r="F290" s="403" t="s">
        <v>1213</v>
      </c>
    </row>
    <row r="291" spans="1:6" ht="22.8">
      <c r="A291" s="401">
        <v>44477</v>
      </c>
      <c r="B291" s="402" t="s">
        <v>1214</v>
      </c>
      <c r="C291" s="403">
        <v>830.86</v>
      </c>
      <c r="D291" s="404" t="s">
        <v>1215</v>
      </c>
      <c r="E291" s="406" t="s">
        <v>1216</v>
      </c>
      <c r="F291" s="407" t="s">
        <v>1217</v>
      </c>
    </row>
    <row r="292" spans="1:6" ht="22.8">
      <c r="A292" s="401">
        <v>44477</v>
      </c>
      <c r="B292" s="402" t="s">
        <v>1218</v>
      </c>
      <c r="C292" s="403">
        <v>639</v>
      </c>
      <c r="D292" s="408" t="s">
        <v>1219</v>
      </c>
      <c r="E292" s="409" t="s">
        <v>1220</v>
      </c>
      <c r="F292" s="410" t="s">
        <v>1221</v>
      </c>
    </row>
    <row r="293" spans="1:6">
      <c r="A293" s="301"/>
      <c r="B293" s="282"/>
      <c r="C293" s="396">
        <f>(SUM(C290:C292))/3</f>
        <v>725.24333333333334</v>
      </c>
      <c r="D293" s="396"/>
      <c r="E293" s="282"/>
      <c r="F293" s="396"/>
    </row>
    <row r="294" spans="1:6">
      <c r="A294" s="319"/>
      <c r="B294" s="320"/>
      <c r="C294" s="320"/>
      <c r="D294" s="397"/>
      <c r="E294" s="397"/>
      <c r="F294" s="320"/>
    </row>
    <row r="295" spans="1:6" ht="31.2">
      <c r="A295" s="301" t="s">
        <v>799</v>
      </c>
      <c r="B295" s="387" t="s">
        <v>1222</v>
      </c>
      <c r="C295" s="282"/>
      <c r="D295" s="396"/>
      <c r="E295" s="282"/>
      <c r="F295" s="282"/>
    </row>
    <row r="296" spans="1:6" ht="24" customHeight="1">
      <c r="A296" s="301"/>
      <c r="B296" s="286" t="s">
        <v>1187</v>
      </c>
      <c r="C296" s="282"/>
      <c r="D296" s="396"/>
      <c r="E296" s="282"/>
      <c r="F296" s="282"/>
    </row>
    <row r="297" spans="1:6">
      <c r="A297" s="301"/>
      <c r="B297" s="282" t="s">
        <v>1025</v>
      </c>
      <c r="C297" s="282"/>
      <c r="D297" s="396"/>
      <c r="E297" s="282"/>
      <c r="F297" s="282"/>
    </row>
    <row r="298" spans="1:6" ht="27.75" customHeight="1">
      <c r="A298" s="302" t="s">
        <v>1116</v>
      </c>
      <c r="B298" s="288" t="s">
        <v>219</v>
      </c>
      <c r="C298" s="288" t="s">
        <v>515</v>
      </c>
      <c r="D298" s="376">
        <v>0.8</v>
      </c>
      <c r="E298" s="260">
        <v>17</v>
      </c>
      <c r="F298" s="288">
        <f>D298*E298</f>
        <v>13.600000000000001</v>
      </c>
    </row>
    <row r="299" spans="1:6" ht="29.25" customHeight="1">
      <c r="A299" s="302" t="s">
        <v>1118</v>
      </c>
      <c r="B299" s="288" t="s">
        <v>218</v>
      </c>
      <c r="C299" s="288" t="s">
        <v>515</v>
      </c>
      <c r="D299" s="376">
        <v>0.8</v>
      </c>
      <c r="E299" s="303">
        <v>12</v>
      </c>
      <c r="F299" s="288">
        <f>D299*E299</f>
        <v>9.6000000000000014</v>
      </c>
    </row>
    <row r="300" spans="1:6">
      <c r="A300" s="301"/>
      <c r="B300" s="282" t="s">
        <v>1014</v>
      </c>
      <c r="C300" s="282"/>
      <c r="D300" s="396"/>
      <c r="E300" s="282"/>
      <c r="F300" s="282">
        <f>F299+F298</f>
        <v>23.200000000000003</v>
      </c>
    </row>
    <row r="301" spans="1:6">
      <c r="A301" s="301"/>
      <c r="B301" s="282" t="s">
        <v>1012</v>
      </c>
      <c r="C301" s="282"/>
      <c r="D301" s="396"/>
      <c r="E301" s="282"/>
      <c r="F301" s="282"/>
    </row>
    <row r="302" spans="1:6" ht="42.75" customHeight="1">
      <c r="A302" s="301"/>
      <c r="B302" s="288" t="s">
        <v>1223</v>
      </c>
      <c r="C302" s="288" t="s">
        <v>524</v>
      </c>
      <c r="D302" s="376">
        <v>1</v>
      </c>
      <c r="E302" s="376">
        <v>47</v>
      </c>
      <c r="F302" s="376">
        <f>D302*E302</f>
        <v>47</v>
      </c>
    </row>
    <row r="303" spans="1:6">
      <c r="A303" s="301"/>
      <c r="B303" s="282" t="s">
        <v>1014</v>
      </c>
      <c r="C303" s="282"/>
      <c r="D303" s="396"/>
      <c r="E303" s="282"/>
      <c r="F303" s="396">
        <f>F302</f>
        <v>47</v>
      </c>
    </row>
    <row r="304" spans="1:6" ht="17.25" customHeight="1">
      <c r="A304" s="301"/>
      <c r="B304" s="282" t="s">
        <v>1015</v>
      </c>
      <c r="C304" s="282"/>
      <c r="D304" s="396"/>
      <c r="E304" s="282"/>
      <c r="F304" s="282">
        <f>F300+F303</f>
        <v>70.2</v>
      </c>
    </row>
    <row r="305" spans="1:6" ht="27.6">
      <c r="A305" s="301"/>
      <c r="B305" s="288" t="s">
        <v>1224</v>
      </c>
      <c r="C305" s="282"/>
      <c r="D305" s="396"/>
      <c r="E305" s="282"/>
      <c r="F305" s="282"/>
    </row>
    <row r="306" spans="1:6" ht="38.25" customHeight="1">
      <c r="A306" s="319"/>
      <c r="B306" s="320"/>
      <c r="C306" s="320"/>
      <c r="D306" s="397"/>
      <c r="E306" s="397"/>
      <c r="F306" s="320"/>
    </row>
    <row r="307" spans="1:6" ht="31.2">
      <c r="A307" s="301" t="s">
        <v>800</v>
      </c>
      <c r="B307" s="387" t="s">
        <v>806</v>
      </c>
      <c r="C307" s="282"/>
      <c r="D307" s="396"/>
      <c r="E307" s="282"/>
      <c r="F307" s="282"/>
    </row>
    <row r="308" spans="1:6" ht="22.5" customHeight="1">
      <c r="A308" s="301"/>
      <c r="B308" s="286" t="s">
        <v>1187</v>
      </c>
      <c r="C308" s="282"/>
      <c r="D308" s="396"/>
      <c r="E308" s="282"/>
      <c r="F308" s="282"/>
    </row>
    <row r="309" spans="1:6" ht="28.5" customHeight="1">
      <c r="A309" s="301"/>
      <c r="B309" s="282" t="s">
        <v>1025</v>
      </c>
      <c r="C309" s="282"/>
      <c r="D309" s="396"/>
      <c r="E309" s="282"/>
      <c r="F309" s="282"/>
    </row>
    <row r="310" spans="1:6" ht="34.5" customHeight="1">
      <c r="A310" s="302" t="s">
        <v>1116</v>
      </c>
      <c r="B310" s="288" t="s">
        <v>219</v>
      </c>
      <c r="C310" s="288" t="s">
        <v>515</v>
      </c>
      <c r="D310" s="376">
        <v>0.6</v>
      </c>
      <c r="E310" s="260">
        <v>17</v>
      </c>
      <c r="F310" s="288">
        <f>D310*E310</f>
        <v>10.199999999999999</v>
      </c>
    </row>
    <row r="311" spans="1:6" ht="27.6">
      <c r="A311" s="302" t="s">
        <v>1118</v>
      </c>
      <c r="B311" s="288" t="s">
        <v>218</v>
      </c>
      <c r="C311" s="288" t="s">
        <v>515</v>
      </c>
      <c r="D311" s="376">
        <v>0.6</v>
      </c>
      <c r="E311" s="303">
        <v>12</v>
      </c>
      <c r="F311" s="288">
        <f>D311*E311</f>
        <v>7.1999999999999993</v>
      </c>
    </row>
    <row r="312" spans="1:6">
      <c r="A312" s="301"/>
      <c r="B312" s="282" t="s">
        <v>1014</v>
      </c>
      <c r="C312" s="282"/>
      <c r="D312" s="396"/>
      <c r="E312" s="282"/>
      <c r="F312" s="282">
        <f>F310+F311</f>
        <v>17.399999999999999</v>
      </c>
    </row>
    <row r="313" spans="1:6" ht="42" customHeight="1">
      <c r="A313" s="301"/>
      <c r="B313" s="282" t="s">
        <v>1012</v>
      </c>
      <c r="C313" s="282"/>
      <c r="D313" s="396"/>
      <c r="E313" s="282"/>
      <c r="F313" s="282"/>
    </row>
    <row r="314" spans="1:6" ht="41.4">
      <c r="A314" s="302"/>
      <c r="B314" s="288" t="s">
        <v>1225</v>
      </c>
      <c r="C314" s="288" t="s">
        <v>524</v>
      </c>
      <c r="D314" s="376">
        <v>1</v>
      </c>
      <c r="E314" s="288">
        <v>171.22</v>
      </c>
      <c r="F314" s="288">
        <f>D314*E314</f>
        <v>171.22</v>
      </c>
    </row>
    <row r="315" spans="1:6">
      <c r="A315" s="302"/>
      <c r="B315" s="282" t="s">
        <v>1014</v>
      </c>
      <c r="C315" s="276"/>
      <c r="D315" s="411"/>
      <c r="E315" s="412"/>
      <c r="F315" s="412">
        <f>F314</f>
        <v>171.22</v>
      </c>
    </row>
    <row r="316" spans="1:6">
      <c r="A316" s="302"/>
      <c r="B316" s="282" t="s">
        <v>1015</v>
      </c>
      <c r="C316" s="276"/>
      <c r="D316" s="411"/>
      <c r="E316" s="412"/>
      <c r="F316" s="413">
        <f>F312+F315</f>
        <v>188.62</v>
      </c>
    </row>
    <row r="317" spans="1:6" ht="27.6">
      <c r="A317" s="302"/>
      <c r="B317" s="288" t="s">
        <v>1224</v>
      </c>
      <c r="C317" s="276"/>
      <c r="D317" s="411"/>
      <c r="E317" s="412"/>
      <c r="F317" s="412"/>
    </row>
    <row r="318" spans="1:6">
      <c r="A318" s="319"/>
      <c r="B318" s="320"/>
      <c r="C318" s="320"/>
      <c r="D318" s="397"/>
      <c r="E318" s="397"/>
      <c r="F318" s="320"/>
    </row>
    <row r="319" spans="1:6" ht="27.75" customHeight="1">
      <c r="A319" s="301" t="s">
        <v>801</v>
      </c>
      <c r="B319" s="387" t="s">
        <v>1226</v>
      </c>
      <c r="C319" s="282"/>
      <c r="D319" s="396"/>
      <c r="E319" s="282"/>
      <c r="F319" s="282"/>
    </row>
    <row r="320" spans="1:6">
      <c r="A320" s="301"/>
      <c r="B320" s="286" t="s">
        <v>1187</v>
      </c>
      <c r="C320" s="282"/>
      <c r="D320" s="396"/>
      <c r="E320" s="282"/>
      <c r="F320" s="282"/>
    </row>
    <row r="321" spans="1:6" ht="59.25" customHeight="1">
      <c r="A321" s="301"/>
      <c r="B321" s="282" t="s">
        <v>1025</v>
      </c>
      <c r="C321" s="282"/>
      <c r="D321" s="396"/>
      <c r="E321" s="282"/>
      <c r="F321" s="282"/>
    </row>
    <row r="322" spans="1:6" ht="27.6">
      <c r="A322" s="302" t="s">
        <v>1116</v>
      </c>
      <c r="B322" s="288" t="s">
        <v>219</v>
      </c>
      <c r="C322" s="288" t="s">
        <v>515</v>
      </c>
      <c r="D322" s="376">
        <v>8.5000000000000006E-2</v>
      </c>
      <c r="E322" s="260">
        <v>17</v>
      </c>
      <c r="F322" s="288">
        <f>D322*E322</f>
        <v>1.4450000000000001</v>
      </c>
    </row>
    <row r="323" spans="1:6" ht="26.25" customHeight="1">
      <c r="A323" s="302" t="s">
        <v>1118</v>
      </c>
      <c r="B323" s="288" t="s">
        <v>218</v>
      </c>
      <c r="C323" s="288" t="s">
        <v>515</v>
      </c>
      <c r="D323" s="376">
        <v>0</v>
      </c>
      <c r="E323" s="303">
        <v>12</v>
      </c>
      <c r="F323" s="288">
        <f>D323*E323</f>
        <v>0</v>
      </c>
    </row>
    <row r="324" spans="1:6" ht="27.75" customHeight="1">
      <c r="A324" s="301"/>
      <c r="B324" s="282" t="s">
        <v>1014</v>
      </c>
      <c r="C324" s="282"/>
      <c r="D324" s="396"/>
      <c r="E324" s="282"/>
      <c r="F324" s="282">
        <f>F322+F323</f>
        <v>1.4450000000000001</v>
      </c>
    </row>
    <row r="325" spans="1:6" ht="33.75" customHeight="1">
      <c r="A325" s="301"/>
      <c r="B325" s="282" t="s">
        <v>1012</v>
      </c>
      <c r="C325" s="282"/>
      <c r="D325" s="396"/>
      <c r="E325" s="282"/>
      <c r="F325" s="282"/>
    </row>
    <row r="326" spans="1:6" ht="27.6">
      <c r="A326" s="302" t="s">
        <v>1227</v>
      </c>
      <c r="B326" s="288" t="s">
        <v>1228</v>
      </c>
      <c r="C326" s="288" t="s">
        <v>524</v>
      </c>
      <c r="D326" s="376">
        <v>1</v>
      </c>
      <c r="E326" s="288">
        <v>11.4</v>
      </c>
      <c r="F326" s="288">
        <f>D326*E326</f>
        <v>11.4</v>
      </c>
    </row>
    <row r="327" spans="1:6">
      <c r="A327" s="302"/>
      <c r="B327" s="282" t="s">
        <v>1014</v>
      </c>
      <c r="C327" s="276"/>
      <c r="D327" s="411"/>
      <c r="E327" s="412"/>
      <c r="F327" s="412">
        <f>F326</f>
        <v>11.4</v>
      </c>
    </row>
    <row r="328" spans="1:6" ht="75" customHeight="1">
      <c r="A328" s="302"/>
      <c r="B328" s="282" t="s">
        <v>1015</v>
      </c>
      <c r="C328" s="276"/>
      <c r="D328" s="411"/>
      <c r="E328" s="412"/>
      <c r="F328" s="413">
        <f>F324+F327</f>
        <v>12.845000000000001</v>
      </c>
    </row>
    <row r="329" spans="1:6">
      <c r="A329" s="319"/>
      <c r="B329" s="320"/>
      <c r="C329" s="320"/>
      <c r="D329" s="397"/>
      <c r="E329" s="397"/>
      <c r="F329" s="320"/>
    </row>
    <row r="330" spans="1:6" ht="23.25" customHeight="1">
      <c r="A330" s="301" t="s">
        <v>803</v>
      </c>
      <c r="B330" s="387" t="s">
        <v>1229</v>
      </c>
      <c r="C330" s="282"/>
      <c r="D330" s="396"/>
      <c r="E330" s="282"/>
      <c r="F330" s="282"/>
    </row>
    <row r="331" spans="1:6">
      <c r="A331" s="301"/>
      <c r="B331" s="286" t="s">
        <v>1187</v>
      </c>
      <c r="C331" s="282"/>
      <c r="D331" s="396"/>
      <c r="E331" s="282"/>
      <c r="F331" s="282"/>
    </row>
    <row r="332" spans="1:6">
      <c r="A332" s="301"/>
      <c r="B332" s="282" t="s">
        <v>1025</v>
      </c>
      <c r="C332" s="282"/>
      <c r="D332" s="396"/>
      <c r="E332" s="282"/>
      <c r="F332" s="282"/>
    </row>
    <row r="333" spans="1:6" ht="27.6">
      <c r="A333" s="302" t="s">
        <v>1116</v>
      </c>
      <c r="B333" s="288" t="s">
        <v>219</v>
      </c>
      <c r="C333" s="288" t="s">
        <v>515</v>
      </c>
      <c r="D333" s="376">
        <v>8.5000000000000006E-2</v>
      </c>
      <c r="E333" s="260">
        <v>17</v>
      </c>
      <c r="F333" s="288">
        <f>D333*E333</f>
        <v>1.4450000000000001</v>
      </c>
    </row>
    <row r="334" spans="1:6" ht="27.6">
      <c r="A334" s="302" t="s">
        <v>1118</v>
      </c>
      <c r="B334" s="288" t="s">
        <v>218</v>
      </c>
      <c r="C334" s="288" t="s">
        <v>515</v>
      </c>
      <c r="D334" s="376">
        <v>0</v>
      </c>
      <c r="E334" s="303">
        <v>12</v>
      </c>
      <c r="F334" s="288">
        <f>D334*E334</f>
        <v>0</v>
      </c>
    </row>
    <row r="335" spans="1:6">
      <c r="A335" s="301"/>
      <c r="B335" s="282" t="s">
        <v>1014</v>
      </c>
      <c r="C335" s="282"/>
      <c r="D335" s="396"/>
      <c r="E335" s="282"/>
      <c r="F335" s="282">
        <f>F333+F334</f>
        <v>1.4450000000000001</v>
      </c>
    </row>
    <row r="336" spans="1:6">
      <c r="A336" s="301"/>
      <c r="B336" s="282" t="s">
        <v>1012</v>
      </c>
      <c r="C336" s="282"/>
      <c r="D336" s="396"/>
      <c r="E336" s="282"/>
      <c r="F336" s="282"/>
    </row>
    <row r="337" spans="1:6" ht="27.6">
      <c r="A337" s="302" t="s">
        <v>1230</v>
      </c>
      <c r="B337" s="288" t="s">
        <v>1231</v>
      </c>
      <c r="C337" s="288" t="s">
        <v>524</v>
      </c>
      <c r="D337" s="376">
        <v>1</v>
      </c>
      <c r="E337" s="288">
        <v>15.83</v>
      </c>
      <c r="F337" s="288">
        <f>D337*E337</f>
        <v>15.83</v>
      </c>
    </row>
    <row r="338" spans="1:6">
      <c r="A338" s="302"/>
      <c r="B338" s="282" t="s">
        <v>1014</v>
      </c>
      <c r="C338" s="276"/>
      <c r="D338" s="411"/>
      <c r="E338" s="412"/>
      <c r="F338" s="412">
        <f>F337</f>
        <v>15.83</v>
      </c>
    </row>
    <row r="339" spans="1:6">
      <c r="A339" s="302"/>
      <c r="B339" s="282" t="s">
        <v>1015</v>
      </c>
      <c r="C339" s="276"/>
      <c r="D339" s="411"/>
      <c r="E339" s="412"/>
      <c r="F339" s="413">
        <f>F335+F338</f>
        <v>17.274999999999999</v>
      </c>
    </row>
    <row r="340" spans="1:6">
      <c r="A340" s="319"/>
      <c r="B340" s="320"/>
      <c r="C340" s="320"/>
      <c r="D340" s="397"/>
      <c r="E340" s="397"/>
      <c r="F340" s="320"/>
    </row>
    <row r="341" spans="1:6" ht="21">
      <c r="A341" s="301" t="s">
        <v>805</v>
      </c>
      <c r="B341" s="387" t="s">
        <v>812</v>
      </c>
      <c r="C341" s="276"/>
      <c r="D341" s="411"/>
      <c r="E341" s="412"/>
      <c r="F341" s="412"/>
    </row>
    <row r="342" spans="1:6">
      <c r="A342" s="302"/>
      <c r="B342" s="286" t="s">
        <v>1011</v>
      </c>
      <c r="C342" s="276"/>
      <c r="D342" s="411"/>
      <c r="E342" s="412"/>
      <c r="F342" s="412"/>
    </row>
    <row r="343" spans="1:6">
      <c r="A343" s="302"/>
      <c r="B343" s="282" t="s">
        <v>1025</v>
      </c>
      <c r="C343" s="276"/>
      <c r="D343" s="411"/>
      <c r="E343" s="412"/>
      <c r="F343" s="412"/>
    </row>
    <row r="344" spans="1:6" ht="27.6">
      <c r="A344" s="302" t="s">
        <v>1116</v>
      </c>
      <c r="B344" s="288" t="s">
        <v>219</v>
      </c>
      <c r="C344" s="288" t="s">
        <v>515</v>
      </c>
      <c r="D344" s="376">
        <v>0.15</v>
      </c>
      <c r="E344" s="288">
        <v>17</v>
      </c>
      <c r="F344" s="412">
        <f>D344*E344</f>
        <v>2.5499999999999998</v>
      </c>
    </row>
    <row r="345" spans="1:6">
      <c r="A345" s="302"/>
      <c r="B345" s="282" t="s">
        <v>1014</v>
      </c>
      <c r="C345" s="276"/>
      <c r="D345" s="411"/>
      <c r="E345" s="412"/>
      <c r="F345" s="413">
        <f>(F344)</f>
        <v>2.5499999999999998</v>
      </c>
    </row>
    <row r="346" spans="1:6">
      <c r="A346" s="302"/>
      <c r="B346" s="282" t="s">
        <v>1012</v>
      </c>
      <c r="C346" s="276"/>
      <c r="D346" s="411"/>
      <c r="E346" s="412"/>
      <c r="F346" s="412"/>
    </row>
    <row r="347" spans="1:6" ht="27.6">
      <c r="A347" s="302" t="s">
        <v>1232</v>
      </c>
      <c r="B347" s="288" t="s">
        <v>1233</v>
      </c>
      <c r="C347" s="276" t="s">
        <v>524</v>
      </c>
      <c r="D347" s="411">
        <v>1</v>
      </c>
      <c r="E347" s="412">
        <v>1.54</v>
      </c>
      <c r="F347" s="412">
        <f>D347*E347</f>
        <v>1.54</v>
      </c>
    </row>
    <row r="348" spans="1:6">
      <c r="A348" s="302"/>
      <c r="B348" s="282" t="s">
        <v>1014</v>
      </c>
      <c r="C348" s="276"/>
      <c r="D348" s="411"/>
      <c r="E348" s="412"/>
      <c r="F348" s="412">
        <f>F347</f>
        <v>1.54</v>
      </c>
    </row>
    <row r="349" spans="1:6">
      <c r="A349" s="302"/>
      <c r="B349" s="282" t="s">
        <v>1015</v>
      </c>
      <c r="C349" s="276"/>
      <c r="D349" s="411"/>
      <c r="E349" s="412"/>
      <c r="F349" s="413">
        <f>F348+F345</f>
        <v>4.09</v>
      </c>
    </row>
    <row r="350" spans="1:6">
      <c r="A350" s="319"/>
      <c r="B350" s="320"/>
      <c r="C350" s="320"/>
      <c r="D350" s="397"/>
      <c r="E350" s="397"/>
      <c r="F350" s="320"/>
    </row>
    <row r="351" spans="1:6" ht="31.2">
      <c r="A351" s="301" t="s">
        <v>811</v>
      </c>
      <c r="B351" s="387" t="s">
        <v>815</v>
      </c>
      <c r="C351" s="276"/>
      <c r="D351" s="411"/>
      <c r="E351" s="412"/>
      <c r="F351" s="412"/>
    </row>
    <row r="352" spans="1:6">
      <c r="A352" s="302"/>
      <c r="B352" s="286" t="s">
        <v>1011</v>
      </c>
      <c r="C352" s="276"/>
      <c r="D352" s="411"/>
      <c r="E352" s="412"/>
      <c r="F352" s="412"/>
    </row>
    <row r="353" spans="1:6">
      <c r="A353" s="302"/>
      <c r="B353" s="282" t="s">
        <v>1025</v>
      </c>
      <c r="C353" s="276"/>
      <c r="D353" s="411"/>
      <c r="E353" s="412"/>
      <c r="F353" s="412"/>
    </row>
    <row r="354" spans="1:6" ht="27.6">
      <c r="A354" s="302" t="s">
        <v>1116</v>
      </c>
      <c r="B354" s="288" t="s">
        <v>219</v>
      </c>
      <c r="C354" s="288" t="s">
        <v>515</v>
      </c>
      <c r="D354" s="376">
        <v>0.1</v>
      </c>
      <c r="E354" s="260">
        <v>17</v>
      </c>
      <c r="F354" s="412">
        <f>D354*E354</f>
        <v>1.7000000000000002</v>
      </c>
    </row>
    <row r="355" spans="1:6" ht="27.6">
      <c r="A355" s="302" t="s">
        <v>1118</v>
      </c>
      <c r="B355" s="288" t="s">
        <v>218</v>
      </c>
      <c r="C355" s="288" t="s">
        <v>515</v>
      </c>
      <c r="D355" s="376">
        <v>0.1</v>
      </c>
      <c r="E355" s="303">
        <v>12</v>
      </c>
      <c r="F355" s="376">
        <f>D355*E355</f>
        <v>1.2000000000000002</v>
      </c>
    </row>
    <row r="356" spans="1:6">
      <c r="A356" s="302"/>
      <c r="B356" s="282" t="s">
        <v>1014</v>
      </c>
      <c r="C356" s="276"/>
      <c r="D356" s="411"/>
      <c r="E356" s="412"/>
      <c r="F356" s="413">
        <f>SUM(F354:F355)</f>
        <v>2.9000000000000004</v>
      </c>
    </row>
    <row r="357" spans="1:6">
      <c r="A357" s="302"/>
      <c r="B357" s="282" t="s">
        <v>1012</v>
      </c>
      <c r="C357" s="276"/>
      <c r="D357" s="411"/>
      <c r="E357" s="412"/>
      <c r="F357" s="412"/>
    </row>
    <row r="358" spans="1:6" ht="31.2">
      <c r="A358" s="302" t="s">
        <v>1234</v>
      </c>
      <c r="B358" s="387" t="s">
        <v>1235</v>
      </c>
      <c r="C358" s="276" t="s">
        <v>584</v>
      </c>
      <c r="D358" s="411">
        <v>1</v>
      </c>
      <c r="E358" s="412">
        <v>2.31</v>
      </c>
      <c r="F358" s="412">
        <f>D358*E358</f>
        <v>2.31</v>
      </c>
    </row>
    <row r="359" spans="1:6">
      <c r="A359" s="302"/>
      <c r="B359" s="414"/>
      <c r="C359" s="276"/>
      <c r="D359" s="411"/>
      <c r="E359" s="412"/>
      <c r="F359" s="412">
        <f>F358</f>
        <v>2.31</v>
      </c>
    </row>
    <row r="360" spans="1:6">
      <c r="A360" s="302"/>
      <c r="B360" s="282" t="s">
        <v>1015</v>
      </c>
      <c r="C360" s="276"/>
      <c r="D360" s="411"/>
      <c r="E360" s="412"/>
      <c r="F360" s="413">
        <f>F359+F356</f>
        <v>5.2100000000000009</v>
      </c>
    </row>
    <row r="361" spans="1:6">
      <c r="A361" s="319"/>
      <c r="B361" s="320"/>
      <c r="C361" s="320"/>
      <c r="D361" s="397"/>
      <c r="E361" s="397"/>
      <c r="F361" s="320"/>
    </row>
    <row r="362" spans="1:6" ht="31.2">
      <c r="A362" s="301" t="s">
        <v>813</v>
      </c>
      <c r="B362" s="387" t="s">
        <v>817</v>
      </c>
      <c r="C362" s="276"/>
      <c r="D362" s="411"/>
      <c r="E362" s="412"/>
      <c r="F362" s="412"/>
    </row>
    <row r="363" spans="1:6">
      <c r="A363" s="302"/>
      <c r="B363" s="286" t="s">
        <v>1011</v>
      </c>
      <c r="C363" s="276"/>
      <c r="D363" s="411"/>
      <c r="E363" s="412"/>
      <c r="F363" s="412"/>
    </row>
    <row r="364" spans="1:6">
      <c r="A364" s="302"/>
      <c r="B364" s="282" t="s">
        <v>1025</v>
      </c>
      <c r="C364" s="276"/>
      <c r="D364" s="411"/>
      <c r="E364" s="412"/>
      <c r="F364" s="412"/>
    </row>
    <row r="365" spans="1:6" ht="27.6">
      <c r="A365" s="302" t="s">
        <v>1116</v>
      </c>
      <c r="B365" s="288" t="s">
        <v>219</v>
      </c>
      <c r="C365" s="288" t="s">
        <v>515</v>
      </c>
      <c r="D365" s="376">
        <v>0.2</v>
      </c>
      <c r="E365" s="260">
        <v>17</v>
      </c>
      <c r="F365" s="412">
        <f>D365*E365</f>
        <v>3.4000000000000004</v>
      </c>
    </row>
    <row r="366" spans="1:6" ht="27.6">
      <c r="A366" s="302" t="s">
        <v>1118</v>
      </c>
      <c r="B366" s="288" t="s">
        <v>218</v>
      </c>
      <c r="C366" s="288" t="s">
        <v>515</v>
      </c>
      <c r="D366" s="376">
        <v>0.18</v>
      </c>
      <c r="E366" s="303">
        <v>12</v>
      </c>
      <c r="F366" s="376">
        <f>D366*E366</f>
        <v>2.16</v>
      </c>
    </row>
    <row r="367" spans="1:6">
      <c r="A367" s="302"/>
      <c r="B367" s="282" t="s">
        <v>1014</v>
      </c>
      <c r="C367" s="276"/>
      <c r="D367" s="411"/>
      <c r="E367" s="412"/>
      <c r="F367" s="413">
        <f>SUM(F365:F366)</f>
        <v>5.5600000000000005</v>
      </c>
    </row>
    <row r="368" spans="1:6">
      <c r="A368" s="302"/>
      <c r="B368" s="282" t="s">
        <v>1012</v>
      </c>
      <c r="C368" s="276"/>
      <c r="D368" s="411"/>
      <c r="E368" s="412"/>
      <c r="F368" s="412"/>
    </row>
    <row r="369" spans="1:6" ht="41.4">
      <c r="A369" s="302" t="s">
        <v>1236</v>
      </c>
      <c r="B369" s="288" t="s">
        <v>1237</v>
      </c>
      <c r="C369" s="276" t="s">
        <v>584</v>
      </c>
      <c r="D369" s="411">
        <f>(1/3)</f>
        <v>0.33333333333333331</v>
      </c>
      <c r="E369" s="412">
        <f>371</f>
        <v>371</v>
      </c>
      <c r="F369" s="412">
        <f>D369*E369</f>
        <v>123.66666666666666</v>
      </c>
    </row>
    <row r="370" spans="1:6">
      <c r="A370" s="302"/>
      <c r="B370" s="414"/>
      <c r="C370" s="276"/>
      <c r="D370" s="411"/>
      <c r="E370" s="412"/>
      <c r="F370" s="412">
        <f>F369</f>
        <v>123.66666666666666</v>
      </c>
    </row>
    <row r="371" spans="1:6">
      <c r="A371" s="302"/>
      <c r="B371" s="282" t="s">
        <v>1015</v>
      </c>
      <c r="C371" s="276"/>
      <c r="D371" s="411"/>
      <c r="E371" s="412"/>
      <c r="F371" s="413">
        <f>F370+F367</f>
        <v>129.22666666666666</v>
      </c>
    </row>
    <row r="372" spans="1:6">
      <c r="A372" s="320"/>
      <c r="B372" s="320"/>
      <c r="C372" s="320"/>
      <c r="D372" s="320"/>
      <c r="E372" s="320"/>
      <c r="F372" s="320"/>
    </row>
    <row r="373" spans="1:6" ht="22.8">
      <c r="A373" s="401">
        <v>44477</v>
      </c>
      <c r="B373" s="402" t="s">
        <v>1238</v>
      </c>
      <c r="C373" s="403">
        <v>159.97</v>
      </c>
      <c r="D373" s="404" t="s">
        <v>1239</v>
      </c>
      <c r="E373" s="405" t="s">
        <v>1240</v>
      </c>
      <c r="F373" s="415" t="s">
        <v>1241</v>
      </c>
    </row>
    <row r="374" spans="1:6" ht="22.8">
      <c r="A374" s="401">
        <v>44477</v>
      </c>
      <c r="B374" s="402" t="s">
        <v>1242</v>
      </c>
      <c r="C374" s="403">
        <v>105</v>
      </c>
      <c r="D374" s="404" t="s">
        <v>1243</v>
      </c>
      <c r="E374" s="406" t="s">
        <v>1244</v>
      </c>
      <c r="F374" s="415" t="s">
        <v>1245</v>
      </c>
    </row>
    <row r="375" spans="1:6" ht="15">
      <c r="A375" s="401">
        <v>44477</v>
      </c>
      <c r="B375" s="402" t="s">
        <v>1246</v>
      </c>
      <c r="C375" s="403">
        <v>131</v>
      </c>
      <c r="D375" s="408" t="s">
        <v>1247</v>
      </c>
      <c r="E375" s="409" t="s">
        <v>1248</v>
      </c>
      <c r="F375" s="416" t="s">
        <v>1249</v>
      </c>
    </row>
    <row r="376" spans="1:6">
      <c r="C376" s="417">
        <f>SUM(C373:C375)/3</f>
        <v>131.99</v>
      </c>
    </row>
    <row r="377" spans="1:6">
      <c r="A377" s="319"/>
      <c r="B377" s="320"/>
      <c r="C377" s="320"/>
      <c r="D377" s="397"/>
      <c r="E377" s="397"/>
      <c r="F377" s="320"/>
    </row>
    <row r="378" spans="1:6" ht="51.6">
      <c r="A378" s="301" t="s">
        <v>816</v>
      </c>
      <c r="B378" s="387" t="s">
        <v>820</v>
      </c>
      <c r="C378" s="276"/>
      <c r="D378" s="411"/>
      <c r="E378" s="412"/>
      <c r="F378" s="412"/>
    </row>
    <row r="379" spans="1:6">
      <c r="A379" s="302"/>
      <c r="B379" s="286" t="s">
        <v>1011</v>
      </c>
      <c r="C379" s="276"/>
      <c r="D379" s="411"/>
      <c r="E379" s="412"/>
      <c r="F379" s="412"/>
    </row>
    <row r="380" spans="1:6">
      <c r="A380" s="302"/>
      <c r="B380" s="282" t="s">
        <v>1025</v>
      </c>
      <c r="C380" s="276"/>
      <c r="D380" s="411"/>
      <c r="E380" s="412"/>
      <c r="F380" s="412"/>
    </row>
    <row r="381" spans="1:6" ht="27.6">
      <c r="A381" s="302" t="s">
        <v>1116</v>
      </c>
      <c r="B381" s="288" t="s">
        <v>219</v>
      </c>
      <c r="C381" s="288" t="s">
        <v>515</v>
      </c>
      <c r="D381" s="376">
        <v>0.12</v>
      </c>
      <c r="E381" s="260">
        <v>17</v>
      </c>
      <c r="F381" s="412">
        <f>D381*E381</f>
        <v>2.04</v>
      </c>
    </row>
    <row r="382" spans="1:6" ht="27.6">
      <c r="A382" s="302" t="s">
        <v>1118</v>
      </c>
      <c r="B382" s="288" t="s">
        <v>218</v>
      </c>
      <c r="C382" s="288" t="s">
        <v>515</v>
      </c>
      <c r="D382" s="376">
        <v>0.12</v>
      </c>
      <c r="E382" s="303">
        <v>12</v>
      </c>
      <c r="F382" s="376">
        <f>D382*E382</f>
        <v>1.44</v>
      </c>
    </row>
    <row r="383" spans="1:6">
      <c r="A383" s="302"/>
      <c r="B383" s="282" t="s">
        <v>1014</v>
      </c>
      <c r="C383" s="276"/>
      <c r="D383" s="411"/>
      <c r="E383" s="412"/>
      <c r="F383" s="413">
        <f>SUM(F381:F382)</f>
        <v>3.48</v>
      </c>
    </row>
    <row r="384" spans="1:6">
      <c r="A384" s="302"/>
      <c r="B384" s="282" t="s">
        <v>1012</v>
      </c>
      <c r="C384" s="276"/>
      <c r="D384" s="411"/>
      <c r="E384" s="412"/>
      <c r="F384" s="412"/>
    </row>
    <row r="385" spans="1:6" ht="69">
      <c r="A385" s="302" t="s">
        <v>1250</v>
      </c>
      <c r="B385" s="288" t="s">
        <v>1251</v>
      </c>
      <c r="C385" s="276" t="s">
        <v>584</v>
      </c>
      <c r="D385" s="411">
        <v>1</v>
      </c>
      <c r="E385" s="412">
        <v>15.71</v>
      </c>
      <c r="F385" s="412">
        <f>D385*E385</f>
        <v>15.71</v>
      </c>
    </row>
    <row r="386" spans="1:6">
      <c r="A386" s="302"/>
      <c r="B386" s="414"/>
      <c r="C386" s="276"/>
      <c r="D386" s="411"/>
      <c r="E386" s="412"/>
      <c r="F386" s="412">
        <f>F385</f>
        <v>15.71</v>
      </c>
    </row>
    <row r="387" spans="1:6">
      <c r="A387" s="302"/>
      <c r="B387" s="282" t="s">
        <v>1015</v>
      </c>
      <c r="C387" s="276"/>
      <c r="D387" s="411"/>
      <c r="E387" s="412"/>
      <c r="F387" s="413">
        <f>F386+F383</f>
        <v>19.190000000000001</v>
      </c>
    </row>
  </sheetData>
  <mergeCells count="3">
    <mergeCell ref="A4:F4"/>
    <mergeCell ref="A6:F6"/>
    <mergeCell ref="A265:F265"/>
  </mergeCells>
  <pageMargins left="0.511811024" right="0.511811024" top="0.78740157500000008" bottom="0.78740157500000008" header="0.31496062000000008" footer="0.31496062000000008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7</vt:i4>
      </vt:variant>
    </vt:vector>
  </HeadingPairs>
  <TitlesOfParts>
    <vt:vector size="15" baseType="lpstr">
      <vt:lpstr>orcam</vt:lpstr>
      <vt:lpstr>cronograma</vt:lpstr>
      <vt:lpstr>BDI</vt:lpstr>
      <vt:lpstr>ESCALA SALARIAL</vt:lpstr>
      <vt:lpstr>ENC. SOCIAIS</vt:lpstr>
      <vt:lpstr>CPU</vt:lpstr>
      <vt:lpstr>composições</vt:lpstr>
      <vt:lpstr>comp__eletrica</vt:lpstr>
      <vt:lpstr>BDI!Area_de_impressao</vt:lpstr>
      <vt:lpstr>comp__eletrica!Area_de_impressao</vt:lpstr>
      <vt:lpstr>composições!Area_de_impressao</vt:lpstr>
      <vt:lpstr>cronograma!Area_de_impressao</vt:lpstr>
      <vt:lpstr>'ESCALA SALARIAL'!Area_de_impressao</vt:lpstr>
      <vt:lpstr>orcam!Area_de_impressao</vt:lpstr>
      <vt:lpstr>CPU!Titulos_de_impressao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Test Document</dc:title>
  <dc:subject>Office 2007 XLSX Test Document</dc:subject>
  <dc:creator>Maarten Balliauw</dc:creator>
  <cp:keywords>office 2007 openxml php</cp:keywords>
  <dc:description>Test document for Office 2007 XLSX, generated using PHP classes.</dc:description>
  <cp:lastModifiedBy>george arruda</cp:lastModifiedBy>
  <dcterms:created xsi:type="dcterms:W3CDTF">2022-05-18T01:24:58Z</dcterms:created>
  <dcterms:modified xsi:type="dcterms:W3CDTF">2022-05-19T01:11:08Z</dcterms:modified>
  <cp:category>Test result file</cp:category>
</cp:coreProperties>
</file>