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aquisicoes e contratos\LICITAÇÕES 2021\TOMADA DE PREÇOS\04 - REFORMA VILA RICA\DOCS Demandante\"/>
    </mc:Choice>
  </mc:AlternateContent>
  <bookViews>
    <workbookView xWindow="0" yWindow="0" windowWidth="28800" windowHeight="12000"/>
  </bookViews>
  <sheets>
    <sheet name="orcam" sheetId="1" r:id="rId1"/>
    <sheet name="conograma" sheetId="2" r:id="rId2"/>
    <sheet name="COMPOSIÇÃO_JULHO_2021" sheetId="3" r:id="rId3"/>
    <sheet name="composições" sheetId="4" r:id="rId4"/>
    <sheet name="comp__eletrica" sheetId="5" r:id="rId5"/>
  </sheets>
  <definedNames>
    <definedName name="_xlnm.Print_Area" localSheetId="2">COMPOSIÇÃO_JULHO_2021!$A$1:$F$399</definedName>
    <definedName name="_xlnm.Print_Area" localSheetId="3">composições!$A$1:$F$254</definedName>
    <definedName name="_xlnm.Print_Area" localSheetId="1">conograma!$A$1:$Q$54</definedName>
    <definedName name="_xlnm.Print_Area" localSheetId="0">orcam!$A$1:$H$308</definedName>
  </definedNames>
  <calcPr calcId="162913"/>
</workbook>
</file>

<file path=xl/calcChain.xml><?xml version="1.0" encoding="utf-8"?>
<calcChain xmlns="http://schemas.openxmlformats.org/spreadsheetml/2006/main">
  <c r="B51" i="2" l="1"/>
  <c r="B49" i="2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F301" i="5"/>
  <c r="F300" i="5"/>
  <c r="F297" i="5"/>
  <c r="F296" i="5"/>
  <c r="F298" i="5" s="1"/>
  <c r="C291" i="5"/>
  <c r="F285" i="5"/>
  <c r="F286" i="5" s="1"/>
  <c r="F283" i="5"/>
  <c r="F282" i="5"/>
  <c r="F281" i="5"/>
  <c r="F276" i="5"/>
  <c r="F275" i="5"/>
  <c r="F274" i="5"/>
  <c r="F271" i="5"/>
  <c r="F272" i="5" s="1"/>
  <c r="F266" i="5"/>
  <c r="F264" i="5"/>
  <c r="F265" i="5" s="1"/>
  <c r="F262" i="5"/>
  <c r="F261" i="5"/>
  <c r="F260" i="5"/>
  <c r="F253" i="5"/>
  <c r="F254" i="5" s="1"/>
  <c r="F250" i="5"/>
  <c r="F249" i="5"/>
  <c r="F251" i="5" s="1"/>
  <c r="F255" i="5" s="1"/>
  <c r="F241" i="5"/>
  <c r="F242" i="5" s="1"/>
  <c r="F238" i="5"/>
  <c r="F239" i="5" s="1"/>
  <c r="F237" i="5"/>
  <c r="F230" i="5"/>
  <c r="F229" i="5"/>
  <c r="F226" i="5"/>
  <c r="F227" i="5" s="1"/>
  <c r="F225" i="5"/>
  <c r="F219" i="5"/>
  <c r="F217" i="5"/>
  <c r="F218" i="5" s="1"/>
  <c r="F215" i="5"/>
  <c r="F214" i="5"/>
  <c r="F213" i="5"/>
  <c r="F203" i="5"/>
  <c r="F204" i="5" s="1"/>
  <c r="F200" i="5"/>
  <c r="F199" i="5"/>
  <c r="F198" i="5"/>
  <c r="F191" i="5"/>
  <c r="F192" i="5" s="1"/>
  <c r="F189" i="5"/>
  <c r="F188" i="5"/>
  <c r="F187" i="5"/>
  <c r="F181" i="5"/>
  <c r="F180" i="5"/>
  <c r="F179" i="5"/>
  <c r="F177" i="5"/>
  <c r="F182" i="5" s="1"/>
  <c r="F176" i="5"/>
  <c r="F175" i="5"/>
  <c r="F168" i="5"/>
  <c r="F169" i="5" s="1"/>
  <c r="F167" i="5"/>
  <c r="F164" i="5"/>
  <c r="F165" i="5" s="1"/>
  <c r="F170" i="5" s="1"/>
  <c r="F163" i="5"/>
  <c r="F156" i="5"/>
  <c r="F155" i="5"/>
  <c r="F152" i="5"/>
  <c r="F151" i="5"/>
  <c r="F153" i="5" s="1"/>
  <c r="F143" i="5"/>
  <c r="F144" i="5" s="1"/>
  <c r="F141" i="5"/>
  <c r="F145" i="5" s="1"/>
  <c r="F140" i="5"/>
  <c r="F139" i="5"/>
  <c r="F132" i="5"/>
  <c r="F133" i="5" s="1"/>
  <c r="F131" i="5"/>
  <c r="F128" i="5"/>
  <c r="F127" i="5"/>
  <c r="F120" i="5"/>
  <c r="F119" i="5"/>
  <c r="F116" i="5"/>
  <c r="F115" i="5"/>
  <c r="F117" i="5" s="1"/>
  <c r="F108" i="5"/>
  <c r="F107" i="5"/>
  <c r="F106" i="5"/>
  <c r="F103" i="5"/>
  <c r="F102" i="5"/>
  <c r="F104" i="5" s="1"/>
  <c r="F94" i="5"/>
  <c r="F93" i="5"/>
  <c r="F95" i="5" s="1"/>
  <c r="F90" i="5"/>
  <c r="F89" i="5"/>
  <c r="F88" i="5"/>
  <c r="F87" i="5"/>
  <c r="F91" i="5" s="1"/>
  <c r="F80" i="5"/>
  <c r="F79" i="5"/>
  <c r="F78" i="5"/>
  <c r="F77" i="5"/>
  <c r="F76" i="5"/>
  <c r="F81" i="5" s="1"/>
  <c r="F73" i="5"/>
  <c r="F72" i="5"/>
  <c r="F71" i="5"/>
  <c r="F70" i="5"/>
  <c r="F62" i="5"/>
  <c r="F61" i="5"/>
  <c r="F60" i="5"/>
  <c r="F57" i="5"/>
  <c r="F56" i="5"/>
  <c r="F58" i="5" s="1"/>
  <c r="F49" i="5"/>
  <c r="F48" i="5"/>
  <c r="F50" i="5" s="1"/>
  <c r="F47" i="5"/>
  <c r="F44" i="5"/>
  <c r="F43" i="5"/>
  <c r="F36" i="5"/>
  <c r="F35" i="5"/>
  <c r="F34" i="5"/>
  <c r="F33" i="5"/>
  <c r="F32" i="5"/>
  <c r="F31" i="5"/>
  <c r="D31" i="5"/>
  <c r="F30" i="5"/>
  <c r="F29" i="5"/>
  <c r="F28" i="5"/>
  <c r="F27" i="5"/>
  <c r="F26" i="5"/>
  <c r="F25" i="5"/>
  <c r="F24" i="5"/>
  <c r="F23" i="5"/>
  <c r="F22" i="5"/>
  <c r="F21" i="5"/>
  <c r="F20" i="5"/>
  <c r="F19" i="5"/>
  <c r="F18" i="5"/>
  <c r="F17" i="5"/>
  <c r="F16" i="5"/>
  <c r="F15" i="5"/>
  <c r="F12" i="5"/>
  <c r="F11" i="5"/>
  <c r="F13" i="5" s="1"/>
  <c r="F10" i="5"/>
  <c r="F316" i="4"/>
  <c r="J315" i="4"/>
  <c r="F315" i="4"/>
  <c r="F314" i="4"/>
  <c r="F311" i="4"/>
  <c r="F310" i="4"/>
  <c r="K309" i="4"/>
  <c r="F309" i="4"/>
  <c r="F312" i="4" s="1"/>
  <c r="F302" i="4"/>
  <c r="F301" i="4"/>
  <c r="F300" i="4"/>
  <c r="F303" i="4" s="1"/>
  <c r="F304" i="4" s="1"/>
  <c r="F298" i="4"/>
  <c r="F297" i="4"/>
  <c r="F299" i="4" s="1"/>
  <c r="F288" i="4"/>
  <c r="F287" i="4"/>
  <c r="F286" i="4"/>
  <c r="F285" i="4"/>
  <c r="F284" i="4"/>
  <c r="F282" i="4"/>
  <c r="F281" i="4"/>
  <c r="F280" i="4"/>
  <c r="F279" i="4"/>
  <c r="F278" i="4"/>
  <c r="F277" i="4"/>
  <c r="F276" i="4"/>
  <c r="F275" i="4"/>
  <c r="F283" i="4" s="1"/>
  <c r="F265" i="4"/>
  <c r="F264" i="4"/>
  <c r="F266" i="4" s="1"/>
  <c r="F261" i="4"/>
  <c r="F260" i="4"/>
  <c r="F259" i="4"/>
  <c r="F262" i="4" s="1"/>
  <c r="F267" i="4" s="1"/>
  <c r="E252" i="4"/>
  <c r="F252" i="4" s="1"/>
  <c r="F251" i="4"/>
  <c r="I248" i="4"/>
  <c r="G246" i="4"/>
  <c r="J245" i="4"/>
  <c r="F241" i="4"/>
  <c r="F242" i="4" s="1"/>
  <c r="F243" i="4" s="1"/>
  <c r="F238" i="4"/>
  <c r="F239" i="4" s="1"/>
  <c r="F237" i="4"/>
  <c r="G230" i="4"/>
  <c r="F226" i="4"/>
  <c r="F227" i="4" s="1"/>
  <c r="J225" i="4"/>
  <c r="F225" i="4"/>
  <c r="F222" i="4"/>
  <c r="F223" i="4" s="1"/>
  <c r="F221" i="4"/>
  <c r="C205" i="4"/>
  <c r="F200" i="4"/>
  <c r="F199" i="4"/>
  <c r="F201" i="4" s="1"/>
  <c r="M198" i="4"/>
  <c r="J198" i="4"/>
  <c r="F198" i="4"/>
  <c r="G197" i="4"/>
  <c r="F197" i="4"/>
  <c r="G196" i="4"/>
  <c r="F196" i="4"/>
  <c r="G195" i="4"/>
  <c r="F195" i="4"/>
  <c r="F194" i="4"/>
  <c r="F193" i="4"/>
  <c r="F192" i="4"/>
  <c r="F190" i="4"/>
  <c r="F189" i="4"/>
  <c r="F188" i="4"/>
  <c r="F187" i="4"/>
  <c r="F191" i="4" s="1"/>
  <c r="F202" i="4" s="1"/>
  <c r="I204" i="4" s="1"/>
  <c r="F179" i="4"/>
  <c r="F178" i="4"/>
  <c r="F177" i="4"/>
  <c r="F176" i="4"/>
  <c r="F174" i="4"/>
  <c r="F173" i="4"/>
  <c r="F172" i="4"/>
  <c r="F165" i="4"/>
  <c r="F166" i="4" s="1"/>
  <c r="F164" i="4"/>
  <c r="F161" i="4"/>
  <c r="F160" i="4"/>
  <c r="F152" i="4"/>
  <c r="F153" i="4" s="1"/>
  <c r="F154" i="4" s="1"/>
  <c r="F150" i="4"/>
  <c r="F149" i="4"/>
  <c r="F148" i="4"/>
  <c r="F143" i="4"/>
  <c r="F141" i="4"/>
  <c r="F140" i="4"/>
  <c r="F139" i="4"/>
  <c r="F142" i="4" s="1"/>
  <c r="F137" i="4"/>
  <c r="F136" i="4"/>
  <c r="F135" i="4"/>
  <c r="F129" i="4"/>
  <c r="F123" i="4"/>
  <c r="F124" i="4" s="1"/>
  <c r="F130" i="4" s="1"/>
  <c r="F122" i="4"/>
  <c r="F114" i="4"/>
  <c r="F113" i="4"/>
  <c r="F112" i="4"/>
  <c r="F109" i="4"/>
  <c r="F110" i="4" s="1"/>
  <c r="F108" i="4"/>
  <c r="I105" i="4"/>
  <c r="F92" i="4"/>
  <c r="F91" i="4"/>
  <c r="F90" i="4"/>
  <c r="F94" i="4" s="1"/>
  <c r="F89" i="4"/>
  <c r="K87" i="4"/>
  <c r="F86" i="4"/>
  <c r="F87" i="4" s="1"/>
  <c r="F85" i="4"/>
  <c r="F74" i="4"/>
  <c r="O73" i="4"/>
  <c r="F73" i="4"/>
  <c r="H72" i="4"/>
  <c r="H71" i="4"/>
  <c r="R70" i="4"/>
  <c r="F70" i="4"/>
  <c r="I69" i="4"/>
  <c r="F69" i="4"/>
  <c r="F71" i="4" s="1"/>
  <c r="O66" i="4"/>
  <c r="L66" i="4"/>
  <c r="I66" i="4"/>
  <c r="F62" i="4"/>
  <c r="F54" i="4"/>
  <c r="F53" i="4"/>
  <c r="F56" i="4" s="1"/>
  <c r="F46" i="4"/>
  <c r="F45" i="4"/>
  <c r="F44" i="4"/>
  <c r="F37" i="4"/>
  <c r="F38" i="4" s="1"/>
  <c r="F36" i="4"/>
  <c r="F30" i="4"/>
  <c r="F29" i="4"/>
  <c r="F23" i="4"/>
  <c r="F22" i="4"/>
  <c r="F21" i="4"/>
  <c r="F20" i="4"/>
  <c r="F19" i="4"/>
  <c r="F18" i="4"/>
  <c r="F17" i="4"/>
  <c r="F24" i="4" s="1"/>
  <c r="F9" i="4"/>
  <c r="F8" i="4"/>
  <c r="F10" i="4" s="1"/>
  <c r="F11" i="4" s="1"/>
  <c r="F393" i="3"/>
  <c r="F392" i="3"/>
  <c r="F394" i="3" s="1"/>
  <c r="F389" i="3"/>
  <c r="F388" i="3"/>
  <c r="F387" i="3"/>
  <c r="F381" i="3"/>
  <c r="F380" i="3"/>
  <c r="F379" i="3"/>
  <c r="F378" i="3"/>
  <c r="F376" i="3"/>
  <c r="F375" i="3"/>
  <c r="F374" i="3"/>
  <c r="F368" i="3"/>
  <c r="F369" i="3" s="1"/>
  <c r="F367" i="3"/>
  <c r="F364" i="3"/>
  <c r="F363" i="3"/>
  <c r="F362" i="3"/>
  <c r="F355" i="3"/>
  <c r="F356" i="3" s="1"/>
  <c r="F354" i="3"/>
  <c r="F353" i="3"/>
  <c r="F350" i="3"/>
  <c r="F351" i="3" s="1"/>
  <c r="F349" i="3"/>
  <c r="F342" i="3"/>
  <c r="F343" i="3" s="1"/>
  <c r="F341" i="3"/>
  <c r="F338" i="3"/>
  <c r="F337" i="3"/>
  <c r="F339" i="3" s="1"/>
  <c r="F329" i="3"/>
  <c r="F328" i="3"/>
  <c r="F330" i="3" s="1"/>
  <c r="F331" i="3" s="1"/>
  <c r="F326" i="3"/>
  <c r="F325" i="3"/>
  <c r="F324" i="3"/>
  <c r="F316" i="3"/>
  <c r="F315" i="3"/>
  <c r="F314" i="3"/>
  <c r="F317" i="3" s="1"/>
  <c r="F318" i="3" s="1"/>
  <c r="F313" i="3"/>
  <c r="F312" i="3"/>
  <c r="F311" i="3"/>
  <c r="F305" i="3"/>
  <c r="F304" i="3"/>
  <c r="F301" i="3"/>
  <c r="F300" i="3"/>
  <c r="F302" i="3" s="1"/>
  <c r="F306" i="3" s="1"/>
  <c r="F293" i="3"/>
  <c r="F294" i="3" s="1"/>
  <c r="F291" i="3"/>
  <c r="F290" i="3"/>
  <c r="F284" i="3"/>
  <c r="F283" i="3"/>
  <c r="F280" i="3"/>
  <c r="F279" i="3"/>
  <c r="F281" i="3" s="1"/>
  <c r="F272" i="3"/>
  <c r="F273" i="3" s="1"/>
  <c r="F270" i="3"/>
  <c r="F274" i="3" s="1"/>
  <c r="F269" i="3"/>
  <c r="F268" i="3"/>
  <c r="F260" i="3"/>
  <c r="F261" i="3" s="1"/>
  <c r="F257" i="3"/>
  <c r="F256" i="3"/>
  <c r="F258" i="3" s="1"/>
  <c r="F248" i="3"/>
  <c r="F245" i="3"/>
  <c r="F246" i="3" s="1"/>
  <c r="F244" i="3"/>
  <c r="C239" i="3"/>
  <c r="F234" i="3"/>
  <c r="F233" i="3"/>
  <c r="F230" i="3"/>
  <c r="F231" i="3" s="1"/>
  <c r="F235" i="3" s="1"/>
  <c r="F229" i="3"/>
  <c r="F221" i="3"/>
  <c r="F222" i="3" s="1"/>
  <c r="F223" i="3" s="1"/>
  <c r="F219" i="3"/>
  <c r="F218" i="3"/>
  <c r="F217" i="3"/>
  <c r="F212" i="3"/>
  <c r="F211" i="3"/>
  <c r="F210" i="3"/>
  <c r="F207" i="3"/>
  <c r="F208" i="3" s="1"/>
  <c r="F206" i="3"/>
  <c r="F200" i="3"/>
  <c r="F199" i="3"/>
  <c r="F198" i="3"/>
  <c r="F195" i="3"/>
  <c r="F194" i="3"/>
  <c r="F196" i="3" s="1"/>
  <c r="F187" i="3"/>
  <c r="F186" i="3"/>
  <c r="F183" i="3"/>
  <c r="F182" i="3"/>
  <c r="F184" i="3" s="1"/>
  <c r="F175" i="3"/>
  <c r="F174" i="3"/>
  <c r="F176" i="3" s="1"/>
  <c r="F171" i="3"/>
  <c r="F172" i="3" s="1"/>
  <c r="F177" i="3" s="1"/>
  <c r="F170" i="3"/>
  <c r="F163" i="3"/>
  <c r="F162" i="3"/>
  <c r="F161" i="3"/>
  <c r="F158" i="3"/>
  <c r="F159" i="3" s="1"/>
  <c r="F157" i="3"/>
  <c r="F149" i="3"/>
  <c r="F148" i="3"/>
  <c r="F147" i="3"/>
  <c r="F150" i="3" s="1"/>
  <c r="F144" i="3"/>
  <c r="F145" i="3" s="1"/>
  <c r="F151" i="3" s="1"/>
  <c r="F143" i="3"/>
  <c r="F136" i="3"/>
  <c r="F135" i="3"/>
  <c r="F134" i="3"/>
  <c r="F131" i="3"/>
  <c r="F132" i="3" s="1"/>
  <c r="F130" i="3"/>
  <c r="F125" i="3"/>
  <c r="F123" i="3"/>
  <c r="F124" i="3" s="1"/>
  <c r="F122" i="3"/>
  <c r="F120" i="3"/>
  <c r="F119" i="3"/>
  <c r="F118" i="3"/>
  <c r="F111" i="3"/>
  <c r="F110" i="3"/>
  <c r="F109" i="3"/>
  <c r="F108" i="3"/>
  <c r="F107" i="3"/>
  <c r="F106" i="3"/>
  <c r="D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7" i="3"/>
  <c r="F86" i="3"/>
  <c r="F88" i="3" s="1"/>
  <c r="F85" i="3"/>
  <c r="F78" i="3"/>
  <c r="F79" i="3" s="1"/>
  <c r="F77" i="3"/>
  <c r="F76" i="3"/>
  <c r="F75" i="3"/>
  <c r="F73" i="3"/>
  <c r="F72" i="3"/>
  <c r="F71" i="3"/>
  <c r="D66" i="3"/>
  <c r="D65" i="3"/>
  <c r="F62" i="3"/>
  <c r="F61" i="3"/>
  <c r="F60" i="3"/>
  <c r="F59" i="3"/>
  <c r="F58" i="3"/>
  <c r="F56" i="3"/>
  <c r="F55" i="3"/>
  <c r="F54" i="3"/>
  <c r="F53" i="3"/>
  <c r="F52" i="3"/>
  <c r="F51" i="3"/>
  <c r="F50" i="3"/>
  <c r="F49" i="3"/>
  <c r="F37" i="3"/>
  <c r="F38" i="3" s="1"/>
  <c r="F35" i="3"/>
  <c r="F39" i="3" s="1"/>
  <c r="F34" i="3"/>
  <c r="F33" i="3"/>
  <c r="F26" i="3"/>
  <c r="F25" i="3"/>
  <c r="F27" i="3" s="1"/>
  <c r="F16" i="3"/>
  <c r="F15" i="3"/>
  <c r="F17" i="3" s="1"/>
  <c r="F18" i="3" s="1"/>
  <c r="F9" i="3"/>
  <c r="F8" i="3"/>
  <c r="F7" i="3"/>
  <c r="F6" i="3"/>
  <c r="F5" i="3"/>
  <c r="F4" i="3"/>
  <c r="F3" i="3"/>
  <c r="U25" i="2"/>
  <c r="I303" i="1"/>
  <c r="E303" i="1" s="1"/>
  <c r="H303" i="1" s="1"/>
  <c r="H304" i="1" s="1"/>
  <c r="D51" i="2" s="1"/>
  <c r="G303" i="1"/>
  <c r="F303" i="1"/>
  <c r="H299" i="1"/>
  <c r="G299" i="1"/>
  <c r="F299" i="1"/>
  <c r="E299" i="1"/>
  <c r="H298" i="1"/>
  <c r="G298" i="1"/>
  <c r="F298" i="1"/>
  <c r="E298" i="1"/>
  <c r="I297" i="1"/>
  <c r="E297" i="1" s="1"/>
  <c r="H297" i="1" s="1"/>
  <c r="G297" i="1"/>
  <c r="F297" i="1"/>
  <c r="I296" i="1"/>
  <c r="H296" i="1"/>
  <c r="G296" i="1"/>
  <c r="F296" i="1"/>
  <c r="E296" i="1"/>
  <c r="G295" i="1"/>
  <c r="H295" i="1" s="1"/>
  <c r="F295" i="1"/>
  <c r="E295" i="1"/>
  <c r="G294" i="1"/>
  <c r="H294" i="1" s="1"/>
  <c r="F294" i="1"/>
  <c r="E294" i="1"/>
  <c r="G293" i="1"/>
  <c r="H293" i="1" s="1"/>
  <c r="F293" i="1"/>
  <c r="E293" i="1"/>
  <c r="G292" i="1"/>
  <c r="H292" i="1" s="1"/>
  <c r="F292" i="1"/>
  <c r="E292" i="1"/>
  <c r="G291" i="1"/>
  <c r="H291" i="1" s="1"/>
  <c r="F291" i="1"/>
  <c r="E291" i="1"/>
  <c r="G290" i="1"/>
  <c r="F290" i="1"/>
  <c r="I289" i="1"/>
  <c r="I290" i="1" s="1"/>
  <c r="E290" i="1" s="1"/>
  <c r="H290" i="1" s="1"/>
  <c r="G289" i="1"/>
  <c r="F289" i="1"/>
  <c r="E289" i="1"/>
  <c r="H289" i="1" s="1"/>
  <c r="G288" i="1"/>
  <c r="F288" i="1"/>
  <c r="G287" i="1"/>
  <c r="F287" i="1"/>
  <c r="I286" i="1"/>
  <c r="G286" i="1"/>
  <c r="F286" i="1"/>
  <c r="E286" i="1"/>
  <c r="H286" i="1" s="1"/>
  <c r="I285" i="1"/>
  <c r="I287" i="1" s="1"/>
  <c r="E287" i="1" s="1"/>
  <c r="H285" i="1"/>
  <c r="G285" i="1"/>
  <c r="F285" i="1"/>
  <c r="E285" i="1"/>
  <c r="I284" i="1"/>
  <c r="E284" i="1" s="1"/>
  <c r="H284" i="1" s="1"/>
  <c r="G284" i="1"/>
  <c r="F284" i="1"/>
  <c r="I283" i="1"/>
  <c r="H283" i="1"/>
  <c r="G283" i="1"/>
  <c r="F283" i="1"/>
  <c r="E283" i="1"/>
  <c r="I282" i="1"/>
  <c r="E282" i="1" s="1"/>
  <c r="H282" i="1" s="1"/>
  <c r="G282" i="1"/>
  <c r="F282" i="1"/>
  <c r="H277" i="1"/>
  <c r="G277" i="1"/>
  <c r="F277" i="1"/>
  <c r="E277" i="1"/>
  <c r="I276" i="1"/>
  <c r="E276" i="1" s="1"/>
  <c r="H276" i="1" s="1"/>
  <c r="G276" i="1"/>
  <c r="F276" i="1"/>
  <c r="G275" i="1"/>
  <c r="F275" i="1"/>
  <c r="E275" i="1"/>
  <c r="H274" i="1"/>
  <c r="G274" i="1"/>
  <c r="F274" i="1"/>
  <c r="I273" i="1"/>
  <c r="I274" i="1" s="1"/>
  <c r="E274" i="1" s="1"/>
  <c r="G273" i="1"/>
  <c r="F273" i="1"/>
  <c r="E273" i="1"/>
  <c r="H273" i="1" s="1"/>
  <c r="G272" i="1"/>
  <c r="F272" i="1"/>
  <c r="G271" i="1"/>
  <c r="F271" i="1"/>
  <c r="G270" i="1"/>
  <c r="F270" i="1"/>
  <c r="I269" i="1"/>
  <c r="I270" i="1" s="1"/>
  <c r="G269" i="1"/>
  <c r="F269" i="1"/>
  <c r="I268" i="1"/>
  <c r="H268" i="1"/>
  <c r="G268" i="1"/>
  <c r="F268" i="1"/>
  <c r="E268" i="1"/>
  <c r="K267" i="1"/>
  <c r="I267" i="1"/>
  <c r="H267" i="1"/>
  <c r="G267" i="1"/>
  <c r="F267" i="1"/>
  <c r="E267" i="1"/>
  <c r="I266" i="1"/>
  <c r="E266" i="1" s="1"/>
  <c r="H266" i="1" s="1"/>
  <c r="G266" i="1"/>
  <c r="F266" i="1"/>
  <c r="H261" i="1"/>
  <c r="G261" i="1"/>
  <c r="F261" i="1"/>
  <c r="E261" i="1"/>
  <c r="I260" i="1"/>
  <c r="E260" i="1" s="1"/>
  <c r="H260" i="1" s="1"/>
  <c r="G260" i="1"/>
  <c r="F260" i="1"/>
  <c r="G259" i="1"/>
  <c r="F259" i="1"/>
  <c r="E259" i="1"/>
  <c r="H259" i="1" s="1"/>
  <c r="G258" i="1"/>
  <c r="F258" i="1"/>
  <c r="E258" i="1"/>
  <c r="H258" i="1" s="1"/>
  <c r="G257" i="1"/>
  <c r="F257" i="1"/>
  <c r="E257" i="1"/>
  <c r="G256" i="1"/>
  <c r="F256" i="1"/>
  <c r="E256" i="1"/>
  <c r="G255" i="1"/>
  <c r="F255" i="1"/>
  <c r="E255" i="1"/>
  <c r="H255" i="1" s="1"/>
  <c r="G254" i="1"/>
  <c r="F254" i="1"/>
  <c r="E254" i="1"/>
  <c r="H254" i="1" s="1"/>
  <c r="G253" i="1"/>
  <c r="F253" i="1"/>
  <c r="E253" i="1"/>
  <c r="G252" i="1"/>
  <c r="F252" i="1"/>
  <c r="E252" i="1"/>
  <c r="O251" i="1"/>
  <c r="H251" i="1"/>
  <c r="G251" i="1"/>
  <c r="F251" i="1"/>
  <c r="E251" i="1"/>
  <c r="O250" i="1"/>
  <c r="G250" i="1"/>
  <c r="F250" i="1"/>
  <c r="E250" i="1"/>
  <c r="O249" i="1"/>
  <c r="H249" i="1"/>
  <c r="G249" i="1"/>
  <c r="F249" i="1"/>
  <c r="E249" i="1"/>
  <c r="O248" i="1"/>
  <c r="M248" i="1"/>
  <c r="I248" i="1"/>
  <c r="E248" i="1" s="1"/>
  <c r="H248" i="1" s="1"/>
  <c r="G248" i="1"/>
  <c r="F248" i="1"/>
  <c r="G247" i="1"/>
  <c r="F247" i="1"/>
  <c r="E247" i="1"/>
  <c r="H247" i="1" s="1"/>
  <c r="G246" i="1"/>
  <c r="F246" i="1"/>
  <c r="E246" i="1"/>
  <c r="H246" i="1" s="1"/>
  <c r="G245" i="1"/>
  <c r="F245" i="1"/>
  <c r="E245" i="1"/>
  <c r="G244" i="1"/>
  <c r="F244" i="1"/>
  <c r="E244" i="1"/>
  <c r="N243" i="1"/>
  <c r="H243" i="1"/>
  <c r="G243" i="1"/>
  <c r="F243" i="1"/>
  <c r="E243" i="1"/>
  <c r="N242" i="1"/>
  <c r="G242" i="1"/>
  <c r="F242" i="1"/>
  <c r="E242" i="1"/>
  <c r="F241" i="1"/>
  <c r="E241" i="1"/>
  <c r="H241" i="1" s="1"/>
  <c r="H240" i="1"/>
  <c r="G240" i="1"/>
  <c r="F240" i="1"/>
  <c r="E240" i="1"/>
  <c r="O239" i="1"/>
  <c r="N239" i="1"/>
  <c r="I239" i="1"/>
  <c r="E239" i="1" s="1"/>
  <c r="H239" i="1" s="1"/>
  <c r="G239" i="1"/>
  <c r="F239" i="1"/>
  <c r="M238" i="1"/>
  <c r="H238" i="1"/>
  <c r="G238" i="1"/>
  <c r="F238" i="1"/>
  <c r="E238" i="1"/>
  <c r="N237" i="1"/>
  <c r="G237" i="1"/>
  <c r="F237" i="1"/>
  <c r="E237" i="1"/>
  <c r="H237" i="1" s="1"/>
  <c r="G236" i="1"/>
  <c r="F236" i="1"/>
  <c r="E236" i="1"/>
  <c r="G235" i="1"/>
  <c r="F235" i="1"/>
  <c r="E235" i="1"/>
  <c r="G234" i="1"/>
  <c r="F234" i="1"/>
  <c r="E234" i="1"/>
  <c r="H234" i="1" s="1"/>
  <c r="G233" i="1"/>
  <c r="F233" i="1"/>
  <c r="E233" i="1"/>
  <c r="H233" i="1" s="1"/>
  <c r="G232" i="1"/>
  <c r="F232" i="1"/>
  <c r="E232" i="1"/>
  <c r="G231" i="1"/>
  <c r="F231" i="1"/>
  <c r="E231" i="1"/>
  <c r="G230" i="1"/>
  <c r="F230" i="1"/>
  <c r="E230" i="1"/>
  <c r="H230" i="1" s="1"/>
  <c r="G229" i="1"/>
  <c r="F229" i="1"/>
  <c r="E229" i="1"/>
  <c r="H229" i="1" s="1"/>
  <c r="I228" i="1"/>
  <c r="H228" i="1"/>
  <c r="G228" i="1"/>
  <c r="F228" i="1"/>
  <c r="E228" i="1"/>
  <c r="G223" i="1"/>
  <c r="F223" i="1"/>
  <c r="E223" i="1"/>
  <c r="H223" i="1" s="1"/>
  <c r="G222" i="1"/>
  <c r="F222" i="1"/>
  <c r="E222" i="1"/>
  <c r="H222" i="1" s="1"/>
  <c r="G221" i="1"/>
  <c r="F221" i="1"/>
  <c r="E221" i="1"/>
  <c r="G220" i="1"/>
  <c r="F220" i="1"/>
  <c r="E220" i="1"/>
  <c r="G219" i="1"/>
  <c r="F219" i="1"/>
  <c r="E219" i="1"/>
  <c r="H219" i="1" s="1"/>
  <c r="G218" i="1"/>
  <c r="F218" i="1"/>
  <c r="E218" i="1"/>
  <c r="H218" i="1" s="1"/>
  <c r="G217" i="1"/>
  <c r="F217" i="1"/>
  <c r="E217" i="1"/>
  <c r="G216" i="1"/>
  <c r="F216" i="1"/>
  <c r="E216" i="1"/>
  <c r="G215" i="1"/>
  <c r="F215" i="1"/>
  <c r="E215" i="1"/>
  <c r="H215" i="1" s="1"/>
  <c r="G214" i="1"/>
  <c r="F214" i="1"/>
  <c r="E214" i="1"/>
  <c r="H214" i="1" s="1"/>
  <c r="I213" i="1"/>
  <c r="H213" i="1"/>
  <c r="G213" i="1"/>
  <c r="F213" i="1"/>
  <c r="E213" i="1"/>
  <c r="H212" i="1"/>
  <c r="G212" i="1"/>
  <c r="F212" i="1"/>
  <c r="E212" i="1"/>
  <c r="H211" i="1"/>
  <c r="G211" i="1"/>
  <c r="F211" i="1"/>
  <c r="E211" i="1"/>
  <c r="H210" i="1"/>
  <c r="G210" i="1"/>
  <c r="F210" i="1"/>
  <c r="E210" i="1"/>
  <c r="I209" i="1"/>
  <c r="G209" i="1"/>
  <c r="F209" i="1"/>
  <c r="E209" i="1"/>
  <c r="H209" i="1" s="1"/>
  <c r="I208" i="1"/>
  <c r="H208" i="1"/>
  <c r="G208" i="1"/>
  <c r="F208" i="1"/>
  <c r="E208" i="1"/>
  <c r="I207" i="1"/>
  <c r="G207" i="1"/>
  <c r="F207" i="1"/>
  <c r="E207" i="1"/>
  <c r="G206" i="1"/>
  <c r="F206" i="1"/>
  <c r="E206" i="1"/>
  <c r="H206" i="1" s="1"/>
  <c r="G205" i="1"/>
  <c r="F205" i="1"/>
  <c r="E205" i="1"/>
  <c r="H205" i="1" s="1"/>
  <c r="G204" i="1"/>
  <c r="F204" i="1"/>
  <c r="E204" i="1"/>
  <c r="G203" i="1"/>
  <c r="F203" i="1"/>
  <c r="E203" i="1"/>
  <c r="G202" i="1"/>
  <c r="F202" i="1"/>
  <c r="E202" i="1"/>
  <c r="H202" i="1" s="1"/>
  <c r="G201" i="1"/>
  <c r="F201" i="1"/>
  <c r="E201" i="1"/>
  <c r="H201" i="1" s="1"/>
  <c r="G200" i="1"/>
  <c r="F200" i="1"/>
  <c r="E200" i="1"/>
  <c r="H196" i="1"/>
  <c r="G196" i="1"/>
  <c r="F196" i="1"/>
  <c r="E196" i="1"/>
  <c r="H195" i="1"/>
  <c r="G195" i="1"/>
  <c r="F195" i="1"/>
  <c r="E195" i="1"/>
  <c r="I194" i="1"/>
  <c r="E194" i="1" s="1"/>
  <c r="H194" i="1" s="1"/>
  <c r="G194" i="1"/>
  <c r="F194" i="1"/>
  <c r="M193" i="1"/>
  <c r="H193" i="1"/>
  <c r="G193" i="1"/>
  <c r="F193" i="1"/>
  <c r="E193" i="1"/>
  <c r="H192" i="1"/>
  <c r="G192" i="1"/>
  <c r="F192" i="1"/>
  <c r="E192" i="1"/>
  <c r="I191" i="1"/>
  <c r="G191" i="1"/>
  <c r="F191" i="1"/>
  <c r="E191" i="1"/>
  <c r="H191" i="1" s="1"/>
  <c r="G190" i="1"/>
  <c r="F190" i="1"/>
  <c r="E190" i="1"/>
  <c r="G189" i="1"/>
  <c r="F189" i="1"/>
  <c r="E189" i="1"/>
  <c r="M188" i="1"/>
  <c r="H188" i="1"/>
  <c r="G188" i="1"/>
  <c r="F188" i="1"/>
  <c r="E188" i="1"/>
  <c r="O187" i="1"/>
  <c r="G187" i="1"/>
  <c r="F187" i="1"/>
  <c r="E187" i="1"/>
  <c r="O186" i="1"/>
  <c r="H186" i="1"/>
  <c r="G186" i="1"/>
  <c r="F186" i="1"/>
  <c r="E186" i="1"/>
  <c r="H185" i="1"/>
  <c r="G185" i="1"/>
  <c r="F185" i="1"/>
  <c r="E185" i="1"/>
  <c r="H184" i="1"/>
  <c r="G184" i="1"/>
  <c r="F184" i="1"/>
  <c r="E184" i="1"/>
  <c r="H183" i="1"/>
  <c r="G183" i="1"/>
  <c r="F183" i="1"/>
  <c r="E183" i="1"/>
  <c r="H182" i="1"/>
  <c r="G182" i="1"/>
  <c r="F182" i="1"/>
  <c r="E182" i="1"/>
  <c r="H181" i="1"/>
  <c r="G181" i="1"/>
  <c r="F181" i="1"/>
  <c r="E181" i="1"/>
  <c r="H180" i="1"/>
  <c r="G180" i="1"/>
  <c r="F180" i="1"/>
  <c r="E180" i="1"/>
  <c r="H179" i="1"/>
  <c r="G179" i="1"/>
  <c r="F179" i="1"/>
  <c r="E179" i="1"/>
  <c r="H178" i="1"/>
  <c r="G178" i="1"/>
  <c r="F178" i="1"/>
  <c r="E178" i="1"/>
  <c r="H177" i="1"/>
  <c r="G177" i="1"/>
  <c r="F177" i="1"/>
  <c r="E177" i="1"/>
  <c r="H176" i="1"/>
  <c r="G176" i="1"/>
  <c r="F176" i="1"/>
  <c r="E176" i="1"/>
  <c r="H175" i="1"/>
  <c r="G175" i="1"/>
  <c r="F175" i="1"/>
  <c r="E175" i="1"/>
  <c r="H174" i="1"/>
  <c r="G174" i="1"/>
  <c r="F174" i="1"/>
  <c r="E174" i="1"/>
  <c r="H173" i="1"/>
  <c r="G173" i="1"/>
  <c r="F173" i="1"/>
  <c r="E173" i="1"/>
  <c r="H172" i="1"/>
  <c r="G172" i="1"/>
  <c r="F172" i="1"/>
  <c r="E172" i="1"/>
  <c r="H171" i="1"/>
  <c r="G171" i="1"/>
  <c r="F171" i="1"/>
  <c r="E171" i="1"/>
  <c r="H170" i="1"/>
  <c r="G170" i="1"/>
  <c r="F170" i="1"/>
  <c r="E170" i="1"/>
  <c r="H169" i="1"/>
  <c r="G169" i="1"/>
  <c r="F169" i="1"/>
  <c r="E169" i="1"/>
  <c r="H168" i="1"/>
  <c r="G168" i="1"/>
  <c r="F168" i="1"/>
  <c r="E168" i="1"/>
  <c r="H167" i="1"/>
  <c r="G167" i="1"/>
  <c r="F167" i="1"/>
  <c r="E167" i="1"/>
  <c r="H166" i="1"/>
  <c r="G166" i="1"/>
  <c r="F166" i="1"/>
  <c r="E166" i="1"/>
  <c r="H165" i="1"/>
  <c r="G165" i="1"/>
  <c r="F165" i="1"/>
  <c r="E165" i="1"/>
  <c r="H164" i="1"/>
  <c r="G164" i="1"/>
  <c r="F164" i="1"/>
  <c r="E164" i="1"/>
  <c r="H163" i="1"/>
  <c r="G163" i="1"/>
  <c r="F163" i="1"/>
  <c r="E163" i="1"/>
  <c r="H162" i="1"/>
  <c r="G162" i="1"/>
  <c r="F162" i="1"/>
  <c r="E162" i="1"/>
  <c r="H161" i="1"/>
  <c r="G161" i="1"/>
  <c r="F161" i="1"/>
  <c r="E161" i="1"/>
  <c r="H160" i="1"/>
  <c r="G160" i="1"/>
  <c r="F160" i="1"/>
  <c r="E160" i="1"/>
  <c r="H159" i="1"/>
  <c r="G159" i="1"/>
  <c r="F159" i="1"/>
  <c r="E159" i="1"/>
  <c r="H158" i="1"/>
  <c r="G158" i="1"/>
  <c r="F158" i="1"/>
  <c r="E158" i="1"/>
  <c r="H157" i="1"/>
  <c r="G157" i="1"/>
  <c r="F157" i="1"/>
  <c r="E157" i="1"/>
  <c r="H156" i="1"/>
  <c r="G156" i="1"/>
  <c r="F156" i="1"/>
  <c r="E156" i="1"/>
  <c r="H155" i="1"/>
  <c r="G155" i="1"/>
  <c r="F155" i="1"/>
  <c r="E155" i="1"/>
  <c r="H154" i="1"/>
  <c r="G154" i="1"/>
  <c r="F154" i="1"/>
  <c r="E154" i="1"/>
  <c r="H153" i="1"/>
  <c r="G153" i="1"/>
  <c r="F153" i="1"/>
  <c r="E153" i="1"/>
  <c r="L152" i="1"/>
  <c r="G152" i="1"/>
  <c r="F152" i="1"/>
  <c r="E152" i="1"/>
  <c r="H152" i="1" s="1"/>
  <c r="G151" i="1"/>
  <c r="F151" i="1"/>
  <c r="E151" i="1"/>
  <c r="G150" i="1"/>
  <c r="F150" i="1"/>
  <c r="E150" i="1"/>
  <c r="I149" i="1"/>
  <c r="H149" i="1"/>
  <c r="G149" i="1"/>
  <c r="F149" i="1"/>
  <c r="E149" i="1"/>
  <c r="I148" i="1"/>
  <c r="E148" i="1" s="1"/>
  <c r="H148" i="1" s="1"/>
  <c r="G148" i="1"/>
  <c r="F148" i="1"/>
  <c r="I147" i="1"/>
  <c r="H147" i="1"/>
  <c r="G147" i="1"/>
  <c r="F147" i="1"/>
  <c r="E147" i="1"/>
  <c r="I146" i="1"/>
  <c r="G146" i="1"/>
  <c r="F146" i="1"/>
  <c r="E146" i="1"/>
  <c r="H146" i="1" s="1"/>
  <c r="I145" i="1"/>
  <c r="H145" i="1"/>
  <c r="G145" i="1"/>
  <c r="F145" i="1"/>
  <c r="E145" i="1"/>
  <c r="I144" i="1"/>
  <c r="G144" i="1"/>
  <c r="F144" i="1"/>
  <c r="E144" i="1"/>
  <c r="H144" i="1" s="1"/>
  <c r="I143" i="1"/>
  <c r="H143" i="1"/>
  <c r="G143" i="1"/>
  <c r="F143" i="1"/>
  <c r="E143" i="1"/>
  <c r="I142" i="1"/>
  <c r="G142" i="1"/>
  <c r="F142" i="1"/>
  <c r="E142" i="1"/>
  <c r="I141" i="1"/>
  <c r="H141" i="1"/>
  <c r="G141" i="1"/>
  <c r="F141" i="1"/>
  <c r="E141" i="1"/>
  <c r="I140" i="1"/>
  <c r="E140" i="1" s="1"/>
  <c r="H140" i="1" s="1"/>
  <c r="G140" i="1"/>
  <c r="F140" i="1"/>
  <c r="I139" i="1"/>
  <c r="H139" i="1"/>
  <c r="G139" i="1"/>
  <c r="F139" i="1"/>
  <c r="E139" i="1"/>
  <c r="I138" i="1"/>
  <c r="G138" i="1"/>
  <c r="F138" i="1"/>
  <c r="E138" i="1"/>
  <c r="H138" i="1" s="1"/>
  <c r="I137" i="1"/>
  <c r="H137" i="1"/>
  <c r="G137" i="1"/>
  <c r="F137" i="1"/>
  <c r="E137" i="1"/>
  <c r="H136" i="1"/>
  <c r="G136" i="1"/>
  <c r="F136" i="1"/>
  <c r="E136" i="1"/>
  <c r="I132" i="1"/>
  <c r="H132" i="1"/>
  <c r="G132" i="1"/>
  <c r="F132" i="1"/>
  <c r="E132" i="1"/>
  <c r="I131" i="1"/>
  <c r="E131" i="1" s="1"/>
  <c r="H131" i="1" s="1"/>
  <c r="G131" i="1"/>
  <c r="F131" i="1"/>
  <c r="I130" i="1"/>
  <c r="H130" i="1"/>
  <c r="G130" i="1"/>
  <c r="F130" i="1"/>
  <c r="E130" i="1"/>
  <c r="I129" i="1"/>
  <c r="G129" i="1"/>
  <c r="F129" i="1"/>
  <c r="E129" i="1"/>
  <c r="H129" i="1" s="1"/>
  <c r="I128" i="1"/>
  <c r="H128" i="1"/>
  <c r="G128" i="1"/>
  <c r="F128" i="1"/>
  <c r="E128" i="1"/>
  <c r="I127" i="1"/>
  <c r="G127" i="1"/>
  <c r="F127" i="1"/>
  <c r="E127" i="1"/>
  <c r="H127" i="1" s="1"/>
  <c r="I126" i="1"/>
  <c r="H126" i="1"/>
  <c r="G126" i="1"/>
  <c r="F126" i="1"/>
  <c r="E126" i="1"/>
  <c r="I125" i="1"/>
  <c r="G125" i="1"/>
  <c r="F125" i="1"/>
  <c r="E125" i="1"/>
  <c r="I124" i="1"/>
  <c r="H124" i="1"/>
  <c r="G124" i="1"/>
  <c r="F124" i="1"/>
  <c r="E124" i="1"/>
  <c r="H121" i="1"/>
  <c r="D37" i="2" s="1"/>
  <c r="I120" i="1"/>
  <c r="H120" i="1"/>
  <c r="G120" i="1"/>
  <c r="F120" i="1"/>
  <c r="E120" i="1"/>
  <c r="H119" i="1"/>
  <c r="G119" i="1"/>
  <c r="F119" i="1"/>
  <c r="E119" i="1"/>
  <c r="I115" i="1"/>
  <c r="H115" i="1"/>
  <c r="G115" i="1"/>
  <c r="F115" i="1"/>
  <c r="E115" i="1"/>
  <c r="I114" i="1"/>
  <c r="E114" i="1" s="1"/>
  <c r="H114" i="1" s="1"/>
  <c r="G114" i="1"/>
  <c r="F114" i="1"/>
  <c r="I113" i="1"/>
  <c r="H113" i="1"/>
  <c r="G113" i="1"/>
  <c r="F113" i="1"/>
  <c r="E113" i="1"/>
  <c r="H112" i="1"/>
  <c r="G112" i="1"/>
  <c r="F112" i="1"/>
  <c r="E112" i="1"/>
  <c r="I111" i="1"/>
  <c r="G111" i="1"/>
  <c r="F111" i="1"/>
  <c r="E111" i="1"/>
  <c r="H111" i="1" s="1"/>
  <c r="I110" i="1"/>
  <c r="H110" i="1"/>
  <c r="G110" i="1"/>
  <c r="F110" i="1"/>
  <c r="E110" i="1"/>
  <c r="I109" i="1"/>
  <c r="G109" i="1"/>
  <c r="F109" i="1"/>
  <c r="E109" i="1"/>
  <c r="H109" i="1" s="1"/>
  <c r="H116" i="1" s="1"/>
  <c r="D35" i="2" s="1"/>
  <c r="K105" i="1"/>
  <c r="G105" i="1"/>
  <c r="F105" i="1"/>
  <c r="E105" i="1"/>
  <c r="H105" i="1" s="1"/>
  <c r="G104" i="1"/>
  <c r="F104" i="1"/>
  <c r="E104" i="1"/>
  <c r="H104" i="1" s="1"/>
  <c r="I103" i="1"/>
  <c r="H103" i="1"/>
  <c r="G103" i="1"/>
  <c r="F103" i="1"/>
  <c r="E103" i="1"/>
  <c r="I102" i="1"/>
  <c r="G102" i="1"/>
  <c r="F102" i="1"/>
  <c r="E102" i="1"/>
  <c r="H102" i="1" s="1"/>
  <c r="I101" i="1"/>
  <c r="G101" i="1"/>
  <c r="F101" i="1"/>
  <c r="E101" i="1"/>
  <c r="H101" i="1" s="1"/>
  <c r="I100" i="1"/>
  <c r="G100" i="1"/>
  <c r="F100" i="1"/>
  <c r="E100" i="1"/>
  <c r="I96" i="1"/>
  <c r="H96" i="1"/>
  <c r="G96" i="1"/>
  <c r="F96" i="1"/>
  <c r="E96" i="1"/>
  <c r="I95" i="1"/>
  <c r="G95" i="1"/>
  <c r="F95" i="1"/>
  <c r="E95" i="1"/>
  <c r="H95" i="1" s="1"/>
  <c r="I94" i="1"/>
  <c r="G94" i="1"/>
  <c r="F94" i="1"/>
  <c r="E94" i="1"/>
  <c r="H94" i="1" s="1"/>
  <c r="I93" i="1"/>
  <c r="H93" i="1"/>
  <c r="G93" i="1"/>
  <c r="F93" i="1"/>
  <c r="E93" i="1"/>
  <c r="L92" i="1"/>
  <c r="I92" i="1"/>
  <c r="H92" i="1"/>
  <c r="G92" i="1"/>
  <c r="F92" i="1"/>
  <c r="E92" i="1"/>
  <c r="H90" i="1"/>
  <c r="G90" i="1"/>
  <c r="F90" i="1"/>
  <c r="E90" i="1"/>
  <c r="H89" i="1"/>
  <c r="G89" i="1"/>
  <c r="F89" i="1"/>
  <c r="E89" i="1"/>
  <c r="H88" i="1"/>
  <c r="G88" i="1"/>
  <c r="F88" i="1"/>
  <c r="E88" i="1"/>
  <c r="O87" i="1"/>
  <c r="G87" i="1"/>
  <c r="F87" i="1"/>
  <c r="E87" i="1"/>
  <c r="I82" i="1"/>
  <c r="G82" i="1"/>
  <c r="F82" i="1"/>
  <c r="E82" i="1"/>
  <c r="H82" i="1" s="1"/>
  <c r="I81" i="1"/>
  <c r="G81" i="1"/>
  <c r="F81" i="1"/>
  <c r="E81" i="1"/>
  <c r="H81" i="1" s="1"/>
  <c r="O80" i="1"/>
  <c r="L80" i="1"/>
  <c r="K80" i="1"/>
  <c r="I80" i="1"/>
  <c r="G80" i="1"/>
  <c r="F80" i="1"/>
  <c r="E80" i="1"/>
  <c r="H80" i="1" s="1"/>
  <c r="G79" i="1"/>
  <c r="F79" i="1"/>
  <c r="I78" i="1"/>
  <c r="G78" i="1"/>
  <c r="H78" i="1" s="1"/>
  <c r="F78" i="1"/>
  <c r="E78" i="1"/>
  <c r="G77" i="1"/>
  <c r="H77" i="1" s="1"/>
  <c r="F77" i="1"/>
  <c r="E77" i="1"/>
  <c r="G76" i="1"/>
  <c r="H76" i="1" s="1"/>
  <c r="F76" i="1"/>
  <c r="E76" i="1"/>
  <c r="G75" i="1"/>
  <c r="H75" i="1" s="1"/>
  <c r="H83" i="1" s="1"/>
  <c r="D29" i="2" s="1"/>
  <c r="F75" i="1"/>
  <c r="E75" i="1"/>
  <c r="I71" i="1"/>
  <c r="G71" i="1"/>
  <c r="F71" i="1"/>
  <c r="E71" i="1"/>
  <c r="H71" i="1" s="1"/>
  <c r="I70" i="1"/>
  <c r="G70" i="1"/>
  <c r="F70" i="1"/>
  <c r="E70" i="1"/>
  <c r="H70" i="1" s="1"/>
  <c r="I69" i="1"/>
  <c r="H69" i="1"/>
  <c r="H72" i="1" s="1"/>
  <c r="D27" i="2" s="1"/>
  <c r="G69" i="1"/>
  <c r="F69" i="1"/>
  <c r="E69" i="1"/>
  <c r="G65" i="1"/>
  <c r="F65" i="1"/>
  <c r="I64" i="1"/>
  <c r="E64" i="1" s="1"/>
  <c r="H64" i="1" s="1"/>
  <c r="G64" i="1"/>
  <c r="F64" i="1"/>
  <c r="I63" i="1"/>
  <c r="H63" i="1"/>
  <c r="G63" i="1"/>
  <c r="F63" i="1"/>
  <c r="E63" i="1"/>
  <c r="I62" i="1"/>
  <c r="G62" i="1"/>
  <c r="F62" i="1"/>
  <c r="E62" i="1"/>
  <c r="H62" i="1" s="1"/>
  <c r="I61" i="1"/>
  <c r="I65" i="1" s="1"/>
  <c r="E65" i="1" s="1"/>
  <c r="H65" i="1" s="1"/>
  <c r="G61" i="1"/>
  <c r="F61" i="1"/>
  <c r="E61" i="1"/>
  <c r="H61" i="1" s="1"/>
  <c r="I57" i="1"/>
  <c r="H57" i="1"/>
  <c r="G57" i="1"/>
  <c r="F57" i="1"/>
  <c r="E57" i="1"/>
  <c r="I56" i="1"/>
  <c r="G56" i="1"/>
  <c r="F56" i="1"/>
  <c r="E56" i="1"/>
  <c r="H56" i="1" s="1"/>
  <c r="I55" i="1"/>
  <c r="G55" i="1"/>
  <c r="F55" i="1"/>
  <c r="E55" i="1"/>
  <c r="H55" i="1" s="1"/>
  <c r="K54" i="1"/>
  <c r="I54" i="1"/>
  <c r="H54" i="1"/>
  <c r="G54" i="1"/>
  <c r="F54" i="1"/>
  <c r="E54" i="1"/>
  <c r="I53" i="1"/>
  <c r="G53" i="1"/>
  <c r="F53" i="1"/>
  <c r="E53" i="1"/>
  <c r="H53" i="1" s="1"/>
  <c r="L52" i="1"/>
  <c r="K52" i="1"/>
  <c r="I52" i="1"/>
  <c r="G52" i="1"/>
  <c r="F52" i="1"/>
  <c r="E52" i="1"/>
  <c r="H52" i="1" s="1"/>
  <c r="I51" i="1"/>
  <c r="G51" i="1"/>
  <c r="F51" i="1"/>
  <c r="E51" i="1"/>
  <c r="H51" i="1" s="1"/>
  <c r="M48" i="1"/>
  <c r="I47" i="1"/>
  <c r="G47" i="1"/>
  <c r="F47" i="1"/>
  <c r="E47" i="1"/>
  <c r="H47" i="1" s="1"/>
  <c r="I46" i="1"/>
  <c r="G46" i="1"/>
  <c r="F46" i="1"/>
  <c r="E46" i="1"/>
  <c r="H46" i="1" s="1"/>
  <c r="H48" i="1" s="1"/>
  <c r="D21" i="2" s="1"/>
  <c r="I42" i="1"/>
  <c r="H42" i="1"/>
  <c r="G42" i="1"/>
  <c r="F42" i="1"/>
  <c r="E42" i="1"/>
  <c r="H41" i="1"/>
  <c r="G41" i="1"/>
  <c r="F41" i="1"/>
  <c r="E41" i="1"/>
  <c r="H40" i="1"/>
  <c r="G40" i="1"/>
  <c r="F40" i="1"/>
  <c r="E40" i="1"/>
  <c r="H39" i="1"/>
  <c r="G39" i="1"/>
  <c r="F39" i="1"/>
  <c r="E39" i="1"/>
  <c r="M38" i="1"/>
  <c r="I38" i="1"/>
  <c r="G38" i="1"/>
  <c r="F38" i="1"/>
  <c r="E38" i="1"/>
  <c r="H38" i="1" s="1"/>
  <c r="G37" i="1"/>
  <c r="F37" i="1"/>
  <c r="E37" i="1"/>
  <c r="H37" i="1" s="1"/>
  <c r="I36" i="1"/>
  <c r="G36" i="1"/>
  <c r="F36" i="1"/>
  <c r="E36" i="1"/>
  <c r="H36" i="1" s="1"/>
  <c r="I35" i="1"/>
  <c r="H35" i="1"/>
  <c r="G35" i="1"/>
  <c r="F35" i="1"/>
  <c r="E35" i="1"/>
  <c r="I34" i="1"/>
  <c r="E34" i="1" s="1"/>
  <c r="H34" i="1" s="1"/>
  <c r="G34" i="1"/>
  <c r="F34" i="1"/>
  <c r="I33" i="1"/>
  <c r="G33" i="1"/>
  <c r="F33" i="1"/>
  <c r="E33" i="1"/>
  <c r="H33" i="1" s="1"/>
  <c r="I32" i="1"/>
  <c r="G32" i="1"/>
  <c r="F32" i="1"/>
  <c r="E32" i="1"/>
  <c r="H32" i="1" s="1"/>
  <c r="G31" i="1"/>
  <c r="F31" i="1"/>
  <c r="I30" i="1"/>
  <c r="I79" i="1" s="1"/>
  <c r="E79" i="1" s="1"/>
  <c r="H79" i="1" s="1"/>
  <c r="H30" i="1"/>
  <c r="G30" i="1"/>
  <c r="F30" i="1"/>
  <c r="E30" i="1"/>
  <c r="G26" i="1"/>
  <c r="F26" i="1"/>
  <c r="E26" i="1"/>
  <c r="H26" i="1" s="1"/>
  <c r="I25" i="1"/>
  <c r="G25" i="1"/>
  <c r="F25" i="1"/>
  <c r="E25" i="1"/>
  <c r="H25" i="1" s="1"/>
  <c r="I24" i="1"/>
  <c r="G24" i="1"/>
  <c r="H24" i="1" s="1"/>
  <c r="F24" i="1"/>
  <c r="E24" i="1"/>
  <c r="I23" i="1"/>
  <c r="H23" i="1"/>
  <c r="G23" i="1"/>
  <c r="F23" i="1"/>
  <c r="E23" i="1"/>
  <c r="I22" i="1"/>
  <c r="G22" i="1"/>
  <c r="F22" i="1"/>
  <c r="E22" i="1"/>
  <c r="H22" i="1" s="1"/>
  <c r="J27" i="2" l="1"/>
  <c r="N27" i="2"/>
  <c r="F27" i="2"/>
  <c r="L27" i="2"/>
  <c r="H27" i="2"/>
  <c r="P27" i="2"/>
  <c r="J29" i="2"/>
  <c r="N29" i="2"/>
  <c r="F29" i="2"/>
  <c r="L29" i="2"/>
  <c r="P29" i="2"/>
  <c r="H29" i="2"/>
  <c r="P35" i="2"/>
  <c r="H35" i="2"/>
  <c r="L35" i="2"/>
  <c r="F35" i="2"/>
  <c r="N35" i="2"/>
  <c r="J35" i="2"/>
  <c r="H27" i="1"/>
  <c r="D17" i="2" s="1"/>
  <c r="L21" i="2"/>
  <c r="P21" i="2"/>
  <c r="H21" i="2"/>
  <c r="J21" i="2"/>
  <c r="N21" i="2"/>
  <c r="F21" i="2"/>
  <c r="F189" i="3"/>
  <c r="H58" i="1"/>
  <c r="D23" i="2" s="1"/>
  <c r="H66" i="1"/>
  <c r="D25" i="2" s="1"/>
  <c r="P37" i="2"/>
  <c r="H37" i="2"/>
  <c r="F37" i="2"/>
  <c r="L37" i="2"/>
  <c r="J37" i="2"/>
  <c r="I31" i="1"/>
  <c r="E31" i="1" s="1"/>
  <c r="H31" i="1" s="1"/>
  <c r="H43" i="1" s="1"/>
  <c r="D19" i="2" s="1"/>
  <c r="H87" i="1"/>
  <c r="H97" i="1" s="1"/>
  <c r="D31" i="2" s="1"/>
  <c r="H151" i="1"/>
  <c r="H187" i="1"/>
  <c r="H190" i="1"/>
  <c r="H200" i="1"/>
  <c r="H204" i="1"/>
  <c r="H217" i="1"/>
  <c r="H221" i="1"/>
  <c r="H232" i="1"/>
  <c r="H262" i="1" s="1"/>
  <c r="D45" i="2" s="1"/>
  <c r="H236" i="1"/>
  <c r="H242" i="1"/>
  <c r="H245" i="1"/>
  <c r="H250" i="1"/>
  <c r="H253" i="1"/>
  <c r="H257" i="1"/>
  <c r="E269" i="1"/>
  <c r="H269" i="1" s="1"/>
  <c r="H278" i="1" s="1"/>
  <c r="D47" i="2" s="1"/>
  <c r="N37" i="2"/>
  <c r="I272" i="1"/>
  <c r="E272" i="1" s="1"/>
  <c r="H272" i="1" s="1"/>
  <c r="E270" i="1"/>
  <c r="H270" i="1" s="1"/>
  <c r="P51" i="2"/>
  <c r="H51" i="2"/>
  <c r="L51" i="2"/>
  <c r="F51" i="2"/>
  <c r="Q51" i="2" s="1"/>
  <c r="N51" i="2"/>
  <c r="H100" i="1"/>
  <c r="H106" i="1" s="1"/>
  <c r="D33" i="2" s="1"/>
  <c r="H125" i="1"/>
  <c r="H133" i="1" s="1"/>
  <c r="D39" i="2" s="1"/>
  <c r="H142" i="1"/>
  <c r="H150" i="1"/>
  <c r="H197" i="1" s="1"/>
  <c r="D41" i="2" s="1"/>
  <c r="H189" i="1"/>
  <c r="H203" i="1"/>
  <c r="H207" i="1"/>
  <c r="H216" i="1"/>
  <c r="H220" i="1"/>
  <c r="H231" i="1"/>
  <c r="H235" i="1"/>
  <c r="H244" i="1"/>
  <c r="H252" i="1"/>
  <c r="H256" i="1"/>
  <c r="H275" i="1"/>
  <c r="H287" i="1"/>
  <c r="H300" i="1" s="1"/>
  <c r="D49" i="2" s="1"/>
  <c r="F96" i="5"/>
  <c r="I271" i="1"/>
  <c r="E271" i="1" s="1"/>
  <c r="H271" i="1" s="1"/>
  <c r="J51" i="2"/>
  <c r="F95" i="4"/>
  <c r="F96" i="4" s="1"/>
  <c r="I91" i="4"/>
  <c r="K91" i="4" s="1"/>
  <c r="F290" i="4"/>
  <c r="F57" i="3"/>
  <c r="F137" i="3"/>
  <c r="F138" i="3" s="1"/>
  <c r="F164" i="3"/>
  <c r="F165" i="3" s="1"/>
  <c r="F262" i="3"/>
  <c r="F395" i="3"/>
  <c r="I72" i="4"/>
  <c r="J72" i="4" s="1"/>
  <c r="K72" i="4" s="1"/>
  <c r="I73" i="4" s="1"/>
  <c r="F317" i="4"/>
  <c r="I288" i="1"/>
  <c r="E288" i="1" s="1"/>
  <c r="H288" i="1" s="1"/>
  <c r="F112" i="3"/>
  <c r="F113" i="3" s="1"/>
  <c r="F201" i="3"/>
  <c r="F249" i="3"/>
  <c r="F250" i="3"/>
  <c r="F357" i="3"/>
  <c r="F370" i="3"/>
  <c r="F75" i="4"/>
  <c r="F181" i="4"/>
  <c r="F74" i="5"/>
  <c r="F82" i="5"/>
  <c r="F231" i="5"/>
  <c r="F243" i="5"/>
  <c r="F10" i="3"/>
  <c r="F63" i="3"/>
  <c r="F188" i="3"/>
  <c r="F295" i="3"/>
  <c r="F365" i="3"/>
  <c r="F382" i="3"/>
  <c r="F383" i="3" s="1"/>
  <c r="F390" i="3"/>
  <c r="F162" i="4"/>
  <c r="F167" i="4" s="1"/>
  <c r="F180" i="4"/>
  <c r="F45" i="5"/>
  <c r="F51" i="5" s="1"/>
  <c r="F63" i="5"/>
  <c r="F64" i="5" s="1"/>
  <c r="F121" i="5"/>
  <c r="F122" i="5" s="1"/>
  <c r="F201" i="5"/>
  <c r="F205" i="5" s="1"/>
  <c r="F302" i="5"/>
  <c r="F285" i="3"/>
  <c r="F31" i="4"/>
  <c r="F115" i="4"/>
  <c r="F116" i="4" s="1"/>
  <c r="F253" i="4"/>
  <c r="F254" i="4" s="1"/>
  <c r="F289" i="4"/>
  <c r="F37" i="5"/>
  <c r="F38" i="5" s="1"/>
  <c r="F109" i="5"/>
  <c r="F110" i="5" s="1"/>
  <c r="F129" i="5"/>
  <c r="F134" i="5" s="1"/>
  <c r="F157" i="5"/>
  <c r="F158" i="5" s="1"/>
  <c r="F193" i="5"/>
  <c r="F287" i="5"/>
  <c r="P39" i="2" l="1"/>
  <c r="H39" i="2"/>
  <c r="L39" i="2"/>
  <c r="F39" i="2"/>
  <c r="Q39" i="2" s="1"/>
  <c r="N39" i="2"/>
  <c r="J39" i="2"/>
  <c r="P45" i="2"/>
  <c r="H45" i="2"/>
  <c r="F45" i="2"/>
  <c r="L45" i="2"/>
  <c r="J45" i="2"/>
  <c r="N45" i="2"/>
  <c r="P41" i="2"/>
  <c r="H41" i="2"/>
  <c r="F41" i="2"/>
  <c r="L41" i="2"/>
  <c r="J41" i="2"/>
  <c r="N41" i="2"/>
  <c r="P49" i="2"/>
  <c r="H49" i="2"/>
  <c r="F49" i="2"/>
  <c r="Q49" i="2" s="1"/>
  <c r="L49" i="2"/>
  <c r="J49" i="2"/>
  <c r="N49" i="2"/>
  <c r="P47" i="2"/>
  <c r="H47" i="2"/>
  <c r="L47" i="2"/>
  <c r="F47" i="2"/>
  <c r="Q47" i="2" s="1"/>
  <c r="N47" i="2"/>
  <c r="J47" i="2"/>
  <c r="L19" i="2"/>
  <c r="P19" i="2"/>
  <c r="H19" i="2"/>
  <c r="J19" i="2"/>
  <c r="F19" i="2"/>
  <c r="N19" i="2"/>
  <c r="Q37" i="2"/>
  <c r="Q21" i="2"/>
  <c r="Q35" i="2"/>
  <c r="Q29" i="2"/>
  <c r="H224" i="1"/>
  <c r="D43" i="2" s="1"/>
  <c r="L25" i="2"/>
  <c r="P25" i="2"/>
  <c r="H25" i="2"/>
  <c r="J25" i="2"/>
  <c r="N25" i="2"/>
  <c r="F25" i="2"/>
  <c r="D54" i="2"/>
  <c r="C39" i="2" s="1"/>
  <c r="L17" i="2"/>
  <c r="P17" i="2"/>
  <c r="H17" i="2"/>
  <c r="J17" i="2"/>
  <c r="N17" i="2"/>
  <c r="F17" i="2"/>
  <c r="Q27" i="2"/>
  <c r="P33" i="2"/>
  <c r="H33" i="2"/>
  <c r="F33" i="2"/>
  <c r="L33" i="2"/>
  <c r="J33" i="2"/>
  <c r="N33" i="2"/>
  <c r="P31" i="2"/>
  <c r="H31" i="2"/>
  <c r="L31" i="2"/>
  <c r="F31" i="2"/>
  <c r="N31" i="2"/>
  <c r="J31" i="2"/>
  <c r="F64" i="3"/>
  <c r="L23" i="2"/>
  <c r="P23" i="2"/>
  <c r="H23" i="2"/>
  <c r="J23" i="2"/>
  <c r="F23" i="2"/>
  <c r="N23" i="2"/>
  <c r="P43" i="2" l="1"/>
  <c r="H43" i="2"/>
  <c r="L43" i="2"/>
  <c r="F43" i="2"/>
  <c r="Q43" i="2" s="1"/>
  <c r="C43" i="2"/>
  <c r="N43" i="2"/>
  <c r="J43" i="2"/>
  <c r="C41" i="2"/>
  <c r="Q31" i="2"/>
  <c r="C33" i="2"/>
  <c r="Q33" i="2"/>
  <c r="F54" i="2"/>
  <c r="E54" i="2" s="1"/>
  <c r="Q17" i="2"/>
  <c r="P54" i="2"/>
  <c r="O54" i="2" s="1"/>
  <c r="Q25" i="2"/>
  <c r="H54" i="2"/>
  <c r="G54" i="2" s="1"/>
  <c r="C49" i="2"/>
  <c r="N54" i="2"/>
  <c r="M54" i="2" s="1"/>
  <c r="C17" i="2"/>
  <c r="C25" i="2"/>
  <c r="C47" i="2"/>
  <c r="C45" i="2"/>
  <c r="Q45" i="2"/>
  <c r="C29" i="2"/>
  <c r="C51" i="2"/>
  <c r="C27" i="2"/>
  <c r="C21" i="2"/>
  <c r="C35" i="2"/>
  <c r="C37" i="2"/>
  <c r="Q23" i="2"/>
  <c r="C23" i="2"/>
  <c r="C31" i="2"/>
  <c r="J54" i="2"/>
  <c r="I54" i="2" s="1"/>
  <c r="L54" i="2"/>
  <c r="K54" i="2" s="1"/>
  <c r="H306" i="1"/>
  <c r="Q19" i="2"/>
  <c r="C19" i="2"/>
  <c r="Q41" i="2"/>
  <c r="C54" i="2" l="1"/>
  <c r="Q54" i="2"/>
</calcChain>
</file>

<file path=xl/sharedStrings.xml><?xml version="1.0" encoding="utf-8"?>
<sst xmlns="http://schemas.openxmlformats.org/spreadsheetml/2006/main" count="2414" uniqueCount="864">
  <si>
    <t>PLANILHA DE REFORMA  DA 47ª  CIRETRAN VILA RICA</t>
  </si>
  <si>
    <t>Obra: REFORMA  DA  47ª CIRETRAN VILA RICA</t>
  </si>
  <si>
    <t>Local: VILA RICA/MT</t>
  </si>
  <si>
    <t>SINAPI JULHO 2021</t>
  </si>
  <si>
    <t>Data:AGOSTO 2021.</t>
  </si>
  <si>
    <t>BDI 26,00%</t>
  </si>
  <si>
    <t>ITEM</t>
  </si>
  <si>
    <t>CÓDIGO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</si>
  <si>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</si>
  <si>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</si>
  <si>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</si>
  <si>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</si>
  <si>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</si>
  <si>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</si>
  <si>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</si>
  <si>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</si>
  <si>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</si>
  <si>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</si>
  <si>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ENGENHEIRO/ARQUITETO TRAINEE/JUNIOR/AUXILIAR 4 HORAS NA OBRA 2 VEZES POR SEMANA</t>
  </si>
  <si>
    <t>h</t>
  </si>
  <si>
    <t>1.2</t>
  </si>
  <si>
    <t>FEITOR OU ENCARREGADO GERAL DE OBRA</t>
  </si>
  <si>
    <t>1.3</t>
  </si>
  <si>
    <t>COMP. DETRAN</t>
  </si>
  <si>
    <t>PLACA DE OBRA EM CHAPA DE ACO GALVANIZADO</t>
  </si>
  <si>
    <t>m²</t>
  </si>
  <si>
    <t>1.4</t>
  </si>
  <si>
    <t>LOCACAO CONVENCIONAL DE OBRA, ATRAVÉS DE GABARITO DE TABUAS CORRIDAS PONTALETADAS A CADA 1,50M, SEM REAPROVEITAMENTO</t>
  </si>
  <si>
    <t>m</t>
  </si>
  <si>
    <t>1.5</t>
  </si>
  <si>
    <t>CAÇAMBA BOTA FORA 5,0 M³</t>
  </si>
  <si>
    <t>ud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</si>
  <si>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</si>
  <si>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</si>
  <si>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</si>
  <si>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</si>
  <si>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</si>
  <si>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</si>
  <si>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</si>
  <si>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</si>
  <si>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</si>
  <si>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</si>
  <si>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</si>
  <si>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rgb="FF000000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</si>
  <si>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</si>
  <si>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</si>
  <si>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</si>
  <si>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</si>
  <si>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</si>
  <si>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</si>
  <si>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</si>
  <si>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</si>
  <si>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</si>
  <si>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</si>
  <si>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</si>
  <si>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</si>
  <si>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</si>
  <si>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2.11</t>
  </si>
  <si>
    <t>RETIRADA DE APARELHOS SANITARIOS (LAVATÓRIOS)</t>
  </si>
  <si>
    <t>2.12</t>
  </si>
  <si>
    <t>RETIRADA DE APARELHOS SANITARIOS (VASOS)</t>
  </si>
  <si>
    <t>2.13</t>
  </si>
  <si>
    <t>DEMOLIÇÃO DE CONCRETO SIMPLES</t>
  </si>
  <si>
    <t>CALÇADA EXTERNA E CONTRAPISO</t>
  </si>
  <si>
    <t>3.0</t>
  </si>
  <si>
    <t>MOVIMENTO DE TERRA</t>
  </si>
  <si>
    <t>3.1</t>
  </si>
  <si>
    <t>ESCAVAÇÃO MANUAL DE VALA COM PROFUNDIDADE MENOR OU IGUAL A 1,30 M. AF_03/2016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</si>
  <si>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</si>
  <si>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</si>
  <si>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</si>
  <si>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</si>
  <si>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</si>
  <si>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</si>
  <si>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</si>
  <si>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</si>
  <si>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</si>
  <si>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LANCAMENTO/APLICACAO MANUAL DE CONCRETO EM FUNDACOES</t>
  </si>
  <si>
    <t>4.4</t>
  </si>
  <si>
    <t>FABRICAÇÃO, MONTAGEM E DESMONTAGEM DE FÔRMA PARA VIGA BALDRAME, EM MADEIRA SERRADA, E=25 MM, 4 UTILIZAÇÕES. AF_06/2017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</si>
  <si>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</si>
  <si>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</si>
  <si>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</si>
  <si>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</si>
  <si>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</si>
  <si>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</si>
  <si>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</si>
  <si>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</si>
  <si>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</si>
  <si>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</si>
  <si>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</si>
  <si>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</si>
  <si>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MONTAGEM E DESMONTAGEM DE FÔRMA DE PILARES RETANGULARES E ESTRUTURAS SIMILARES, PÉ-DIREITO SIMPLES, EM MADEIRA SERRADA, 2 UTILIZAÇÕES. AF_09/2020</t>
  </si>
  <si>
    <t>5.4</t>
  </si>
  <si>
    <t>ARMAÇÃO DE PILAR OU VIGA DE UMA ESTRUTURA CONVENCIONAL DE CONCRETO ARMADO EM UMA EDIFICAÇÃO TÉRREA OU SOBRADO UTILIZANDO AÇO CA-50 DE 10,0 MM - MONTAGEM. AF_12/2015</t>
  </si>
  <si>
    <t>5.5</t>
  </si>
  <si>
    <t>ARMAÇÃO DE PILAR OU VIGA DE UMA ESTRUTURA CONVENCIONAL DE CONCRETO ARMADO EM UMA EDIFICAÇÃO TÉRREA OU SOBRADO UTILIZANDO AÇO CA-60 DE 5,0 MM - MONTAGEM. AF_12/2015</t>
  </si>
  <si>
    <t>6.0</t>
  </si>
  <si>
    <t>ALVENARIA</t>
  </si>
  <si>
    <t>6.1</t>
  </si>
  <si>
    <t>87519</t>
  </si>
  <si>
    <t>ALVENARIA DE VEDAÇÃO DE BLOCOS CERÂMICOS FURADOS NA HORIZONTAL DE 9X19X19CM (ESPESSURA 9CM) DE PAREDES COM ÁREA LÍQUIDA MAIOR OU IGUAL A 6M² COM VÃOS E ARGAMASSA DE ASSENTAMENTO COM PREPARO EM BETONEIRA. AF_06/2014</t>
  </si>
  <si>
    <t>6.2</t>
  </si>
  <si>
    <t>VERGA PRÉ-MOLDADA PARA JANELAS COM ATÉ 1,5 M DE VÃO. AF_03/2016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</si>
  <si>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</si>
  <si>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</si>
  <si>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</si>
  <si>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</si>
  <si>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</si>
  <si>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11 M, PARA TELHA ONDULADA DE FIBROCIMENTO, METÁLICA, PLÁSTICA OU TERMOACÚSTICA, INCLUSO IÇAMENTO. AF_12/2015</t>
  </si>
  <si>
    <t>7.2</t>
  </si>
  <si>
    <t>FABRICAÇÃO E INSTALAÇÃO DE TESOURA INTEIRA EM AÇO, VÃO DE 5 M, PARA TELHA ONDULADA DE FIBROCIMENTO, METÁLICA, PLÁSTICA OU TERMOACÚSTICA, INCLUSO IÇAMENTO. AF_12/2015</t>
  </si>
  <si>
    <t>7.3</t>
  </si>
  <si>
    <t>FABRICAÇÃO E INSTALAÇÃO DE TESOURA INTEIRA EM AÇO, VÃO DE 7 M, PARA TELHA ONDULADA DE FIBROCIMENTO, METÁLICA, PLÁSTICA OU TERMOACÚSTICA, INCLUSO IÇAMENTO. AF_12/2015</t>
  </si>
  <si>
    <t>7.4</t>
  </si>
  <si>
    <t>FABRICAÇÃO E INSTALAÇÃO DE TESOURA INTEIRA EM AÇO, VÃO DE 8 M, PARA TELHA ONDULADA DE FIBROCIMENTO, METÁLICA, PLÁSTICA OU TERMOACÚSTICA, INCLUSO IÇAMENTO, INCLUSO IÇAMENTO. AF_12/2015</t>
  </si>
  <si>
    <t>7.5</t>
  </si>
  <si>
    <t>TELHAMENTO COM TELHA DE AÇO/ALUMÍNIO, COM ATÉ 2 ÁGUAS, INCLUSO IÇAMENTO. AF_06/2016</t>
  </si>
  <si>
    <t>7.6</t>
  </si>
  <si>
    <t>ESTRUTURA  DE AÇO PARA COBERTURA EM PERFIL C 100mmx50mmx15mm na # 11 ASSENTADOS COMO TERÇA A CADA 1,20 M (4 linhas de 13,70 DE COMPRIMENTO E 6 LINHAS de 21,30  E 2 LINHAS DE 2,00  )</t>
  </si>
  <si>
    <t>7.7</t>
  </si>
  <si>
    <t>CALHA/RUFO/PINGADEIRA EM CHAPA DE ACO GALVANIZADO NUMERO 24, DESENVOLVIMENTO DE 33CM (RUFO)</t>
  </si>
  <si>
    <t>7.8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</si>
  <si>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</si>
  <si>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</si>
  <si>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</si>
  <si>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</si>
  <si>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</si>
  <si>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</si>
  <si>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</si>
  <si>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</si>
  <si>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COM CILINDRO, EXTERNA, COMPLETA, ACABAMENTO PADRÃO POPULAR, INCLUSO EXECUÇÃO DE FURO - FORNECIMENTO E INSTALAÇÃO. AF_08/2015</t>
  </si>
  <si>
    <t>8.1.3</t>
  </si>
  <si>
    <t>KIT DE PORTA DE MADEIRA PARA VERNIZ, SEMI-OCA (LEVE OU MÉDIA), PADRÃO MÉDIO, 80X210CM, ESPESSURA DE 3,5CM, ITENS INCLUSOS: DOBRADIÇAS, MONTAGEM E INSTALAÇÃO DO BATENTE, SEM FECHADURA FORNECIMENTO E INSTALAÇÃO AF_08/2015</t>
  </si>
  <si>
    <t>8.1.4</t>
  </si>
  <si>
    <t>KIT DE PORTA DE MADEIRA PARA VERNIZ, SEMI-OCA (LEVE OU MÉDIA), PADRÃO MÉDIO, 80X210CM,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</si>
  <si>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</si>
  <si>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</si>
  <si>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</si>
  <si>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PORTA DE FERRO, DE ABRIR, TIPO GRADE COM CHAPA, COM GUARNIÇÕES. AF_12/2019</t>
  </si>
  <si>
    <t>8.2.2</t>
  </si>
  <si>
    <t>GRADIL EM FERRO FIXADO EM VÃOS DE JANELAS, FORMADO POR BARRAS CHATAS DE 25X4,8 MM. AF_04/2019</t>
  </si>
  <si>
    <t>8.2.3</t>
  </si>
  <si>
    <t>JANELA DE AÇO DE CORRER COM 4 FOLHAS PARA VIDRO, COM BATENTE, FERRAGENS E PINTURA ANTICORROSIVA. EXCLUSIVE VIDROS, ALIZAR E CONTRAMARCO. FORNECIMENTO E INSTALAÇÃO. AF_12/2019</t>
  </si>
  <si>
    <t>8.2.4</t>
  </si>
  <si>
    <t>JANELA DE AÇO TIPO BASCULANTE PARA VIDROS, COM BATENTE, FERRAGENS E PINTURA ANTICORROSIVA. EXCLUSIVE VIDROS, ACABAMENTO, ALIZAR E CONTRAMARCO. FORNECIMENTO E INSTALAÇÃO. AF_12/2019</t>
  </si>
  <si>
    <t>PORTÃO DE FERRO, DE ABRIR, TIPO CHAPA LISA,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</si>
  <si>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</si>
  <si>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</si>
  <si>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</si>
  <si>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</si>
  <si>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</si>
  <si>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</si>
  <si>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</si>
  <si>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</si>
  <si>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87266</t>
  </si>
  <si>
    <t>REVESTIMENTO CERÂMICO PARA PAREDES INTERNAS COM PLACAS TIPO GRÊS OU SEMI-GRÊS DE DIMENSÕES 20X20 CM APLICADAS EM AMBIENTES DE ÁREA MENOR QUE 5 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</si>
  <si>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</si>
  <si>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</si>
  <si>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</si>
  <si>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POLIDO, DE 0,50 X 0,60 M, PARA LAVATÓRIO - FORNECIMENTO E INSTALAÇÃO. AF_01/2020</t>
  </si>
  <si>
    <t>9.6</t>
  </si>
  <si>
    <t>BANCADA DE GRANITO CINZA POLIDO PARA PIA DE COZINHA 2,00 X 0,60 M - FORNECIMENTO E INSTALAÇÃO. AF_12/2013_P</t>
  </si>
  <si>
    <t>preço sinap 540,67 com 1,5 metros</t>
  </si>
  <si>
    <t>10.0</t>
  </si>
  <si>
    <t>PISOS E RODAPES</t>
  </si>
  <si>
    <t>10.1</t>
  </si>
  <si>
    <t>87250</t>
  </si>
  <si>
    <t>REVESTIMENTO CERÂMICO PARA PISO COM PLACAS TIPO GRÊS DE DIMENSÕES 45X45 CM APLICADA EM AMBIENTES DE ÁREA ENTRE 5 M2 E 10 M2. AF_06/2014</t>
  </si>
  <si>
    <t>10.2</t>
  </si>
  <si>
    <t>88649</t>
  </si>
  <si>
    <t>RODAPÉ CERÂMICO DE 7CM DE ALTURA COM PLACAS TIPO GRÊS DE DIMENSÕES 45X45CM. AF_06/201</t>
  </si>
  <si>
    <t>10.3</t>
  </si>
  <si>
    <t>EXECUÇÃO DE PASSEIO (CALÇADA) OU PISO DE CONCRETO COM CONCRETO MOLDADO IN LOCO, FEITO EM OBRA, ACABAMENTO CONVENCIONAL, NÃO ARMADO. AF_07/2016 (LATERAL DA CIRETRAN)</t>
  </si>
  <si>
    <t>10.4</t>
  </si>
  <si>
    <t>EXECUÇÃO DE RADIER, ESPESSURA DE 10 CM, FCK = 30 MPA, COM USO DE FORMAS EM MADEIRA SERRADA. AF_09/2017</t>
  </si>
  <si>
    <t>10.5</t>
  </si>
  <si>
    <t>SOLEIRA EM GRANITO, LARGURA 15 CM, ESPESSURA 2,0 CM. AF_09/2020</t>
  </si>
  <si>
    <t>10.6</t>
  </si>
  <si>
    <t>EXECUÇÃO DE PASSEIO (CALÇADA) OU PISO DE CONCRETO COM CONCRETO MOLDADO IN LOCO, FEITO EM OBRA, ACABAMENTO CONVENCIONAL, NÃO ARMADO. AF_07/2016 (CALÇADA FRONTAL À CIRETRAN)</t>
  </si>
  <si>
    <t>10.7</t>
  </si>
  <si>
    <t>COMP..DETRAN</t>
  </si>
  <si>
    <t>LADRILHO HIDRAULICO PARA PISO TATIL PARA DEFICIENTES VISUAIS</t>
  </si>
  <si>
    <t>11.0</t>
  </si>
  <si>
    <t>VIDROS</t>
  </si>
  <si>
    <t>11.1</t>
  </si>
  <si>
    <t>PORTA DE ABRIR COM MOLA HIDRÁULICA, EM VIDRO TEMPERADO, 90X210 CM, ESPESSURA 10 MM, INCLUSIVE ACESSÓRIOS. AF_01/2021</t>
  </si>
  <si>
    <t>cj</t>
  </si>
  <si>
    <t>SALA CHEFE E ENTRADA</t>
  </si>
  <si>
    <t>11.2</t>
  </si>
  <si>
    <t>INSTALAÇÃO DE VIDRO TEMPERADO, E = 10 MM, ENCAIXADO EM PERFIL U. AF_01/2021_P</t>
  </si>
  <si>
    <t>ENTRADA</t>
  </si>
  <si>
    <t>12.0</t>
  </si>
  <si>
    <t>PINTURA</t>
  </si>
  <si>
    <t>12.1</t>
  </si>
  <si>
    <t>88431</t>
  </si>
  <si>
    <t>APLICAÇÃO MANUAL DE PINTURA COM TINTA TEXTURIZADA ACRÍLICA EM PAREDES EXTERNAS DE CASAS, DUAS CORES. AF_06/2014</t>
  </si>
  <si>
    <t>12.2</t>
  </si>
  <si>
    <t>REVESTIMENTO TEXTURIZADO (GRAFIATO) EM PAREDE INTERNA OU EXTERNA DE ALTA CAMADA, APLICADO COM DESEMPENADEIRA NOS PILARES DO PORTICO DA FACHADA</t>
  </si>
  <si>
    <t>12.3</t>
  </si>
  <si>
    <t>88489</t>
  </si>
  <si>
    <t>APLICAÇÃO MANUAL DE PINTURA COM TINTA LÁTEX ACRÍLICA EM PAREDES, DUAS DEMÃOS. AF_06/2014</t>
  </si>
  <si>
    <t>12.4</t>
  </si>
  <si>
    <t>88497</t>
  </si>
  <si>
    <t>APLICAÇÃO E LIXAMENTO DE MASSA LÁTEX EM PAREDES, DUAS DEMÃOS. AF_06/2014</t>
  </si>
  <si>
    <t>12.5</t>
  </si>
  <si>
    <t>APLICAÇÃO MASSA ALQUÍDICA PARA MADEIRA, PARA PINTURA COM TINTA DE ACABAMENTO (PIGMENTADA). AF_01/2021</t>
  </si>
  <si>
    <t>12.6</t>
  </si>
  <si>
    <t>PINTURA TINTA DE ACABAMENTO (PIGMENTADA) ESMALTE SINTÉTICO ACETINADO E M MADEIRA, 2 DEMÃOS. AF_01/2021</t>
  </si>
  <si>
    <t>12.7</t>
  </si>
  <si>
    <t>PINTURA COM TINTA ALQUÍDICA DE ACABAMENTO (ESMALTE SINTÉTICO ACETINADO ) APLICADA A ROLO OU PINCEL SOBRE SUPERFÍCIES METÁLICAS (EXCETO PERFIL ) EXECUTADO EM OBRA (POR DEMÃO). AF_01/2020</t>
  </si>
  <si>
    <t>12.8</t>
  </si>
  <si>
    <t>PINTURA DE DEMARCAÇÃO DE VAGA COM TINTA ACRÍLICA, E = 10 CM, APLICAÇÃO MANUAL. AF_05/2021</t>
  </si>
  <si>
    <t>12.9</t>
  </si>
  <si>
    <t>APLICAÇÃO MECÂNICA DE PINTURA COM TINTA LÁTEX ACRÍLICA EM PAREDES, DUAS DEMÃOS. AF_06/2014 (MURO)</t>
  </si>
  <si>
    <t>13.0</t>
  </si>
  <si>
    <t>INSTALAÇÕES ELÉTRICAS</t>
  </si>
  <si>
    <t>13.1</t>
  </si>
  <si>
    <t>COMP DETRAN</t>
  </si>
  <si>
    <t>PADRÃO DE ENTRADA T4 35,05KW INCLUSO POSTE 9M – CONFORME EXIGÊNCIA DA CONCESSIONÁRIA DE ENERGIA – FORNECIMENTO E INSTALAÇÃO</t>
  </si>
  <si>
    <t>CJ</t>
  </si>
  <si>
    <t>13.2</t>
  </si>
  <si>
    <t>CABO DE COBRE FLEXÍVEL ISOLADO, 50 MM², ANTI-CHAMA 0,6/1,0 KV, PARA DISTRIBUIÇÃO - FORNECIMENTO E INSTALAÇÃO. AF_12/2015</t>
  </si>
  <si>
    <t>13.3</t>
  </si>
  <si>
    <t>CABO DE COBRE FLEXÍVEL ISOLADO, 35 MM², ANTI-CHAMA 0,6/1,0 KV, PARA DISTRIBUIÇÃO - FORNECIMENTO E INSTALAÇÃO. AF_12/2015</t>
  </si>
  <si>
    <t>13.4</t>
  </si>
  <si>
    <t xml:space="preserve"> CABO DE COBRE FLEXÍVEL ISOLADO, 25 MM², ANTI-CHAMA 450/750 V, PARA DISTRIBUIÇÃO - FORNECIMENTO E INSTALAÇÃO. AF_12/2015</t>
  </si>
  <si>
    <t>13.5</t>
  </si>
  <si>
    <t>CABO DE COBRE FLEXÍVEL ISOLADO, 16 MM², ANTI-CHAMA, 450/750 V, PARA CIRCUITOS TERMINAIS - FORNECIMENTO E INSTALAÇÃO. AF_12/2015</t>
  </si>
  <si>
    <t>13.6</t>
  </si>
  <si>
    <t>CABO DE COBRE FLEXÍVEL ISOLADO, 10 MM², ANTI-CHAMA 450/750 V, PARA DISTRIBUIÇÃO - FORNECIMENTO E INSTALAÇÃO. AF_12/2015</t>
  </si>
  <si>
    <t>13.7</t>
  </si>
  <si>
    <t>CABO DE COBRE FLEXÍVEL ISOLADO, 6 MM², ANTI-CHAMA, 450/750 V, PARA CIRCUITOS TERMINAIS - FORNECIMENTO E INSTALAÇÃO. AF_12/2015</t>
  </si>
  <si>
    <t>13.8</t>
  </si>
  <si>
    <t>CABO DE COBRE FLEXÍVEL ISOLADO, 4 MM², ANTI-CHAMA, 450/750 V, PARA CIRCUITOS TERMINAIS - FORNECIMENTO E INSTALAÇÃO. AF_12/2015</t>
  </si>
  <si>
    <t>13.9</t>
  </si>
  <si>
    <t>CABO DE COBRE FLEXÍVEL ISOLADO, 2,5 MM², ANTI-CHAMA, 450/750 V, PARA CIRCUITOS TERMINAIS - FORNECIMENTO E INSTALAÇÃO. AF_12/2015</t>
  </si>
  <si>
    <t>13.10</t>
  </si>
  <si>
    <t>CABO DE COBRE FLEXÍVEL ISOLADO, 1,5 MM², ANTI-CHAMA, 450/750 V, PARA CIRCUITOS TERMINAIS - FORNECIMENTO E INSTALAÇÃO. AF_12/2015</t>
  </si>
  <si>
    <t>13.11</t>
  </si>
  <si>
    <t>CORDOALHA DE COBRE NU 50 MM², ENTERRADA, SEM ISOLADOR - FORNECIMENTO E INSTALAÇÃO. AF_12/2017</t>
  </si>
  <si>
    <t>13.12</t>
  </si>
  <si>
    <t>RASGO EM CONTRAPISO PARA RAMAIS/ DISTRIBUIÇÃO COM DIÂMETROS MENORES OU IGUAIS A 40 MM. AF_05/2015</t>
  </si>
  <si>
    <t>13.13</t>
  </si>
  <si>
    <t>RASGO EM ALVENARIA PARA ELETRODUTOS COM DIAMETROS MENORES OU IGUAIS A 40 MM. AF_05/2015</t>
  </si>
  <si>
    <t>13.14</t>
  </si>
  <si>
    <t>ELETRODUTO DE FERRO GALVANIZADO, CLASSE LEVE, DN 20 MM (3/4''), APARENTE INSTALADO EM PAREDE - FORNECIMENTO E INSTALAÇÃO. AF_11/2016</t>
  </si>
  <si>
    <t>13.15</t>
  </si>
  <si>
    <t>ELETRODUTO DE FERRO GALVANIZADO, CLASSE LEVE, DN 25 MM (1''), APARENTE INSTALADO EM PAREDE - FORNECIMENTO E INSTALAÇÃO. AF_11/2016</t>
  </si>
  <si>
    <t>13.16</t>
  </si>
  <si>
    <t>ELETRODUTO FLEXÍVEL CORRUGADO, PEAD, DN 90 (3") - FORNECIMENTO E INST ALAÇÃO. AF_04/2016</t>
  </si>
  <si>
    <t>13.17</t>
  </si>
  <si>
    <t>ELETRODUTO FLEXÍVEL CORRUGADO, PVC, DN 25 MM (3/4"), PARA CIRCUITOS TERMINAIS, INSTALADO EM PAREDE - FORNECIMENTO E INSTALAÇÃO. AF_12/2015</t>
  </si>
  <si>
    <t>13.18</t>
  </si>
  <si>
    <t>CONDULETE DE ALUMÍNIO, TIPO C, PARA ELETRODUTO DE FERRO GALVANIZADO DN25 MM (3/4''), APARENTE - FORNECIMENTO E INSTALAÇÃO. AF_11/2016_P</t>
  </si>
  <si>
    <t>13.19</t>
  </si>
  <si>
    <t>CAIXA DE SOBREPOR 15X15X10 CM INSTALADO EM PAREDE PARA 01 DISJUNTOR DIN BIPOLAR-FORNECIMENTO E INSTALAÇÃO</t>
  </si>
  <si>
    <t>13.20</t>
  </si>
  <si>
    <t>TOMADA BAIXA DE EMBUTIR (2 MÓDULOS), 2P+T 10 A, INCLUINDO SUPORTE E PLACA - FORNECIMENTO E INSTALAÇÃO. AF_12/2015</t>
  </si>
  <si>
    <t>13.21</t>
  </si>
  <si>
    <t>TOMADA MÉDIA DE EMBUTIR (2 MÓDULOS), 2P+T 10 A, INCLUINDO SUPORTE E PLACA - FORNECIMENTO E INSTALAÇÃO. AF_12/2015</t>
  </si>
  <si>
    <t>13.22</t>
  </si>
  <si>
    <t>TOMADA MÉDIA DE EMBUTIR (2 MÓDULOS), 2P+T 20 A, INCLUINDO SUPORTE E PLACA - FORNECIMENTO E INSTALAÇÃO. AF_12/2015</t>
  </si>
  <si>
    <t>13.23</t>
  </si>
  <si>
    <t>TOMADA MÉDIA DE EMBUTIR (1 MÓDULOS), 2P+T 10 A, INCLUINDO SUPORTE E PLACA - FORNECIMENTO E INSTALAÇÃO. AF_12/2015</t>
  </si>
  <si>
    <t>13.24</t>
  </si>
  <si>
    <t>TOMADA ALTA DE EMBUTIR (1 MÓDULO), 2P+T 10 A, INCLUINDO SUPORTE E PLACA - FORNECIMENTO E INSTALAÇÃO. AF_12/2015</t>
  </si>
  <si>
    <t>13.25</t>
  </si>
  <si>
    <t>INTERRUPTOR SIMPLES (1 MÓDULO), 10A/250V, INCLUINDO SUPORTE E PLACA -FORNECIMENTO E INSTALAÇÃO. AF_12/2015</t>
  </si>
  <si>
    <t>13.26</t>
  </si>
  <si>
    <t xml:space="preserve"> INTERRUPTOR PARALELO (1 MÓDULO), 10A/250V, INCLUINDO SUPORTE E PLACA - FORNECIMENTO E INSTALAÇÃO. AF_12/2015</t>
  </si>
  <si>
    <t>13.27</t>
  </si>
  <si>
    <t>INTERRUPTOR SIMPLES (2 MÓDULOS) COM INTERRUPTOR PARALELO (1 MÓDULO), 10A/250V, INCLUINDO SUPORTE E PLACA - FORNECIMENTO E INSTALAÇÃO. AF_12/2015</t>
  </si>
  <si>
    <t>13.28</t>
  </si>
  <si>
    <t xml:space="preserve"> INTERRUPTOR PARALELO (3 MÓDULOS), 10A/250V, INCLUINDO SUPORTE E PLACA - FORNECIMENTO E INSTALAÇÃO. AF_12/2015</t>
  </si>
  <si>
    <t>13.29</t>
  </si>
  <si>
    <t>LUMINARIA DE SOBREPOR EM CHAPA DE ACO PARA 2 LAMPADAS LED DE *18* W, PERFIL COMERCIAL (NAO INCLUI REATOR E LAMPADAS)</t>
  </si>
  <si>
    <t>13.30</t>
  </si>
  <si>
    <t>LUMINÁRIA DE EMERGÊNCIA, COM 30 LÂMPADAS LED DE 2 W, SEM REATOR - FORNECIMENTO E INSTALAÇÃO. AF_02/2020</t>
  </si>
  <si>
    <t>13.31</t>
  </si>
  <si>
    <t>LUMINÁRIA TIPO PLAFON, DE SOBREPOR, COM 1 LÂMPADA LED DE 12/13 W, SEMREATOR - FORNECIMENTO E INSTALAÇÃO. AF_02/2020</t>
  </si>
  <si>
    <t>13.32</t>
  </si>
  <si>
    <t>REFLETOR LED 100W PARA ILUMINAÇÃO EM AMBIENTES EXTERNOS-FORNECIMENTO E INSTALAÇÃO 127/220V</t>
  </si>
  <si>
    <t>13.33</t>
  </si>
  <si>
    <t>REFLETOR LED 50W PARA ILUMINAÇÃO EM AMBIENTES EXTERNOS-FORNECIMENTO E INSTALAÇÃO 127/220V</t>
  </si>
  <si>
    <t>13.34</t>
  </si>
  <si>
    <t>DISJUNTOR TRIPOLAR TIPO NEMA, CORRENTE NOMINAL DE 60 ATÉ 100A - FORNEC IMENTO E INSTALAÇÃO. AF_10/2020</t>
  </si>
  <si>
    <t>13.35</t>
  </si>
  <si>
    <t>DISJUNTOR TRIPOLAR TIPO DIN, CORRENTE NOMINAL DE 63A - FORNECIMENTO E INSTALAÇÃO. AF_10/2020</t>
  </si>
  <si>
    <t>13.36</t>
  </si>
  <si>
    <t>DISJUNTOR TRIPOLAR TIPO DIN, CORRENTE NOMINAL DE 50A - FORNECIMENTO EINSTALAÇÃO. AF_10/2020</t>
  </si>
  <si>
    <t>13.37</t>
  </si>
  <si>
    <t>DISJUNTOR MONOPOLAR TIPO DIN, CORRENTE NOMINAL DE 10A - FORNECIMENTO E INSTALAÇÃO. AF_10/2020</t>
  </si>
  <si>
    <t>13.38</t>
  </si>
  <si>
    <t>DISJUNTOR MONOPOLAR TIPO DIN, CORRENTE NOMINAL DE 16A - FORNECIMENTO E INSTALAÇÃO. AF_10/2020</t>
  </si>
  <si>
    <t>13.39</t>
  </si>
  <si>
    <t>DISJUNTOR MONOPOLAR TIPO DIN, CORRENTE NOMINAL DE 20A - FORNECIMENTO E INSTALAÇÃO. AF_10/2020</t>
  </si>
  <si>
    <t>13.40</t>
  </si>
  <si>
    <t>DISJUNTOR MONOPOLAR TIPO DIN, CORRENTE NOMINAL DE 25A - FORNECIMENTO E INSTALAÇÃO. AF_10/2020</t>
  </si>
  <si>
    <t>13.41</t>
  </si>
  <si>
    <t>DISJUNTOR BIPOLAR TIPO DIN, CORRENTE NOMINAL DE 16A - FORNECIMENTO E INSTALAÇÃO. AF_10/2020</t>
  </si>
  <si>
    <t>13.42</t>
  </si>
  <si>
    <t>DISJUNTOR BIPOLAR TIPO DIN, CORRENTE NOMINAL DE 20A - FORNECIMENTO E INSTALAÇÃO. AF_10/2020</t>
  </si>
  <si>
    <t>13.43</t>
  </si>
  <si>
    <t>DISJUNTOR BIPOLAR TIPO DIN, CORRENTE NOMINAL DE 32A - FORNECIMENTO E INSTALAÇÃO. AF_10/2020</t>
  </si>
  <si>
    <t>13.44</t>
  </si>
  <si>
    <t>DISPOSITIVO DR, 2 POLOS, SENSIBILIDADE DE 30 MA, CORRENTE DE 40 A, TIPO AC - FORNECIMENTO E INSTALAÇÃO. AF_10/2020</t>
  </si>
  <si>
    <t>13.45</t>
  </si>
  <si>
    <t>DISPOSITIVO DPS CLASSE II, 1 POLO, TENSAO MAXIMA DE 175 V, CORRENTE MAXIMA DE *45* KA (TIPO AC) - FORNECIMENTO E INSTALAÇÃO</t>
  </si>
  <si>
    <t>13.46</t>
  </si>
  <si>
    <t>HASTE DE ATERRAMENTO 5/8 PARA SPDA - FORNECIMENTO E INSTALAÇÃO. AF_12/2017</t>
  </si>
  <si>
    <t>13.47</t>
  </si>
  <si>
    <t>CONECTOR METALICO TIPO PARAFUSO FENDIDO (SPLIT BOLT), PARA CABOS ATE 50 MM2 - FORNECIMENTO E INSTALAÇÃO</t>
  </si>
  <si>
    <t>13.48</t>
  </si>
  <si>
    <t>CAIXA ENTERRADA ELÉTRICA RETANGULAR, EM CONCRETO PRÉ-MOLDADO, FUNDO COM BRITA, DIMENSÕES INTERNAS: 0,6X0,6X0,5 M. AF_12/2020</t>
  </si>
  <si>
    <t>13.49</t>
  </si>
  <si>
    <t>QUADRO DE DISTRIBUIÇÃO DE ENERGIA EM CHAPA DE AÇO GALVANIZADO, DE EMBU TIR, COM BARRAMENTO TRIFÁSICO, PARA 40 DISJUNTORES DIN 100A - FORNECIMENTO E INSTALAÇÃO. AF_10/2020</t>
  </si>
  <si>
    <t>13.50</t>
  </si>
  <si>
    <t>QUADRO DE DISTRIBUIÇÃO DE ENERGIA EM CHAPA DE AÇO GALVANIZADO, DE EMBUIR, COM BARRAMENTO TRIFÁSICO, PARA 24 DISJUNTORES DIN 100A - FORNECIMENTO E INSTALAÇÃO. AF_10/2020</t>
  </si>
  <si>
    <t>13.51</t>
  </si>
  <si>
    <t>CAIXA RETANGULAR 4" X 2" BAIXA (0,30 M DO PISO), PVC, INSTALADA EM PAREDE - FORNECIMENTO E INSTALAÇÃO. AF_12/2015</t>
  </si>
  <si>
    <t>13.52</t>
  </si>
  <si>
    <t>CAIXA RETANGULAR 4" X 2" MÉDIA (1,30 M DO PISO), PVC, INSTALADA EM PAREDE - FORNECIMENTO E INSTALAÇÃO. AF_12/2015</t>
  </si>
  <si>
    <t>13.53</t>
  </si>
  <si>
    <t>CAIXA RETANGULAR 4" X 2" ALTA (2,00 M DO PISO), PVC, INSTALADA EM PAREDE - FORNECIMENTO E INSTALAÇÃO. AF_12/2015</t>
  </si>
  <si>
    <t>13.54</t>
  </si>
  <si>
    <t>CAIXA RETANGULAR 4" X 4" BAIXA (0,30 M DO PISO), PVC, INSTALADA EM PAREDE - FORNECIMENTO E INSTALAÇÃO. AF_12/2015</t>
  </si>
  <si>
    <t>13.55</t>
  </si>
  <si>
    <t>RELÉ FOTOELÉTRICO PARA COMANDO DE ILUMINAÇÃO EXTERNA 1000 W - FORNECIMENTO E INSTALAÇÃO. AF_08/2020</t>
  </si>
  <si>
    <t>13.56</t>
  </si>
  <si>
    <t>REMOÇÃO DE INTERRUPTORES/TOMADAS ELÉTRICAS, DE FORMA MANUAL, SEM REAPROVEITAMENTO. AF_12/2017</t>
  </si>
  <si>
    <t>13.57</t>
  </si>
  <si>
    <t>REMOÇÃO DE CABOS ELÉTRICOS, DE FORMA MANUAL, SEM REAPROVEITAMENTO. AF12/2017</t>
  </si>
  <si>
    <t>13.58</t>
  </si>
  <si>
    <t>REMOÇÃO DE LUMINÁRIAS, DE FORMA MANUAL, SEM REAPROVEITAMENTO. AF_12/2017</t>
  </si>
  <si>
    <t>13.59</t>
  </si>
  <si>
    <t xml:space="preserve"> ELETRODUTO FLEXÍVEL CORRUGADO REFORÇADO, PVC, DN 25 MM (3/4"), PARA CIRCUITOS TERMINAIS, INSTALADO EM FORRO - FORNECIMENTO E INSTALAÇÃO. AF12/2015</t>
  </si>
  <si>
    <t>13.60</t>
  </si>
  <si>
    <t>CHUVEIRO ELÉTRICO COMUM CORPO PLÁSTICO, TIPO DUCHA FORNECIMENTO E INSTALAÇÃO. AF_01/2020</t>
  </si>
  <si>
    <t>13.61</t>
  </si>
  <si>
    <t>PONTO DE TOMADA RESIDENCIAL INCLUINDO TOMADA 10A/250V, CAIXA ELÉTRICA,ELETRODUTO, CABO, RASGO, QUEBRA E CHUMBAMENTO. AF_01/2016</t>
  </si>
  <si>
    <t>14.0</t>
  </si>
  <si>
    <t>INSTALAÇÃOES DE LÓGICA/TELEFONIA</t>
  </si>
  <si>
    <t>14.1</t>
  </si>
  <si>
    <t>CAIXA DE PASSAGEM DE PAREDE, DE EMBUTIR, EM PVC, DIMENSOES *200 X 200 X 90* MM - FORNECIMENTO INSTALAÇÃO</t>
  </si>
  <si>
    <t>14.2</t>
  </si>
  <si>
    <t>14.3</t>
  </si>
  <si>
    <t>14.4</t>
  </si>
  <si>
    <t>14.5</t>
  </si>
  <si>
    <t>comp CP0041 julho2010 plug mais conection 36485700 R$420,90 rolo com 305 metros</t>
  </si>
  <si>
    <t>R$ 1,38/ml</t>
  </si>
  <si>
    <t>14.6</t>
  </si>
  <si>
    <t>CONDULETE DE ALUMÍNIO, TIPO C, PARA ELETRODUTO DE FERRO GALVANIZADO DN25 MM (1''), APARENTE - FORNECIMENTO E INSTALAÇÃO. AF_11/2016_P</t>
  </si>
  <si>
    <t>14.7</t>
  </si>
  <si>
    <t>14.8</t>
  </si>
  <si>
    <t>14.9</t>
  </si>
  <si>
    <t>14.10</t>
  </si>
  <si>
    <t>14.11</t>
  </si>
  <si>
    <t>14.12</t>
  </si>
  <si>
    <t>TOMADA DE REDE RJ45 - FORNECIMENTO E INSTALAÇÃO. AF_11/2019</t>
  </si>
  <si>
    <t>14.13</t>
  </si>
  <si>
    <t>TOMADA PARA TELEFONE RJ11 - FORNECIMENTO E INSTALAÇÃO. AF_11/2019</t>
  </si>
  <si>
    <t>14.14</t>
  </si>
  <si>
    <t>CABO ELETRÔNICO CATEGORIA 5E, INSTALADO EM EDIFICAÇÃO INSTITUCIONAL - FORNECIMENTO E INSTALAÇÃO. AF_11/2019</t>
  </si>
  <si>
    <t>14.15</t>
  </si>
  <si>
    <t>PATCH PANEL 24 PORTAS, CATEGORIA 5E - FORNECIMENTO E INSTALAÇÃO. AF_11/2019</t>
  </si>
  <si>
    <t>14.16</t>
  </si>
  <si>
    <t>RACK FECHADO 16Ux19"x450mm, PORTA EM ACRÍLICO, SEGUNDO PLANO DE RECUO - FONECIMENTO E INSTALAÇÃO</t>
  </si>
  <si>
    <t>14.17</t>
  </si>
  <si>
    <t>ORGANIZADOR DE CABOS HORIZONTAL COM TAMPA FRONTAL REMOVÍVEL 19" X 1U -FORNECIMENTO E INSTALAÇÃO</t>
  </si>
  <si>
    <t>14.18</t>
  </si>
  <si>
    <t>BANDEJA DUPLA FIXAÇÃO COM COMPRIMENTO DE  600mm PARA RACK 19" - FORNECIMENTO E INSTALAÇÃO</t>
  </si>
  <si>
    <t>14.19</t>
  </si>
  <si>
    <t xml:space="preserve"> PATCH CORD CORD 45 CAT 5E COM  1,50M - FORNECIMENTO E INSTALAÇÃO</t>
  </si>
  <si>
    <t xml:space="preserve"> plug mais conection 36485700 R$ 1,10</t>
  </si>
  <si>
    <t>14.20</t>
  </si>
  <si>
    <t xml:space="preserve"> PATCH CORD CORD 45 CAT 5E COM  2,50M - FORNECIMENTO E INSTALAÇÃO</t>
  </si>
  <si>
    <t>comp CP0487 julho 2010 plug mais conection 36485700  R$ 13,13</t>
  </si>
  <si>
    <t>comp CP0487 julho 2010 pug mais conection 36485700 R$ 13,14</t>
  </si>
  <si>
    <t>14.21</t>
  </si>
  <si>
    <t>CONECTORES RJ45, 8 VIAS MACHO - FORNECIMENTO E INSTALAÇÃO</t>
  </si>
  <si>
    <t>14.22</t>
  </si>
  <si>
    <t>14.23</t>
  </si>
  <si>
    <t>ELETRODUTO FLEXÍVEL CORRUGADO REFORÇADO, PVC, DN 32 MM (1"), PARA CIRCUITOS TERMINAIS, INSTALADO EM PAREDE - FORNECIMENTO E INSTALAÇÃO. AF_12/2015</t>
  </si>
  <si>
    <t>14.24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</si>
  <si>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</si>
  <si>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</si>
  <si>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</si>
  <si>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</si>
  <si>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</si>
  <si>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</si>
  <si>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</si>
  <si>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86903</t>
  </si>
  <si>
    <t>LAVATÓRIO LOUÇA BRANCA COM COLUNA, 45 X 55CM OU EQUIVALENTE, PADRÃO MÉDIO - FORNECIMENTO E INSTALAÇÃO. AF_12/2013_P</t>
  </si>
  <si>
    <t>15.1.3</t>
  </si>
  <si>
    <t>LAVATORIO DE LOUÇA BRANCO SUSPENSO DECA MASTER L76 CANTO 17 BRANCO E</t>
  </si>
  <si>
    <t>15.1.4</t>
  </si>
  <si>
    <t>TORNEIRA CROMADA DE MESA, 1/2" OU 3/4", PARA LAVATÓRIO,  FORNECIMENTO E INSTALAÇÃO. AF_12/2013</t>
  </si>
  <si>
    <t>15.1.5</t>
  </si>
  <si>
    <t>TORNEIRA CROMADA TUBO MÓVEL, DE MESA, 1/2" OU 3/4", PARA PIA DE COZINHA, PADRÃO ALTO - FORNECIMENTO E INSTALAÇÃO. AF_12/2013</t>
  </si>
  <si>
    <t>15.1.6</t>
  </si>
  <si>
    <t>CUBA DE EMBUTIR RETANGULAR DE AÇO INOXIDÁVEL, 46 X 30 X 12 CM - FORNEC IMENTO E INSTALAÇÃO. AF_01/2020</t>
  </si>
  <si>
    <t>15.1.7</t>
  </si>
  <si>
    <t>TORNEIRA CROMADA 1/2" OU 3/4" PARA TANQUE, PADRÃO MÉDIO - FORNECIMENTO E INSTALAÇÃO. AF_12/2013 USO GERAL</t>
  </si>
  <si>
    <t>15.1.8</t>
  </si>
  <si>
    <t>VÁLVULA DE DESCARGA METÁLICA, BASE 1 1/2 ", ACABAMENTO METALICO CROMADO - FORNECIMENTO E INSTALAÇÃO. AF_01/2019</t>
  </si>
  <si>
    <t>15.1.9</t>
  </si>
  <si>
    <t>REGISTRO DE GAVETA BRUTO, LATÃO, ROSCÁVEL, 1 1/2, COM ACABAMENTO E CANOPLA CROMADOS, INSTALADO EM RESERVAÇÃO DE ÁGUA DE EDIFICAÇÃO QUE POSSUA RESERVATÓRIO DE FIBRA/FIBROCIMENTO FORNECIMENTO E INSTALAÇÃO. AF_06/2016</t>
  </si>
  <si>
    <t>15.1.10</t>
  </si>
  <si>
    <t>JOELHO 90 GRAUS COM BUCHA DE LATÃO, PVC, SOLDÁVEL, DN 25MM, X 3/4 INSTALADO EM RAMAL OU SUB-RAMAL DE ÁGUA FORNECIMENTO E INSTALAÇÃO . AF12/2014_P_</t>
  </si>
  <si>
    <t>15.1.11</t>
  </si>
  <si>
    <t>89449</t>
  </si>
  <si>
    <t>TUBO, PVC, SOLDÁVEL, DN 50MM, INSTALADO EM PRUMADA DE ÁGUA FORNECIMENTO E INSTALAÇÃO. AF_12/2014_P</t>
  </si>
  <si>
    <t>15.1.12</t>
  </si>
  <si>
    <t>89356</t>
  </si>
  <si>
    <t>TUBO, PVC, SOLDÁVEL, DN 25MM, INSTALADO EM RAMAL OU SUB-RAMAL DE ÁGUA FORNECIMENTO E INSTALAÇÃO . AF_12/2014_P</t>
  </si>
  <si>
    <t>15.1.13</t>
  </si>
  <si>
    <t>CAIXA D´ÁGUA EM POLIETILENO, 1000 LITROS, COM ACESSÓRIOS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</si>
  <si>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</si>
  <si>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</si>
  <si>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</si>
  <si>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</si>
  <si>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</si>
  <si>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</si>
  <si>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</si>
  <si>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</si>
  <si>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</si>
  <si>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15.2.5</t>
  </si>
  <si>
    <t>VASO SANITARIO SIFONADO CONVENCIONAL PARA PCD SEM FURO FRONTAL COM LOUÇA BRANCA SEM ASSENTO, INCLUSO CONJUNTO DE LIGAÇÃO PARA BACIA SANITÁRIA AJUSTÁVEL - FORNECIMENTO E INSTALAÇÃO. AF_01/2020</t>
  </si>
  <si>
    <t>15.2.6</t>
  </si>
  <si>
    <t>89707</t>
  </si>
  <si>
    <t>CAIXA SIFONADA, PVC, DN 100 X 100 X 50 MM, JUNTA ELÁSTICA, FORNECIDA E INSTALADA EM RAMAL DE DESCARGA OU EM RAMAL DE ESGOTO SANITÁRIO. AF_12/2014_P</t>
  </si>
  <si>
    <t>15.2.7</t>
  </si>
  <si>
    <t>89714</t>
  </si>
  <si>
    <t>TUBO PVC, SERIE NORMAL, ESGOTO PREDIAL, DN 100 MM, FORNECIDO E INSTALADO EM RAMAL DE DESCARGA OU RAMAL DE ESGOTO SANITÁRIO. AF_12/2014_P</t>
  </si>
  <si>
    <t>15.2.8</t>
  </si>
  <si>
    <t>89711</t>
  </si>
  <si>
    <t>TUBO PVC, SERIE NORMAL, ESGOTO PREDIAL, DN 40 MM, FORNECIDO E INSTALADO EM RAMAL DE DESCARGA OU RAMAL DE ESGOTO SANITÁRIO. AF_12/2014_P</t>
  </si>
  <si>
    <t>15.2.9</t>
  </si>
  <si>
    <t>89809</t>
  </si>
  <si>
    <t>JOELHO 90 GRAUS, PVC, SERIE NORMAL, ESGOTO PREDIAL, DN 100 MM, JUNTA ELÁSTICA, FORNECIDO E INSTALADO EM PRUMADA DE ESGOTO SANITÁRIO OU VENTILAÇÃO. AF_12/2014</t>
  </si>
  <si>
    <t>15.2.10</t>
  </si>
  <si>
    <t>89724</t>
  </si>
  <si>
    <t>JOELHO 90 GRAUS, PVC, SERIE NORMAL, ESGOTO PREDIAL, DN 40 MM, JUNTA SOLDÁVEL, FORNECIDO E INSTALADO EM RAMAL DE DESCARGA OU RAMAL DE ESGOTO SANITÁRIO. AF_12/2014_P</t>
  </si>
  <si>
    <t>15.2.11</t>
  </si>
  <si>
    <t>JUNÇÃO SIMPLES, PVC, SERIE R, ÁGUA PLUVIAL, DN 100 X 100 MM, JUNTA ELÁ STICA, FORNECIDO E INSTALADO EM CONDUTORES VERTICAIS DE ÁGUAS PLUVIAIS . AF_12/2014</t>
  </si>
  <si>
    <t>15.2.12</t>
  </si>
  <si>
    <t>JOELHO 45 GRAUS, PVC, SERIE NORMAL, ESGOTO PREDIAL, DN 50 MM, JUNTA ELÁSTICA, FORNECIDO E INSTALADO EM PRUMADA DE ESGOTO SANITÁRIO OU VENTILAÇÃO. AF_12/2014</t>
  </si>
  <si>
    <t>15.2.13</t>
  </si>
  <si>
    <t>REDUÇÃO EXCÊNTRICA, PVC, SERIE R, ÁGUA PLUVIAL, DN 100 X 75 MM, JUNTA  ELÁSTICA, FORNECIDO E INSTALADO EM RAMAL DE ENCAMINHAMENTO. AF_12/2014</t>
  </si>
  <si>
    <t>15.2.14</t>
  </si>
  <si>
    <t>BUCHA DE REDUÇÃO LONGA, PVC, SERIE R, ÁGUA PLUVIAL, DN 50 X 40 MM, JUNTA ELÁSTICA, FORNECIDO E INSTALADO EM RAMAL DE ENCAMINHAMENTO. AF_12/2014</t>
  </si>
  <si>
    <t>15.2.15</t>
  </si>
  <si>
    <t xml:space="preserve"> BARRA DE APOIO RETA, EM ALUMINIO, COMPRIMENTO 60CM, DIAMETRO MINIMO 3 CM (VASO SANITARIO)</t>
  </si>
  <si>
    <t>15.2.16</t>
  </si>
  <si>
    <t xml:space="preserve"> BARRA DE APOIO RETA, EM ALUMINIO, COMPRIMENTO 60CM, DIAMETRO MINIMO 3 CM (LAVATÓRIO)</t>
  </si>
  <si>
    <t>15.2.17</t>
  </si>
  <si>
    <t>TANQUE SÉPTICO CIRCULAR, EM CONCRETO PRÉ-MOLDADO, DIÂMETRO INTERNO = 1,10 M, ALTURA INTERNA = 2,50 M, VOLUME ÚTIL: 2138,2 L (PARA 5 CONTRIBUINTES). AF_12/2020</t>
  </si>
  <si>
    <t>15.2.18</t>
  </si>
  <si>
    <t>SUMIDOURO CIRCULAR, EM CONCRETO PRÉ-MOLDADO, DIÂMETRO INTERNO = 1,88 M , ALTURA INTERNA = 2,00 M, ÁREA DE INFILTRAÇÃO: 13,1 M² (PARA 5 CONTRIBUINTES). AF_12/2020</t>
  </si>
  <si>
    <t>15.2.19</t>
  </si>
  <si>
    <t>ESCAVAÇÃO MANUAL DE VALAS. AF_03/2016</t>
  </si>
  <si>
    <t>15.2.20</t>
  </si>
  <si>
    <t>TANQUE DE LOUÇA BRANCA COM COLUNA, 30L OU EQUIVALENTE, INCLUSO SIFÃO F LEXÍVEL EM PVC, VÁLVULA PLÁSTICA E TORNEIRA DE METAL CROMADO PADRÃO POPULAR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</si>
  <si>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</si>
  <si>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</si>
  <si>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</si>
  <si>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</si>
  <si>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</si>
  <si>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</si>
  <si>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</si>
  <si>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</si>
  <si>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16.1.5</t>
  </si>
  <si>
    <t>LANÇAMENTO COM USO DE BALDES, ADENSAMENTO E ACABAMENTO DE CONCRETO EM ESTRUTURAS. AF_12/2015</t>
  </si>
  <si>
    <t>16.1.6</t>
  </si>
  <si>
    <t>16.1.7</t>
  </si>
  <si>
    <t>ARMAÇÃO DE PILAR OU VIGA DE UMA ESTRUTURA CONVENCIONAL DE CONCRETO ARMADO EM UMA EDIFICAÇÃO TÉRREA OU SOBRADO UTILIZANDO AÇO CA-50 DE 6,3 MM MONTAGEM. AF_12/2015</t>
  </si>
  <si>
    <t>PLACA DE SINALIZACAO EM CHAPA DE ACO NUM 16 COM PINTURA REFLETIVA</t>
  </si>
  <si>
    <t xml:space="preserve">PLANTIO DE GRAMA EM PLACAS. AF_05/2018 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</si>
  <si>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</si>
  <si>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</si>
  <si>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</si>
  <si>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</si>
  <si>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</si>
  <si>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17.1.2</t>
  </si>
  <si>
    <t>17.1.3</t>
  </si>
  <si>
    <t>17.1.4</t>
  </si>
  <si>
    <t>17.1.5</t>
  </si>
  <si>
    <t>17.1.6</t>
  </si>
  <si>
    <t>17.1.9</t>
  </si>
  <si>
    <t>17.1.10</t>
  </si>
  <si>
    <t>17.1.11</t>
  </si>
  <si>
    <t>17.1.12</t>
  </si>
  <si>
    <t>17.1.13</t>
  </si>
  <si>
    <t>17.1.14</t>
  </si>
  <si>
    <t>PROTEÇÃO MECÂNICA DE SUPERFÍCIE HORIZONTAL COM ARGAMASSA DE CIMENTO E AREIA, TRAÇO 1:3, E=2CM. AF_06/2018</t>
  </si>
  <si>
    <t>17.1.15</t>
  </si>
  <si>
    <t>PROTEÇÃO MECÂNICA DE SUPERFÍCIE VERTICAL COM ARGAMASSA DE CIMENTO E AREIA, TRAÇO 1:3, E=2CM. AF_06/2018</t>
  </si>
  <si>
    <t>17.1.16</t>
  </si>
  <si>
    <t>IMPERMEABILIZAÇÃO DE SUPERFÍCIE COM MEMBRANA À BASE DE POLIURETANO, 2DEMÃOS. AF_06/2018</t>
  </si>
  <si>
    <t>17.1.17</t>
  </si>
  <si>
    <t>CHAPA METÁLICA DOBRADA MEDINDO 100X160X100X6000 E 100X160X100X1200 NA CHAPA #11 (INSTALAR NA BORDA DO FOSSO) PINTADO EM ZEBRA AMARELO E PRETO</t>
  </si>
  <si>
    <t>17.1.20</t>
  </si>
  <si>
    <t>17.1.21</t>
  </si>
  <si>
    <t>17.1.22</t>
  </si>
  <si>
    <t>JOELHO 90 GRAUS, PVC, SOLDÁVEL, DN 25MM, INSTALADO EM RAMAL OU SUB-RAMAL DE ÁGUA FORNECIMENTO E INSTALAÇÃO . AF_12/2014_P</t>
  </si>
  <si>
    <t>17.1.23</t>
  </si>
  <si>
    <t>JOELHO 45 GRAUS, PVC, SOLDÁVEL, DN 25MM, INSTALADO EM RAMAL OU SUB-RAMAL DE ÁGUA FORNECIMENTO E INSTALAÇÃO . AF_12/2014_P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</si>
  <si>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</si>
  <si>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</si>
  <si>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</si>
  <si>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</si>
  <si>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</si>
  <si>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Importa o presente orçamento em R$ 500.088,80  (quinhentos  mil, oitenta e oito reais, oitenta centavos)</t>
  </si>
  <si>
    <t>CRONOGRAMA FÍSICO FINANCEIRO</t>
  </si>
  <si>
    <t>Obra: Reforma 47ª  Ciretran Vila Rica MT</t>
  </si>
  <si>
    <t>Local: Vila rica/MT</t>
  </si>
  <si>
    <t>Data: AGOSTO 2.021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</si>
  <si>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</si>
  <si>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</si>
  <si>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</si>
  <si>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</si>
  <si>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</si>
  <si>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</si>
  <si>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</si>
  <si>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</si>
  <si>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</si>
  <si>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</si>
  <si>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</si>
  <si>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</si>
  <si>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COMP. 1.3</t>
  </si>
  <si>
    <t>Descrição dos Serviços</t>
  </si>
  <si>
    <t>unidade</t>
  </si>
  <si>
    <t>quantidade</t>
  </si>
  <si>
    <t>valor unitário</t>
  </si>
  <si>
    <t>valor total</t>
  </si>
  <si>
    <t>COD:74209/1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</si>
  <si>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</si>
  <si>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</si>
  <si>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</si>
  <si>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</si>
  <si>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</si>
  <si>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</si>
  <si>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</si>
  <si>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</si>
  <si>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</si>
  <si>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</si>
  <si>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</si>
  <si>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H</t>
  </si>
  <si>
    <t>SERVENTE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</si>
  <si>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</si>
  <si>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</si>
  <si>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</si>
  <si>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</si>
  <si>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Composição referência para adoção de coeficientes de consumo: SINAP 01/2021</t>
  </si>
  <si>
    <t>1.6</t>
  </si>
  <si>
    <t>Caçamba bota fora  5,0 M³</t>
  </si>
  <si>
    <t>unid:ud</t>
  </si>
  <si>
    <t>materiais</t>
  </si>
  <si>
    <t>Caçambas bota fora 5,0 M³</t>
  </si>
  <si>
    <t>Taxa de destinação final de resíduos sólidos da construção civil</t>
  </si>
  <si>
    <t>total</t>
  </si>
  <si>
    <t>preço de venda</t>
  </si>
  <si>
    <t>OBS preço cotado loca mix  construção R$280,00 tel 36233040</t>
  </si>
  <si>
    <t>Demolição de concreto simples</t>
  </si>
  <si>
    <t>unid:m³</t>
  </si>
  <si>
    <t>pedreiro</t>
  </si>
  <si>
    <t>servente</t>
  </si>
  <si>
    <t>coeficientes retirados planilha secid</t>
  </si>
  <si>
    <t>Estrutura de aço para cobertura em perfil C 100mmx50mmx15mm na # 11 assentados como terça a cada 1,20 (10 linhas de 12,40 de comprimento e 10 linhas de 6,00)</t>
  </si>
  <si>
    <t>unid:m²</t>
  </si>
  <si>
    <t>mão de obra</t>
  </si>
  <si>
    <t>serralheiro</t>
  </si>
  <si>
    <t>ajudante se serralheiro</t>
  </si>
  <si>
    <t>perfil de aço carbono tipo "C" 100x50x15mm na chapa #11</t>
  </si>
  <si>
    <t>OBS: perfil cotado na Açofer R$ 210,00 barras de 6,00 m R$ 35,00/m</t>
  </si>
  <si>
    <t>para 1m² de cobertura consome 0,99ml de perfil</t>
  </si>
  <si>
    <t>187,85m² construção----------186,60 ml perfil</t>
  </si>
  <si>
    <t>1m²--------------------------------x ml perfil   x=0,99</t>
  </si>
  <si>
    <t>portão chapa metálica #16 requadro metalon 50x30mm #16 MEDINDO 4,00X2,60</t>
  </si>
  <si>
    <t>ud:ud</t>
  </si>
  <si>
    <t>Metalon 50x30 chapa 16</t>
  </si>
  <si>
    <t>chapa de aço #16</t>
  </si>
  <si>
    <t>Cantoneira L 1"x3/16"</t>
  </si>
  <si>
    <t>Roldana com Caixa 3"</t>
  </si>
  <si>
    <t>Cantoneira U 40x40#14</t>
  </si>
  <si>
    <t>Perfil 100x100 #12</t>
  </si>
  <si>
    <t>trinco ppara portão</t>
  </si>
  <si>
    <t>eletrodo 2.1/2</t>
  </si>
  <si>
    <t>ajudante</t>
  </si>
  <si>
    <t>cotação vencedora multiaço</t>
  </si>
  <si>
    <t>350,38/M²</t>
  </si>
  <si>
    <t>Ladrilho hidraulico para piso tatil para deficientes visuais</t>
  </si>
  <si>
    <t>unid: m²</t>
  </si>
  <si>
    <t>Cimento Portland CP IIE-32</t>
  </si>
  <si>
    <t>Ldrilho Hraudlico200,00x200,00MM na cor amarela (piso tatil direcional e alerta)</t>
  </si>
  <si>
    <t>ARGAMASSA TRAÇO 1:4 (EM VOLUME DE CIMENTO E AREIA MÉDIA ÚMIDA) PARA CONTRAPISO, PREPARO MECÂNICO COM BETONEIRA 400 L. AF_08/2019</t>
  </si>
  <si>
    <t xml:space="preserve">unid: </t>
  </si>
  <si>
    <t>88264</t>
  </si>
  <si>
    <t>eletricista</t>
  </si>
  <si>
    <t>88247</t>
  </si>
  <si>
    <t>ajudante de eletricista</t>
  </si>
  <si>
    <t>88309</t>
  </si>
  <si>
    <t>00001062</t>
  </si>
  <si>
    <t>CAIXA INTERNA/EXTERNA DE MEDICAO PARA 1 MEDIDOR TRIFASICO, COM VISOR, EM CHAPADE ACO 18 USG (PADRAO DA CONCESSIONARIA LOCAL)</t>
  </si>
  <si>
    <t>00039234</t>
  </si>
  <si>
    <t>CABO DE COBRE, FLEXIVEL, CLASSE 4 OU 5, ISOLACAO EM PVC/A, ANTICHAMA BWF-B, 1CONDUTOR, 450/750 V, SECAO NOMINAL 50 MM2</t>
  </si>
  <si>
    <t>00039233</t>
  </si>
  <si>
    <t>CABO DE COBRE, FLEXIVEL, CLASSE 4 OU 5, ISOLACAO EM PVC/A, ANTICHAMA BWF-B, 1CONDUTOR, 450/750 V, SECAO NOMINAL 35 MM2</t>
  </si>
  <si>
    <t>00005033</t>
  </si>
  <si>
    <t>POSTE DE CONCRETO DUPLO T, TIPO B, 300 KG, H = 9 M (NBR 8451)</t>
  </si>
  <si>
    <t>ASSENTAMENTO DE POSTE DE CONCRETO COM COMPRIMENTO NOMINAL DE 9 M, CARGA NOMINAL MENOR OU IGUAL A 1000 DAN, ENGASTAMENTO SIMPLES COM 1,5 M DE SOLO (NÃO INCLUI FORNECIMENTO). AF_11/2019</t>
  </si>
  <si>
    <t>as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</si>
  <si>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</si>
  <si>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</si>
  <si>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</si>
  <si>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</si>
  <si>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00039132</t>
  </si>
  <si>
    <t>ABRACADEIRA EM ACO PARA AMARRACAO DE ELETRODUTOS, TIPO D, COM 2" E CUNHA DE FIXACAO</t>
  </si>
  <si>
    <t>00011862</t>
  </si>
  <si>
    <t>CONECTOR METALICO TIPO PARAFUSO FENDIDO (SPLIT BOLT), PARA CABOS ATE 50 MM2</t>
  </si>
  <si>
    <t>00011854</t>
  </si>
  <si>
    <t>CONECTOR METALICO TIPO PARAFUSO FENDIDO (SPLIT BOLT), PARA CABOS ATE 35 MM2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</si>
  <si>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</si>
  <si>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</si>
  <si>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</si>
  <si>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</si>
  <si>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4346</t>
  </si>
  <si>
    <t>PARAFUSO DE FERRO POLIDO, SEXTAVADO, COM ROSCA PARCIAL, DIAMETRO 5/8", COMPRIMENTO 6", COM PORCA E ARRUELA DE PRESSAO MEDIA</t>
  </si>
  <si>
    <t>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</si>
  <si>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</si>
  <si>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</si>
  <si>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</si>
  <si>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96985</t>
  </si>
  <si>
    <t>96977</t>
  </si>
  <si>
    <t>00000425</t>
  </si>
  <si>
    <t>GRAMPO METALICO TIPO OLHAL PARA HASTE DE ATERRAMENTO DE 5/8'', CONDUTOR DE *10* A 50 MM2</t>
  </si>
  <si>
    <t>00000404</t>
  </si>
  <si>
    <t>FITA ISOLANTE DE BORRACHA AUTOFUSAO, USO ATE 69 KV (ALTA TENSAO)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</si>
  <si>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</si>
  <si>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</si>
  <si>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</si>
  <si>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</si>
  <si>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94975</t>
  </si>
  <si>
    <t>CONCRETO FCK = 15MPA, TRAÇO 1:3,4:3,5 (CIMENTO/ AREIA MÉDIA/ BRITA 1)- PREPARO MANUAL. AF_07/2016</t>
  </si>
  <si>
    <t>unid: ud</t>
  </si>
  <si>
    <t>00043097</t>
  </si>
  <si>
    <t>CAIXA DE PASSAGEM ELETRICA DE PAREDE, DE SOBREPOR, EM TERMOPLASTICO / PVCCOM TAMPA APARAFUSADA, DIMENSOES, 150 X 150 X *100* MM</t>
  </si>
  <si>
    <t>11950</t>
  </si>
  <si>
    <t>BUCHA DE NYLON SEM ABA S6, COM PARAFUSO DE 4,20 X 40 MM EM ACO ZINCADO COM ROSCA SOBERBA, CABECA CHATA E FENDA PHILLIPS</t>
  </si>
  <si>
    <t>unid: unitario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</si>
  <si>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</si>
  <si>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</si>
  <si>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</si>
  <si>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</si>
  <si>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</si>
  <si>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</si>
  <si>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</si>
  <si>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</si>
  <si>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REFLETOR LED 50W PARA ILUMINAÇÃO EM MBIENTES EXTERNOS 127/220V</t>
  </si>
  <si>
    <t>ELETRICISTA COM ENCARGOS COMPLEMENTARES</t>
  </si>
  <si>
    <t>AUXILIAR DE ELETRICISTA COM ENCARGOS COMPLEMENTARES</t>
  </si>
  <si>
    <t>DISJUNTOR TIPO DIN/IEC, TRIPOLAR 63 A</t>
  </si>
  <si>
    <t>00001576</t>
  </si>
  <si>
    <t>TERMINAL A COMPRESSAO EM COBRE ESTANHADO PARA CABO 25 MM2, 1 FURO E 1 COMPRESSAO, PARA PARAFUSO DE FIXACAO M8</t>
  </si>
  <si>
    <t>00039446</t>
  </si>
  <si>
    <t>DISPOSITIVO DR, 2 POLOS, SENSIBILIDADE DE 30 MA, CORRENTE DE 40 A, TIPO AC</t>
  </si>
  <si>
    <t>00001573</t>
  </si>
  <si>
    <t>TERMINAL A COMPRESSAO EM COBRE ESTANHADO PARA CABO 6 MM2, 1 FURO E 1 COMPRESSAO, PARA PARAFUSO DE FIXACAO M6</t>
  </si>
  <si>
    <t>00039467</t>
  </si>
  <si>
    <t>DISPOSITIVO DPS CLASSE II, 1 POLO, TENSAO MAXIMA DE 175 V, CORRENTE MAXIMA DE *45* KA (TIPO AC</t>
  </si>
  <si>
    <t>PEDREIRO COM ENCARGOS COMPLEMENTARES</t>
  </si>
  <si>
    <t>88316</t>
  </si>
  <si>
    <t>00039812</t>
  </si>
  <si>
    <t>CAIXA DE PASSAGEM DE PAREDE, DE EMBUTIR, EM PVC, DIMENSOES *200 X 200 X 90* MM</t>
  </si>
  <si>
    <t>COTAÇÃO</t>
  </si>
  <si>
    <t>Fornecimento e instalação de rack fechado 16Ux19"x450mm,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</si>
  <si>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</si>
  <si>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</si>
  <si>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</si>
  <si>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</si>
  <si>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</si>
  <si>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</si>
  <si>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</si>
  <si>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</si>
  <si>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TUDO FORTE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</si>
  <si>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</si>
  <si>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</si>
  <si>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</si>
  <si>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</si>
  <si>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</si>
  <si>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</si>
  <si>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</si>
  <si>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</si>
  <si>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</si>
  <si>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</si>
  <si>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</si>
  <si>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</si>
  <si>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</si>
  <si>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</si>
  <si>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</si>
  <si>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00002501</t>
  </si>
  <si>
    <t>ELETRODUTO FLEXIVEL, EM ACO GALVANIZADO, REVESTIDO EXTERNAMENTE COM PVC  PRETO, DIAMETRO EXTERNO DE 32 MM (1"), TIPO SEALTUBO</t>
  </si>
  <si>
    <t>Lavatorio de louça branco suspenso Deca master  L76 canto 17 branco E</t>
  </si>
  <si>
    <t>UD:m²</t>
  </si>
  <si>
    <t>Encanador ou bombeiro hidraulico com encargos complementares</t>
  </si>
  <si>
    <t>AUXILIAR DE ENCANADOR OU BOMBEIRO HIDRAULICO</t>
  </si>
  <si>
    <t>internet</t>
  </si>
  <si>
    <t>parafuso niquelado 3 1/2" com acabamento cromado para fixar peça sanitária, inclui porca cega, arruela e bucha de naylon tamanho S8</t>
  </si>
  <si>
    <t>rejunte epoxi branco</t>
  </si>
  <si>
    <t>LAVATÓRIO COTADO NA INTERNET PADOVANI</t>
  </si>
  <si>
    <t>Fornecimento e instalação de suporte para vaso sanitário de portadores de necessidades especiais , conforme determina a legislação</t>
  </si>
  <si>
    <t>36218</t>
  </si>
  <si>
    <t>suporte para deficiente 0,60</t>
  </si>
  <si>
    <t>36223</t>
  </si>
  <si>
    <t>suporte para deficiente 0,90</t>
  </si>
  <si>
    <t>OBS: suporte cotado na todimo jack Wall</t>
  </si>
  <si>
    <t>Fornecimento e instalação de suporte para lavatórios de portadores de necessidades especiais , conforme determina a legislação</t>
  </si>
  <si>
    <t>suporte para deficiente</t>
  </si>
  <si>
    <t>OBS: suporte cotado na CNN inox R$ 240,00 tel. 36826920</t>
  </si>
  <si>
    <t>LAVATÓRIO DE LOUÇA BRANCA  SUSPENSO, 38,5X38,5 CM OU EQUIVALENTE FORNECIMENTO E INSTALAÇÃO</t>
  </si>
  <si>
    <t>UD : UD</t>
  </si>
  <si>
    <t>MAO DE OBRA</t>
  </si>
  <si>
    <t>ENCANADOR OU BOMBEIRO</t>
  </si>
  <si>
    <t>AUXILIAR DE ENCANADOROS</t>
  </si>
  <si>
    <t>MATERIAL</t>
  </si>
  <si>
    <t>PARAFUSO NIQUELADO 3 1/2" COM ACABAMENTO CROMADO PAR FIXAR PEÇA SANITÁRIA, INCLUI PORCA CEGA ARRUELA E BUCHA DE NYLON TAMANHO S8</t>
  </si>
  <si>
    <t>UD</t>
  </si>
  <si>
    <t>LAVATÓRIO DE CANTO SUSPENSO PARA PCD 38,5X38,5 CM L76 DECA OU SIMILAR</t>
  </si>
  <si>
    <t xml:space="preserve">REJUNTE EPOXI BRANCO </t>
  </si>
  <si>
    <t>TOTAL MATERIAL</t>
  </si>
  <si>
    <t>TOTAL GERAL</t>
  </si>
  <si>
    <t>34723 insumo</t>
  </si>
  <si>
    <t>PLACA DE SINALIZACAO EM CHAPA DE ACO NUM 16 COM PINTURA REFLETIVA MEDINDO 0,50X0,75 M</t>
  </si>
  <si>
    <t>4491 insumo</t>
  </si>
  <si>
    <t>PONTALETE *7,5 X 7,5* CM EM PINUS, MISTA OU EQUIVALENTE DA REGIAO - BRUTA</t>
  </si>
  <si>
    <t>CONCRETO MAGRO PARA LASTRO, TRAÇO 1:4,5:4,5 (CIMENTO/ AREIA MÉDIA/ BRIA 1) - PREPARO MANUAL. AF_07/2016</t>
  </si>
  <si>
    <t>PEDREIRO</t>
  </si>
  <si>
    <t>SERVENTE</t>
  </si>
  <si>
    <t>Pedreiro com encargos complementares</t>
  </si>
  <si>
    <t>Servente com encargos complementares</t>
  </si>
  <si>
    <t>TOTAL MAO DE OBRA</t>
  </si>
  <si>
    <t>INSUMO 34348</t>
  </si>
  <si>
    <t>Concertina clipada (dupla) em aço galvanizado de alta resistencia, com espiral de 300 MM, D = 2,76 MM</t>
  </si>
  <si>
    <t>Haste de aço galvanizado para fixação de concertina 2 "/3 M</t>
  </si>
  <si>
    <t>Furo em alvenaria para diâmetros maiores que 40 MM e menores ou igual a 75 MM. AF_05/2015</t>
  </si>
  <si>
    <t>Concreto magro para lastro, traço 1:4,5:4,5 (cimento/ areia média/ brita 1) - preparo manual. AF_07/2016</t>
  </si>
  <si>
    <t>TOTAL DE MATERIAL</t>
  </si>
  <si>
    <t>TOTALA GERAL</t>
  </si>
  <si>
    <t>CHAPA METÁLICA DOBRADA MEDINDO 100X160X100X6000 E 100X160X100X1200 NA CHAPA #11 (INSTALAR NA BORDA DO FOSSO)</t>
  </si>
  <si>
    <t>chapa metálica dobrada medindo (100x160x100x6200)x2+(100x160x100x1000)x2</t>
  </si>
  <si>
    <t>parabolt 3/8x50mm</t>
  </si>
  <si>
    <t>Pintura esmalte sintetico fosco, duas demaos, sobre superficie metalica</t>
  </si>
  <si>
    <t>total do material</t>
  </si>
  <si>
    <t xml:space="preserve">total geral </t>
  </si>
  <si>
    <t>AÇOFER 2X6000 MM R$ 512,00   2X1200MM R$108,00 TOTAL DA COMPRA R$ 620,00 PARABOLT R$ 0,98</t>
  </si>
  <si>
    <t>FERMAT 4X3000MM R$600,00 2XR$ 1200MM R$132,00 TOTAL DA COMPRA R$ 732,00 PARABOLT R$ 1,05</t>
  </si>
  <si>
    <t>MULTIAÇO 4X3000MM R$ 640,00 2X1200MM R$160,00 TOTAL DA COMPRA R$ 800,00 R$ 0,95</t>
  </si>
  <si>
    <t>REFORMA E AMPLIAÇÃO DA 12ª CIRETRAN - POXORÉU-MT</t>
  </si>
  <si>
    <t>item</t>
  </si>
  <si>
    <t>descrição</t>
  </si>
  <si>
    <t>unid</t>
  </si>
  <si>
    <t>quant.</t>
  </si>
  <si>
    <t>cust. Unit.</t>
  </si>
  <si>
    <t>cust. Total</t>
  </si>
  <si>
    <t>OBS preço cotado loca mix  construção R$270,00 tel 36233040</t>
  </si>
  <si>
    <t>REMOCAO DE ESQUADRIA METALICA COM OU SEM REAPROVEITAMENTO</t>
  </si>
  <si>
    <t>Unid: m2</t>
  </si>
  <si>
    <t>Mao de Obra</t>
  </si>
  <si>
    <t>und</t>
  </si>
  <si>
    <t>quant</t>
  </si>
  <si>
    <t>custo unitario</t>
  </si>
  <si>
    <t>custo total</t>
  </si>
  <si>
    <t>coeficiente retirado secid</t>
  </si>
  <si>
    <t>Demolição de piso revestido em granilite</t>
  </si>
  <si>
    <t>unid:m3</t>
  </si>
  <si>
    <t>REMOÇÃO DE GUIA PRE FABRICADA DE CONCRETO</t>
  </si>
  <si>
    <t>unid m</t>
  </si>
  <si>
    <t>indice retirado secid 2014</t>
  </si>
  <si>
    <t>RETIRADA DE LOUÇAS SANAITÁRIAS</t>
  </si>
  <si>
    <t>perfil cotado açofer R$190,00/ 6metros</t>
  </si>
  <si>
    <t>OBS: perfil cotado na Açofer R$ 190,00 barras de 6,00 m R$ 31,67/m</t>
  </si>
  <si>
    <t>Portão em chapa corrugada #18 com requadro de metalon 60x60 na chapa 14 e reforço no lado dos pilares com cantoneira L 2.1/2"x3/16"</t>
  </si>
  <si>
    <t>chapa corrugada nº 18</t>
  </si>
  <si>
    <t>metalon 60x60 chapa 14</t>
  </si>
  <si>
    <t>dobradiça tipo cachimbo 1.1/4"</t>
  </si>
  <si>
    <t>Cantoneira 2.1/2'x3/16"</t>
  </si>
  <si>
    <t>Preço por m²</t>
  </si>
  <si>
    <t>01 portão 6x3</t>
  </si>
  <si>
    <t>01 acrescimo de 4x1,30</t>
  </si>
  <si>
    <t>metalon 60x60 chapa 14 R$ 105,00</t>
  </si>
  <si>
    <t>chapa corrugada 0,90x3,00 nº 18 R$ 159,90</t>
  </si>
  <si>
    <t xml:space="preserve"> dobradiça tipo gonzo R$ 4,90</t>
  </si>
  <si>
    <t>cantoneira 2.1/2"x3/16" R$119,00</t>
  </si>
  <si>
    <t>cotado Perfilados  multiaço fone 36343050</t>
  </si>
  <si>
    <t>10.8</t>
  </si>
  <si>
    <t>Aragamnassa mista de cal hiddratada e areia sem peneirar ttraço 1:4 com adição de 100 kg de cimento</t>
  </si>
  <si>
    <t>material cotado Ladrilhart's tel 36283496 R$ 4,50/unid</t>
  </si>
  <si>
    <t>Aplicação de primer sintetico em estrutura de aço carbono com um ademão E=25 micra a revolver</t>
  </si>
  <si>
    <t>ajudante de pintor</t>
  </si>
  <si>
    <t>pintor</t>
  </si>
  <si>
    <t>aguaraz mineral</t>
  </si>
  <si>
    <t>l</t>
  </si>
  <si>
    <t>lixa para superficie metalica</t>
  </si>
  <si>
    <t>primer sintetico</t>
  </si>
  <si>
    <t>Pintura com tinta esmalte sintetico em estrutura de aço carbono com um ademão E=50 micra a revolver</t>
  </si>
  <si>
    <t>esmalte sintetico</t>
  </si>
  <si>
    <t>17.7</t>
  </si>
  <si>
    <t>Fornecimento e instalação de marquise metálica, coberta com telhas de aço galvanizado e forrado com forro de PVC em painéis lineares encaixados entre si e fixado em estrutura metálica com espaçamento máximo de 0,60 m</t>
  </si>
  <si>
    <t>soldador</t>
  </si>
  <si>
    <t>chapa #11 para requadro da marquize de acordo com projeto arquitetonico</t>
  </si>
  <si>
    <t>Metalon 30x50mm #14</t>
  </si>
  <si>
    <t>Pintura em esmalte sintetico em esquadria de ferro duas demãos</t>
  </si>
  <si>
    <t>Pintura em esmalte sintetico da  logomarca do DETRAN de acordo com detalhe</t>
  </si>
  <si>
    <t>duto de descida inclusive curvas em tubo de pvc 100 mm</t>
  </si>
  <si>
    <t>Fornecimento e instalação de joelho de 90º série N 100 mm</t>
  </si>
  <si>
    <t>preço por m²</t>
  </si>
  <si>
    <t>chapa cotado perfilados multiaço R$ 5,89/m² tel 36343050</t>
  </si>
  <si>
    <t>metalon 30x50mm #14 R$ 66,70 br com 6,00 m</t>
  </si>
  <si>
    <r>
      <t>PERFIL DUPLO C</t>
    </r>
    <r>
      <rPr>
        <b/>
        <sz val="8"/>
        <color rgb="FF000000"/>
        <rFont val="Calibri"/>
        <family val="2"/>
      </rPr>
      <t xml:space="preserve"> 400X100X50 # 11 PARA PILARES COM4,00+1,00 METROS DE ALTURA SOLDADO EM BERÇO METÁLICO</t>
    </r>
  </si>
  <si>
    <t>unid:m</t>
  </si>
  <si>
    <t>perfil de aço carbono tipo "C" 400x100x50 mm na chapa #11</t>
  </si>
  <si>
    <t>OBS: perfil cotado na Multiaço R$ 407,00 barras de 6,00 m R$ 67,83/m</t>
  </si>
  <si>
    <t>para 1m² de cobertura consome 0,81ml de perfil</t>
  </si>
  <si>
    <t>perfil5m*2perfis*4unidades</t>
  </si>
  <si>
    <t>166,34m² construção----------40,00 ml perfil</t>
  </si>
  <si>
    <t>1m²--------------------------------x ml perfil   x=0,24</t>
  </si>
  <si>
    <r>
      <t>PERFIL DUPLO C</t>
    </r>
    <r>
      <rPr>
        <b/>
        <sz val="8"/>
        <color rgb="FF000000"/>
        <rFont val="Calibri"/>
        <family val="2"/>
      </rPr>
      <t xml:space="preserve"> 300X100X50 # 11 PARA VIGAS DE COBERTURA COM4,00 E 6,00 METROS DE COMPRIMENTO SOLDADO NOS PILARES</t>
    </r>
  </si>
  <si>
    <t>perfil de aço carbono tipo "C" 300x100x50 mm na chapa #11</t>
  </si>
  <si>
    <t>OBS: perfil cotado na Multiaço R$ 341,00 barras de 6,00 m R$ 56,83/m</t>
  </si>
  <si>
    <t>para 1m² de cobertura consome 0,25ml de perfil</t>
  </si>
  <si>
    <t>166,34m² construção----------42,00 ml perfil</t>
  </si>
  <si>
    <t>1m²--------------------------------x ml perfil   x=0,25</t>
  </si>
  <si>
    <t>VIDRO TEMPERADO 10 MM VERDE COLOCADO EM CAIXILHO DE ALUMINIO BRONZE</t>
  </si>
  <si>
    <t>vidro temperado verde 10 mm</t>
  </si>
  <si>
    <t>preço insumos cod 10502</t>
  </si>
  <si>
    <t>%sobre mateiral para cobrir colocação e pequenos itens omissos</t>
  </si>
  <si>
    <t>2.1/2</t>
  </si>
  <si>
    <t>323,48/M²</t>
  </si>
  <si>
    <t>todimo</t>
  </si>
  <si>
    <t>COMPOSIÇÕES INSTALAÇÕES ELÉTRICAS E REDE LÓGICA</t>
  </si>
  <si>
    <t>POSTE DE AÇO PARA ILUMINAÇÃO DE JARDIM 3,00 M DOIS BRAÇOS LUMINÁRIAS LED IP 65 - 40 W – FORNECIMENTO E INSTALAÇÃO</t>
  </si>
  <si>
    <t>unid:</t>
  </si>
  <si>
    <t>88242</t>
  </si>
  <si>
    <t>ajudante de pedreiro</t>
  </si>
  <si>
    <t>POSTE CONICO CONTINUO EM ACO GALVANIZADO, RETO, FLANGEADO, H = 3 M, DIAMETRO INFERIOR = *95* MM</t>
  </si>
  <si>
    <t>BRACO P/ LUMINARIA PUBLICA 1 X 1,50M ROMAGNOLE OU EQUIV</t>
  </si>
  <si>
    <t>RELE FOTOELETRICO P/ COMANDO DE ILUMINACAO EXTERNA 220V/1000W – FORNECIMENTO E INSTALAÇÃO</t>
  </si>
  <si>
    <t>LUMINARIA HERMETICA IP-65 PARA 2 DUAS LAMPADAS DE 28/32/36/40 W (NAO INCLUI REATOR E LAMPADAS)</t>
  </si>
  <si>
    <t>74104/001</t>
  </si>
  <si>
    <t>CAIXA DE INSPEÇÃO EM ALVENARIA DE TIJOLO MACIÇO 60X60X60CM, REVESTIDA 
INTERNAMENTO COM BARRA LISA (CIMENTO E AREIA, TRAÇO 1:4) E=2,0CM, COM
TAMPA PRÉ-MOLDADA DE CONCRETO E FUNDO DE CONCRETO 15MPA TIPO C - ESCAV
AÇÃO E CONFECÇÃO</t>
  </si>
  <si>
    <t>EXAUSTOR DE  50 CM VAZÃODE 5.000 m³/hora-  (EXAUSTÃO E VENTILAÇÃO) FORNECIMENTO E INSTALAÇÃO</t>
  </si>
  <si>
    <t>00002436</t>
  </si>
  <si>
    <t>0000247</t>
  </si>
  <si>
    <t>00004750</t>
  </si>
  <si>
    <t>EXAUSTOR 50 CM VAZÃO DE 5.000 m³/hora – 220V</t>
  </si>
  <si>
    <t>DISPOSITIVO DR, 4 POLOS, SENSIBILIDADE DE 30 MA, CORRENTE DE 100 A, TIPO AC – FORNECIMENTO E INSTALAÇÃO</t>
  </si>
  <si>
    <t>00039458</t>
  </si>
  <si>
    <t>DISPOSITIVO DR, 4 POLOS, SENSIBILIDADE DE 30 MA, CORRENTE DE 100 A, TIPO AC</t>
  </si>
  <si>
    <t>CAIXA DE CONCRETO ARMADO PRE-MOLDADO, COM FUNDO E TAMPA, DIMENSOES DE 0,60 X0,60 X 0,50 M - FORNECIMENTO E INSTALAÇÃO</t>
  </si>
  <si>
    <t>101618</t>
  </si>
  <si>
    <t>PREPARO DE FUNDO DE VALA COM LARGURA MENOR QUE 1,5 M, COM CAMADA DE AR EIA, LANÇAMENTO MANUAL. AF_08/2020</t>
  </si>
  <si>
    <t>CAIXA DE CONCRETO ARMADO PRE-MOLDADO, COM FUNDO E TAMPA, DIMENSOES DE 0,60 X0,60 X 0,50 M</t>
  </si>
  <si>
    <t>REDE 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</si>
</sst>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&quot; &quot;#,##0.00&quot; &quot;;&quot; (&quot;#,##0.00&quot;)&quot;;&quot; -&quot;#&quot; &quot;;&quot; &quot;@&quot; &quot;"/>
    <numFmt numFmtId="165" formatCode="&quot; R$ &quot;#,##0.00&quot; &quot;;&quot;-R$ &quot;#,##0.00&quot; &quot;;&quot; R$ -&quot;#&quot; &quot;;&quot; &quot;@&quot; &quot;"/>
    <numFmt numFmtId="166" formatCode="&quot;R$ &quot;#,##0.00&quot; &quot;;[Red]&quot;(R$ &quot;#,##0.00&quot;)&quot;"/>
    <numFmt numFmtId="167" formatCode="&quot; &quot;#,##0.00&quot; &quot;;&quot; (&quot;#,##0.00&quot;)&quot;;&quot; -&quot;00&quot; &quot;;&quot; &quot;@&quot; &quot;"/>
    <numFmt numFmtId="168" formatCode="&quot; &quot;#,##0.00&quot; &quot;;&quot;-&quot;#,##0.00&quot; &quot;;&quot; -&quot;00&quot; &quot;;&quot; &quot;@&quot; &quot;"/>
  </numFmts>
  <fonts count="38">
    <font>
      <sz val="11"/>
      <color rgb="FF000000"/>
      <name val="Arial1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sz val="10"/>
      <color rgb="FF000000"/>
      <name val="Arial1"/>
    </font>
    <font>
      <sz val="8"/>
      <color rgb="FF003300"/>
      <name val="Arial"/>
      <family val="2"/>
    </font>
    <font>
      <b/>
      <sz val="11"/>
      <color rgb="FF000000"/>
      <name val="Arial"/>
      <family val="2"/>
    </font>
    <font>
      <b/>
      <sz val="14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10"/>
      <color rgb="FF000000"/>
      <name val="Helvetica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FF"/>
      <name val="Arial"/>
      <family val="2"/>
    </font>
    <font>
      <b/>
      <sz val="11"/>
      <color rgb="FF000000"/>
      <name val="Arial1"/>
    </font>
    <font>
      <b/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0000"/>
        <bgColor rgb="FFFF0000"/>
      </patternFill>
    </fill>
    <fill>
      <patternFill patternType="solid">
        <fgColor rgb="FF3366FF"/>
        <bgColor rgb="FF3366FF"/>
      </patternFill>
    </fill>
  </fills>
  <borders count="49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7">
    <xf numFmtId="0" fontId="0" fillId="0" borderId="0"/>
    <xf numFmtId="168" fontId="1" fillId="0" borderId="0" applyFont="0" applyFill="0" applyBorder="0" applyAlignment="0" applyProtection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164" fontId="1" fillId="0" borderId="0" applyFont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165" fontId="1" fillId="0" borderId="0" applyFon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9" fontId="14" fillId="0" borderId="0" applyFill="0" applyBorder="0" applyAlignment="0" applyProtection="0"/>
    <xf numFmtId="9" fontId="14" fillId="0" borderId="0" applyFill="0" applyBorder="0" applyAlignment="0" applyProtection="0"/>
    <xf numFmtId="0" fontId="15" fillId="0" borderId="0" applyNumberFormat="0" applyBorder="0" applyProtection="0"/>
    <xf numFmtId="164" fontId="1" fillId="0" borderId="0" applyFont="0" applyBorder="0" applyProtection="0"/>
    <xf numFmtId="164" fontId="14" fillId="0" borderId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167" fontId="14" fillId="0" borderId="0" applyFill="0" applyBorder="0" applyAlignment="0" applyProtection="0"/>
    <xf numFmtId="0" fontId="4" fillId="0" borderId="0" applyNumberFormat="0" applyBorder="0" applyProtection="0"/>
  </cellStyleXfs>
  <cellXfs count="615">
    <xf numFmtId="0" fontId="0" fillId="0" borderId="0" xfId="0"/>
    <xf numFmtId="0" fontId="0" fillId="0" borderId="0" xfId="0" applyAlignment="1">
      <alignment vertical="center"/>
    </xf>
    <xf numFmtId="4" fontId="16" fillId="0" borderId="0" xfId="0" applyNumberFormat="1" applyFont="1" applyAlignment="1">
      <alignment vertical="center"/>
    </xf>
    <xf numFmtId="4" fontId="16" fillId="0" borderId="0" xfId="0" applyNumberFormat="1" applyFont="1" applyAlignment="1">
      <alignment wrapText="1"/>
    </xf>
    <xf numFmtId="4" fontId="14" fillId="0" borderId="0" xfId="0" applyNumberFormat="1" applyFont="1" applyAlignment="1">
      <alignment vertical="center"/>
    </xf>
    <xf numFmtId="4" fontId="14" fillId="0" borderId="0" xfId="0" applyNumberFormat="1" applyFont="1" applyAlignment="1"/>
    <xf numFmtId="4" fontId="14" fillId="9" borderId="0" xfId="0" applyNumberFormat="1" applyFont="1" applyFill="1" applyAlignment="1"/>
    <xf numFmtId="4" fontId="14" fillId="0" borderId="0" xfId="0" applyNumberFormat="1" applyFont="1"/>
    <xf numFmtId="2" fontId="14" fillId="0" borderId="0" xfId="0" applyNumberFormat="1" applyFont="1"/>
    <xf numFmtId="4" fontId="0" fillId="0" borderId="0" xfId="0" applyNumberFormat="1"/>
    <xf numFmtId="0" fontId="16" fillId="10" borderId="2" xfId="0" applyFont="1" applyFill="1" applyBorder="1" applyAlignment="1">
      <alignment wrapText="1"/>
    </xf>
    <xf numFmtId="4" fontId="17" fillId="0" borderId="0" xfId="0" applyNumberFormat="1" applyFont="1" applyAlignment="1">
      <alignment horizontal="left"/>
    </xf>
    <xf numFmtId="4" fontId="19" fillId="0" borderId="0" xfId="0" applyNumberFormat="1" applyFont="1" applyAlignment="1">
      <alignment horizontal="center"/>
    </xf>
    <xf numFmtId="4" fontId="19" fillId="9" borderId="0" xfId="0" applyNumberFormat="1" applyFont="1" applyFill="1" applyAlignment="1">
      <alignment horizontal="center"/>
    </xf>
    <xf numFmtId="4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wrapText="1"/>
    </xf>
    <xf numFmtId="4" fontId="14" fillId="0" borderId="0" xfId="0" applyNumberFormat="1" applyFont="1" applyAlignment="1">
      <alignment horizontal="center" vertical="center"/>
    </xf>
    <xf numFmtId="0" fontId="0" fillId="0" borderId="0" xfId="0" applyFill="1"/>
    <xf numFmtId="4" fontId="14" fillId="0" borderId="0" xfId="0" applyNumberFormat="1" applyFont="1" applyAlignment="1">
      <alignment horizontal="center"/>
    </xf>
    <xf numFmtId="4" fontId="14" fillId="9" borderId="0" xfId="0" applyNumberFormat="1" applyFont="1" applyFill="1" applyAlignment="1">
      <alignment horizontal="center"/>
    </xf>
    <xf numFmtId="4" fontId="19" fillId="11" borderId="4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/>
    <xf numFmtId="4" fontId="19" fillId="11" borderId="6" xfId="0" applyNumberFormat="1" applyFont="1" applyFill="1" applyBorder="1" applyAlignment="1">
      <alignment vertical="center"/>
    </xf>
    <xf numFmtId="4" fontId="19" fillId="0" borderId="0" xfId="0" applyNumberFormat="1" applyFont="1" applyAlignment="1"/>
    <xf numFmtId="4" fontId="19" fillId="9" borderId="2" xfId="0" applyNumberFormat="1" applyFont="1" applyFill="1" applyBorder="1" applyAlignment="1"/>
    <xf numFmtId="4" fontId="19" fillId="0" borderId="0" xfId="0" applyNumberFormat="1" applyFont="1"/>
    <xf numFmtId="0" fontId="19" fillId="0" borderId="0" xfId="0" applyFont="1"/>
    <xf numFmtId="4" fontId="19" fillId="11" borderId="7" xfId="0" applyNumberFormat="1" applyFont="1" applyFill="1" applyBorder="1" applyAlignment="1">
      <alignment horizontal="right"/>
    </xf>
    <xf numFmtId="4" fontId="19" fillId="11" borderId="8" xfId="0" applyNumberFormat="1" applyFont="1" applyFill="1" applyBorder="1" applyAlignment="1">
      <alignment vertical="center"/>
    </xf>
    <xf numFmtId="4" fontId="19" fillId="11" borderId="8" xfId="0" applyNumberFormat="1" applyFont="1" applyFill="1" applyBorder="1" applyAlignment="1"/>
    <xf numFmtId="4" fontId="19" fillId="11" borderId="9" xfId="0" applyNumberFormat="1" applyFont="1" applyFill="1" applyBorder="1" applyAlignment="1">
      <alignment vertical="center"/>
    </xf>
    <xf numFmtId="4" fontId="14" fillId="9" borderId="10" xfId="0" applyNumberFormat="1" applyFont="1" applyFill="1" applyBorder="1" applyAlignment="1">
      <alignment horizontal="right"/>
    </xf>
    <xf numFmtId="1" fontId="16" fillId="9" borderId="2" xfId="0" applyNumberFormat="1" applyFont="1" applyFill="1" applyBorder="1" applyAlignment="1">
      <alignment horizontal="right"/>
    </xf>
    <xf numFmtId="4" fontId="16" fillId="9" borderId="11" xfId="0" applyNumberFormat="1" applyFont="1" applyFill="1" applyBorder="1" applyAlignment="1">
      <alignment wrapText="1"/>
    </xf>
    <xf numFmtId="4" fontId="14" fillId="9" borderId="11" xfId="0" applyNumberFormat="1" applyFont="1" applyFill="1" applyBorder="1" applyAlignment="1">
      <alignment horizontal="right"/>
    </xf>
    <xf numFmtId="164" fontId="14" fillId="9" borderId="2" xfId="8" applyFont="1" applyFill="1" applyBorder="1" applyAlignment="1"/>
    <xf numFmtId="4" fontId="14" fillId="9" borderId="12" xfId="0" applyNumberFormat="1" applyFont="1" applyFill="1" applyBorder="1" applyAlignment="1">
      <alignment horizontal="right"/>
    </xf>
    <xf numFmtId="164" fontId="14" fillId="0" borderId="13" xfId="8" applyFont="1" applyFill="1" applyBorder="1" applyAlignment="1">
      <alignment horizontal="center" vertical="top"/>
    </xf>
    <xf numFmtId="164" fontId="14" fillId="9" borderId="2" xfId="8" applyFont="1" applyFill="1" applyBorder="1" applyAlignment="1">
      <alignment vertical="top"/>
    </xf>
    <xf numFmtId="4" fontId="19" fillId="0" borderId="0" xfId="0" applyNumberFormat="1" applyFont="1" applyFill="1" applyAlignment="1"/>
    <xf numFmtId="4" fontId="14" fillId="0" borderId="0" xfId="0" applyNumberFormat="1" applyFont="1" applyFill="1"/>
    <xf numFmtId="2" fontId="14" fillId="0" borderId="0" xfId="0" applyNumberFormat="1" applyFont="1" applyFill="1"/>
    <xf numFmtId="4" fontId="19" fillId="0" borderId="0" xfId="0" applyNumberFormat="1" applyFont="1" applyFill="1"/>
    <xf numFmtId="0" fontId="19" fillId="0" borderId="0" xfId="0" applyFont="1" applyFill="1"/>
    <xf numFmtId="4" fontId="16" fillId="9" borderId="2" xfId="0" applyNumberFormat="1" applyFont="1" applyFill="1" applyBorder="1" applyAlignment="1">
      <alignment wrapText="1"/>
    </xf>
    <xf numFmtId="4" fontId="14" fillId="9" borderId="2" xfId="0" applyNumberFormat="1" applyFont="1" applyFill="1" applyBorder="1" applyAlignment="1">
      <alignment horizontal="right"/>
    </xf>
    <xf numFmtId="4" fontId="14" fillId="0" borderId="0" xfId="0" applyNumberFormat="1" applyFont="1" applyFill="1" applyAlignment="1"/>
    <xf numFmtId="4" fontId="14" fillId="9" borderId="2" xfId="0" applyNumberFormat="1" applyFont="1" applyFill="1" applyBorder="1" applyAlignment="1"/>
    <xf numFmtId="4" fontId="16" fillId="9" borderId="14" xfId="0" applyNumberFormat="1" applyFont="1" applyFill="1" applyBorder="1" applyAlignment="1">
      <alignment wrapText="1"/>
    </xf>
    <xf numFmtId="4" fontId="14" fillId="9" borderId="14" xfId="0" applyNumberFormat="1" applyFont="1" applyFill="1" applyBorder="1" applyAlignment="1">
      <alignment horizontal="right"/>
    </xf>
    <xf numFmtId="4" fontId="14" fillId="9" borderId="15" xfId="0" applyNumberFormat="1" applyFont="1" applyFill="1" applyBorder="1" applyAlignment="1">
      <alignment horizontal="right"/>
    </xf>
    <xf numFmtId="4" fontId="14" fillId="9" borderId="16" xfId="0" applyNumberFormat="1" applyFont="1" applyFill="1" applyBorder="1" applyAlignment="1">
      <alignment horizontal="right"/>
    </xf>
    <xf numFmtId="4" fontId="19" fillId="11" borderId="4" xfId="0" applyNumberFormat="1" applyFont="1" applyFill="1" applyBorder="1" applyAlignment="1">
      <alignment horizontal="right"/>
    </xf>
    <xf numFmtId="4" fontId="19" fillId="11" borderId="5" xfId="0" applyNumberFormat="1" applyFont="1" applyFill="1" applyBorder="1" applyAlignment="1">
      <alignment horizontal="right"/>
    </xf>
    <xf numFmtId="4" fontId="19" fillId="11" borderId="6" xfId="0" applyNumberFormat="1" applyFont="1" applyFill="1" applyBorder="1" applyAlignment="1">
      <alignment horizontal="right"/>
    </xf>
    <xf numFmtId="4" fontId="19" fillId="10" borderId="0" xfId="0" applyNumberFormat="1" applyFont="1" applyFill="1" applyAlignment="1"/>
    <xf numFmtId="4" fontId="19" fillId="0" borderId="17" xfId="0" applyNumberFormat="1" applyFont="1" applyBorder="1" applyAlignment="1">
      <alignment horizontal="right"/>
    </xf>
    <xf numFmtId="4" fontId="20" fillId="0" borderId="15" xfId="0" applyNumberFormat="1" applyFont="1" applyBorder="1" applyAlignment="1">
      <alignment vertical="center"/>
    </xf>
    <xf numFmtId="4" fontId="20" fillId="0" borderId="15" xfId="0" applyNumberFormat="1" applyFont="1" applyBorder="1" applyAlignment="1">
      <alignment wrapText="1"/>
    </xf>
    <xf numFmtId="4" fontId="19" fillId="0" borderId="15" xfId="0" applyNumberFormat="1" applyFont="1" applyBorder="1" applyAlignment="1">
      <alignment vertical="center"/>
    </xf>
    <xf numFmtId="4" fontId="14" fillId="0" borderId="15" xfId="0" applyNumberFormat="1" applyFont="1" applyFill="1" applyBorder="1" applyAlignment="1"/>
    <xf numFmtId="4" fontId="14" fillId="0" borderId="15" xfId="0" applyNumberFormat="1" applyFont="1" applyBorder="1" applyAlignment="1">
      <alignment vertical="center"/>
    </xf>
    <xf numFmtId="4" fontId="19" fillId="0" borderId="16" xfId="0" applyNumberFormat="1" applyFont="1" applyBorder="1" applyAlignment="1">
      <alignment vertical="center"/>
    </xf>
    <xf numFmtId="1" fontId="16" fillId="9" borderId="11" xfId="0" applyNumberFormat="1" applyFont="1" applyFill="1" applyBorder="1" applyAlignment="1">
      <alignment horizontal="right"/>
    </xf>
    <xf numFmtId="0" fontId="14" fillId="0" borderId="0" xfId="0" applyFont="1" applyFill="1"/>
    <xf numFmtId="1" fontId="16" fillId="9" borderId="18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right"/>
    </xf>
    <xf numFmtId="0" fontId="21" fillId="0" borderId="0" xfId="0" applyFont="1"/>
    <xf numFmtId="1" fontId="16" fillId="9" borderId="19" xfId="0" applyNumberFormat="1" applyFont="1" applyFill="1" applyBorder="1" applyAlignment="1">
      <alignment horizontal="right"/>
    </xf>
    <xf numFmtId="4" fontId="16" fillId="9" borderId="15" xfId="0" applyNumberFormat="1" applyFont="1" applyFill="1" applyBorder="1" applyAlignment="1">
      <alignment wrapText="1"/>
    </xf>
    <xf numFmtId="4" fontId="16" fillId="9" borderId="13" xfId="0" applyNumberFormat="1" applyFont="1" applyFill="1" applyBorder="1" applyAlignment="1">
      <alignment wrapText="1"/>
    </xf>
    <xf numFmtId="4" fontId="14" fillId="9" borderId="13" xfId="0" applyNumberFormat="1" applyFont="1" applyFill="1" applyBorder="1" applyAlignment="1">
      <alignment horizontal="right"/>
    </xf>
    <xf numFmtId="4" fontId="16" fillId="9" borderId="20" xfId="0" applyNumberFormat="1" applyFont="1" applyFill="1" applyBorder="1" applyAlignment="1">
      <alignment wrapText="1"/>
    </xf>
    <xf numFmtId="1" fontId="16" fillId="9" borderId="0" xfId="0" applyNumberFormat="1" applyFont="1" applyFill="1" applyAlignment="1">
      <alignment horizontal="right"/>
    </xf>
    <xf numFmtId="0" fontId="16" fillId="9" borderId="2" xfId="0" applyFont="1" applyFill="1" applyBorder="1" applyAlignment="1">
      <alignment wrapText="1"/>
    </xf>
    <xf numFmtId="4" fontId="0" fillId="0" borderId="0" xfId="0" applyNumberFormat="1" applyFill="1"/>
    <xf numFmtId="1" fontId="16" fillId="9" borderId="21" xfId="0" applyNumberFormat="1" applyFont="1" applyFill="1" applyBorder="1" applyAlignment="1">
      <alignment horizontal="right"/>
    </xf>
    <xf numFmtId="0" fontId="16" fillId="9" borderId="11" xfId="0" applyFont="1" applyFill="1" applyBorder="1" applyAlignment="1">
      <alignment wrapText="1"/>
    </xf>
    <xf numFmtId="0" fontId="16" fillId="9" borderId="14" xfId="0" applyFont="1" applyFill="1" applyBorder="1" applyAlignment="1">
      <alignment wrapText="1"/>
    </xf>
    <xf numFmtId="1" fontId="16" fillId="9" borderId="13" xfId="0" applyNumberFormat="1" applyFont="1" applyFill="1" applyBorder="1" applyAlignment="1">
      <alignment horizontal="right"/>
    </xf>
    <xf numFmtId="4" fontId="14" fillId="9" borderId="22" xfId="0" applyNumberFormat="1" applyFont="1" applyFill="1" applyBorder="1" applyAlignment="1">
      <alignment horizontal="right"/>
    </xf>
    <xf numFmtId="4" fontId="22" fillId="0" borderId="0" xfId="0" applyNumberFormat="1" applyFont="1" applyAlignment="1"/>
    <xf numFmtId="4" fontId="22" fillId="9" borderId="2" xfId="0" applyNumberFormat="1" applyFont="1" applyFill="1" applyBorder="1" applyAlignment="1"/>
    <xf numFmtId="4" fontId="23" fillId="0" borderId="0" xfId="0" applyNumberFormat="1" applyFont="1"/>
    <xf numFmtId="2" fontId="23" fillId="0" borderId="0" xfId="0" applyNumberFormat="1" applyFont="1"/>
    <xf numFmtId="4" fontId="22" fillId="0" borderId="0" xfId="0" applyNumberFormat="1" applyFont="1"/>
    <xf numFmtId="0" fontId="22" fillId="0" borderId="0" xfId="0" applyFont="1"/>
    <xf numFmtId="4" fontId="20" fillId="0" borderId="15" xfId="0" applyNumberFormat="1" applyFont="1" applyBorder="1" applyAlignment="1">
      <alignment horizontal="right"/>
    </xf>
    <xf numFmtId="4" fontId="14" fillId="0" borderId="16" xfId="0" applyNumberFormat="1" applyFont="1" applyBorder="1" applyAlignment="1">
      <alignment vertical="center"/>
    </xf>
    <xf numFmtId="0" fontId="16" fillId="9" borderId="15" xfId="0" applyFont="1" applyFill="1" applyBorder="1" applyAlignment="1">
      <alignment wrapText="1"/>
    </xf>
    <xf numFmtId="164" fontId="14" fillId="9" borderId="11" xfId="8" applyFont="1" applyFill="1" applyBorder="1" applyAlignment="1"/>
    <xf numFmtId="4" fontId="14" fillId="9" borderId="23" xfId="0" applyNumberFormat="1" applyFont="1" applyFill="1" applyBorder="1" applyAlignment="1">
      <alignment horizontal="right"/>
    </xf>
    <xf numFmtId="1" fontId="16" fillId="9" borderId="14" xfId="0" applyNumberFormat="1" applyFont="1" applyFill="1" applyBorder="1" applyAlignment="1">
      <alignment horizontal="right"/>
    </xf>
    <xf numFmtId="164" fontId="14" fillId="9" borderId="14" xfId="8" applyFont="1" applyFill="1" applyBorder="1" applyAlignment="1"/>
    <xf numFmtId="4" fontId="19" fillId="0" borderId="17" xfId="0" applyNumberFormat="1" applyFont="1" applyFill="1" applyBorder="1" applyAlignment="1">
      <alignment horizontal="right"/>
    </xf>
    <xf numFmtId="4" fontId="20" fillId="0" borderId="15" xfId="0" applyNumberFormat="1" applyFont="1" applyFill="1" applyBorder="1" applyAlignment="1">
      <alignment horizontal="right"/>
    </xf>
    <xf numFmtId="4" fontId="20" fillId="0" borderId="15" xfId="0" applyNumberFormat="1" applyFont="1" applyFill="1" applyBorder="1" applyAlignment="1">
      <alignment wrapText="1"/>
    </xf>
    <xf numFmtId="4" fontId="19" fillId="0" borderId="15" xfId="0" applyNumberFormat="1" applyFont="1" applyFill="1" applyBorder="1" applyAlignment="1">
      <alignment vertical="center"/>
    </xf>
    <xf numFmtId="4" fontId="14" fillId="0" borderId="16" xfId="0" applyNumberFormat="1" applyFont="1" applyFill="1" applyBorder="1" applyAlignment="1">
      <alignment vertical="center"/>
    </xf>
    <xf numFmtId="4" fontId="0" fillId="9" borderId="10" xfId="0" applyNumberFormat="1" applyFill="1" applyBorder="1" applyAlignment="1">
      <alignment horizontal="right"/>
    </xf>
    <xf numFmtId="4" fontId="24" fillId="9" borderId="2" xfId="0" applyNumberFormat="1" applyFont="1" applyFill="1" applyBorder="1" applyAlignment="1"/>
    <xf numFmtId="4" fontId="24" fillId="0" borderId="0" xfId="0" applyNumberFormat="1" applyFont="1" applyFill="1" applyAlignment="1"/>
    <xf numFmtId="0" fontId="16" fillId="9" borderId="2" xfId="0" applyFont="1" applyFill="1" applyBorder="1" applyAlignment="1">
      <alignment horizontal="right" wrapText="1"/>
    </xf>
    <xf numFmtId="4" fontId="14" fillId="9" borderId="0" xfId="0" applyNumberFormat="1" applyFont="1" applyFill="1"/>
    <xf numFmtId="2" fontId="14" fillId="9" borderId="0" xfId="0" applyNumberFormat="1" applyFont="1" applyFill="1"/>
    <xf numFmtId="4" fontId="19" fillId="9" borderId="0" xfId="0" applyNumberFormat="1" applyFont="1" applyFill="1"/>
    <xf numFmtId="4" fontId="0" fillId="9" borderId="0" xfId="0" applyNumberFormat="1" applyFill="1"/>
    <xf numFmtId="0" fontId="19" fillId="9" borderId="0" xfId="0" applyFont="1" applyFill="1"/>
    <xf numFmtId="0" fontId="16" fillId="9" borderId="14" xfId="0" applyFont="1" applyFill="1" applyBorder="1" applyAlignment="1">
      <alignment horizontal="right" wrapText="1"/>
    </xf>
    <xf numFmtId="4" fontId="0" fillId="9" borderId="17" xfId="0" applyNumberFormat="1" applyFill="1" applyBorder="1" applyAlignment="1">
      <alignment horizontal="right"/>
    </xf>
    <xf numFmtId="4" fontId="0" fillId="0" borderId="17" xfId="0" applyNumberFormat="1" applyFill="1" applyBorder="1" applyAlignment="1">
      <alignment horizontal="right"/>
    </xf>
    <xf numFmtId="4" fontId="16" fillId="0" borderId="15" xfId="0" applyNumberFormat="1" applyFont="1" applyFill="1" applyBorder="1" applyAlignment="1">
      <alignment horizontal="right"/>
    </xf>
    <xf numFmtId="4" fontId="16" fillId="0" borderId="15" xfId="0" applyNumberFormat="1" applyFont="1" applyFill="1" applyBorder="1" applyAlignment="1">
      <alignment wrapText="1"/>
    </xf>
    <xf numFmtId="4" fontId="14" fillId="0" borderId="15" xfId="0" applyNumberFormat="1" applyFont="1" applyFill="1" applyBorder="1" applyAlignment="1">
      <alignment vertical="center"/>
    </xf>
    <xf numFmtId="4" fontId="19" fillId="0" borderId="15" xfId="0" applyNumberFormat="1" applyFont="1" applyFill="1" applyBorder="1" applyAlignment="1"/>
    <xf numFmtId="4" fontId="19" fillId="11" borderId="2" xfId="0" applyNumberFormat="1" applyFont="1" applyFill="1" applyBorder="1" applyAlignment="1">
      <alignment vertical="center"/>
    </xf>
    <xf numFmtId="4" fontId="24" fillId="0" borderId="0" xfId="0" applyNumberFormat="1" applyFont="1" applyFill="1"/>
    <xf numFmtId="4" fontId="0" fillId="9" borderId="24" xfId="0" applyNumberFormat="1" applyFill="1" applyBorder="1" applyAlignment="1">
      <alignment horizontal="right"/>
    </xf>
    <xf numFmtId="4" fontId="0" fillId="9" borderId="23" xfId="0" applyNumberFormat="1" applyFill="1" applyBorder="1" applyAlignment="1">
      <alignment horizontal="right"/>
    </xf>
    <xf numFmtId="1" fontId="16" fillId="9" borderId="15" xfId="0" applyNumberFormat="1" applyFont="1" applyFill="1" applyBorder="1" applyAlignment="1">
      <alignment horizontal="right"/>
    </xf>
    <xf numFmtId="0" fontId="16" fillId="9" borderId="20" xfId="0" applyFont="1" applyFill="1" applyBorder="1" applyAlignment="1">
      <alignment wrapText="1"/>
    </xf>
    <xf numFmtId="4" fontId="14" fillId="9" borderId="18" xfId="0" applyNumberFormat="1" applyFont="1" applyFill="1" applyBorder="1" applyAlignment="1">
      <alignment horizontal="right"/>
    </xf>
    <xf numFmtId="0" fontId="16" fillId="9" borderId="18" xfId="0" applyFont="1" applyFill="1" applyBorder="1" applyAlignment="1">
      <alignment wrapText="1"/>
    </xf>
    <xf numFmtId="4" fontId="16" fillId="9" borderId="11" xfId="0" applyNumberFormat="1" applyFont="1" applyFill="1" applyBorder="1" applyAlignment="1">
      <alignment horizontal="right"/>
    </xf>
    <xf numFmtId="4" fontId="14" fillId="12" borderId="0" xfId="0" applyNumberFormat="1" applyFont="1" applyFill="1" applyAlignment="1"/>
    <xf numFmtId="4" fontId="19" fillId="11" borderId="25" xfId="0" applyNumberFormat="1" applyFont="1" applyFill="1" applyBorder="1" applyAlignment="1">
      <alignment horizontal="right"/>
    </xf>
    <xf numFmtId="4" fontId="19" fillId="11" borderId="26" xfId="0" applyNumberFormat="1" applyFont="1" applyFill="1" applyBorder="1" applyAlignment="1">
      <alignment horizontal="right"/>
    </xf>
    <xf numFmtId="4" fontId="19" fillId="11" borderId="26" xfId="0" applyNumberFormat="1" applyFont="1" applyFill="1" applyBorder="1" applyAlignment="1">
      <alignment vertical="center"/>
    </xf>
    <xf numFmtId="4" fontId="19" fillId="11" borderId="26" xfId="0" applyNumberFormat="1" applyFont="1" applyFill="1" applyBorder="1" applyAlignment="1"/>
    <xf numFmtId="4" fontId="19" fillId="11" borderId="27" xfId="0" applyNumberFormat="1" applyFont="1" applyFill="1" applyBorder="1" applyAlignment="1">
      <alignment vertical="center"/>
    </xf>
    <xf numFmtId="4" fontId="19" fillId="11" borderId="5" xfId="0" applyNumberFormat="1" applyFont="1" applyFill="1" applyBorder="1" applyAlignment="1">
      <alignment horizontal="left"/>
    </xf>
    <xf numFmtId="4" fontId="14" fillId="9" borderId="28" xfId="0" applyNumberFormat="1" applyFont="1" applyFill="1" applyBorder="1" applyAlignment="1">
      <alignment horizontal="right"/>
    </xf>
    <xf numFmtId="4" fontId="24" fillId="9" borderId="14" xfId="0" applyNumberFormat="1" applyFont="1" applyFill="1" applyBorder="1" applyAlignment="1"/>
    <xf numFmtId="4" fontId="0" fillId="9" borderId="29" xfId="0" applyNumberFormat="1" applyFill="1" applyBorder="1" applyAlignment="1">
      <alignment horizontal="right"/>
    </xf>
    <xf numFmtId="0" fontId="16" fillId="9" borderId="19" xfId="0" applyFont="1" applyFill="1" applyBorder="1" applyAlignment="1">
      <alignment wrapText="1"/>
    </xf>
    <xf numFmtId="4" fontId="24" fillId="9" borderId="11" xfId="0" applyNumberFormat="1" applyFont="1" applyFill="1" applyBorder="1" applyAlignment="1"/>
    <xf numFmtId="4" fontId="0" fillId="9" borderId="30" xfId="0" applyNumberFormat="1" applyFill="1" applyBorder="1" applyAlignment="1">
      <alignment horizontal="right"/>
    </xf>
    <xf numFmtId="4" fontId="14" fillId="9" borderId="31" xfId="0" applyNumberFormat="1" applyFont="1" applyFill="1" applyBorder="1" applyAlignment="1">
      <alignment horizontal="right"/>
    </xf>
    <xf numFmtId="0" fontId="16" fillId="9" borderId="13" xfId="0" applyFont="1" applyFill="1" applyBorder="1" applyAlignment="1">
      <alignment wrapText="1"/>
    </xf>
    <xf numFmtId="1" fontId="16" fillId="9" borderId="32" xfId="0" applyNumberFormat="1" applyFont="1" applyFill="1" applyBorder="1" applyAlignment="1">
      <alignment horizontal="right"/>
    </xf>
    <xf numFmtId="4" fontId="14" fillId="9" borderId="19" xfId="0" applyNumberFormat="1" applyFont="1" applyFill="1" applyBorder="1" applyAlignment="1">
      <alignment horizontal="right"/>
    </xf>
    <xf numFmtId="4" fontId="24" fillId="9" borderId="0" xfId="0" applyNumberFormat="1" applyFont="1" applyFill="1" applyAlignment="1"/>
    <xf numFmtId="4" fontId="19" fillId="11" borderId="27" xfId="0" applyNumberFormat="1" applyFont="1" applyFill="1" applyBorder="1" applyAlignment="1">
      <alignment horizontal="right"/>
    </xf>
    <xf numFmtId="4" fontId="0" fillId="0" borderId="4" xfId="0" applyNumberFormat="1" applyFill="1" applyBorder="1" applyAlignment="1">
      <alignment horizontal="right"/>
    </xf>
    <xf numFmtId="4" fontId="16" fillId="0" borderId="5" xfId="0" applyNumberFormat="1" applyFont="1" applyFill="1" applyBorder="1" applyAlignment="1">
      <alignment horizontal="right"/>
    </xf>
    <xf numFmtId="4" fontId="20" fillId="0" borderId="5" xfId="0" applyNumberFormat="1" applyFont="1" applyFill="1" applyBorder="1" applyAlignment="1">
      <alignment wrapText="1"/>
    </xf>
    <xf numFmtId="4" fontId="14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>
      <alignment vertical="center"/>
    </xf>
    <xf numFmtId="4" fontId="19" fillId="0" borderId="5" xfId="0" applyNumberFormat="1" applyFont="1" applyFill="1" applyBorder="1" applyAlignment="1"/>
    <xf numFmtId="4" fontId="14" fillId="0" borderId="5" xfId="0" applyNumberFormat="1" applyFont="1" applyBorder="1" applyAlignment="1">
      <alignment vertical="center"/>
    </xf>
    <xf numFmtId="4" fontId="14" fillId="0" borderId="6" xfId="0" applyNumberFormat="1" applyFont="1" applyFill="1" applyBorder="1" applyAlignment="1">
      <alignment vertical="center"/>
    </xf>
    <xf numFmtId="4" fontId="19" fillId="11" borderId="8" xfId="0" applyNumberFormat="1" applyFont="1" applyFill="1" applyBorder="1" applyAlignment="1">
      <alignment horizontal="right"/>
    </xf>
    <xf numFmtId="4" fontId="14" fillId="9" borderId="17" xfId="0" applyNumberFormat="1" applyFont="1" applyFill="1" applyBorder="1" applyAlignment="1">
      <alignment horizontal="right"/>
    </xf>
    <xf numFmtId="4" fontId="22" fillId="0" borderId="17" xfId="0" applyNumberFormat="1" applyFont="1" applyFill="1" applyBorder="1" applyAlignment="1">
      <alignment horizontal="right"/>
    </xf>
    <xf numFmtId="4" fontId="25" fillId="0" borderId="15" xfId="0" applyNumberFormat="1" applyFont="1" applyFill="1" applyBorder="1" applyAlignment="1">
      <alignment horizontal="right"/>
    </xf>
    <xf numFmtId="4" fontId="19" fillId="0" borderId="16" xfId="0" applyNumberFormat="1" applyFont="1" applyFill="1" applyBorder="1" applyAlignment="1">
      <alignment vertical="center"/>
    </xf>
    <xf numFmtId="0" fontId="14" fillId="9" borderId="11" xfId="0" applyFont="1" applyFill="1" applyBorder="1" applyAlignment="1">
      <alignment horizontal="right"/>
    </xf>
    <xf numFmtId="4" fontId="14" fillId="9" borderId="33" xfId="0" applyNumberFormat="1" applyFont="1" applyFill="1" applyBorder="1" applyAlignment="1">
      <alignment horizontal="right"/>
    </xf>
    <xf numFmtId="1" fontId="16" fillId="9" borderId="34" xfId="0" applyNumberFormat="1" applyFont="1" applyFill="1" applyBorder="1" applyAlignment="1">
      <alignment horizontal="right"/>
    </xf>
    <xf numFmtId="4" fontId="16" fillId="9" borderId="34" xfId="0" applyNumberFormat="1" applyFont="1" applyFill="1" applyBorder="1" applyAlignment="1">
      <alignment wrapText="1"/>
    </xf>
    <xf numFmtId="4" fontId="14" fillId="9" borderId="34" xfId="0" applyNumberFormat="1" applyFont="1" applyFill="1" applyBorder="1" applyAlignment="1">
      <alignment horizontal="right"/>
    </xf>
    <xf numFmtId="164" fontId="14" fillId="9" borderId="34" xfId="8" applyFont="1" applyFill="1" applyBorder="1" applyAlignment="1"/>
    <xf numFmtId="4" fontId="14" fillId="9" borderId="35" xfId="0" applyNumberFormat="1" applyFont="1" applyFill="1" applyBorder="1" applyAlignment="1">
      <alignment horizontal="right"/>
    </xf>
    <xf numFmtId="4" fontId="14" fillId="9" borderId="24" xfId="0" applyNumberFormat="1" applyFont="1" applyFill="1" applyBorder="1" applyAlignment="1">
      <alignment horizontal="right"/>
    </xf>
    <xf numFmtId="2" fontId="14" fillId="0" borderId="13" xfId="0" applyNumberFormat="1" applyFont="1" applyFill="1" applyBorder="1"/>
    <xf numFmtId="4" fontId="14" fillId="9" borderId="36" xfId="0" applyNumberFormat="1" applyFont="1" applyFill="1" applyBorder="1" applyAlignment="1">
      <alignment horizontal="right"/>
    </xf>
    <xf numFmtId="4" fontId="14" fillId="9" borderId="37" xfId="0" applyNumberFormat="1" applyFont="1" applyFill="1" applyBorder="1" applyAlignment="1">
      <alignment horizontal="right"/>
    </xf>
    <xf numFmtId="4" fontId="16" fillId="9" borderId="38" xfId="0" applyNumberFormat="1" applyFont="1" applyFill="1" applyBorder="1" applyAlignment="1">
      <alignment wrapText="1"/>
    </xf>
    <xf numFmtId="4" fontId="14" fillId="9" borderId="38" xfId="0" applyNumberFormat="1" applyFont="1" applyFill="1" applyBorder="1" applyAlignment="1">
      <alignment horizontal="right"/>
    </xf>
    <xf numFmtId="4" fontId="14" fillId="9" borderId="8" xfId="0" applyNumberFormat="1" applyFont="1" applyFill="1" applyBorder="1" applyAlignment="1">
      <alignment horizontal="right"/>
    </xf>
    <xf numFmtId="164" fontId="14" fillId="9" borderId="8" xfId="8" applyFont="1" applyFill="1" applyBorder="1" applyAlignment="1"/>
    <xf numFmtId="4" fontId="14" fillId="9" borderId="9" xfId="0" applyNumberFormat="1" applyFont="1" applyFill="1" applyBorder="1" applyAlignment="1">
      <alignment horizontal="right"/>
    </xf>
    <xf numFmtId="4" fontId="19" fillId="11" borderId="9" xfId="0" applyNumberFormat="1" applyFont="1" applyFill="1" applyBorder="1" applyAlignment="1">
      <alignment horizontal="right"/>
    </xf>
    <xf numFmtId="4" fontId="19" fillId="9" borderId="13" xfId="0" applyNumberFormat="1" applyFont="1" applyFill="1" applyBorder="1" applyAlignment="1">
      <alignment vertical="center"/>
    </xf>
    <xf numFmtId="4" fontId="19" fillId="9" borderId="2" xfId="0" applyNumberFormat="1" applyFont="1" applyFill="1" applyBorder="1" applyAlignment="1">
      <alignment vertical="center"/>
    </xf>
    <xf numFmtId="4" fontId="16" fillId="9" borderId="25" xfId="0" applyNumberFormat="1" applyFont="1" applyFill="1" applyBorder="1" applyAlignment="1">
      <alignment horizontal="right"/>
    </xf>
    <xf numFmtId="1" fontId="16" fillId="9" borderId="26" xfId="0" applyNumberFormat="1" applyFont="1" applyFill="1" applyBorder="1" applyAlignment="1">
      <alignment horizontal="right"/>
    </xf>
    <xf numFmtId="4" fontId="16" fillId="9" borderId="26" xfId="0" applyNumberFormat="1" applyFont="1" applyFill="1" applyBorder="1" applyAlignment="1">
      <alignment wrapText="1"/>
    </xf>
    <xf numFmtId="4" fontId="16" fillId="9" borderId="26" xfId="0" applyNumberFormat="1" applyFont="1" applyFill="1" applyBorder="1" applyAlignment="1">
      <alignment horizontal="center"/>
    </xf>
    <xf numFmtId="4" fontId="14" fillId="0" borderId="2" xfId="0" applyNumberFormat="1" applyFont="1" applyFill="1" applyBorder="1" applyAlignment="1"/>
    <xf numFmtId="4" fontId="16" fillId="9" borderId="24" xfId="0" applyNumberFormat="1" applyFont="1" applyFill="1" applyBorder="1" applyAlignment="1">
      <alignment horizontal="right"/>
    </xf>
    <xf numFmtId="4" fontId="16" fillId="9" borderId="2" xfId="0" applyNumberFormat="1" applyFont="1" applyFill="1" applyBorder="1" applyAlignment="1">
      <alignment horizontal="center"/>
    </xf>
    <xf numFmtId="4" fontId="26" fillId="0" borderId="0" xfId="0" applyNumberFormat="1" applyFont="1" applyFill="1"/>
    <xf numFmtId="4" fontId="23" fillId="0" borderId="0" xfId="0" applyNumberFormat="1" applyFont="1" applyFill="1"/>
    <xf numFmtId="2" fontId="23" fillId="0" borderId="0" xfId="0" applyNumberFormat="1" applyFont="1" applyFill="1"/>
    <xf numFmtId="4" fontId="22" fillId="0" borderId="0" xfId="0" applyNumberFormat="1" applyFont="1" applyFill="1"/>
    <xf numFmtId="0" fontId="22" fillId="0" borderId="0" xfId="0" applyFont="1" applyFill="1"/>
    <xf numFmtId="4" fontId="16" fillId="9" borderId="37" xfId="0" applyNumberFormat="1" applyFont="1" applyFill="1" applyBorder="1" applyAlignment="1">
      <alignment horizontal="right"/>
    </xf>
    <xf numFmtId="1" fontId="16" fillId="9" borderId="38" xfId="0" applyNumberFormat="1" applyFont="1" applyFill="1" applyBorder="1" applyAlignment="1">
      <alignment horizontal="right"/>
    </xf>
    <xf numFmtId="4" fontId="16" fillId="9" borderId="38" xfId="0" applyNumberFormat="1" applyFont="1" applyFill="1" applyBorder="1" applyAlignment="1">
      <alignment horizontal="center"/>
    </xf>
    <xf numFmtId="2" fontId="19" fillId="0" borderId="0" xfId="0" applyNumberFormat="1" applyFont="1"/>
    <xf numFmtId="4" fontId="16" fillId="9" borderId="33" xfId="0" applyNumberFormat="1" applyFont="1" applyFill="1" applyBorder="1" applyAlignment="1">
      <alignment horizontal="right"/>
    </xf>
    <xf numFmtId="4" fontId="16" fillId="9" borderId="34" xfId="0" applyNumberFormat="1" applyFont="1" applyFill="1" applyBorder="1" applyAlignment="1">
      <alignment horizontal="center"/>
    </xf>
    <xf numFmtId="4" fontId="16" fillId="9" borderId="34" xfId="0" applyNumberFormat="1" applyFont="1" applyFill="1" applyBorder="1" applyAlignment="1">
      <alignment horizontal="right"/>
    </xf>
    <xf numFmtId="4" fontId="16" fillId="0" borderId="34" xfId="0" applyNumberFormat="1" applyFont="1" applyFill="1" applyBorder="1" applyAlignment="1"/>
    <xf numFmtId="4" fontId="16" fillId="9" borderId="35" xfId="0" applyNumberFormat="1" applyFont="1" applyFill="1" applyBorder="1" applyAlignment="1">
      <alignment horizontal="right"/>
    </xf>
    <xf numFmtId="4" fontId="16" fillId="9" borderId="2" xfId="0" applyNumberFormat="1" applyFont="1" applyFill="1" applyBorder="1" applyAlignment="1">
      <alignment horizontal="right"/>
    </xf>
    <xf numFmtId="4" fontId="16" fillId="0" borderId="2" xfId="0" applyNumberFormat="1" applyFont="1" applyFill="1" applyBorder="1" applyAlignment="1"/>
    <xf numFmtId="4" fontId="16" fillId="9" borderId="22" xfId="0" applyNumberFormat="1" applyFont="1" applyFill="1" applyBorder="1" applyAlignment="1">
      <alignment horizontal="right"/>
    </xf>
    <xf numFmtId="2" fontId="19" fillId="0" borderId="0" xfId="0" applyNumberFormat="1" applyFont="1" applyFill="1"/>
    <xf numFmtId="0" fontId="16" fillId="9" borderId="2" xfId="0" applyFont="1" applyFill="1" applyBorder="1"/>
    <xf numFmtId="1" fontId="27" fillId="9" borderId="2" xfId="0" applyNumberFormat="1" applyFont="1" applyFill="1" applyBorder="1" applyAlignment="1">
      <alignment horizontal="right"/>
    </xf>
    <xf numFmtId="0" fontId="16" fillId="9" borderId="2" xfId="0" applyFont="1" applyFill="1" applyBorder="1" applyAlignment="1">
      <alignment vertical="top" wrapText="1"/>
    </xf>
    <xf numFmtId="4" fontId="16" fillId="9" borderId="38" xfId="0" applyNumberFormat="1" applyFont="1" applyFill="1" applyBorder="1" applyAlignment="1">
      <alignment horizontal="right"/>
    </xf>
    <xf numFmtId="4" fontId="16" fillId="0" borderId="38" xfId="0" applyNumberFormat="1" applyFont="1" applyFill="1" applyBorder="1" applyAlignment="1"/>
    <xf numFmtId="4" fontId="16" fillId="9" borderId="39" xfId="0" applyNumberFormat="1" applyFont="1" applyFill="1" applyBorder="1" applyAlignment="1">
      <alignment horizontal="right"/>
    </xf>
    <xf numFmtId="4" fontId="19" fillId="0" borderId="15" xfId="0" applyNumberFormat="1" applyFont="1" applyFill="1" applyBorder="1" applyAlignment="1">
      <alignment horizontal="right"/>
    </xf>
    <xf numFmtId="4" fontId="16" fillId="9" borderId="10" xfId="0" applyNumberFormat="1" applyFont="1" applyFill="1" applyBorder="1" applyAlignment="1">
      <alignment horizontal="right"/>
    </xf>
    <xf numFmtId="4" fontId="16" fillId="9" borderId="28" xfId="0" applyNumberFormat="1" applyFont="1" applyFill="1" applyBorder="1" applyAlignment="1">
      <alignment horizontal="right"/>
    </xf>
    <xf numFmtId="4" fontId="14" fillId="9" borderId="13" xfId="0" applyNumberFormat="1" applyFont="1" applyFill="1" applyBorder="1" applyAlignment="1"/>
    <xf numFmtId="0" fontId="16" fillId="9" borderId="2" xfId="0" applyFont="1" applyFill="1" applyBorder="1" applyAlignment="1">
      <alignment horizontal="left" vertical="center" wrapText="1"/>
    </xf>
    <xf numFmtId="0" fontId="23" fillId="0" borderId="0" xfId="0" applyFont="1" applyFill="1"/>
    <xf numFmtId="0" fontId="14" fillId="9" borderId="14" xfId="0" applyFont="1" applyFill="1" applyBorder="1" applyAlignment="1">
      <alignment horizontal="right"/>
    </xf>
    <xf numFmtId="4" fontId="14" fillId="9" borderId="14" xfId="0" applyNumberFormat="1" applyFont="1" applyFill="1" applyBorder="1" applyAlignment="1"/>
    <xf numFmtId="4" fontId="22" fillId="9" borderId="11" xfId="0" applyNumberFormat="1" applyFont="1" applyFill="1" applyBorder="1" applyAlignment="1"/>
    <xf numFmtId="4" fontId="14" fillId="0" borderId="15" xfId="0" applyNumberFormat="1" applyFont="1" applyBorder="1" applyAlignment="1">
      <alignment horizontal="right"/>
    </xf>
    <xf numFmtId="4" fontId="19" fillId="0" borderId="16" xfId="0" applyNumberFormat="1" applyFont="1" applyFill="1" applyBorder="1" applyAlignment="1">
      <alignment horizontal="right"/>
    </xf>
    <xf numFmtId="4" fontId="14" fillId="0" borderId="0" xfId="0" applyNumberFormat="1" applyFont="1" applyFill="1" applyAlignment="1" applyProtection="1">
      <alignment horizontal="right" vertical="top"/>
    </xf>
    <xf numFmtId="4" fontId="19" fillId="11" borderId="26" xfId="0" applyNumberFormat="1" applyFont="1" applyFill="1" applyBorder="1" applyAlignment="1">
      <alignment horizontal="left"/>
    </xf>
    <xf numFmtId="0" fontId="16" fillId="9" borderId="26" xfId="0" applyFont="1" applyFill="1" applyBorder="1" applyAlignment="1">
      <alignment wrapText="1"/>
    </xf>
    <xf numFmtId="4" fontId="14" fillId="9" borderId="26" xfId="0" applyNumberFormat="1" applyFont="1" applyFill="1" applyBorder="1" applyAlignment="1">
      <alignment horizontal="right"/>
    </xf>
    <xf numFmtId="164" fontId="14" fillId="9" borderId="26" xfId="8" applyFont="1" applyFill="1" applyBorder="1" applyAlignment="1"/>
    <xf numFmtId="4" fontId="14" fillId="9" borderId="27" xfId="0" applyNumberFormat="1" applyFont="1" applyFill="1" applyBorder="1" applyAlignment="1">
      <alignment horizontal="right"/>
    </xf>
    <xf numFmtId="4" fontId="14" fillId="9" borderId="11" xfId="0" applyNumberFormat="1" applyFont="1" applyFill="1" applyBorder="1" applyAlignment="1">
      <alignment horizontal="center"/>
    </xf>
    <xf numFmtId="4" fontId="14" fillId="9" borderId="2" xfId="0" applyNumberFormat="1" applyFont="1" applyFill="1" applyBorder="1" applyAlignment="1">
      <alignment horizontal="center"/>
    </xf>
    <xf numFmtId="4" fontId="14" fillId="9" borderId="18" xfId="0" applyNumberFormat="1" applyFont="1" applyFill="1" applyBorder="1" applyAlignment="1"/>
    <xf numFmtId="4" fontId="14" fillId="9" borderId="14" xfId="0" applyNumberFormat="1" applyFont="1" applyFill="1" applyBorder="1" applyAlignment="1">
      <alignment horizontal="center"/>
    </xf>
    <xf numFmtId="4" fontId="14" fillId="9" borderId="29" xfId="0" applyNumberFormat="1" applyFont="1" applyFill="1" applyBorder="1" applyAlignment="1">
      <alignment horizontal="right"/>
    </xf>
    <xf numFmtId="0" fontId="16" fillId="9" borderId="21" xfId="0" applyFont="1" applyFill="1" applyBorder="1" applyAlignment="1">
      <alignment wrapText="1"/>
    </xf>
    <xf numFmtId="4" fontId="14" fillId="9" borderId="40" xfId="0" applyNumberFormat="1" applyFont="1" applyFill="1" applyBorder="1" applyAlignment="1">
      <alignment horizontal="right"/>
    </xf>
    <xf numFmtId="0" fontId="16" fillId="13" borderId="14" xfId="0" applyFont="1" applyFill="1" applyBorder="1" applyAlignment="1">
      <alignment horizontal="right" wrapText="1"/>
    </xf>
    <xf numFmtId="0" fontId="16" fillId="13" borderId="14" xfId="0" applyFont="1" applyFill="1" applyBorder="1" applyAlignment="1">
      <alignment wrapText="1"/>
    </xf>
    <xf numFmtId="4" fontId="14" fillId="13" borderId="2" xfId="0" applyNumberFormat="1" applyFont="1" applyFill="1" applyBorder="1" applyAlignment="1">
      <alignment horizontal="center"/>
    </xf>
    <xf numFmtId="4" fontId="14" fillId="13" borderId="11" xfId="0" applyNumberFormat="1" applyFont="1" applyFill="1" applyBorder="1" applyAlignment="1">
      <alignment horizontal="right"/>
    </xf>
    <xf numFmtId="4" fontId="14" fillId="13" borderId="2" xfId="0" applyNumberFormat="1" applyFont="1" applyFill="1" applyBorder="1" applyAlignment="1"/>
    <xf numFmtId="4" fontId="14" fillId="13" borderId="2" xfId="0" applyNumberFormat="1" applyFont="1" applyFill="1" applyBorder="1" applyAlignment="1">
      <alignment horizontal="right"/>
    </xf>
    <xf numFmtId="4" fontId="14" fillId="13" borderId="12" xfId="0" applyNumberFormat="1" applyFont="1" applyFill="1" applyBorder="1" applyAlignment="1">
      <alignment horizontal="right"/>
    </xf>
    <xf numFmtId="0" fontId="16" fillId="13" borderId="2" xfId="0" applyFont="1" applyFill="1" applyBorder="1" applyAlignment="1">
      <alignment horizontal="right" wrapText="1"/>
    </xf>
    <xf numFmtId="0" fontId="16" fillId="13" borderId="2" xfId="0" applyFont="1" applyFill="1" applyBorder="1" applyAlignment="1">
      <alignment wrapText="1"/>
    </xf>
    <xf numFmtId="4" fontId="14" fillId="13" borderId="20" xfId="0" applyNumberFormat="1" applyFont="1" applyFill="1" applyBorder="1" applyAlignment="1">
      <alignment horizontal="center"/>
    </xf>
    <xf numFmtId="1" fontId="16" fillId="9" borderId="28" xfId="0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 wrapText="1"/>
    </xf>
    <xf numFmtId="0" fontId="16" fillId="13" borderId="0" xfId="0" applyFont="1" applyFill="1" applyAlignment="1">
      <alignment wrapText="1"/>
    </xf>
    <xf numFmtId="4" fontId="14" fillId="13" borderId="0" xfId="0" applyNumberFormat="1" applyFont="1" applyFill="1" applyAlignment="1">
      <alignment horizontal="center"/>
    </xf>
    <xf numFmtId="4" fontId="14" fillId="13" borderId="0" xfId="0" applyNumberFormat="1" applyFont="1" applyFill="1" applyAlignment="1">
      <alignment horizontal="right"/>
    </xf>
    <xf numFmtId="4" fontId="14" fillId="13" borderId="0" xfId="0" applyNumberFormat="1" applyFont="1" applyFill="1" applyAlignment="1"/>
    <xf numFmtId="4" fontId="16" fillId="9" borderId="8" xfId="0" applyNumberFormat="1" applyFont="1" applyFill="1" applyBorder="1" applyAlignment="1">
      <alignment wrapText="1"/>
    </xf>
    <xf numFmtId="164" fontId="14" fillId="9" borderId="38" xfId="8" applyFont="1" applyFill="1" applyBorder="1" applyAlignment="1"/>
    <xf numFmtId="4" fontId="22" fillId="0" borderId="0" xfId="0" applyNumberFormat="1" applyFont="1" applyFill="1" applyAlignment="1"/>
    <xf numFmtId="4" fontId="23" fillId="0" borderId="0" xfId="0" applyNumberFormat="1" applyFont="1" applyFill="1" applyAlignment="1" applyProtection="1">
      <alignment horizontal="right" vertical="top"/>
    </xf>
    <xf numFmtId="4" fontId="16" fillId="0" borderId="15" xfId="0" applyNumberFormat="1" applyFont="1" applyFill="1" applyBorder="1"/>
    <xf numFmtId="4" fontId="19" fillId="11" borderId="4" xfId="0" applyNumberFormat="1" applyFont="1" applyFill="1" applyBorder="1" applyAlignment="1">
      <alignment horizontal="left"/>
    </xf>
    <xf numFmtId="4" fontId="19" fillId="11" borderId="6" xfId="0" applyNumberFormat="1" applyFont="1" applyFill="1" applyBorder="1" applyAlignment="1">
      <alignment horizontal="left"/>
    </xf>
    <xf numFmtId="4" fontId="14" fillId="9" borderId="0" xfId="0" applyNumberFormat="1" applyFont="1" applyFill="1" applyAlignment="1" applyProtection="1">
      <alignment horizontal="right" vertical="top"/>
    </xf>
    <xf numFmtId="0" fontId="0" fillId="9" borderId="0" xfId="0" applyFill="1"/>
    <xf numFmtId="4" fontId="14" fillId="9" borderId="13" xfId="0" applyNumberFormat="1" applyFont="1" applyFill="1" applyBorder="1" applyAlignment="1">
      <alignment vertical="center"/>
    </xf>
    <xf numFmtId="4" fontId="14" fillId="0" borderId="13" xfId="0" applyNumberFormat="1" applyFont="1" applyFill="1" applyBorder="1" applyAlignment="1"/>
    <xf numFmtId="4" fontId="24" fillId="9" borderId="2" xfId="0" applyNumberFormat="1" applyFont="1" applyFill="1" applyBorder="1"/>
    <xf numFmtId="0" fontId="16" fillId="0" borderId="15" xfId="0" applyFont="1" applyFill="1" applyBorder="1" applyAlignment="1">
      <alignment wrapText="1"/>
    </xf>
    <xf numFmtId="164" fontId="14" fillId="9" borderId="15" xfId="8" applyFont="1" applyFill="1" applyBorder="1" applyAlignment="1"/>
    <xf numFmtId="4" fontId="14" fillId="9" borderId="16" xfId="0" applyNumberFormat="1" applyFont="1" applyFill="1" applyBorder="1" applyAlignment="1">
      <alignment vertical="center"/>
    </xf>
    <xf numFmtId="4" fontId="16" fillId="0" borderId="15" xfId="0" applyNumberFormat="1" applyFont="1" applyFill="1" applyBorder="1" applyAlignment="1">
      <alignment vertical="center"/>
    </xf>
    <xf numFmtId="4" fontId="22" fillId="0" borderId="0" xfId="0" applyNumberFormat="1" applyFont="1" applyFill="1" applyAlignment="1" applyProtection="1">
      <alignment horizontal="right" vertical="top"/>
    </xf>
    <xf numFmtId="2" fontId="22" fillId="0" borderId="0" xfId="0" applyNumberFormat="1" applyFont="1" applyFill="1"/>
    <xf numFmtId="4" fontId="18" fillId="0" borderId="0" xfId="0" applyNumberFormat="1" applyFont="1" applyAlignment="1">
      <alignment horizontal="left" wrapText="1"/>
    </xf>
    <xf numFmtId="4" fontId="18" fillId="9" borderId="0" xfId="0" applyNumberFormat="1" applyFont="1" applyFill="1" applyAlignment="1">
      <alignment horizontal="left" wrapText="1"/>
    </xf>
    <xf numFmtId="4" fontId="18" fillId="0" borderId="0" xfId="0" applyNumberFormat="1" applyFont="1" applyFill="1" applyAlignment="1">
      <alignment horizontal="center" vertical="top"/>
    </xf>
    <xf numFmtId="0" fontId="0" fillId="0" borderId="0" xfId="0" applyFill="1"/>
    <xf numFmtId="4" fontId="19" fillId="0" borderId="0" xfId="0" applyNumberFormat="1" applyFont="1" applyFill="1" applyAlignment="1">
      <alignment horizontal="left" vertical="center"/>
    </xf>
    <xf numFmtId="4" fontId="14" fillId="0" borderId="0" xfId="0" applyNumberFormat="1" applyFont="1" applyFill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4" fontId="18" fillId="0" borderId="0" xfId="0" applyNumberFormat="1" applyFont="1" applyFill="1" applyAlignment="1">
      <alignment horizontal="left" wrapText="1"/>
    </xf>
    <xf numFmtId="10" fontId="26" fillId="0" borderId="0" xfId="0" applyNumberFormat="1" applyFont="1" applyFill="1"/>
    <xf numFmtId="4" fontId="26" fillId="0" borderId="0" xfId="0" applyNumberFormat="1" applyFont="1"/>
    <xf numFmtId="0" fontId="26" fillId="0" borderId="0" xfId="0" applyFont="1"/>
    <xf numFmtId="10" fontId="0" fillId="0" borderId="0" xfId="0" applyNumberFormat="1"/>
    <xf numFmtId="4" fontId="28" fillId="0" borderId="0" xfId="0" applyNumberFormat="1" applyFont="1" applyAlignment="1">
      <alignment horizontal="left"/>
    </xf>
    <xf numFmtId="10" fontId="28" fillId="0" borderId="0" xfId="0" applyNumberFormat="1" applyFont="1" applyFill="1" applyAlignment="1">
      <alignment horizontal="left"/>
    </xf>
    <xf numFmtId="10" fontId="14" fillId="0" borderId="0" xfId="0" applyNumberFormat="1" applyFont="1" applyFill="1"/>
    <xf numFmtId="4" fontId="14" fillId="0" borderId="0" xfId="0" applyNumberFormat="1" applyFont="1" applyFill="1" applyAlignment="1">
      <alignment horizontal="center"/>
    </xf>
    <xf numFmtId="4" fontId="18" fillId="0" borderId="0" xfId="0" applyNumberFormat="1" applyFont="1" applyAlignment="1">
      <alignment horizontal="center"/>
    </xf>
    <xf numFmtId="10" fontId="18" fillId="0" borderId="0" xfId="0" applyNumberFormat="1" applyFont="1" applyAlignment="1">
      <alignment horizontal="center"/>
    </xf>
    <xf numFmtId="4" fontId="21" fillId="0" borderId="0" xfId="0" applyNumberFormat="1" applyFont="1" applyAlignment="1"/>
    <xf numFmtId="4" fontId="21" fillId="0" borderId="0" xfId="0" applyNumberFormat="1" applyFont="1"/>
    <xf numFmtId="4" fontId="21" fillId="0" borderId="0" xfId="0" applyNumberFormat="1" applyFont="1" applyFill="1"/>
    <xf numFmtId="10" fontId="21" fillId="0" borderId="0" xfId="0" applyNumberFormat="1" applyFont="1" applyFill="1"/>
    <xf numFmtId="0" fontId="0" fillId="0" borderId="41" xfId="0" applyBorder="1"/>
    <xf numFmtId="4" fontId="21" fillId="0" borderId="42" xfId="0" applyNumberFormat="1" applyFont="1" applyBorder="1"/>
    <xf numFmtId="9" fontId="0" fillId="0" borderId="42" xfId="0" applyNumberFormat="1" applyBorder="1"/>
    <xf numFmtId="4" fontId="0" fillId="0" borderId="42" xfId="0" applyNumberFormat="1" applyBorder="1"/>
    <xf numFmtId="0" fontId="0" fillId="0" borderId="42" xfId="0" applyFill="1" applyBorder="1"/>
    <xf numFmtId="10" fontId="14" fillId="0" borderId="42" xfId="0" applyNumberFormat="1" applyFont="1" applyFill="1" applyBorder="1"/>
    <xf numFmtId="4" fontId="14" fillId="0" borderId="42" xfId="0" applyNumberFormat="1" applyFont="1" applyBorder="1"/>
    <xf numFmtId="4" fontId="0" fillId="0" borderId="43" xfId="0" applyNumberFormat="1" applyBorder="1"/>
    <xf numFmtId="0" fontId="0" fillId="0" borderId="30" xfId="0" applyBorder="1"/>
    <xf numFmtId="4" fontId="0" fillId="0" borderId="44" xfId="0" applyNumberFormat="1" applyBorder="1"/>
    <xf numFmtId="4" fontId="26" fillId="0" borderId="30" xfId="0" applyNumberFormat="1" applyFont="1" applyBorder="1"/>
    <xf numFmtId="10" fontId="30" fillId="11" borderId="45" xfId="0" applyNumberFormat="1" applyFont="1" applyFill="1" applyBorder="1"/>
    <xf numFmtId="0" fontId="30" fillId="0" borderId="0" xfId="0" applyFont="1"/>
    <xf numFmtId="10" fontId="30" fillId="0" borderId="0" xfId="0" applyNumberFormat="1" applyFont="1"/>
    <xf numFmtId="10" fontId="30" fillId="11" borderId="46" xfId="0" applyNumberFormat="1" applyFont="1" applyFill="1" applyBorder="1"/>
    <xf numFmtId="9" fontId="30" fillId="11" borderId="38" xfId="0" applyNumberFormat="1" applyFont="1" applyFill="1" applyBorder="1" applyAlignment="1">
      <alignment horizontal="center"/>
    </xf>
    <xf numFmtId="4" fontId="30" fillId="11" borderId="38" xfId="0" applyNumberFormat="1" applyFont="1" applyFill="1" applyBorder="1" applyAlignment="1">
      <alignment horizontal="center"/>
    </xf>
    <xf numFmtId="10" fontId="30" fillId="11" borderId="38" xfId="0" applyNumberFormat="1" applyFont="1" applyFill="1" applyBorder="1" applyAlignment="1">
      <alignment horizontal="center"/>
    </xf>
    <xf numFmtId="4" fontId="30" fillId="11" borderId="46" xfId="0" applyNumberFormat="1" applyFont="1" applyFill="1" applyBorder="1" applyAlignment="1">
      <alignment horizontal="center"/>
    </xf>
    <xf numFmtId="10" fontId="30" fillId="11" borderId="46" xfId="0" applyNumberFormat="1" applyFont="1" applyFill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0" xfId="0" applyFont="1" applyAlignment="1">
      <alignment horizontal="center"/>
    </xf>
    <xf numFmtId="10" fontId="31" fillId="0" borderId="0" xfId="0" applyNumberFormat="1" applyFont="1"/>
    <xf numFmtId="4" fontId="31" fillId="0" borderId="11" xfId="0" applyNumberFormat="1" applyFont="1" applyBorder="1" applyAlignment="1">
      <alignment horizontal="center"/>
    </xf>
    <xf numFmtId="9" fontId="31" fillId="0" borderId="0" xfId="0" applyNumberFormat="1" applyFont="1" applyFill="1"/>
    <xf numFmtId="4" fontId="31" fillId="0" borderId="0" xfId="0" applyNumberFormat="1" applyFont="1"/>
    <xf numFmtId="10" fontId="31" fillId="0" borderId="0" xfId="0" applyNumberFormat="1" applyFont="1" applyFill="1"/>
    <xf numFmtId="4" fontId="31" fillId="0" borderId="12" xfId="0" applyNumberFormat="1" applyFont="1" applyBorder="1"/>
    <xf numFmtId="0" fontId="31" fillId="0" borderId="0" xfId="0" applyFont="1"/>
    <xf numFmtId="0" fontId="14" fillId="0" borderId="0" xfId="0" applyFont="1"/>
    <xf numFmtId="4" fontId="31" fillId="0" borderId="24" xfId="0" applyNumberFormat="1" applyFont="1" applyBorder="1"/>
    <xf numFmtId="4" fontId="31" fillId="0" borderId="2" xfId="0" applyNumberFormat="1" applyFont="1" applyBorder="1"/>
    <xf numFmtId="10" fontId="31" fillId="0" borderId="2" xfId="0" applyNumberFormat="1" applyFont="1" applyBorder="1"/>
    <xf numFmtId="9" fontId="31" fillId="0" borderId="2" xfId="0" applyNumberFormat="1" applyFont="1" applyFill="1" applyBorder="1"/>
    <xf numFmtId="4" fontId="31" fillId="0" borderId="2" xfId="0" applyNumberFormat="1" applyFont="1" applyFill="1" applyBorder="1"/>
    <xf numFmtId="10" fontId="31" fillId="0" borderId="2" xfId="0" applyNumberFormat="1" applyFont="1" applyFill="1" applyBorder="1"/>
    <xf numFmtId="4" fontId="31" fillId="0" borderId="22" xfId="0" applyNumberFormat="1" applyFont="1" applyBorder="1"/>
    <xf numFmtId="9" fontId="31" fillId="3" borderId="2" xfId="0" applyNumberFormat="1" applyFont="1" applyFill="1" applyBorder="1"/>
    <xf numFmtId="4" fontId="31" fillId="3" borderId="2" xfId="0" applyNumberFormat="1" applyFont="1" applyFill="1" applyBorder="1"/>
    <xf numFmtId="10" fontId="31" fillId="3" borderId="2" xfId="0" applyNumberFormat="1" applyFont="1" applyFill="1" applyBorder="1"/>
    <xf numFmtId="0" fontId="31" fillId="0" borderId="24" xfId="0" applyFont="1" applyBorder="1"/>
    <xf numFmtId="4" fontId="31" fillId="9" borderId="2" xfId="0" applyNumberFormat="1" applyFont="1" applyFill="1" applyBorder="1"/>
    <xf numFmtId="9" fontId="31" fillId="9" borderId="2" xfId="0" applyNumberFormat="1" applyFont="1" applyFill="1" applyBorder="1"/>
    <xf numFmtId="10" fontId="31" fillId="9" borderId="2" xfId="0" applyNumberFormat="1" applyFont="1" applyFill="1" applyBorder="1"/>
    <xf numFmtId="4" fontId="30" fillId="3" borderId="2" xfId="0" applyNumberFormat="1" applyFont="1" applyFill="1" applyBorder="1"/>
    <xf numFmtId="9" fontId="30" fillId="3" borderId="2" xfId="0" applyNumberFormat="1" applyFont="1" applyFill="1" applyBorder="1"/>
    <xf numFmtId="0" fontId="31" fillId="0" borderId="24" xfId="0" applyFont="1" applyFill="1" applyBorder="1"/>
    <xf numFmtId="0" fontId="31" fillId="0" borderId="0" xfId="0" applyFont="1" applyFill="1"/>
    <xf numFmtId="4" fontId="31" fillId="0" borderId="2" xfId="0" applyNumberFormat="1" applyFont="1" applyBorder="1" applyAlignment="1">
      <alignment wrapText="1"/>
    </xf>
    <xf numFmtId="10" fontId="31" fillId="11" borderId="38" xfId="0" applyNumberFormat="1" applyFont="1" applyFill="1" applyBorder="1"/>
    <xf numFmtId="4" fontId="31" fillId="11" borderId="38" xfId="0" applyNumberFormat="1" applyFont="1" applyFill="1" applyBorder="1"/>
    <xf numFmtId="4" fontId="31" fillId="11" borderId="39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9" fontId="0" fillId="0" borderId="0" xfId="0" applyNumberFormat="1"/>
    <xf numFmtId="4" fontId="29" fillId="0" borderId="0" xfId="0" applyNumberFormat="1" applyFont="1" applyFill="1" applyAlignment="1">
      <alignment horizontal="center"/>
    </xf>
    <xf numFmtId="0" fontId="30" fillId="11" borderId="4" xfId="0" applyFont="1" applyFill="1" applyBorder="1" applyAlignment="1">
      <alignment horizontal="center"/>
    </xf>
    <xf numFmtId="0" fontId="30" fillId="11" borderId="5" xfId="0" applyFont="1" applyFill="1" applyBorder="1" applyAlignment="1">
      <alignment horizontal="center"/>
    </xf>
    <xf numFmtId="4" fontId="30" fillId="11" borderId="5" xfId="0" applyNumberFormat="1" applyFont="1" applyFill="1" applyBorder="1" applyAlignment="1">
      <alignment horizontal="center" wrapText="1"/>
    </xf>
    <xf numFmtId="0" fontId="30" fillId="11" borderId="34" xfId="0" applyFont="1" applyFill="1" applyBorder="1" applyAlignment="1">
      <alignment horizontal="center"/>
    </xf>
    <xf numFmtId="4" fontId="30" fillId="11" borderId="6" xfId="0" applyNumberFormat="1" applyFont="1" applyFill="1" applyBorder="1" applyAlignment="1">
      <alignment horizontal="center"/>
    </xf>
    <xf numFmtId="4" fontId="31" fillId="11" borderId="37" xfId="0" applyNumberFormat="1" applyFont="1" applyFill="1" applyBorder="1" applyAlignment="1">
      <alignment horizontal="left"/>
    </xf>
    <xf numFmtId="0" fontId="18" fillId="9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left" vertical="center" wrapText="1"/>
    </xf>
    <xf numFmtId="0" fontId="18" fillId="9" borderId="2" xfId="0" applyFont="1" applyFill="1" applyBorder="1" applyAlignment="1">
      <alignment vertical="center" wrapText="1"/>
    </xf>
    <xf numFmtId="164" fontId="18" fillId="9" borderId="2" xfId="22" applyFont="1" applyFill="1" applyBorder="1" applyAlignment="1">
      <alignment horizontal="center" vertical="center" wrapText="1"/>
    </xf>
    <xf numFmtId="165" fontId="18" fillId="9" borderId="2" xfId="15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vertical="center" wrapText="1"/>
    </xf>
    <xf numFmtId="0" fontId="21" fillId="9" borderId="2" xfId="0" applyFont="1" applyFill="1" applyBorder="1" applyAlignment="1">
      <alignment horizontal="right" vertical="center" wrapText="1"/>
    </xf>
    <xf numFmtId="165" fontId="21" fillId="9" borderId="2" xfId="15" applyFont="1" applyFill="1" applyBorder="1" applyAlignment="1">
      <alignment vertical="center" wrapText="1"/>
    </xf>
    <xf numFmtId="0" fontId="21" fillId="9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vertical="center" wrapText="1"/>
    </xf>
    <xf numFmtId="0" fontId="21" fillId="9" borderId="14" xfId="0" applyFont="1" applyFill="1" applyBorder="1" applyAlignment="1">
      <alignment horizontal="right" vertical="center" wrapText="1"/>
    </xf>
    <xf numFmtId="165" fontId="21" fillId="9" borderId="14" xfId="15" applyFont="1" applyFill="1" applyBorder="1" applyAlignment="1">
      <alignment vertical="center" wrapText="1"/>
    </xf>
    <xf numFmtId="49" fontId="14" fillId="14" borderId="11" xfId="0" applyNumberFormat="1" applyFont="1" applyFill="1" applyBorder="1" applyAlignment="1">
      <alignment horizontal="center"/>
    </xf>
    <xf numFmtId="49" fontId="19" fillId="9" borderId="2" xfId="0" applyNumberFormat="1" applyFont="1" applyFill="1" applyBorder="1" applyAlignment="1">
      <alignment horizontal="right"/>
    </xf>
    <xf numFmtId="0" fontId="28" fillId="9" borderId="2" xfId="0" applyFont="1" applyFill="1" applyBorder="1" applyAlignment="1">
      <alignment wrapText="1"/>
    </xf>
    <xf numFmtId="0" fontId="14" fillId="9" borderId="11" xfId="0" applyFont="1" applyFill="1" applyBorder="1" applyAlignment="1">
      <alignment horizontal="center" vertical="top"/>
    </xf>
    <xf numFmtId="2" fontId="14" fillId="9" borderId="11" xfId="21" applyNumberFormat="1" applyFont="1" applyFill="1" applyBorder="1" applyAlignment="1">
      <alignment horizontal="center" vertical="top"/>
    </xf>
    <xf numFmtId="164" fontId="14" fillId="9" borderId="11" xfId="21" applyFont="1" applyFill="1" applyBorder="1" applyAlignment="1">
      <alignment vertical="top"/>
    </xf>
    <xf numFmtId="0" fontId="19" fillId="9" borderId="11" xfId="0" applyFont="1" applyFill="1" applyBorder="1" applyAlignment="1">
      <alignment horizontal="right"/>
    </xf>
    <xf numFmtId="49" fontId="14" fillId="9" borderId="2" xfId="0" applyNumberFormat="1" applyFont="1" applyFill="1" applyBorder="1"/>
    <xf numFmtId="0" fontId="19" fillId="9" borderId="2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center" vertical="top"/>
    </xf>
    <xf numFmtId="2" fontId="14" fillId="9" borderId="2" xfId="21" applyNumberFormat="1" applyFont="1" applyFill="1" applyBorder="1" applyAlignment="1">
      <alignment horizontal="center" vertical="top"/>
    </xf>
    <xf numFmtId="164" fontId="14" fillId="9" borderId="2" xfId="21" applyFont="1" applyFill="1" applyBorder="1" applyAlignment="1">
      <alignment vertical="top"/>
    </xf>
    <xf numFmtId="0" fontId="19" fillId="9" borderId="2" xfId="0" applyFont="1" applyFill="1" applyBorder="1" applyAlignment="1">
      <alignment horizontal="right"/>
    </xf>
    <xf numFmtId="164" fontId="14" fillId="9" borderId="2" xfId="0" applyNumberFormat="1" applyFont="1" applyFill="1" applyBorder="1" applyAlignment="1">
      <alignment horizontal="right"/>
    </xf>
    <xf numFmtId="0" fontId="17" fillId="9" borderId="2" xfId="0" applyFont="1" applyFill="1" applyBorder="1" applyAlignment="1">
      <alignment wrapText="1"/>
    </xf>
    <xf numFmtId="166" fontId="17" fillId="0" borderId="14" xfId="0" applyNumberFormat="1" applyFont="1" applyFill="1" applyBorder="1" applyAlignment="1">
      <alignment horizontal="left" wrapText="1"/>
    </xf>
    <xf numFmtId="164" fontId="19" fillId="9" borderId="2" xfId="21" applyFont="1" applyFill="1" applyBorder="1" applyAlignment="1">
      <alignment vertical="top"/>
    </xf>
    <xf numFmtId="2" fontId="14" fillId="9" borderId="2" xfId="21" applyNumberFormat="1" applyFont="1" applyFill="1" applyBorder="1" applyAlignment="1">
      <alignment horizontal="right"/>
    </xf>
    <xf numFmtId="164" fontId="14" fillId="9" borderId="2" xfId="21" applyFont="1" applyFill="1" applyBorder="1" applyAlignment="1">
      <alignment horizontal="right"/>
    </xf>
    <xf numFmtId="164" fontId="19" fillId="9" borderId="2" xfId="0" applyNumberFormat="1" applyFont="1" applyFill="1" applyBorder="1" applyAlignment="1">
      <alignment horizontal="right"/>
    </xf>
    <xf numFmtId="0" fontId="14" fillId="9" borderId="2" xfId="0" applyFont="1" applyFill="1" applyBorder="1" applyAlignment="1">
      <alignment horizontal="center"/>
    </xf>
    <xf numFmtId="164" fontId="14" fillId="9" borderId="2" xfId="8" applyFont="1" applyFill="1" applyBorder="1" applyAlignment="1">
      <alignment horizontal="center"/>
    </xf>
    <xf numFmtId="0" fontId="14" fillId="14" borderId="2" xfId="0" applyFont="1" applyFill="1" applyBorder="1"/>
    <xf numFmtId="0" fontId="28" fillId="0" borderId="2" xfId="0" applyFont="1" applyBorder="1" applyAlignment="1">
      <alignment wrapText="1"/>
    </xf>
    <xf numFmtId="0" fontId="19" fillId="0" borderId="2" xfId="0" applyFont="1" applyBorder="1"/>
    <xf numFmtId="0" fontId="0" fillId="0" borderId="2" xfId="0" applyBorder="1"/>
    <xf numFmtId="0" fontId="14" fillId="0" borderId="2" xfId="0" applyFont="1" applyBorder="1"/>
    <xf numFmtId="2" fontId="0" fillId="0" borderId="2" xfId="0" applyNumberFormat="1" applyBorder="1"/>
    <xf numFmtId="0" fontId="0" fillId="0" borderId="14" xfId="0" applyBorder="1"/>
    <xf numFmtId="49" fontId="28" fillId="9" borderId="2" xfId="0" applyNumberFormat="1" applyFont="1" applyFill="1" applyBorder="1" applyAlignment="1">
      <alignment horizontal="center" vertical="top"/>
    </xf>
    <xf numFmtId="0" fontId="14" fillId="9" borderId="2" xfId="0" applyFont="1" applyFill="1" applyBorder="1" applyAlignment="1"/>
    <xf numFmtId="49" fontId="17" fillId="9" borderId="2" xfId="0" applyNumberFormat="1" applyFont="1" applyFill="1" applyBorder="1" applyAlignment="1">
      <alignment horizontal="center" vertical="top"/>
    </xf>
    <xf numFmtId="2" fontId="14" fillId="9" borderId="2" xfId="0" applyNumberFormat="1" applyFont="1" applyFill="1" applyBorder="1" applyAlignment="1"/>
    <xf numFmtId="49" fontId="28" fillId="14" borderId="2" xfId="0" applyNumberFormat="1" applyFont="1" applyFill="1" applyBorder="1" applyAlignment="1">
      <alignment horizontal="center" vertical="top"/>
    </xf>
    <xf numFmtId="0" fontId="28" fillId="14" borderId="2" xfId="0" applyFont="1" applyFill="1" applyBorder="1" applyAlignment="1">
      <alignment wrapText="1"/>
    </xf>
    <xf numFmtId="0" fontId="19" fillId="14" borderId="2" xfId="0" applyFont="1" applyFill="1" applyBorder="1" applyAlignment="1"/>
    <xf numFmtId="164" fontId="19" fillId="14" borderId="2" xfId="0" applyNumberFormat="1" applyFont="1" applyFill="1" applyBorder="1" applyAlignment="1">
      <alignment horizontal="right"/>
    </xf>
    <xf numFmtId="49" fontId="14" fillId="0" borderId="2" xfId="0" applyNumberFormat="1" applyFont="1" applyBorder="1"/>
    <xf numFmtId="0" fontId="19" fillId="9" borderId="2" xfId="0" applyFont="1" applyFill="1" applyBorder="1" applyAlignment="1">
      <alignment wrapText="1"/>
    </xf>
    <xf numFmtId="0" fontId="14" fillId="9" borderId="2" xfId="0" applyFont="1" applyFill="1" applyBorder="1"/>
    <xf numFmtId="2" fontId="14" fillId="9" borderId="2" xfId="0" applyNumberFormat="1" applyFont="1" applyFill="1" applyBorder="1"/>
    <xf numFmtId="4" fontId="14" fillId="9" borderId="2" xfId="0" applyNumberFormat="1" applyFont="1" applyFill="1" applyBorder="1"/>
    <xf numFmtId="0" fontId="19" fillId="9" borderId="2" xfId="0" applyFont="1" applyFill="1" applyBorder="1"/>
    <xf numFmtId="4" fontId="19" fillId="9" borderId="2" xfId="0" applyNumberFormat="1" applyFont="1" applyFill="1" applyBorder="1"/>
    <xf numFmtId="4" fontId="19" fillId="9" borderId="2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center"/>
    </xf>
    <xf numFmtId="164" fontId="14" fillId="0" borderId="2" xfId="8" applyFont="1" applyFill="1" applyBorder="1" applyAlignment="1">
      <alignment horizontal="center"/>
    </xf>
    <xf numFmtId="164" fontId="14" fillId="0" borderId="2" xfId="8" applyFont="1" applyFill="1" applyBorder="1" applyAlignment="1"/>
    <xf numFmtId="0" fontId="14" fillId="14" borderId="24" xfId="0" applyFont="1" applyFill="1" applyBorder="1"/>
    <xf numFmtId="0" fontId="14" fillId="14" borderId="22" xfId="0" applyFont="1" applyFill="1" applyBorder="1"/>
    <xf numFmtId="0" fontId="19" fillId="9" borderId="2" xfId="0" applyFont="1" applyFill="1" applyBorder="1" applyAlignment="1"/>
    <xf numFmtId="0" fontId="32" fillId="0" borderId="0" xfId="0" applyFont="1"/>
    <xf numFmtId="49" fontId="19" fillId="9" borderId="2" xfId="0" applyNumberFormat="1" applyFont="1" applyFill="1" applyBorder="1"/>
    <xf numFmtId="0" fontId="14" fillId="9" borderId="2" xfId="0" applyFont="1" applyFill="1" applyBorder="1" applyAlignment="1">
      <alignment wrapText="1"/>
    </xf>
    <xf numFmtId="167" fontId="19" fillId="9" borderId="2" xfId="0" applyNumberFormat="1" applyFont="1" applyFill="1" applyBorder="1" applyAlignment="1">
      <alignment horizontal="right"/>
    </xf>
    <xf numFmtId="167" fontId="14" fillId="9" borderId="2" xfId="0" applyNumberFormat="1" applyFont="1" applyFill="1" applyBorder="1" applyAlignment="1">
      <alignment horizontal="right"/>
    </xf>
    <xf numFmtId="49" fontId="16" fillId="9" borderId="11" xfId="0" applyNumberFormat="1" applyFont="1" applyFill="1" applyBorder="1" applyAlignment="1">
      <alignment horizontal="right"/>
    </xf>
    <xf numFmtId="2" fontId="19" fillId="9" borderId="2" xfId="0" applyNumberFormat="1" applyFont="1" applyFill="1" applyBorder="1" applyAlignment="1"/>
    <xf numFmtId="49" fontId="14" fillId="14" borderId="4" xfId="0" applyNumberFormat="1" applyFont="1" applyFill="1" applyBorder="1" applyAlignment="1">
      <alignment horizontal="center"/>
    </xf>
    <xf numFmtId="4" fontId="20" fillId="0" borderId="2" xfId="0" applyNumberFormat="1" applyFont="1" applyFill="1" applyBorder="1" applyAlignment="1">
      <alignment wrapText="1"/>
    </xf>
    <xf numFmtId="2" fontId="28" fillId="9" borderId="2" xfId="0" applyNumberFormat="1" applyFont="1" applyFill="1" applyBorder="1" applyAlignment="1">
      <alignment wrapText="1"/>
    </xf>
    <xf numFmtId="164" fontId="19" fillId="9" borderId="2" xfId="22" applyFont="1" applyFill="1" applyBorder="1" applyAlignment="1">
      <alignment vertical="top"/>
    </xf>
    <xf numFmtId="2" fontId="17" fillId="9" borderId="2" xfId="0" applyNumberFormat="1" applyFont="1" applyFill="1" applyBorder="1" applyAlignment="1">
      <alignment wrapText="1"/>
    </xf>
    <xf numFmtId="2" fontId="28" fillId="14" borderId="2" xfId="0" applyNumberFormat="1" applyFont="1" applyFill="1" applyBorder="1" applyAlignment="1">
      <alignment wrapText="1"/>
    </xf>
    <xf numFmtId="0" fontId="14" fillId="0" borderId="2" xfId="0" applyFont="1" applyFill="1" applyBorder="1" applyAlignment="1">
      <alignment wrapText="1"/>
    </xf>
    <xf numFmtId="0" fontId="17" fillId="0" borderId="2" xfId="0" applyFont="1" applyFill="1" applyBorder="1" applyAlignment="1">
      <alignment wrapText="1"/>
    </xf>
    <xf numFmtId="49" fontId="14" fillId="0" borderId="11" xfId="0" applyNumberFormat="1" applyFont="1" applyBorder="1"/>
    <xf numFmtId="0" fontId="28" fillId="9" borderId="11" xfId="0" applyFont="1" applyFill="1" applyBorder="1" applyAlignment="1">
      <alignment wrapText="1"/>
    </xf>
    <xf numFmtId="0" fontId="19" fillId="9" borderId="11" xfId="0" applyFont="1" applyFill="1" applyBorder="1" applyAlignment="1"/>
    <xf numFmtId="167" fontId="19" fillId="9" borderId="11" xfId="0" applyNumberFormat="1" applyFont="1" applyFill="1" applyBorder="1" applyAlignment="1">
      <alignment horizontal="right"/>
    </xf>
    <xf numFmtId="167" fontId="14" fillId="0" borderId="2" xfId="25" applyFont="1" applyFill="1" applyBorder="1" applyAlignment="1">
      <alignment horizontal="center"/>
    </xf>
    <xf numFmtId="167" fontId="14" fillId="9" borderId="2" xfId="25" applyFont="1" applyFill="1" applyBorder="1" applyAlignment="1"/>
    <xf numFmtId="167" fontId="14" fillId="0" borderId="2" xfId="25" applyFont="1" applyFill="1" applyBorder="1" applyAlignment="1"/>
    <xf numFmtId="0" fontId="17" fillId="14" borderId="2" xfId="0" applyFont="1" applyFill="1" applyBorder="1" applyAlignment="1">
      <alignment horizontal="left" wrapText="1"/>
    </xf>
    <xf numFmtId="2" fontId="14" fillId="9" borderId="11" xfId="22" applyNumberFormat="1" applyFont="1" applyFill="1" applyBorder="1" applyAlignment="1">
      <alignment horizontal="center" vertical="top"/>
    </xf>
    <xf numFmtId="164" fontId="14" fillId="9" borderId="11" xfId="22" applyFont="1" applyFill="1" applyBorder="1" applyAlignment="1">
      <alignment vertical="top"/>
    </xf>
    <xf numFmtId="2" fontId="14" fillId="9" borderId="2" xfId="22" applyNumberFormat="1" applyFont="1" applyFill="1" applyBorder="1" applyAlignment="1">
      <alignment horizontal="center" vertical="top"/>
    </xf>
    <xf numFmtId="164" fontId="14" fillId="9" borderId="2" xfId="22" applyFont="1" applyFill="1" applyBorder="1" applyAlignment="1">
      <alignment vertical="top"/>
    </xf>
    <xf numFmtId="2" fontId="14" fillId="9" borderId="2" xfId="22" applyNumberFormat="1" applyFont="1" applyFill="1" applyBorder="1" applyAlignment="1">
      <alignment horizontal="right"/>
    </xf>
    <xf numFmtId="164" fontId="14" fillId="9" borderId="2" xfId="22" applyFont="1" applyFill="1" applyBorder="1" applyAlignment="1">
      <alignment horizontal="right"/>
    </xf>
    <xf numFmtId="2" fontId="28" fillId="9" borderId="14" xfId="0" applyNumberFormat="1" applyFont="1" applyFill="1" applyBorder="1" applyAlignment="1">
      <alignment wrapText="1"/>
    </xf>
    <xf numFmtId="14" fontId="33" fillId="0" borderId="24" xfId="0" applyNumberFormat="1" applyFont="1" applyFill="1" applyBorder="1" applyAlignment="1">
      <alignment horizontal="center" vertical="center"/>
    </xf>
    <xf numFmtId="0" fontId="34" fillId="0" borderId="2" xfId="0" applyFont="1" applyFill="1" applyBorder="1" applyAlignment="1">
      <alignment horizontal="center" vertical="center"/>
    </xf>
    <xf numFmtId="4" fontId="33" fillId="0" borderId="2" xfId="0" applyNumberFormat="1" applyFont="1" applyFill="1" applyBorder="1" applyAlignment="1">
      <alignment vertical="center" wrapText="1"/>
    </xf>
    <xf numFmtId="0" fontId="33" fillId="0" borderId="2" xfId="0" applyFont="1" applyFill="1" applyBorder="1" applyAlignment="1">
      <alignment horizontal="center" vertical="center" wrapText="1"/>
    </xf>
    <xf numFmtId="10" fontId="33" fillId="9" borderId="21" xfId="19" applyNumberFormat="1" applyFont="1" applyFill="1" applyBorder="1" applyAlignment="1">
      <alignment vertical="center"/>
    </xf>
    <xf numFmtId="10" fontId="33" fillId="9" borderId="2" xfId="19" applyNumberFormat="1" applyFont="1" applyFill="1" applyBorder="1" applyAlignment="1">
      <alignment vertical="center"/>
    </xf>
    <xf numFmtId="4" fontId="33" fillId="0" borderId="12" xfId="0" applyNumberFormat="1" applyFont="1" applyFill="1" applyBorder="1" applyAlignment="1">
      <alignment vertical="center"/>
    </xf>
    <xf numFmtId="4" fontId="33" fillId="0" borderId="2" xfId="0" applyNumberFormat="1" applyFont="1" applyFill="1" applyBorder="1" applyAlignment="1">
      <alignment horizontal="center" vertical="center"/>
    </xf>
    <xf numFmtId="10" fontId="33" fillId="9" borderId="2" xfId="18" applyNumberFormat="1" applyFont="1" applyFill="1" applyBorder="1" applyAlignment="1">
      <alignment vertical="center"/>
    </xf>
    <xf numFmtId="4" fontId="33" fillId="0" borderId="22" xfId="0" applyNumberFormat="1" applyFont="1" applyFill="1" applyBorder="1" applyAlignment="1">
      <alignment vertical="center" wrapText="1"/>
    </xf>
    <xf numFmtId="2" fontId="14" fillId="9" borderId="2" xfId="1" applyNumberFormat="1" applyFont="1" applyFill="1" applyBorder="1" applyAlignment="1">
      <alignment horizontal="center" vertical="top"/>
    </xf>
    <xf numFmtId="168" fontId="14" fillId="9" borderId="2" xfId="1" applyFont="1" applyFill="1" applyBorder="1" applyAlignment="1">
      <alignment vertical="top"/>
    </xf>
    <xf numFmtId="168" fontId="19" fillId="9" borderId="2" xfId="1" applyFont="1" applyFill="1" applyBorder="1" applyAlignment="1">
      <alignment vertical="top"/>
    </xf>
    <xf numFmtId="0" fontId="35" fillId="0" borderId="0" xfId="0" applyFont="1"/>
    <xf numFmtId="167" fontId="19" fillId="9" borderId="10" xfId="25" applyFont="1" applyFill="1" applyBorder="1" applyAlignment="1">
      <alignment horizontal="center"/>
    </xf>
    <xf numFmtId="167" fontId="14" fillId="9" borderId="11" xfId="25" applyFont="1" applyFill="1" applyBorder="1" applyAlignment="1">
      <alignment horizontal="center"/>
    </xf>
    <xf numFmtId="167" fontId="14" fillId="9" borderId="12" xfId="25" applyFont="1" applyFill="1" applyBorder="1" applyAlignment="1">
      <alignment horizontal="center"/>
    </xf>
    <xf numFmtId="167" fontId="14" fillId="9" borderId="24" xfId="25" applyFont="1" applyFill="1" applyBorder="1" applyAlignment="1">
      <alignment horizontal="center"/>
    </xf>
    <xf numFmtId="167" fontId="14" fillId="9" borderId="2" xfId="25" applyFont="1" applyFill="1" applyBorder="1" applyAlignment="1">
      <alignment horizontal="center"/>
    </xf>
    <xf numFmtId="167" fontId="14" fillId="9" borderId="22" xfId="25" applyFont="1" applyFill="1" applyBorder="1" applyAlignment="1">
      <alignment horizontal="center"/>
    </xf>
    <xf numFmtId="167" fontId="14" fillId="9" borderId="2" xfId="25" applyFont="1" applyFill="1" applyBorder="1" applyAlignment="1">
      <alignment horizontal="left" wrapText="1"/>
    </xf>
    <xf numFmtId="167" fontId="14" fillId="9" borderId="22" xfId="0" applyNumberFormat="1" applyFont="1" applyFill="1" applyBorder="1" applyAlignment="1">
      <alignment horizontal="right"/>
    </xf>
    <xf numFmtId="49" fontId="14" fillId="9" borderId="24" xfId="0" applyNumberFormat="1" applyFont="1" applyFill="1" applyBorder="1" applyAlignment="1">
      <alignment horizontal="center"/>
    </xf>
    <xf numFmtId="0" fontId="28" fillId="9" borderId="2" xfId="0" applyFont="1" applyFill="1" applyBorder="1" applyAlignment="1">
      <alignment horizontal="left" wrapText="1"/>
    </xf>
    <xf numFmtId="167" fontId="19" fillId="9" borderId="22" xfId="0" applyNumberFormat="1" applyFont="1" applyFill="1" applyBorder="1" applyAlignment="1">
      <alignment horizontal="right"/>
    </xf>
    <xf numFmtId="167" fontId="14" fillId="9" borderId="2" xfId="25" applyFont="1" applyFill="1" applyBorder="1" applyAlignment="1">
      <alignment horizontal="left"/>
    </xf>
    <xf numFmtId="49" fontId="14" fillId="9" borderId="24" xfId="0" applyNumberFormat="1" applyFont="1" applyFill="1" applyBorder="1"/>
    <xf numFmtId="164" fontId="19" fillId="9" borderId="22" xfId="22" applyFont="1" applyFill="1" applyBorder="1" applyAlignment="1">
      <alignment vertical="top"/>
    </xf>
    <xf numFmtId="49" fontId="14" fillId="9" borderId="23" xfId="0" applyNumberFormat="1" applyFont="1" applyFill="1" applyBorder="1"/>
    <xf numFmtId="0" fontId="28" fillId="9" borderId="14" xfId="0" applyFont="1" applyFill="1" applyBorder="1" applyAlignment="1">
      <alignment horizontal="left" wrapText="1"/>
    </xf>
    <xf numFmtId="0" fontId="14" fillId="9" borderId="14" xfId="0" applyFont="1" applyFill="1" applyBorder="1" applyAlignment="1">
      <alignment horizontal="center" vertical="top"/>
    </xf>
    <xf numFmtId="2" fontId="14" fillId="9" borderId="14" xfId="22" applyNumberFormat="1" applyFont="1" applyFill="1" applyBorder="1" applyAlignment="1">
      <alignment horizontal="right"/>
    </xf>
    <xf numFmtId="164" fontId="14" fillId="9" borderId="14" xfId="22" applyFont="1" applyFill="1" applyBorder="1" applyAlignment="1">
      <alignment horizontal="right"/>
    </xf>
    <xf numFmtId="167" fontId="19" fillId="9" borderId="31" xfId="0" applyNumberFormat="1" applyFont="1" applyFill="1" applyBorder="1" applyAlignment="1">
      <alignment horizontal="right"/>
    </xf>
    <xf numFmtId="0" fontId="0" fillId="9" borderId="24" xfId="0" applyFill="1" applyBorder="1"/>
    <xf numFmtId="4" fontId="16" fillId="9" borderId="2" xfId="0" applyNumberFormat="1" applyFont="1" applyFill="1" applyBorder="1" applyAlignment="1">
      <alignment vertical="center" wrapText="1"/>
    </xf>
    <xf numFmtId="0" fontId="0" fillId="9" borderId="2" xfId="0" applyFill="1" applyBorder="1"/>
    <xf numFmtId="0" fontId="0" fillId="9" borderId="22" xfId="0" applyFill="1" applyBorder="1"/>
    <xf numFmtId="49" fontId="14" fillId="14" borderId="24" xfId="0" applyNumberFormat="1" applyFont="1" applyFill="1" applyBorder="1" applyAlignment="1">
      <alignment horizontal="center"/>
    </xf>
    <xf numFmtId="49" fontId="14" fillId="14" borderId="2" xfId="0" applyNumberFormat="1" applyFont="1" applyFill="1" applyBorder="1" applyAlignment="1">
      <alignment horizontal="center"/>
    </xf>
    <xf numFmtId="49" fontId="14" fillId="14" borderId="22" xfId="0" applyNumberFormat="1" applyFont="1" applyFill="1" applyBorder="1" applyAlignment="1">
      <alignment horizontal="center"/>
    </xf>
    <xf numFmtId="2" fontId="14" fillId="9" borderId="2" xfId="8" applyNumberFormat="1" applyFont="1" applyFill="1" applyBorder="1" applyAlignment="1">
      <alignment horizontal="center" vertical="top"/>
    </xf>
    <xf numFmtId="164" fontId="19" fillId="9" borderId="2" xfId="8" applyFont="1" applyFill="1" applyBorder="1" applyAlignment="1">
      <alignment vertical="top"/>
    </xf>
    <xf numFmtId="49" fontId="14" fillId="9" borderId="2" xfId="0" applyNumberFormat="1" applyFont="1" applyFill="1" applyBorder="1" applyAlignment="1">
      <alignment horizontal="center"/>
    </xf>
    <xf numFmtId="0" fontId="14" fillId="14" borderId="4" xfId="0" applyFont="1" applyFill="1" applyBorder="1" applyAlignment="1"/>
    <xf numFmtId="0" fontId="14" fillId="14" borderId="5" xfId="0" applyFont="1" applyFill="1" applyBorder="1" applyAlignment="1"/>
    <xf numFmtId="0" fontId="14" fillId="14" borderId="6" xfId="0" applyFont="1" applyFill="1" applyBorder="1" applyAlignment="1"/>
    <xf numFmtId="0" fontId="14" fillId="14" borderId="2" xfId="0" applyFont="1" applyFill="1" applyBorder="1" applyAlignment="1">
      <alignment horizontal="center" vertical="top"/>
    </xf>
    <xf numFmtId="2" fontId="14" fillId="14" borderId="2" xfId="8" applyNumberFormat="1" applyFont="1" applyFill="1" applyBorder="1" applyAlignment="1">
      <alignment horizontal="center" vertical="top"/>
    </xf>
    <xf numFmtId="164" fontId="14" fillId="14" borderId="2" xfId="8" applyFont="1" applyFill="1" applyBorder="1" applyAlignment="1">
      <alignment vertical="top"/>
    </xf>
    <xf numFmtId="0" fontId="19" fillId="14" borderId="2" xfId="0" applyFont="1" applyFill="1" applyBorder="1" applyAlignment="1">
      <alignment horizontal="right"/>
    </xf>
    <xf numFmtId="0" fontId="19" fillId="0" borderId="2" xfId="0" applyFont="1" applyBorder="1" applyAlignment="1">
      <alignment horizontal="center"/>
    </xf>
    <xf numFmtId="2" fontId="0" fillId="9" borderId="22" xfId="0" applyNumberFormat="1" applyFill="1" applyBorder="1"/>
    <xf numFmtId="2" fontId="0" fillId="9" borderId="2" xfId="0" applyNumberFormat="1" applyFill="1" applyBorder="1"/>
    <xf numFmtId="0" fontId="20" fillId="9" borderId="2" xfId="0" applyFont="1" applyFill="1" applyBorder="1" applyAlignment="1">
      <alignment wrapText="1"/>
    </xf>
    <xf numFmtId="0" fontId="14" fillId="0" borderId="33" xfId="0" applyFont="1" applyBorder="1"/>
    <xf numFmtId="0" fontId="14" fillId="0" borderId="34" xfId="0" applyFont="1" applyBorder="1" applyAlignment="1">
      <alignment horizontal="left" vertical="top" wrapText="1"/>
    </xf>
    <xf numFmtId="0" fontId="14" fillId="0" borderId="34" xfId="0" applyFont="1" applyBorder="1"/>
    <xf numFmtId="0" fontId="14" fillId="0" borderId="35" xfId="0" applyFont="1" applyBorder="1"/>
    <xf numFmtId="0" fontId="14" fillId="0" borderId="24" xfId="0" applyFont="1" applyBorder="1"/>
    <xf numFmtId="0" fontId="14" fillId="0" borderId="22" xfId="0" applyFont="1" applyBorder="1"/>
    <xf numFmtId="0" fontId="14" fillId="9" borderId="24" xfId="0" applyFont="1" applyFill="1" applyBorder="1" applyAlignment="1">
      <alignment horizontal="right" vertical="top"/>
    </xf>
    <xf numFmtId="0" fontId="14" fillId="0" borderId="2" xfId="0" applyFont="1" applyBorder="1" applyAlignment="1">
      <alignment horizontal="left" vertical="top" wrapText="1"/>
    </xf>
    <xf numFmtId="0" fontId="14" fillId="9" borderId="24" xfId="0" applyFont="1" applyFill="1" applyBorder="1" applyAlignment="1">
      <alignment horizontal="right" vertical="top" wrapText="1"/>
    </xf>
    <xf numFmtId="0" fontId="14" fillId="0" borderId="2" xfId="0" applyFont="1" applyFill="1" applyBorder="1"/>
    <xf numFmtId="2" fontId="14" fillId="0" borderId="22" xfId="0" applyNumberFormat="1" applyFont="1" applyBorder="1"/>
    <xf numFmtId="49" fontId="14" fillId="9" borderId="7" xfId="0" applyNumberFormat="1" applyFont="1" applyFill="1" applyBorder="1" applyAlignment="1">
      <alignment horizontal="center"/>
    </xf>
    <xf numFmtId="49" fontId="14" fillId="9" borderId="7" xfId="0" applyNumberFormat="1" applyFont="1" applyFill="1" applyBorder="1" applyAlignment="1">
      <alignment horizontal="left"/>
    </xf>
    <xf numFmtId="0" fontId="14" fillId="0" borderId="3" xfId="0" applyFont="1" applyBorder="1"/>
    <xf numFmtId="2" fontId="14" fillId="0" borderId="47" xfId="0" applyNumberFormat="1" applyFont="1" applyBorder="1"/>
    <xf numFmtId="0" fontId="14" fillId="14" borderId="25" xfId="0" applyFont="1" applyFill="1" applyBorder="1" applyAlignment="1"/>
    <xf numFmtId="49" fontId="28" fillId="0" borderId="10" xfId="0" applyNumberFormat="1" applyFont="1" applyBorder="1" applyAlignment="1">
      <alignment horizontal="center" vertical="top"/>
    </xf>
    <xf numFmtId="0" fontId="19" fillId="9" borderId="11" xfId="0" applyFont="1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40" xfId="0" applyBorder="1"/>
    <xf numFmtId="0" fontId="0" fillId="0" borderId="22" xfId="0" applyBorder="1"/>
    <xf numFmtId="0" fontId="0" fillId="0" borderId="24" xfId="0" applyBorder="1"/>
    <xf numFmtId="0" fontId="14" fillId="0" borderId="2" xfId="0" applyFont="1" applyBorder="1" applyAlignment="1">
      <alignment wrapText="1"/>
    </xf>
    <xf numFmtId="2" fontId="0" fillId="0" borderId="22" xfId="0" applyNumberFormat="1" applyBorder="1"/>
    <xf numFmtId="0" fontId="19" fillId="0" borderId="24" xfId="0" applyFont="1" applyBorder="1"/>
    <xf numFmtId="0" fontId="19" fillId="0" borderId="22" xfId="0" applyFont="1" applyBorder="1"/>
    <xf numFmtId="0" fontId="0" fillId="0" borderId="23" xfId="0" applyBorder="1"/>
    <xf numFmtId="0" fontId="19" fillId="0" borderId="14" xfId="0" applyFont="1" applyBorder="1"/>
    <xf numFmtId="0" fontId="19" fillId="0" borderId="31" xfId="0" applyFont="1" applyBorder="1"/>
    <xf numFmtId="0" fontId="19" fillId="0" borderId="2" xfId="0" applyFont="1" applyBorder="1" applyAlignment="1">
      <alignment wrapText="1"/>
    </xf>
    <xf numFmtId="0" fontId="19" fillId="0" borderId="14" xfId="0" applyFont="1" applyBorder="1" applyAlignment="1">
      <alignment wrapText="1"/>
    </xf>
    <xf numFmtId="0" fontId="21" fillId="9" borderId="2" xfId="0" applyFont="1" applyFill="1" applyBorder="1" applyAlignment="1">
      <alignment horizontal="center" vertical="center" wrapText="1"/>
    </xf>
    <xf numFmtId="0" fontId="14" fillId="9" borderId="13" xfId="0" applyFont="1" applyFill="1" applyBorder="1"/>
    <xf numFmtId="49" fontId="19" fillId="14" borderId="2" xfId="0" applyNumberFormat="1" applyFont="1" applyFill="1" applyBorder="1" applyAlignment="1">
      <alignment horizontal="center" vertical="center"/>
    </xf>
    <xf numFmtId="0" fontId="19" fillId="14" borderId="2" xfId="0" applyFont="1" applyFill="1" applyBorder="1" applyAlignment="1">
      <alignment horizontal="center" vertical="center"/>
    </xf>
    <xf numFmtId="0" fontId="14" fillId="9" borderId="0" xfId="0" applyFont="1" applyFill="1"/>
    <xf numFmtId="0" fontId="14" fillId="14" borderId="0" xfId="0" applyFont="1" applyFill="1"/>
    <xf numFmtId="0" fontId="19" fillId="14" borderId="11" xfId="0" applyFont="1" applyFill="1" applyBorder="1" applyAlignment="1">
      <alignment horizontal="center" vertical="center"/>
    </xf>
    <xf numFmtId="164" fontId="19" fillId="14" borderId="11" xfId="8" applyFont="1" applyFill="1" applyBorder="1" applyAlignment="1">
      <alignment horizontal="center" vertical="center"/>
    </xf>
    <xf numFmtId="0" fontId="14" fillId="9" borderId="0" xfId="0" applyFont="1" applyFill="1" applyAlignment="1">
      <alignment vertical="top"/>
    </xf>
    <xf numFmtId="0" fontId="14" fillId="14" borderId="0" xfId="0" applyFont="1" applyFill="1" applyAlignment="1">
      <alignment vertical="top"/>
    </xf>
    <xf numFmtId="0" fontId="0" fillId="0" borderId="0" xfId="0" applyAlignment="1">
      <alignment wrapText="1"/>
    </xf>
    <xf numFmtId="165" fontId="18" fillId="9" borderId="14" xfId="15" applyFont="1" applyFill="1" applyBorder="1" applyAlignment="1">
      <alignment horizontal="center" vertical="center" wrapText="1"/>
    </xf>
    <xf numFmtId="0" fontId="36" fillId="0" borderId="0" xfId="0" applyFont="1"/>
    <xf numFmtId="0" fontId="18" fillId="9" borderId="14" xfId="0" applyFont="1" applyFill="1" applyBorder="1" applyAlignment="1">
      <alignment horizontal="center" vertical="center" wrapText="1"/>
    </xf>
    <xf numFmtId="0" fontId="21" fillId="9" borderId="14" xfId="0" applyFont="1" applyFill="1" applyBorder="1" applyAlignment="1">
      <alignment horizontal="left" vertical="center" wrapText="1"/>
    </xf>
    <xf numFmtId="165" fontId="21" fillId="9" borderId="14" xfId="15" applyFont="1" applyFill="1" applyBorder="1" applyAlignment="1">
      <alignment horizontal="center" vertical="center" wrapText="1"/>
    </xf>
    <xf numFmtId="0" fontId="18" fillId="9" borderId="14" xfId="0" applyFont="1" applyFill="1" applyBorder="1" applyAlignment="1">
      <alignment horizontal="left" vertical="center" wrapText="1"/>
    </xf>
    <xf numFmtId="2" fontId="14" fillId="9" borderId="2" xfId="0" applyNumberFormat="1" applyFont="1" applyFill="1" applyBorder="1" applyAlignment="1">
      <alignment horizontal="right"/>
    </xf>
    <xf numFmtId="2" fontId="19" fillId="0" borderId="2" xfId="0" applyNumberFormat="1" applyFont="1" applyBorder="1"/>
    <xf numFmtId="0" fontId="14" fillId="0" borderId="0" xfId="0" applyFont="1" applyFill="1" applyAlignment="1">
      <alignment vertical="top"/>
    </xf>
    <xf numFmtId="164" fontId="14" fillId="0" borderId="0" xfId="0" applyNumberFormat="1" applyFont="1" applyFill="1" applyAlignment="1">
      <alignment vertical="top"/>
    </xf>
    <xf numFmtId="164" fontId="14" fillId="9" borderId="0" xfId="0" applyNumberFormat="1" applyFont="1" applyFill="1" applyAlignment="1">
      <alignment vertical="top"/>
    </xf>
    <xf numFmtId="4" fontId="14" fillId="14" borderId="0" xfId="0" applyNumberFormat="1" applyFont="1" applyFill="1"/>
    <xf numFmtId="0" fontId="14" fillId="0" borderId="0" xfId="0" applyFont="1" applyAlignment="1">
      <alignment vertical="top"/>
    </xf>
    <xf numFmtId="164" fontId="19" fillId="9" borderId="14" xfId="0" applyNumberFormat="1" applyFont="1" applyFill="1" applyBorder="1" applyAlignment="1">
      <alignment horizontal="right"/>
    </xf>
    <xf numFmtId="49" fontId="28" fillId="0" borderId="2" xfId="0" applyNumberFormat="1" applyFont="1" applyBorder="1" applyAlignment="1">
      <alignment horizontal="center" vertical="top"/>
    </xf>
    <xf numFmtId="0" fontId="14" fillId="0" borderId="2" xfId="0" applyFont="1" applyFill="1" applyBorder="1" applyAlignment="1"/>
    <xf numFmtId="164" fontId="14" fillId="0" borderId="2" xfId="0" applyNumberFormat="1" applyFont="1" applyFill="1" applyBorder="1" applyAlignment="1">
      <alignment horizontal="right"/>
    </xf>
    <xf numFmtId="49" fontId="17" fillId="0" borderId="2" xfId="0" applyNumberFormat="1" applyFont="1" applyFill="1" applyBorder="1" applyAlignment="1">
      <alignment horizontal="center" vertical="top"/>
    </xf>
    <xf numFmtId="0" fontId="17" fillId="0" borderId="2" xfId="0" applyFont="1" applyBorder="1" applyAlignment="1">
      <alignment wrapText="1"/>
    </xf>
    <xf numFmtId="2" fontId="14" fillId="0" borderId="2" xfId="0" applyNumberFormat="1" applyFont="1" applyFill="1" applyBorder="1" applyAlignment="1"/>
    <xf numFmtId="164" fontId="19" fillId="0" borderId="2" xfId="0" applyNumberFormat="1" applyFont="1" applyFill="1" applyBorder="1" applyAlignment="1">
      <alignment horizontal="right"/>
    </xf>
    <xf numFmtId="49" fontId="17" fillId="0" borderId="2" xfId="0" applyNumberFormat="1" applyFont="1" applyBorder="1" applyAlignment="1">
      <alignment horizontal="center" vertical="top"/>
    </xf>
    <xf numFmtId="164" fontId="14" fillId="0" borderId="0" xfId="0" applyNumberFormat="1" applyFont="1" applyAlignment="1">
      <alignment vertical="top"/>
    </xf>
    <xf numFmtId="0" fontId="14" fillId="0" borderId="2" xfId="0" applyFont="1" applyBorder="1" applyAlignment="1">
      <alignment vertical="top"/>
    </xf>
    <xf numFmtId="0" fontId="14" fillId="9" borderId="13" xfId="0" applyFont="1" applyFill="1" applyBorder="1" applyAlignment="1">
      <alignment vertical="top"/>
    </xf>
    <xf numFmtId="0" fontId="14" fillId="9" borderId="2" xfId="0" applyFont="1" applyFill="1" applyBorder="1" applyAlignment="1">
      <alignment vertical="top"/>
    </xf>
    <xf numFmtId="0" fontId="14" fillId="14" borderId="2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4" fillId="0" borderId="15" xfId="0" applyFont="1" applyFill="1" applyBorder="1" applyAlignment="1">
      <alignment vertical="top"/>
    </xf>
    <xf numFmtId="0" fontId="14" fillId="0" borderId="47" xfId="0" applyFont="1" applyBorder="1"/>
    <xf numFmtId="49" fontId="19" fillId="9" borderId="2" xfId="0" applyNumberFormat="1" applyFont="1" applyFill="1" applyBorder="1" applyAlignment="1">
      <alignment horizontal="center"/>
    </xf>
    <xf numFmtId="164" fontId="14" fillId="0" borderId="0" xfId="0" applyNumberFormat="1" applyFont="1" applyFill="1"/>
    <xf numFmtId="2" fontId="14" fillId="9" borderId="2" xfId="8" applyNumberFormat="1" applyFont="1" applyFill="1" applyBorder="1" applyAlignment="1">
      <alignment horizontal="right"/>
    </xf>
    <xf numFmtId="164" fontId="14" fillId="9" borderId="2" xfId="8" applyFont="1" applyFill="1" applyBorder="1" applyAlignment="1">
      <alignment horizontal="right"/>
    </xf>
    <xf numFmtId="164" fontId="14" fillId="9" borderId="0" xfId="0" applyNumberFormat="1" applyFont="1" applyFill="1"/>
    <xf numFmtId="49" fontId="14" fillId="9" borderId="14" xfId="0" applyNumberFormat="1" applyFont="1" applyFill="1" applyBorder="1" applyAlignment="1">
      <alignment horizontal="center"/>
    </xf>
    <xf numFmtId="2" fontId="14" fillId="9" borderId="14" xfId="8" applyNumberFormat="1" applyFont="1" applyFill="1" applyBorder="1" applyAlignment="1">
      <alignment horizontal="center" vertical="top"/>
    </xf>
    <xf numFmtId="164" fontId="14" fillId="9" borderId="14" xfId="8" applyFont="1" applyFill="1" applyBorder="1" applyAlignment="1">
      <alignment vertical="top"/>
    </xf>
    <xf numFmtId="0" fontId="19" fillId="9" borderId="14" xfId="0" applyFont="1" applyFill="1" applyBorder="1" applyAlignment="1">
      <alignment horizontal="right"/>
    </xf>
    <xf numFmtId="49" fontId="14" fillId="0" borderId="11" xfId="0" applyNumberFormat="1" applyFont="1" applyFill="1" applyBorder="1" applyAlignment="1">
      <alignment horizontal="center"/>
    </xf>
    <xf numFmtId="0" fontId="28" fillId="0" borderId="11" xfId="0" applyFont="1" applyFill="1" applyBorder="1" applyAlignment="1">
      <alignment wrapText="1"/>
    </xf>
    <xf numFmtId="0" fontId="14" fillId="0" borderId="11" xfId="0" applyFont="1" applyFill="1" applyBorder="1" applyAlignment="1">
      <alignment horizontal="center" vertical="top"/>
    </xf>
    <xf numFmtId="2" fontId="14" fillId="0" borderId="11" xfId="8" applyNumberFormat="1" applyFont="1" applyFill="1" applyBorder="1" applyAlignment="1">
      <alignment horizontal="center" vertical="top"/>
    </xf>
    <xf numFmtId="164" fontId="14" fillId="0" borderId="11" xfId="8" applyFont="1" applyFill="1" applyBorder="1" applyAlignment="1">
      <alignment vertical="top"/>
    </xf>
    <xf numFmtId="0" fontId="19" fillId="0" borderId="11" xfId="0" applyFont="1" applyFill="1" applyBorder="1" applyAlignment="1">
      <alignment horizontal="right"/>
    </xf>
    <xf numFmtId="49" fontId="14" fillId="0" borderId="2" xfId="0" applyNumberFormat="1" applyFont="1" applyFill="1" applyBorder="1" applyAlignment="1">
      <alignment horizontal="center"/>
    </xf>
    <xf numFmtId="0" fontId="28" fillId="0" borderId="2" xfId="0" applyFont="1" applyFill="1" applyBorder="1" applyAlignment="1">
      <alignment wrapText="1"/>
    </xf>
    <xf numFmtId="0" fontId="14" fillId="0" borderId="2" xfId="0" applyFont="1" applyFill="1" applyBorder="1" applyAlignment="1">
      <alignment horizontal="center" vertical="top"/>
    </xf>
    <xf numFmtId="2" fontId="14" fillId="0" borderId="2" xfId="8" applyNumberFormat="1" applyFont="1" applyFill="1" applyBorder="1" applyAlignment="1">
      <alignment horizontal="center" vertical="top"/>
    </xf>
    <xf numFmtId="164" fontId="14" fillId="0" borderId="2" xfId="8" applyFont="1" applyFill="1" applyBorder="1" applyAlignment="1">
      <alignment vertical="top"/>
    </xf>
    <xf numFmtId="0" fontId="19" fillId="0" borderId="2" xfId="0" applyFont="1" applyFill="1" applyBorder="1" applyAlignment="1">
      <alignment horizontal="right"/>
    </xf>
    <xf numFmtId="0" fontId="28" fillId="14" borderId="4" xfId="0" applyFont="1" applyFill="1" applyBorder="1" applyAlignment="1">
      <alignment wrapText="1"/>
    </xf>
    <xf numFmtId="0" fontId="28" fillId="14" borderId="5" xfId="0" applyFont="1" applyFill="1" applyBorder="1" applyAlignment="1">
      <alignment wrapText="1"/>
    </xf>
    <xf numFmtId="0" fontId="28" fillId="14" borderId="6" xfId="0" applyFont="1" applyFill="1" applyBorder="1" applyAlignment="1">
      <alignment wrapText="1"/>
    </xf>
    <xf numFmtId="167" fontId="14" fillId="9" borderId="10" xfId="25" applyFont="1" applyFill="1" applyBorder="1" applyAlignment="1">
      <alignment horizontal="center"/>
    </xf>
    <xf numFmtId="49" fontId="14" fillId="14" borderId="2" xfId="0" applyNumberFormat="1" applyFont="1" applyFill="1" applyBorder="1" applyAlignment="1">
      <alignment horizontal="center"/>
    </xf>
    <xf numFmtId="49" fontId="19" fillId="14" borderId="2" xfId="0" applyNumberFormat="1" applyFont="1" applyFill="1" applyBorder="1" applyAlignment="1">
      <alignment horizontal="center" vertical="center"/>
    </xf>
    <xf numFmtId="0" fontId="19" fillId="14" borderId="2" xfId="0" applyFont="1" applyFill="1" applyBorder="1" applyAlignment="1">
      <alignment horizontal="center" vertical="center"/>
    </xf>
    <xf numFmtId="164" fontId="19" fillId="14" borderId="2" xfId="8" applyFont="1" applyFill="1" applyBorder="1" applyAlignment="1">
      <alignment horizontal="center" vertical="center"/>
    </xf>
    <xf numFmtId="49" fontId="28" fillId="9" borderId="0" xfId="0" applyNumberFormat="1" applyFont="1" applyFill="1" applyAlignment="1">
      <alignment horizontal="center" vertical="top"/>
    </xf>
    <xf numFmtId="49" fontId="17" fillId="14" borderId="2" xfId="0" applyNumberFormat="1" applyFont="1" applyFill="1" applyBorder="1" applyAlignment="1">
      <alignment horizontal="center" vertical="top"/>
    </xf>
    <xf numFmtId="2" fontId="14" fillId="14" borderId="2" xfId="25" applyNumberFormat="1" applyFont="1" applyFill="1" applyBorder="1" applyAlignment="1">
      <alignment horizontal="center" vertical="top"/>
    </xf>
    <xf numFmtId="167" fontId="14" fillId="14" borderId="2" xfId="25" applyFont="1" applyFill="1" applyBorder="1" applyAlignment="1">
      <alignment vertical="top"/>
    </xf>
    <xf numFmtId="49" fontId="19" fillId="0" borderId="2" xfId="0" applyNumberFormat="1" applyFont="1" applyFill="1" applyBorder="1"/>
    <xf numFmtId="0" fontId="19" fillId="0" borderId="2" xfId="0" applyFont="1" applyFill="1" applyBorder="1" applyAlignment="1"/>
    <xf numFmtId="167" fontId="19" fillId="0" borderId="2" xfId="0" applyNumberFormat="1" applyFont="1" applyFill="1" applyBorder="1" applyAlignment="1">
      <alignment horizontal="right"/>
    </xf>
    <xf numFmtId="49" fontId="14" fillId="0" borderId="2" xfId="0" applyNumberFormat="1" applyFont="1" applyFill="1" applyBorder="1"/>
    <xf numFmtId="0" fontId="19" fillId="0" borderId="2" xfId="0" applyFont="1" applyFill="1" applyBorder="1" applyAlignment="1">
      <alignment horizontal="left" vertical="center"/>
    </xf>
    <xf numFmtId="167" fontId="14" fillId="0" borderId="2" xfId="0" applyNumberFormat="1" applyFont="1" applyFill="1" applyBorder="1" applyAlignment="1">
      <alignment horizontal="right"/>
    </xf>
    <xf numFmtId="4" fontId="16" fillId="0" borderId="2" xfId="0" applyNumberFormat="1" applyFont="1" applyFill="1" applyBorder="1" applyAlignment="1">
      <alignment wrapText="1"/>
    </xf>
    <xf numFmtId="0" fontId="28" fillId="9" borderId="0" xfId="0" applyFont="1" applyFill="1" applyAlignment="1">
      <alignment wrapText="1"/>
    </xf>
    <xf numFmtId="2" fontId="28" fillId="9" borderId="0" xfId="0" applyNumberFormat="1" applyFont="1" applyFill="1" applyAlignment="1">
      <alignment wrapText="1"/>
    </xf>
    <xf numFmtId="49" fontId="28" fillId="9" borderId="0" xfId="0" applyNumberFormat="1" applyFont="1" applyFill="1" applyAlignment="1">
      <alignment horizontal="center" vertical="top"/>
    </xf>
    <xf numFmtId="49" fontId="28" fillId="9" borderId="48" xfId="0" applyNumberFormat="1" applyFont="1" applyFill="1" applyBorder="1" applyAlignment="1">
      <alignment horizontal="center" vertical="top"/>
    </xf>
  </cellXfs>
  <cellStyles count="27">
    <cellStyle name="Accent" xfId="2"/>
    <cellStyle name="Accent 1" xfId="3"/>
    <cellStyle name="Accent 2" xfId="4"/>
    <cellStyle name="Accent 3" xfId="5"/>
    <cellStyle name="Bad" xfId="6"/>
    <cellStyle name="Error" xfId="7"/>
    <cellStyle name="Excel_BuiltIn_Comma" xfId="8"/>
    <cellStyle name="Footnote" xfId="9"/>
    <cellStyle name="Good" xfId="10"/>
    <cellStyle name="Heading (user)" xfId="11"/>
    <cellStyle name="Heading 1" xfId="12"/>
    <cellStyle name="Heading 2" xfId="13"/>
    <cellStyle name="Hyperlink" xfId="14"/>
    <cellStyle name="Moeda 2" xfId="15"/>
    <cellStyle name="Neutral" xfId="16"/>
    <cellStyle name="Normal" xfId="0" builtinId="0" customBuiltin="1"/>
    <cellStyle name="Note" xfId="17"/>
    <cellStyle name="Porcentagem 2 10" xfId="18"/>
    <cellStyle name="Porcentagem 2 2 2 2" xfId="19"/>
    <cellStyle name="Result (user)" xfId="20"/>
    <cellStyle name="Separador de milhares 2" xfId="21"/>
    <cellStyle name="Separador de milhares 2 2" xfId="22"/>
    <cellStyle name="Status" xfId="23"/>
    <cellStyle name="Text" xfId="24"/>
    <cellStyle name="Vírgula" xfId="1" builtinId="3" customBuiltin="1"/>
    <cellStyle name="Vírgula 2" xfId="25"/>
    <cellStyle name="Warning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1199162</xdr:colOff>
      <xdr:row>6</xdr:row>
      <xdr:rowOff>48243</xdr:rowOff>
    </xdr:from>
    <xdr:ext cx="3965396" cy="781199"/>
    <xdr:sp macro="" textlink="">
      <xdr:nvSpPr>
        <xdr:cNvPr id="2" name="Text Box 6"/>
        <xdr:cNvSpPr/>
      </xdr:nvSpPr>
      <xdr:spPr>
        <a:xfrm>
          <a:off x="2608862" y="1134093"/>
          <a:ext cx="3965396" cy="781199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SEGURANÇA PUBLICA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GERENCIA DE OBRAS E PATRIMONIO IMOBILIÁRIO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171001</xdr:colOff>
      <xdr:row>1</xdr:row>
      <xdr:rowOff>28803</xdr:rowOff>
    </xdr:from>
    <xdr:ext cx="4586758" cy="752761"/>
    <xdr:sp macro="" textlink="">
      <xdr:nvSpPr>
        <xdr:cNvPr id="2" name="Text Box 4"/>
        <xdr:cNvSpPr/>
      </xdr:nvSpPr>
      <xdr:spPr>
        <a:xfrm>
          <a:off x="2485576" y="209778"/>
          <a:ext cx="4586758" cy="752761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0</xdr:row>
          <xdr:rowOff>142875</xdr:rowOff>
        </xdr:from>
        <xdr:to>
          <xdr:col>17</xdr:col>
          <xdr:colOff>933450</xdr:colOff>
          <xdr:row>6</xdr:row>
          <xdr:rowOff>47625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R308"/>
  <sheetViews>
    <sheetView tabSelected="1" workbookViewId="0"/>
  </sheetViews>
  <sheetFormatPr defaultRowHeight="14.25"/>
  <cols>
    <col min="1" max="1" width="6.75" style="1" customWidth="1"/>
    <col min="2" max="2" width="11.75" style="2" customWidth="1"/>
    <col min="3" max="3" width="63.625" style="3" customWidth="1"/>
    <col min="4" max="4" width="5.125" style="4" customWidth="1"/>
    <col min="5" max="5" width="9.75" style="4" customWidth="1"/>
    <col min="6" max="6" width="9.5" style="5" customWidth="1"/>
    <col min="7" max="7" width="8.875" style="4" customWidth="1"/>
    <col min="8" max="8" width="12.375" style="4" customWidth="1"/>
    <col min="9" max="9" width="11.125" style="5" customWidth="1"/>
    <col min="10" max="10" width="9.375" style="6" customWidth="1"/>
    <col min="11" max="11" width="11.625" style="5" customWidth="1"/>
    <col min="12" max="12" width="19.25" style="5" customWidth="1"/>
    <col min="13" max="13" width="13.375" style="7" customWidth="1"/>
    <col min="14" max="14" width="9.125" style="7" customWidth="1"/>
    <col min="15" max="15" width="9.5" style="7" customWidth="1"/>
    <col min="16" max="16" width="8.5" style="8" customWidth="1"/>
    <col min="17" max="17" width="8.5" style="9" customWidth="1"/>
    <col min="18" max="18" width="14.25" customWidth="1"/>
    <col min="19" max="1025" width="8.375" customWidth="1"/>
    <col min="1026" max="1026" width="9" customWidth="1"/>
  </cols>
  <sheetData>
    <row r="10" spans="1:14">
      <c r="K10" s="10"/>
      <c r="N10" s="11"/>
    </row>
    <row r="11" spans="1:14">
      <c r="N11" s="11"/>
    </row>
    <row r="12" spans="1:14">
      <c r="N12" s="11"/>
    </row>
    <row r="13" spans="1:14" ht="15.75">
      <c r="A13" s="267" t="s">
        <v>0</v>
      </c>
      <c r="B13" s="267"/>
      <c r="C13" s="267"/>
      <c r="D13" s="267"/>
      <c r="E13" s="267"/>
      <c r="F13" s="267"/>
      <c r="G13" s="267"/>
      <c r="H13" s="267"/>
      <c r="I13" s="12"/>
      <c r="J13" s="13"/>
      <c r="K13" s="12"/>
      <c r="L13" s="12"/>
    </row>
    <row r="14" spans="1:14">
      <c r="B14" s="14"/>
      <c r="C14" s="15"/>
      <c r="D14" s="16"/>
      <c r="E14" s="268"/>
      <c r="F14" s="268"/>
      <c r="G14" s="268"/>
      <c r="H14" s="268"/>
      <c r="I14" s="18"/>
      <c r="J14" s="19"/>
      <c r="K14" s="18"/>
      <c r="L14" s="18"/>
    </row>
    <row r="15" spans="1:14">
      <c r="A15" s="269" t="s">
        <v>1</v>
      </c>
      <c r="B15" s="269"/>
      <c r="C15" s="269"/>
      <c r="E15" s="16"/>
      <c r="F15" s="18"/>
      <c r="G15" s="16"/>
      <c r="H15" s="16"/>
    </row>
    <row r="16" spans="1:14">
      <c r="A16" s="269" t="s">
        <v>2</v>
      </c>
      <c r="B16" s="269"/>
      <c r="C16" s="269"/>
      <c r="E16" s="270" t="s">
        <v>3</v>
      </c>
      <c r="F16" s="270"/>
      <c r="G16" s="270"/>
      <c r="H16" s="270"/>
    </row>
    <row r="17" spans="1:17" ht="12.75" customHeight="1">
      <c r="A17" s="269" t="s">
        <v>4</v>
      </c>
      <c r="B17" s="269"/>
      <c r="C17" s="269"/>
      <c r="E17" s="268"/>
      <c r="F17" s="268"/>
      <c r="G17" s="268"/>
      <c r="H17" s="268"/>
      <c r="J17" s="6">
        <v>1.26</v>
      </c>
    </row>
    <row r="18" spans="1:17" ht="12.75" customHeight="1">
      <c r="B18" s="14"/>
      <c r="C18" s="15"/>
      <c r="D18" s="16"/>
      <c r="E18" s="268"/>
      <c r="F18" s="268"/>
      <c r="G18" s="268"/>
      <c r="H18" s="268"/>
      <c r="I18" s="18"/>
      <c r="J18" s="19"/>
      <c r="K18" s="18"/>
      <c r="L18" s="18"/>
    </row>
    <row r="19" spans="1:17" ht="13.5" customHeight="1" thickBot="1">
      <c r="B19" s="14"/>
      <c r="C19" s="15"/>
      <c r="D19" s="16"/>
      <c r="E19" s="271" t="s">
        <v>5</v>
      </c>
      <c r="F19" s="271"/>
      <c r="G19" s="271"/>
      <c r="H19" s="271"/>
      <c r="I19" s="18"/>
      <c r="J19" s="19"/>
      <c r="K19" s="18"/>
      <c r="L19" s="18"/>
    </row>
    <row r="20" spans="1:17" s="27" customFormat="1" ht="15.75" customHeight="1" thickBot="1">
      <c r="A20" s="20" t="s">
        <v>6</v>
      </c>
      <c r="B20" s="21" t="s">
        <v>7</v>
      </c>
      <c r="C20" s="21" t="s">
        <v>8</v>
      </c>
      <c r="D20" s="21" t="s">
        <v>9</v>
      </c>
      <c r="E20" s="21" t="s">
        <v>10</v>
      </c>
      <c r="F20" s="22" t="s">
        <v>11</v>
      </c>
      <c r="G20" s="21" t="s">
        <v>11</v>
      </c>
      <c r="H20" s="23" t="s">
        <v>12</v>
      </c>
      <c r="I20" s="24"/>
      <c r="J20" s="25" t="s">
        <v>3</v>
      </c>
      <c r="K20" s="24"/>
      <c r="L20" s="24"/>
      <c r="M20" s="7"/>
      <c r="N20" s="7"/>
      <c r="O20" s="7"/>
      <c r="P20" s="8"/>
      <c r="Q20" s="26"/>
    </row>
    <row r="21" spans="1:17" s="27" customFormat="1" ht="18" customHeight="1" thickBot="1">
      <c r="A21" s="28" t="s">
        <v>13</v>
      </c>
      <c r="B21" s="29"/>
      <c r="C21" s="29" t="s">
        <v>14</v>
      </c>
      <c r="D21" s="29"/>
      <c r="E21" s="29"/>
      <c r="F21" s="30" t="s">
        <v>15</v>
      </c>
      <c r="G21" s="29" t="s">
        <v>16</v>
      </c>
      <c r="H21" s="31"/>
      <c r="I21" s="24"/>
      <c r="J21" s="25"/>
      <c r="K21" s="24"/>
      <c r="L21" s="24"/>
      <c r="M21" s="7"/>
      <c r="N21" s="7"/>
      <c r="O21" s="7"/>
      <c r="P21" s="8"/>
      <c r="Q21" s="26"/>
    </row>
    <row r="22" spans="1:17" s="44" customFormat="1" ht="12.75">
      <c r="A22" s="32" t="s">
        <v>17</v>
      </c>
      <c r="B22" s="33">
        <v>90777</v>
      </c>
      <c r="C22" s="34" t="s">
        <v>18</v>
      </c>
      <c r="D22" s="35" t="s">
        <v>19</v>
      </c>
      <c r="E22" s="35">
        <f>TRUNC(I22,2)</f>
        <v>160</v>
      </c>
      <c r="F22" s="36">
        <f>J22</f>
        <v>80.150000000000006</v>
      </c>
      <c r="G22" s="35">
        <f>TRUNC(J22*J$17,2)</f>
        <v>100.98</v>
      </c>
      <c r="H22" s="37">
        <f>TRUNC(E22*G22,2)</f>
        <v>16156.8</v>
      </c>
      <c r="I22" s="38">
        <f>5*4*2*4</f>
        <v>160</v>
      </c>
      <c r="J22" s="39">
        <v>80.150000000000006</v>
      </c>
      <c r="K22" s="40"/>
      <c r="L22" s="40"/>
      <c r="M22" s="41"/>
      <c r="N22" s="41"/>
      <c r="O22" s="41"/>
      <c r="P22" s="42"/>
      <c r="Q22" s="43"/>
    </row>
    <row r="23" spans="1:17" s="44" customFormat="1" ht="12.75">
      <c r="A23" s="32" t="s">
        <v>20</v>
      </c>
      <c r="B23" s="33">
        <v>90776</v>
      </c>
      <c r="C23" s="45" t="s">
        <v>21</v>
      </c>
      <c r="D23" s="46" t="s">
        <v>19</v>
      </c>
      <c r="E23" s="35">
        <f>TRUNC(I23,2)</f>
        <v>1100</v>
      </c>
      <c r="F23" s="36">
        <f>J23</f>
        <v>20.18</v>
      </c>
      <c r="G23" s="46">
        <f>TRUNC(J23*J$17,2)</f>
        <v>25.42</v>
      </c>
      <c r="H23" s="37">
        <f>TRUNC(E23*G23,2)</f>
        <v>27962</v>
      </c>
      <c r="I23" s="47">
        <f>5*220</f>
        <v>1100</v>
      </c>
      <c r="J23" s="39">
        <v>20.18</v>
      </c>
      <c r="K23" s="40"/>
      <c r="L23" s="40"/>
      <c r="M23" s="41"/>
      <c r="N23" s="41"/>
      <c r="O23" s="41"/>
      <c r="P23" s="42"/>
      <c r="Q23" s="43"/>
    </row>
    <row r="24" spans="1:17" s="44" customFormat="1" ht="12.75">
      <c r="A24" s="32" t="s">
        <v>22</v>
      </c>
      <c r="B24" s="33" t="s">
        <v>23</v>
      </c>
      <c r="C24" s="45" t="s">
        <v>24</v>
      </c>
      <c r="D24" s="46" t="s">
        <v>25</v>
      </c>
      <c r="E24" s="35">
        <f>TRUNC(I24,2)</f>
        <v>3.12</v>
      </c>
      <c r="F24" s="36">
        <f>J24</f>
        <v>312.14999999999998</v>
      </c>
      <c r="G24" s="46">
        <f>TRUNC(J24*J$17,2)</f>
        <v>393.3</v>
      </c>
      <c r="H24" s="37">
        <f>TRUNC(E24*G24,2)</f>
        <v>1227.0899999999999</v>
      </c>
      <c r="I24" s="47">
        <f>2.5*1.25</f>
        <v>3.125</v>
      </c>
      <c r="J24" s="48">
        <v>312.14999999999998</v>
      </c>
      <c r="K24" s="40"/>
      <c r="L24" s="40"/>
      <c r="M24" s="41"/>
      <c r="N24" s="41"/>
      <c r="O24" s="41"/>
      <c r="P24" s="42"/>
      <c r="Q24" s="43"/>
    </row>
    <row r="25" spans="1:17" s="44" customFormat="1" ht="24.75" customHeight="1">
      <c r="A25" s="32" t="s">
        <v>26</v>
      </c>
      <c r="B25" s="33">
        <v>99059</v>
      </c>
      <c r="C25" s="45" t="s">
        <v>27</v>
      </c>
      <c r="D25" s="46" t="s">
        <v>28</v>
      </c>
      <c r="E25" s="35">
        <f>TRUNC(I25,2)</f>
        <v>22.35</v>
      </c>
      <c r="F25" s="36">
        <f>J25</f>
        <v>38.71</v>
      </c>
      <c r="G25" s="46">
        <f>TRUNC(J25*J$17,2)</f>
        <v>48.77</v>
      </c>
      <c r="H25" s="37">
        <f>TRUNC(E25*G25,2)</f>
        <v>1090</v>
      </c>
      <c r="I25" s="47">
        <f>9+5.05+4.15+4.15</f>
        <v>22.35</v>
      </c>
      <c r="J25" s="48">
        <v>38.71</v>
      </c>
      <c r="K25" s="40"/>
      <c r="L25" s="40"/>
      <c r="M25" s="41"/>
      <c r="N25" s="41"/>
      <c r="O25" s="41"/>
      <c r="P25" s="42"/>
      <c r="Q25" s="43"/>
    </row>
    <row r="26" spans="1:17" s="44" customFormat="1" ht="13.5" thickBot="1">
      <c r="A26" s="32" t="s">
        <v>29</v>
      </c>
      <c r="B26" s="33" t="s">
        <v>23</v>
      </c>
      <c r="C26" s="49" t="s">
        <v>30</v>
      </c>
      <c r="D26" s="50" t="s">
        <v>31</v>
      </c>
      <c r="E26" s="51">
        <f>TRUNC(I26,2)</f>
        <v>6</v>
      </c>
      <c r="F26" s="36">
        <f>J26</f>
        <v>360</v>
      </c>
      <c r="G26" s="50">
        <f>TRUNC(J26*J$17,2)</f>
        <v>453.6</v>
      </c>
      <c r="H26" s="52">
        <f>TRUNC(E26*G26,2)</f>
        <v>2721.6</v>
      </c>
      <c r="I26" s="47">
        <v>6</v>
      </c>
      <c r="J26" s="48">
        <v>360</v>
      </c>
      <c r="K26" s="40"/>
      <c r="L26" s="40"/>
      <c r="M26" s="41"/>
      <c r="N26" s="41"/>
      <c r="O26" s="41"/>
      <c r="P26" s="42"/>
      <c r="Q26" s="43"/>
    </row>
    <row r="27" spans="1:17" s="27" customFormat="1" ht="13.5" thickBot="1">
      <c r="A27" s="53"/>
      <c r="B27" s="21"/>
      <c r="C27" s="21" t="s">
        <v>32</v>
      </c>
      <c r="D27" s="54"/>
      <c r="E27" s="54"/>
      <c r="F27" s="54"/>
      <c r="G27" s="54"/>
      <c r="H27" s="55">
        <f>SUM(H22:H26)</f>
        <v>49157.49</v>
      </c>
      <c r="I27" s="24"/>
      <c r="J27" s="25"/>
      <c r="K27" s="24"/>
      <c r="L27" s="56"/>
      <c r="M27" s="7"/>
      <c r="N27" s="7"/>
      <c r="O27" s="7"/>
      <c r="P27" s="8"/>
      <c r="Q27" s="26"/>
    </row>
    <row r="28" spans="1:17" s="27" customFormat="1" ht="5.25" customHeight="1" thickBot="1">
      <c r="A28" s="57"/>
      <c r="B28" s="58"/>
      <c r="C28" s="59"/>
      <c r="D28" s="60"/>
      <c r="E28" s="61"/>
      <c r="F28" s="61"/>
      <c r="G28" s="62"/>
      <c r="H28" s="63"/>
      <c r="I28" s="24"/>
      <c r="J28" s="25"/>
      <c r="K28" s="24"/>
      <c r="L28" s="24"/>
      <c r="M28" s="7"/>
      <c r="N28" s="7"/>
      <c r="O28" s="7"/>
      <c r="P28" s="8"/>
      <c r="Q28" s="26"/>
    </row>
    <row r="29" spans="1:17" s="27" customFormat="1" ht="13.5" thickBot="1">
      <c r="A29" s="53" t="s">
        <v>33</v>
      </c>
      <c r="B29" s="21"/>
      <c r="C29" s="21" t="s">
        <v>34</v>
      </c>
      <c r="D29" s="21"/>
      <c r="E29" s="21"/>
      <c r="F29" s="22"/>
      <c r="G29" s="21"/>
      <c r="H29" s="23"/>
      <c r="I29" s="24"/>
      <c r="J29" s="25"/>
      <c r="K29" s="24"/>
      <c r="L29" s="24"/>
      <c r="M29" s="7"/>
      <c r="N29" s="7"/>
      <c r="O29" s="7"/>
      <c r="P29" s="8"/>
      <c r="Q29" s="26"/>
    </row>
    <row r="30" spans="1:17" s="65" customFormat="1" ht="24" customHeight="1">
      <c r="A30" s="32" t="s">
        <v>35</v>
      </c>
      <c r="B30" s="64">
        <v>97647</v>
      </c>
      <c r="C30" s="34" t="s">
        <v>36</v>
      </c>
      <c r="D30" s="35" t="s">
        <v>25</v>
      </c>
      <c r="E30" s="35">
        <f t="shared" ref="E30:E42" si="0">TRUNC(I30,2)</f>
        <v>251.11</v>
      </c>
      <c r="F30" s="36">
        <f t="shared" ref="F30:F42" si="1">J30</f>
        <v>2.2799999999999998</v>
      </c>
      <c r="G30" s="35">
        <f t="shared" ref="G30:G42" si="2">TRUNC(J30*J$17,2)</f>
        <v>2.87</v>
      </c>
      <c r="H30" s="37">
        <f t="shared" ref="H30:H42" si="3">TRUNC(E30*G30,2)</f>
        <v>720.68</v>
      </c>
      <c r="I30" s="47">
        <f>187.2+51+12.91</f>
        <v>251.10999999999999</v>
      </c>
      <c r="J30" s="48">
        <v>2.2799999999999998</v>
      </c>
      <c r="K30" s="47"/>
      <c r="L30" s="47"/>
      <c r="M30" s="41"/>
      <c r="N30" s="41"/>
      <c r="O30" s="41"/>
      <c r="P30" s="42"/>
      <c r="Q30" s="41"/>
    </row>
    <row r="31" spans="1:17" s="65" customFormat="1" ht="24" customHeight="1">
      <c r="A31" s="32" t="s">
        <v>37</v>
      </c>
      <c r="B31" s="66">
        <v>97650</v>
      </c>
      <c r="C31" s="34" t="s">
        <v>38</v>
      </c>
      <c r="D31" s="46" t="s">
        <v>25</v>
      </c>
      <c r="E31" s="35">
        <f t="shared" si="0"/>
        <v>251.11</v>
      </c>
      <c r="F31" s="36">
        <f t="shared" si="1"/>
        <v>4.91</v>
      </c>
      <c r="G31" s="46">
        <f t="shared" si="2"/>
        <v>6.18</v>
      </c>
      <c r="H31" s="37">
        <f t="shared" si="3"/>
        <v>1551.85</v>
      </c>
      <c r="I31" s="47">
        <f>I30</f>
        <v>251.10999999999999</v>
      </c>
      <c r="J31" s="48">
        <v>4.91</v>
      </c>
      <c r="K31" s="47"/>
      <c r="L31" s="47"/>
      <c r="M31" s="41"/>
      <c r="N31" s="41"/>
      <c r="O31" s="41"/>
      <c r="P31" s="42"/>
      <c r="Q31" s="41"/>
    </row>
    <row r="32" spans="1:17" s="65" customFormat="1" ht="24" customHeight="1">
      <c r="A32" s="32" t="s">
        <v>39</v>
      </c>
      <c r="B32" s="66">
        <v>97640</v>
      </c>
      <c r="C32" s="34" t="s">
        <v>40</v>
      </c>
      <c r="D32" s="46" t="s">
        <v>25</v>
      </c>
      <c r="E32" s="35">
        <f t="shared" si="0"/>
        <v>201.97</v>
      </c>
      <c r="F32" s="36">
        <f t="shared" si="1"/>
        <v>1.03</v>
      </c>
      <c r="G32" s="46">
        <f t="shared" si="2"/>
        <v>1.29</v>
      </c>
      <c r="H32" s="37">
        <f t="shared" si="3"/>
        <v>260.54000000000002</v>
      </c>
      <c r="I32" s="47">
        <f>5.85*6+12.05+1.82+1.62+16.6+15.79+6.71+5.07+3.66+3.66+14.53+55.8+19.98+9.58</f>
        <v>201.96999999999997</v>
      </c>
      <c r="J32" s="48">
        <v>1.03</v>
      </c>
      <c r="K32" s="47"/>
      <c r="L32" s="47"/>
      <c r="M32" s="41"/>
      <c r="N32" s="41"/>
      <c r="O32" s="41"/>
      <c r="P32" s="42"/>
      <c r="Q32" s="41"/>
    </row>
    <row r="33" spans="1:18" s="65" customFormat="1" ht="23.25">
      <c r="A33" s="32" t="s">
        <v>41</v>
      </c>
      <c r="B33" s="66">
        <v>97633</v>
      </c>
      <c r="C33" s="34" t="s">
        <v>42</v>
      </c>
      <c r="D33" s="67" t="s">
        <v>25</v>
      </c>
      <c r="E33" s="35">
        <f t="shared" si="0"/>
        <v>76.41</v>
      </c>
      <c r="F33" s="36">
        <f t="shared" si="1"/>
        <v>14.57</v>
      </c>
      <c r="G33" s="46">
        <f t="shared" si="2"/>
        <v>18.350000000000001</v>
      </c>
      <c r="H33" s="37">
        <f t="shared" si="3"/>
        <v>1402.12</v>
      </c>
      <c r="I33" s="47">
        <f>(10.5+8.9+8.9)*2.7</f>
        <v>76.41</v>
      </c>
      <c r="J33" s="48">
        <v>14.57</v>
      </c>
      <c r="K33" s="47"/>
      <c r="L33" s="68" t="s">
        <v>43</v>
      </c>
      <c r="M33" s="41"/>
      <c r="N33" s="41"/>
      <c r="O33" s="41"/>
      <c r="P33" s="42"/>
      <c r="Q33" s="41"/>
    </row>
    <row r="34" spans="1:18" s="65" customFormat="1" ht="12.75">
      <c r="A34" s="32" t="s">
        <v>44</v>
      </c>
      <c r="B34" s="66">
        <v>97645</v>
      </c>
      <c r="C34" s="34" t="s">
        <v>45</v>
      </c>
      <c r="D34" s="67" t="s">
        <v>25</v>
      </c>
      <c r="E34" s="35">
        <f t="shared" si="0"/>
        <v>9.6</v>
      </c>
      <c r="F34" s="36">
        <f t="shared" si="1"/>
        <v>22.68</v>
      </c>
      <c r="G34" s="46">
        <f t="shared" si="2"/>
        <v>28.57</v>
      </c>
      <c r="H34" s="37">
        <f t="shared" si="3"/>
        <v>274.27</v>
      </c>
      <c r="I34" s="47">
        <f>(4*2*1.2+2.8*1.2+1.2*1.2*3+3*0.8*0.8)*50%</f>
        <v>9.6000000000000014</v>
      </c>
      <c r="J34" s="48">
        <v>22.68</v>
      </c>
      <c r="K34" s="47"/>
      <c r="L34" s="47"/>
      <c r="M34" s="41"/>
      <c r="N34" s="41"/>
      <c r="O34" s="41"/>
      <c r="P34" s="42"/>
      <c r="Q34" s="41"/>
    </row>
    <row r="35" spans="1:18" s="65" customFormat="1" ht="12.75">
      <c r="A35" s="32" t="s">
        <v>46</v>
      </c>
      <c r="B35" s="69">
        <v>97644</v>
      </c>
      <c r="C35" s="70" t="s">
        <v>47</v>
      </c>
      <c r="D35" s="46" t="s">
        <v>25</v>
      </c>
      <c r="E35" s="35">
        <f t="shared" si="0"/>
        <v>9.66</v>
      </c>
      <c r="F35" s="36">
        <f t="shared" si="1"/>
        <v>5.93</v>
      </c>
      <c r="G35" s="46">
        <f t="shared" si="2"/>
        <v>7.47</v>
      </c>
      <c r="H35" s="37">
        <f t="shared" si="3"/>
        <v>72.16</v>
      </c>
      <c r="I35" s="47">
        <f>4*0.8*2.1+2*0.7*2.1</f>
        <v>9.66</v>
      </c>
      <c r="J35" s="48">
        <v>5.93</v>
      </c>
      <c r="K35" s="47"/>
      <c r="L35" s="47"/>
      <c r="M35" s="41"/>
      <c r="N35" s="41"/>
      <c r="O35" s="41"/>
      <c r="P35" s="42"/>
      <c r="Q35" s="41"/>
    </row>
    <row r="36" spans="1:18" s="65" customFormat="1" ht="22.5">
      <c r="A36" s="32" t="s">
        <v>48</v>
      </c>
      <c r="B36" s="33">
        <v>97631</v>
      </c>
      <c r="C36" s="71" t="s">
        <v>49</v>
      </c>
      <c r="D36" s="72" t="s">
        <v>25</v>
      </c>
      <c r="E36" s="35">
        <f t="shared" si="0"/>
        <v>273.23</v>
      </c>
      <c r="F36" s="36">
        <f t="shared" si="1"/>
        <v>2.13</v>
      </c>
      <c r="G36" s="46">
        <f t="shared" si="2"/>
        <v>2.68</v>
      </c>
      <c r="H36" s="37">
        <f t="shared" si="3"/>
        <v>732.25</v>
      </c>
      <c r="I36" s="47">
        <f>(16.3+15.9+10.5+8.9+8.9+16.16+31.7+17.99+18.9+64.93)*1.3</f>
        <v>273.23400000000004</v>
      </c>
      <c r="J36" s="48">
        <v>2.13</v>
      </c>
      <c r="K36" s="47"/>
      <c r="L36" s="47"/>
      <c r="M36" s="41"/>
      <c r="N36" s="41"/>
      <c r="O36" s="41"/>
      <c r="P36" s="42"/>
      <c r="Q36" s="41"/>
    </row>
    <row r="37" spans="1:18" s="65" customFormat="1" ht="12.75">
      <c r="A37" s="32" t="s">
        <v>50</v>
      </c>
      <c r="B37" s="64">
        <v>97666</v>
      </c>
      <c r="C37" s="73" t="s">
        <v>51</v>
      </c>
      <c r="D37" s="46" t="s">
        <v>31</v>
      </c>
      <c r="E37" s="35">
        <f t="shared" si="0"/>
        <v>6</v>
      </c>
      <c r="F37" s="36">
        <f t="shared" si="1"/>
        <v>5.78</v>
      </c>
      <c r="G37" s="46">
        <f t="shared" si="2"/>
        <v>7.28</v>
      </c>
      <c r="H37" s="37">
        <f t="shared" si="3"/>
        <v>43.68</v>
      </c>
      <c r="I37" s="47">
        <v>6</v>
      </c>
      <c r="J37" s="48">
        <v>5.78</v>
      </c>
      <c r="K37" s="47"/>
      <c r="L37" s="47"/>
      <c r="M37" s="41"/>
      <c r="N37" s="41"/>
      <c r="O37" s="41"/>
      <c r="P37" s="42"/>
      <c r="Q37" s="41"/>
    </row>
    <row r="38" spans="1:18" s="17" customFormat="1" ht="23.25" customHeight="1">
      <c r="A38" s="32" t="s">
        <v>52</v>
      </c>
      <c r="B38" s="74">
        <v>97622</v>
      </c>
      <c r="C38" s="75" t="s">
        <v>53</v>
      </c>
      <c r="D38" s="72" t="s">
        <v>54</v>
      </c>
      <c r="E38" s="35">
        <f t="shared" si="0"/>
        <v>7.53</v>
      </c>
      <c r="F38" s="36">
        <f t="shared" si="1"/>
        <v>36.56</v>
      </c>
      <c r="G38" s="46">
        <f t="shared" si="2"/>
        <v>46.06</v>
      </c>
      <c r="H38" s="37">
        <f t="shared" si="3"/>
        <v>346.83</v>
      </c>
      <c r="I38" s="47">
        <f>((2.81+4.05)*2.7+0.9*2.1+21.3*1.4)*0.15</f>
        <v>7.5347999999999997</v>
      </c>
      <c r="J38" s="48">
        <v>36.56</v>
      </c>
      <c r="K38" s="47"/>
      <c r="L38" s="47"/>
      <c r="M38" s="47">
        <f>11.7/2</f>
        <v>5.85</v>
      </c>
      <c r="N38" s="41"/>
      <c r="O38" s="41"/>
      <c r="P38" s="42"/>
      <c r="Q38" s="76"/>
      <c r="R38" s="76"/>
    </row>
    <row r="39" spans="1:18" s="17" customFormat="1" ht="12.75" customHeight="1">
      <c r="A39" s="32" t="s">
        <v>55</v>
      </c>
      <c r="B39" s="77">
        <v>97663</v>
      </c>
      <c r="C39" s="75" t="s">
        <v>56</v>
      </c>
      <c r="D39" s="72" t="s">
        <v>31</v>
      </c>
      <c r="E39" s="35">
        <f t="shared" si="0"/>
        <v>1</v>
      </c>
      <c r="F39" s="36">
        <f t="shared" si="1"/>
        <v>7.92</v>
      </c>
      <c r="G39" s="46">
        <f t="shared" si="2"/>
        <v>9.9700000000000006</v>
      </c>
      <c r="H39" s="37">
        <f t="shared" si="3"/>
        <v>9.9700000000000006</v>
      </c>
      <c r="I39" s="47">
        <v>1</v>
      </c>
      <c r="J39" s="48">
        <v>7.92</v>
      </c>
      <c r="K39" s="47"/>
      <c r="L39" s="47"/>
      <c r="M39" s="41"/>
      <c r="N39" s="41"/>
      <c r="O39" s="41"/>
      <c r="P39" s="42"/>
      <c r="Q39" s="76"/>
      <c r="R39" s="76"/>
    </row>
    <row r="40" spans="1:18" s="17" customFormat="1" ht="12.75" customHeight="1">
      <c r="A40" s="32" t="s">
        <v>57</v>
      </c>
      <c r="B40" s="33">
        <v>97663</v>
      </c>
      <c r="C40" s="78" t="s">
        <v>58</v>
      </c>
      <c r="D40" s="46" t="s">
        <v>31</v>
      </c>
      <c r="E40" s="35">
        <f t="shared" si="0"/>
        <v>4</v>
      </c>
      <c r="F40" s="36">
        <f t="shared" si="1"/>
        <v>7.92</v>
      </c>
      <c r="G40" s="46">
        <f t="shared" si="2"/>
        <v>9.9700000000000006</v>
      </c>
      <c r="H40" s="37">
        <f t="shared" si="3"/>
        <v>39.880000000000003</v>
      </c>
      <c r="I40" s="47">
        <v>4</v>
      </c>
      <c r="J40" s="48">
        <v>7.92</v>
      </c>
      <c r="K40" s="47"/>
      <c r="L40" s="47"/>
      <c r="M40" s="41"/>
      <c r="N40" s="41"/>
      <c r="O40" s="41"/>
      <c r="P40" s="42"/>
      <c r="Q40" s="76"/>
      <c r="R40" s="76"/>
    </row>
    <row r="41" spans="1:18" s="17" customFormat="1" ht="12.75" customHeight="1">
      <c r="A41" s="32" t="s">
        <v>59</v>
      </c>
      <c r="B41" s="33">
        <v>97663</v>
      </c>
      <c r="C41" s="79" t="s">
        <v>60</v>
      </c>
      <c r="D41" s="50" t="s">
        <v>31</v>
      </c>
      <c r="E41" s="51">
        <f t="shared" si="0"/>
        <v>4</v>
      </c>
      <c r="F41" s="36">
        <f t="shared" si="1"/>
        <v>7.92</v>
      </c>
      <c r="G41" s="50">
        <f t="shared" si="2"/>
        <v>9.9700000000000006</v>
      </c>
      <c r="H41" s="52">
        <f t="shared" si="3"/>
        <v>39.880000000000003</v>
      </c>
      <c r="I41" s="47">
        <v>4</v>
      </c>
      <c r="J41" s="48">
        <v>7.92</v>
      </c>
      <c r="K41" s="47"/>
      <c r="L41" s="47"/>
      <c r="M41" s="41"/>
      <c r="N41" s="41"/>
      <c r="O41" s="41"/>
      <c r="P41" s="42"/>
      <c r="Q41" s="76"/>
      <c r="R41" s="76"/>
    </row>
    <row r="42" spans="1:18" s="17" customFormat="1" ht="12.75" customHeight="1" thickBot="1">
      <c r="A42" s="32" t="s">
        <v>61</v>
      </c>
      <c r="B42" s="80" t="s">
        <v>23</v>
      </c>
      <c r="C42" s="75" t="s">
        <v>62</v>
      </c>
      <c r="D42" s="46" t="s">
        <v>54</v>
      </c>
      <c r="E42" s="46">
        <f t="shared" si="0"/>
        <v>14.48</v>
      </c>
      <c r="F42" s="36">
        <f t="shared" si="1"/>
        <v>207.75</v>
      </c>
      <c r="G42" s="46">
        <f t="shared" si="2"/>
        <v>261.76</v>
      </c>
      <c r="H42" s="81">
        <f t="shared" si="3"/>
        <v>3790.28</v>
      </c>
      <c r="I42" s="47">
        <f>(54.15+187.2)*0.06</f>
        <v>14.481</v>
      </c>
      <c r="J42" s="48">
        <v>207.75</v>
      </c>
      <c r="K42" s="47"/>
      <c r="L42" s="47" t="s">
        <v>63</v>
      </c>
      <c r="M42" s="41"/>
      <c r="N42" s="41"/>
      <c r="O42" s="41"/>
      <c r="P42" s="42"/>
      <c r="Q42" s="76"/>
      <c r="R42" s="76"/>
    </row>
    <row r="43" spans="1:18" s="87" customFormat="1" thickBot="1">
      <c r="A43" s="53"/>
      <c r="B43" s="54"/>
      <c r="C43" s="21" t="s">
        <v>32</v>
      </c>
      <c r="D43" s="54"/>
      <c r="E43" s="54"/>
      <c r="F43" s="54"/>
      <c r="G43" s="54"/>
      <c r="H43" s="55">
        <f>SUM(H30:H42)</f>
        <v>9284.39</v>
      </c>
      <c r="I43" s="82"/>
      <c r="J43" s="83"/>
      <c r="K43" s="82"/>
      <c r="L43" s="82"/>
      <c r="M43" s="84"/>
      <c r="N43" s="84"/>
      <c r="O43" s="84"/>
      <c r="P43" s="85"/>
      <c r="Q43" s="86"/>
      <c r="R43" s="84"/>
    </row>
    <row r="44" spans="1:18" s="27" customFormat="1" ht="5.25" customHeight="1" thickBot="1">
      <c r="A44" s="57"/>
      <c r="B44" s="88"/>
      <c r="C44" s="59"/>
      <c r="D44" s="60"/>
      <c r="E44" s="61"/>
      <c r="F44" s="61"/>
      <c r="G44" s="62"/>
      <c r="H44" s="89"/>
      <c r="I44" s="5"/>
      <c r="J44" s="48"/>
      <c r="K44" s="5"/>
      <c r="L44" s="5"/>
      <c r="M44" s="7"/>
      <c r="N44" s="7"/>
      <c r="O44" s="7"/>
      <c r="P44" s="8"/>
      <c r="Q44" s="26"/>
      <c r="R44" s="9"/>
    </row>
    <row r="45" spans="1:18" s="27" customFormat="1" thickBot="1">
      <c r="A45" s="53" t="s">
        <v>64</v>
      </c>
      <c r="B45" s="54"/>
      <c r="C45" s="21" t="s">
        <v>65</v>
      </c>
      <c r="D45" s="21"/>
      <c r="E45" s="21"/>
      <c r="F45" s="22"/>
      <c r="G45" s="21"/>
      <c r="H45" s="23"/>
      <c r="I45" s="5"/>
      <c r="J45" s="48"/>
      <c r="K45" s="5"/>
      <c r="L45" s="5"/>
      <c r="M45" s="7"/>
      <c r="N45" s="7"/>
      <c r="O45" s="7"/>
      <c r="P45" s="8"/>
      <c r="Q45" s="26"/>
      <c r="R45" s="9"/>
    </row>
    <row r="46" spans="1:18" s="44" customFormat="1">
      <c r="A46" s="32" t="s">
        <v>66</v>
      </c>
      <c r="B46" s="64">
        <v>93358</v>
      </c>
      <c r="C46" s="90" t="s">
        <v>67</v>
      </c>
      <c r="D46" s="35" t="s">
        <v>54</v>
      </c>
      <c r="E46" s="35">
        <f>TRUNC(I46,2)</f>
        <v>6.05</v>
      </c>
      <c r="F46" s="91">
        <f>J46</f>
        <v>55.46</v>
      </c>
      <c r="G46" s="35">
        <f>TRUNC(J46*J$17,2)</f>
        <v>69.87</v>
      </c>
      <c r="H46" s="37">
        <f>TRUNC(E46*G46,2)</f>
        <v>422.71</v>
      </c>
      <c r="I46" s="47">
        <f>8*0.8*0.8*0.8+(2+2+2+3.15+4.05+3.15)*0.4*0.3</f>
        <v>6.0580000000000007</v>
      </c>
      <c r="J46" s="48">
        <v>55.46</v>
      </c>
      <c r="K46" s="47"/>
      <c r="L46" s="47"/>
      <c r="M46" s="41"/>
      <c r="N46" s="41"/>
      <c r="O46" s="41"/>
      <c r="P46" s="42"/>
      <c r="Q46" s="43"/>
      <c r="R46" s="76"/>
    </row>
    <row r="47" spans="1:18" s="44" customFormat="1" thickBot="1">
      <c r="A47" s="92" t="s">
        <v>68</v>
      </c>
      <c r="B47" s="93">
        <v>96995</v>
      </c>
      <c r="C47" s="79" t="s">
        <v>69</v>
      </c>
      <c r="D47" s="50" t="s">
        <v>54</v>
      </c>
      <c r="E47" s="51">
        <f>TRUNC(I47,2)</f>
        <v>4.29</v>
      </c>
      <c r="F47" s="94">
        <f>J47</f>
        <v>33.619999999999997</v>
      </c>
      <c r="G47" s="50">
        <f>TRUNC(J47*J$17,2)</f>
        <v>42.36</v>
      </c>
      <c r="H47" s="52">
        <f>TRUNC(E47*G47,2)</f>
        <v>181.72</v>
      </c>
      <c r="I47" s="47">
        <f>I46-I52</f>
        <v>4.2982500000000003</v>
      </c>
      <c r="J47" s="48">
        <v>33.619999999999997</v>
      </c>
      <c r="K47" s="47"/>
      <c r="L47" s="47"/>
      <c r="M47" s="41"/>
      <c r="N47" s="41"/>
      <c r="O47" s="41"/>
      <c r="P47" s="42"/>
      <c r="Q47" s="43"/>
      <c r="R47" s="76"/>
    </row>
    <row r="48" spans="1:18" s="27" customFormat="1" thickBot="1">
      <c r="A48" s="53"/>
      <c r="B48" s="54"/>
      <c r="C48" s="21" t="s">
        <v>32</v>
      </c>
      <c r="D48" s="54"/>
      <c r="E48" s="54"/>
      <c r="F48" s="54"/>
      <c r="G48" s="54"/>
      <c r="H48" s="55">
        <f>SUM(H46:H47)</f>
        <v>604.42999999999995</v>
      </c>
      <c r="I48" s="82"/>
      <c r="J48" s="83"/>
      <c r="K48" s="82"/>
      <c r="L48" s="82"/>
      <c r="M48" s="7">
        <f>11.77+4.15</f>
        <v>15.92</v>
      </c>
      <c r="N48" s="7"/>
      <c r="O48" s="7"/>
      <c r="P48" s="8"/>
      <c r="Q48" s="26"/>
      <c r="R48" s="9"/>
    </row>
    <row r="49" spans="1:18" s="27" customFormat="1" ht="6" customHeight="1" thickBot="1">
      <c r="A49" s="95"/>
      <c r="B49" s="96"/>
      <c r="C49" s="97"/>
      <c r="D49" s="98"/>
      <c r="E49" s="61"/>
      <c r="F49" s="61"/>
      <c r="G49" s="62"/>
      <c r="H49" s="99"/>
      <c r="I49" s="5"/>
      <c r="J49" s="48"/>
      <c r="K49" s="5"/>
      <c r="L49" s="5"/>
      <c r="M49" s="7"/>
      <c r="N49" s="7"/>
      <c r="O49" s="7"/>
      <c r="P49" s="8"/>
      <c r="Q49" s="26"/>
      <c r="R49" s="9"/>
    </row>
    <row r="50" spans="1:18" s="27" customFormat="1" thickBot="1">
      <c r="A50" s="53" t="s">
        <v>70</v>
      </c>
      <c r="B50" s="54"/>
      <c r="C50" s="21" t="s">
        <v>71</v>
      </c>
      <c r="D50" s="21"/>
      <c r="E50" s="21"/>
      <c r="F50" s="22"/>
      <c r="G50" s="21"/>
      <c r="H50" s="23"/>
      <c r="I50" s="5"/>
      <c r="J50" s="48"/>
      <c r="K50" s="5"/>
      <c r="L50" s="5"/>
      <c r="M50" s="7"/>
      <c r="N50" s="7"/>
      <c r="O50" s="7"/>
      <c r="P50" s="8"/>
      <c r="Q50" s="26"/>
      <c r="R50" s="9"/>
    </row>
    <row r="51" spans="1:18" s="44" customFormat="1" ht="26.25" customHeight="1">
      <c r="A51" s="100" t="s">
        <v>72</v>
      </c>
      <c r="B51" s="64">
        <v>94962</v>
      </c>
      <c r="C51" s="78" t="s">
        <v>73</v>
      </c>
      <c r="D51" s="35" t="s">
        <v>54</v>
      </c>
      <c r="E51" s="35">
        <f t="shared" ref="E51:E57" si="4">TRUNC(I51,2)</f>
        <v>0.57999999999999996</v>
      </c>
      <c r="F51" s="91">
        <f t="shared" ref="F51:F57" si="5">J51</f>
        <v>296.5</v>
      </c>
      <c r="G51" s="35">
        <f t="shared" ref="G51:G57" si="6">TRUNC(J51*J$17,2)</f>
        <v>373.59</v>
      </c>
      <c r="H51" s="37">
        <f t="shared" ref="H51:H57" si="7">TRUNC(E51*G51,2)</f>
        <v>216.68</v>
      </c>
      <c r="I51" s="47">
        <f>(8*0.8*0.8+(2+2+2+3.15+4.05+3.15)*0.4)*0.05</f>
        <v>0.58300000000000007</v>
      </c>
      <c r="J51" s="48">
        <v>296.5</v>
      </c>
      <c r="K51" s="47"/>
      <c r="L51" s="47"/>
      <c r="M51" s="41"/>
      <c r="N51" s="41"/>
      <c r="O51" s="41"/>
      <c r="P51" s="42"/>
      <c r="Q51" s="43"/>
      <c r="R51" s="76"/>
    </row>
    <row r="52" spans="1:18" s="44" customFormat="1" ht="27" customHeight="1">
      <c r="A52" s="100" t="s">
        <v>74</v>
      </c>
      <c r="B52" s="33">
        <v>94971</v>
      </c>
      <c r="C52" s="75" t="s">
        <v>75</v>
      </c>
      <c r="D52" s="46" t="s">
        <v>54</v>
      </c>
      <c r="E52" s="35">
        <f t="shared" si="4"/>
        <v>1.75</v>
      </c>
      <c r="F52" s="36">
        <f t="shared" si="5"/>
        <v>382.79</v>
      </c>
      <c r="G52" s="46">
        <f t="shared" si="6"/>
        <v>482.31</v>
      </c>
      <c r="H52" s="37">
        <f t="shared" si="7"/>
        <v>844.04</v>
      </c>
      <c r="I52" s="47">
        <f>8*0.8*0.8*0.2+(2+2+2+3.15+4.05+3.15)*0.15*0.3</f>
        <v>1.7597500000000001</v>
      </c>
      <c r="J52" s="101">
        <v>382.79</v>
      </c>
      <c r="K52" s="47">
        <f>(0.8*0.8*6*0.2+(23.98+6)*0.4)*0.05</f>
        <v>0.63800000000000012</v>
      </c>
      <c r="L52" s="47">
        <f>0.8*0.8*6*0.2+(23.98+6)*0.15*0.3+6*0.15*0.3*0.6</f>
        <v>2.2791000000000001</v>
      </c>
      <c r="M52" s="41"/>
      <c r="N52" s="41"/>
      <c r="O52" s="41"/>
      <c r="P52" s="42"/>
      <c r="Q52" s="43"/>
      <c r="R52" s="76"/>
    </row>
    <row r="53" spans="1:18" s="44" customFormat="1">
      <c r="A53" s="100" t="s">
        <v>76</v>
      </c>
      <c r="B53" s="33">
        <v>92873</v>
      </c>
      <c r="C53" s="75" t="s">
        <v>77</v>
      </c>
      <c r="D53" s="46" t="s">
        <v>54</v>
      </c>
      <c r="E53" s="35">
        <f t="shared" si="4"/>
        <v>1.75</v>
      </c>
      <c r="F53" s="36">
        <f t="shared" si="5"/>
        <v>144.18</v>
      </c>
      <c r="G53" s="46">
        <f t="shared" si="6"/>
        <v>181.66</v>
      </c>
      <c r="H53" s="37">
        <f t="shared" si="7"/>
        <v>317.89999999999998</v>
      </c>
      <c r="I53" s="47">
        <f>I52</f>
        <v>1.7597500000000001</v>
      </c>
      <c r="J53" s="101">
        <v>144.18</v>
      </c>
      <c r="K53" s="102"/>
      <c r="L53" s="102"/>
      <c r="M53" s="41"/>
      <c r="N53" s="41"/>
      <c r="O53" s="41"/>
      <c r="P53" s="42"/>
      <c r="Q53" s="43"/>
      <c r="R53" s="76"/>
    </row>
    <row r="54" spans="1:18" s="44" customFormat="1" ht="26.25" customHeight="1">
      <c r="A54" s="100" t="s">
        <v>78</v>
      </c>
      <c r="B54" s="33">
        <v>96536</v>
      </c>
      <c r="C54" s="75" t="s">
        <v>79</v>
      </c>
      <c r="D54" s="46" t="s">
        <v>25</v>
      </c>
      <c r="E54" s="35">
        <f t="shared" si="4"/>
        <v>21.7</v>
      </c>
      <c r="F54" s="36">
        <f t="shared" si="5"/>
        <v>50.86</v>
      </c>
      <c r="G54" s="46">
        <f t="shared" si="6"/>
        <v>64.08</v>
      </c>
      <c r="H54" s="37">
        <f t="shared" si="7"/>
        <v>1390.53</v>
      </c>
      <c r="I54" s="47">
        <f>8*3.2*0.2+8*0.9*0.6+(2+2+2+3.15+4.05+3.15)*0.75</f>
        <v>21.702500000000001</v>
      </c>
      <c r="J54" s="101">
        <v>50.86</v>
      </c>
      <c r="K54" s="47">
        <f>3.2*6*0.2+(23.98+6)*0.75+6*0.9*0.6*6</f>
        <v>45.765000000000001</v>
      </c>
      <c r="L54" s="102"/>
      <c r="M54" s="41"/>
      <c r="N54" s="41"/>
      <c r="O54" s="41"/>
      <c r="P54" s="42"/>
      <c r="Q54" s="43"/>
      <c r="R54" s="76"/>
    </row>
    <row r="55" spans="1:18" s="108" customFormat="1" ht="35.25" customHeight="1">
      <c r="A55" s="100" t="s">
        <v>80</v>
      </c>
      <c r="B55" s="103">
        <v>92919</v>
      </c>
      <c r="C55" s="75" t="s">
        <v>81</v>
      </c>
      <c r="D55" s="46" t="s">
        <v>82</v>
      </c>
      <c r="E55" s="35">
        <f t="shared" si="4"/>
        <v>98.54</v>
      </c>
      <c r="F55" s="36">
        <f t="shared" si="5"/>
        <v>17.489999999999998</v>
      </c>
      <c r="G55" s="46">
        <f t="shared" si="6"/>
        <v>22.03</v>
      </c>
      <c r="H55" s="37">
        <f t="shared" si="7"/>
        <v>2170.83</v>
      </c>
      <c r="I55" s="6">
        <f>I52*80*0.7</f>
        <v>98.545999999999992</v>
      </c>
      <c r="J55" s="48">
        <v>17.489999999999998</v>
      </c>
      <c r="K55" s="6"/>
      <c r="L55" s="6"/>
      <c r="M55" s="104"/>
      <c r="N55" s="104"/>
      <c r="O55" s="104"/>
      <c r="P55" s="105"/>
      <c r="Q55" s="106"/>
      <c r="R55" s="107"/>
    </row>
    <row r="56" spans="1:18" s="44" customFormat="1" ht="36" customHeight="1">
      <c r="A56" s="100" t="s">
        <v>83</v>
      </c>
      <c r="B56" s="109">
        <v>92916</v>
      </c>
      <c r="C56" s="75" t="s">
        <v>84</v>
      </c>
      <c r="D56" s="46" t="s">
        <v>82</v>
      </c>
      <c r="E56" s="35">
        <f t="shared" si="4"/>
        <v>42.23</v>
      </c>
      <c r="F56" s="36">
        <f t="shared" si="5"/>
        <v>19.579999999999998</v>
      </c>
      <c r="G56" s="46">
        <f t="shared" si="6"/>
        <v>24.67</v>
      </c>
      <c r="H56" s="37">
        <f t="shared" si="7"/>
        <v>1041.81</v>
      </c>
      <c r="I56" s="47">
        <f>I52*80*0.3</f>
        <v>42.234000000000002</v>
      </c>
      <c r="J56" s="48">
        <v>19.579999999999998</v>
      </c>
      <c r="K56" s="47"/>
      <c r="L56" s="47"/>
      <c r="M56" s="41"/>
      <c r="N56" s="41"/>
      <c r="O56" s="41"/>
      <c r="P56" s="42"/>
      <c r="Q56" s="43"/>
      <c r="R56" s="76"/>
    </row>
    <row r="57" spans="1:18" s="44" customFormat="1" ht="27" customHeight="1" thickBot="1">
      <c r="A57" s="110" t="s">
        <v>85</v>
      </c>
      <c r="B57" s="93">
        <v>101165</v>
      </c>
      <c r="C57" s="79" t="s">
        <v>86</v>
      </c>
      <c r="D57" s="50" t="s">
        <v>54</v>
      </c>
      <c r="E57" s="51">
        <f t="shared" si="4"/>
        <v>0.65</v>
      </c>
      <c r="F57" s="94">
        <f t="shared" si="5"/>
        <v>671.12</v>
      </c>
      <c r="G57" s="50">
        <f t="shared" si="6"/>
        <v>845.61</v>
      </c>
      <c r="H57" s="52">
        <f t="shared" si="7"/>
        <v>549.64</v>
      </c>
      <c r="I57" s="47">
        <f>(2+2+2+3.15+4.05+3.15)*0.2*0.2</f>
        <v>0.65399999999999991</v>
      </c>
      <c r="J57" s="48">
        <v>671.12</v>
      </c>
      <c r="K57" s="47"/>
      <c r="L57" s="47"/>
      <c r="M57" s="41"/>
      <c r="N57" s="41"/>
      <c r="O57" s="41"/>
      <c r="P57" s="42"/>
      <c r="Q57" s="43"/>
      <c r="R57" s="76"/>
    </row>
    <row r="58" spans="1:18" s="87" customFormat="1" thickBot="1">
      <c r="A58" s="53"/>
      <c r="B58" s="54"/>
      <c r="C58" s="21" t="s">
        <v>32</v>
      </c>
      <c r="D58" s="54"/>
      <c r="E58" s="54"/>
      <c r="F58" s="54"/>
      <c r="G58" s="54"/>
      <c r="H58" s="55">
        <f>SUM(H51:H57)</f>
        <v>6531.4299999999994</v>
      </c>
      <c r="I58" s="82"/>
      <c r="J58" s="83"/>
      <c r="K58" s="82"/>
      <c r="L58" s="82"/>
      <c r="M58" s="84"/>
      <c r="N58" s="84"/>
      <c r="O58" s="84"/>
      <c r="P58" s="85"/>
      <c r="Q58" s="86"/>
      <c r="R58" s="86"/>
    </row>
    <row r="59" spans="1:18" s="27" customFormat="1" ht="5.25" customHeight="1" thickBot="1">
      <c r="A59" s="95"/>
      <c r="B59" s="96"/>
      <c r="C59" s="97"/>
      <c r="D59" s="98"/>
      <c r="E59" s="61"/>
      <c r="F59" s="61"/>
      <c r="G59" s="62"/>
      <c r="H59" s="99"/>
      <c r="I59" s="5"/>
      <c r="J59" s="48"/>
      <c r="K59" s="5"/>
      <c r="L59" s="5"/>
      <c r="M59" s="7"/>
      <c r="N59" s="7"/>
      <c r="O59" s="7"/>
      <c r="P59" s="8"/>
      <c r="Q59" s="26"/>
      <c r="R59" s="9"/>
    </row>
    <row r="60" spans="1:18" s="27" customFormat="1" thickBot="1">
      <c r="A60" s="53" t="s">
        <v>87</v>
      </c>
      <c r="B60" s="54"/>
      <c r="C60" s="21" t="s">
        <v>88</v>
      </c>
      <c r="D60" s="21"/>
      <c r="E60" s="21"/>
      <c r="F60" s="22"/>
      <c r="G60" s="21"/>
      <c r="H60" s="23"/>
      <c r="I60" s="5"/>
      <c r="J60" s="48"/>
      <c r="K60" s="5"/>
      <c r="L60" s="5"/>
      <c r="M60" s="7"/>
      <c r="N60" s="7"/>
      <c r="O60" s="7"/>
      <c r="P60" s="8"/>
      <c r="Q60" s="26"/>
      <c r="R60" s="9"/>
    </row>
    <row r="61" spans="1:18" s="44" customFormat="1" ht="25.5" customHeight="1">
      <c r="A61" s="100" t="s">
        <v>89</v>
      </c>
      <c r="B61" s="64">
        <v>94971</v>
      </c>
      <c r="C61" s="78" t="s">
        <v>75</v>
      </c>
      <c r="D61" s="35" t="s">
        <v>54</v>
      </c>
      <c r="E61" s="35">
        <f>TRUNC(I61,2)</f>
        <v>3.78</v>
      </c>
      <c r="F61" s="91">
        <f>J61</f>
        <v>382.79</v>
      </c>
      <c r="G61" s="35">
        <f>TRUNC(J61*J$17,2)</f>
        <v>482.31</v>
      </c>
      <c r="H61" s="37">
        <f>TRUNC(E61*G61,2)</f>
        <v>1823.13</v>
      </c>
      <c r="I61" s="47">
        <f>(2+2+2+3.15+4.05+3.15)*0.15*0.3+8*0.15*0.3*2.7+6.05*0.15*0.6*2+0.15*0.3*4*5.5</f>
        <v>3.7867499999999996</v>
      </c>
      <c r="J61" s="101">
        <v>382.79</v>
      </c>
      <c r="K61" s="102"/>
      <c r="L61" s="102"/>
      <c r="M61" s="41"/>
      <c r="N61" s="41"/>
      <c r="O61" s="41"/>
      <c r="P61" s="42"/>
      <c r="Q61" s="43"/>
      <c r="R61" s="76"/>
    </row>
    <row r="62" spans="1:18" s="44" customFormat="1" ht="15" customHeight="1">
      <c r="A62" s="100" t="s">
        <v>90</v>
      </c>
      <c r="B62" s="33">
        <v>92873</v>
      </c>
      <c r="C62" s="75" t="s">
        <v>77</v>
      </c>
      <c r="D62" s="46" t="s">
        <v>54</v>
      </c>
      <c r="E62" s="35">
        <f>TRUNC(I62,2)</f>
        <v>3.78</v>
      </c>
      <c r="F62" s="36">
        <f>J62</f>
        <v>144.18</v>
      </c>
      <c r="G62" s="46">
        <f>TRUNC(J62*J$17,2)</f>
        <v>181.66</v>
      </c>
      <c r="H62" s="37">
        <f>TRUNC(E62*G62,2)</f>
        <v>686.67</v>
      </c>
      <c r="I62" s="47">
        <f>I61</f>
        <v>3.7867499999999996</v>
      </c>
      <c r="J62" s="101">
        <v>144.18</v>
      </c>
      <c r="K62" s="102"/>
      <c r="L62" s="102"/>
      <c r="M62" s="41"/>
      <c r="N62" s="41"/>
      <c r="O62" s="41"/>
      <c r="P62" s="42"/>
      <c r="Q62" s="43"/>
      <c r="R62" s="76"/>
    </row>
    <row r="63" spans="1:18" s="44" customFormat="1" ht="22.5" customHeight="1">
      <c r="A63" s="100" t="s">
        <v>91</v>
      </c>
      <c r="B63" s="33">
        <v>92411</v>
      </c>
      <c r="C63" s="75" t="s">
        <v>92</v>
      </c>
      <c r="D63" s="46" t="s">
        <v>25</v>
      </c>
      <c r="E63" s="35">
        <f>TRUNC(I63,2)</f>
        <v>61.23</v>
      </c>
      <c r="F63" s="36">
        <f>J63</f>
        <v>124.66</v>
      </c>
      <c r="G63" s="46">
        <f>TRUNC(J63*J$17,2)</f>
        <v>157.07</v>
      </c>
      <c r="H63" s="37">
        <f>TRUNC(E63*G63,2)</f>
        <v>9617.39</v>
      </c>
      <c r="I63" s="47">
        <f>(2+2+2+3.15+4.05+3.15)*0.75+8*0.9*2.7+6.05*1.35*2+4*0.6*5.5</f>
        <v>61.237499999999997</v>
      </c>
      <c r="J63" s="101">
        <v>124.66</v>
      </c>
      <c r="K63" s="102"/>
      <c r="L63" s="102"/>
      <c r="M63" s="41"/>
      <c r="N63" s="41"/>
      <c r="O63" s="41"/>
      <c r="P63" s="42"/>
      <c r="Q63" s="43"/>
      <c r="R63" s="76"/>
    </row>
    <row r="64" spans="1:18" s="108" customFormat="1" ht="37.5" customHeight="1">
      <c r="A64" s="100" t="s">
        <v>93</v>
      </c>
      <c r="B64" s="33">
        <v>92778</v>
      </c>
      <c r="C64" s="78" t="s">
        <v>94</v>
      </c>
      <c r="D64" s="46" t="s">
        <v>82</v>
      </c>
      <c r="E64" s="35">
        <f>TRUNC(I64,2)</f>
        <v>212.05</v>
      </c>
      <c r="F64" s="36">
        <f>J64</f>
        <v>17.91</v>
      </c>
      <c r="G64" s="46">
        <f>TRUNC(J64*J$17,2)</f>
        <v>22.56</v>
      </c>
      <c r="H64" s="37">
        <f>TRUNC(E64*G64,2)</f>
        <v>4783.84</v>
      </c>
      <c r="I64" s="6">
        <f>I61*80*0.7</f>
        <v>212.05799999999994</v>
      </c>
      <c r="J64" s="48">
        <v>17.91</v>
      </c>
      <c r="K64" s="6"/>
      <c r="L64" s="6"/>
      <c r="M64" s="104"/>
      <c r="N64" s="104"/>
      <c r="O64" s="104"/>
      <c r="P64" s="105"/>
      <c r="Q64" s="106"/>
      <c r="R64" s="107"/>
    </row>
    <row r="65" spans="1:18" s="44" customFormat="1" ht="36.75" customHeight="1" thickBot="1">
      <c r="A65" s="110" t="s">
        <v>95</v>
      </c>
      <c r="B65" s="93">
        <v>92775</v>
      </c>
      <c r="C65" s="90" t="s">
        <v>96</v>
      </c>
      <c r="D65" s="50" t="s">
        <v>82</v>
      </c>
      <c r="E65" s="51">
        <f>TRUNC(I65,2)</f>
        <v>90.88</v>
      </c>
      <c r="F65" s="94">
        <f>J65</f>
        <v>20.52</v>
      </c>
      <c r="G65" s="50">
        <f>TRUNC(J65*J$17,2)</f>
        <v>25.85</v>
      </c>
      <c r="H65" s="52">
        <f>TRUNC(E65*G65,2)</f>
        <v>2349.2399999999998</v>
      </c>
      <c r="I65" s="102">
        <f>I61*80*0.3</f>
        <v>90.881999999999977</v>
      </c>
      <c r="J65" s="48">
        <v>20.52</v>
      </c>
      <c r="K65" s="102"/>
      <c r="L65" s="102"/>
      <c r="M65" s="41"/>
      <c r="N65" s="41"/>
      <c r="O65" s="41"/>
      <c r="P65" s="42"/>
      <c r="Q65" s="43"/>
      <c r="R65" s="76"/>
    </row>
    <row r="66" spans="1:18" s="87" customFormat="1" thickBot="1">
      <c r="A66" s="53"/>
      <c r="B66" s="54"/>
      <c r="C66" s="21" t="s">
        <v>32</v>
      </c>
      <c r="D66" s="54"/>
      <c r="E66" s="54"/>
      <c r="F66" s="54"/>
      <c r="G66" s="54"/>
      <c r="H66" s="55">
        <f>SUM(H61:H65)</f>
        <v>19260.269999999997</v>
      </c>
      <c r="I66" s="82"/>
      <c r="J66" s="83"/>
      <c r="K66" s="82"/>
      <c r="L66" s="82"/>
      <c r="M66" s="84"/>
      <c r="N66" s="84"/>
      <c r="O66" s="84"/>
      <c r="P66" s="85"/>
      <c r="Q66" s="86"/>
      <c r="R66" s="86"/>
    </row>
    <row r="67" spans="1:18" s="27" customFormat="1" ht="5.25" customHeight="1" thickBot="1">
      <c r="A67" s="111"/>
      <c r="B67" s="112"/>
      <c r="C67" s="113"/>
      <c r="D67" s="114"/>
      <c r="E67" s="98"/>
      <c r="F67" s="115"/>
      <c r="G67" s="62"/>
      <c r="H67" s="99"/>
      <c r="I67" s="5"/>
      <c r="J67" s="48"/>
      <c r="K67" s="5"/>
      <c r="L67" s="5"/>
      <c r="M67" s="7"/>
      <c r="N67" s="7"/>
      <c r="O67" s="7"/>
      <c r="P67" s="8"/>
      <c r="Q67" s="26"/>
      <c r="R67" s="9"/>
    </row>
    <row r="68" spans="1:18" s="27" customFormat="1" thickBot="1">
      <c r="A68" s="53" t="s">
        <v>97</v>
      </c>
      <c r="B68" s="54"/>
      <c r="C68" s="21" t="s">
        <v>98</v>
      </c>
      <c r="D68" s="21"/>
      <c r="E68" s="21"/>
      <c r="F68" s="22"/>
      <c r="G68" s="21"/>
      <c r="H68" s="23"/>
      <c r="I68" s="5"/>
      <c r="J68" s="48"/>
      <c r="K68" s="5"/>
      <c r="L68" s="5"/>
      <c r="M68" s="7"/>
      <c r="N68" s="7"/>
      <c r="O68" s="7"/>
      <c r="P68" s="8"/>
      <c r="Q68" s="26"/>
      <c r="R68" s="9"/>
    </row>
    <row r="69" spans="1:18" s="44" customFormat="1" ht="35.25" customHeight="1">
      <c r="A69" s="100" t="s">
        <v>99</v>
      </c>
      <c r="B69" s="64" t="s">
        <v>100</v>
      </c>
      <c r="C69" s="78" t="s">
        <v>101</v>
      </c>
      <c r="D69" s="35" t="s">
        <v>25</v>
      </c>
      <c r="E69" s="35">
        <f>TRUNC(I69,2)</f>
        <v>59.82</v>
      </c>
      <c r="F69" s="91">
        <f>J69</f>
        <v>70.36</v>
      </c>
      <c r="G69" s="35">
        <f>TRUNC(J69*J$17,2)</f>
        <v>88.65</v>
      </c>
      <c r="H69" s="37">
        <f>TRUNC(E69*G69,2)</f>
        <v>5303.04</v>
      </c>
      <c r="I69" s="47">
        <f>(2+2+2+3.15+4.05+3.15)*2.7+(2+2+3.15+4.05)*1.4</f>
        <v>59.824999999999996</v>
      </c>
      <c r="J69" s="48">
        <v>70.36</v>
      </c>
      <c r="K69" s="47"/>
      <c r="L69" s="47"/>
      <c r="M69" s="116"/>
      <c r="N69" s="41"/>
      <c r="O69" s="117"/>
      <c r="P69" s="42"/>
      <c r="Q69" s="43"/>
      <c r="R69" s="76"/>
    </row>
    <row r="70" spans="1:18" s="44" customFormat="1" ht="16.5" customHeight="1">
      <c r="A70" s="118" t="s">
        <v>102</v>
      </c>
      <c r="B70" s="33">
        <v>93182</v>
      </c>
      <c r="C70" s="75" t="s">
        <v>103</v>
      </c>
      <c r="D70" s="46" t="s">
        <v>28</v>
      </c>
      <c r="E70" s="35">
        <f>TRUNC(I70,2)</f>
        <v>7.55</v>
      </c>
      <c r="F70" s="36">
        <f>J70</f>
        <v>37.130000000000003</v>
      </c>
      <c r="G70" s="46">
        <f>TRUNC(J70*J$17,2)</f>
        <v>46.78</v>
      </c>
      <c r="H70" s="37">
        <f>TRUNC(E70*G70,2)</f>
        <v>353.18</v>
      </c>
      <c r="I70" s="47">
        <f>1.1+4*0.95+2*0.85+0.95</f>
        <v>7.5500000000000007</v>
      </c>
      <c r="J70" s="48">
        <v>37.130000000000003</v>
      </c>
      <c r="K70" s="47"/>
      <c r="L70" s="47"/>
      <c r="M70" s="41"/>
      <c r="N70" s="41"/>
      <c r="O70" s="117"/>
      <c r="P70" s="42"/>
      <c r="Q70" s="43"/>
      <c r="R70" s="76"/>
    </row>
    <row r="71" spans="1:18" s="44" customFormat="1" ht="15.75" customHeight="1" thickBot="1">
      <c r="A71" s="119" t="s">
        <v>104</v>
      </c>
      <c r="B71" s="93">
        <v>93182</v>
      </c>
      <c r="C71" s="79" t="s">
        <v>105</v>
      </c>
      <c r="D71" s="50" t="s">
        <v>28</v>
      </c>
      <c r="E71" s="51">
        <f>TRUNC(I71,2)</f>
        <v>1</v>
      </c>
      <c r="F71" s="94">
        <f>J71</f>
        <v>37.130000000000003</v>
      </c>
      <c r="G71" s="50">
        <f>TRUNC(J71*J$17,2)</f>
        <v>46.78</v>
      </c>
      <c r="H71" s="52">
        <f>TRUNC(E71*G71,2)</f>
        <v>46.78</v>
      </c>
      <c r="I71" s="47">
        <f>1</f>
        <v>1</v>
      </c>
      <c r="J71" s="48">
        <v>37.130000000000003</v>
      </c>
      <c r="K71" s="47"/>
      <c r="L71" s="47"/>
      <c r="M71" s="41"/>
      <c r="N71" s="41"/>
      <c r="O71" s="117"/>
      <c r="P71" s="42"/>
      <c r="Q71" s="43"/>
      <c r="R71" s="76"/>
    </row>
    <row r="72" spans="1:18" s="87" customFormat="1" thickBot="1">
      <c r="A72" s="53"/>
      <c r="B72" s="54"/>
      <c r="C72" s="21" t="s">
        <v>32</v>
      </c>
      <c r="D72" s="54"/>
      <c r="E72" s="54"/>
      <c r="F72" s="54"/>
      <c r="G72" s="54"/>
      <c r="H72" s="55">
        <f>SUM(H69:H71)</f>
        <v>5703</v>
      </c>
      <c r="I72" s="82"/>
      <c r="J72" s="83"/>
      <c r="K72" s="82"/>
      <c r="L72" s="82"/>
      <c r="M72" s="84"/>
      <c r="N72" s="84"/>
      <c r="O72" s="84"/>
      <c r="P72" s="85"/>
      <c r="Q72" s="86"/>
      <c r="R72" s="86"/>
    </row>
    <row r="73" spans="1:18" s="27" customFormat="1" ht="6" customHeight="1" thickBot="1">
      <c r="A73" s="111"/>
      <c r="B73" s="112"/>
      <c r="C73" s="113"/>
      <c r="D73" s="114"/>
      <c r="E73" s="61"/>
      <c r="F73" s="61"/>
      <c r="G73" s="62"/>
      <c r="H73" s="99"/>
      <c r="I73" s="5"/>
      <c r="J73" s="48"/>
      <c r="K73" s="5"/>
      <c r="L73" s="5"/>
      <c r="M73" s="7"/>
      <c r="N73" s="7"/>
      <c r="O73" s="7"/>
      <c r="P73" s="8"/>
      <c r="Q73" s="26"/>
      <c r="R73" s="9"/>
    </row>
    <row r="74" spans="1:18" s="27" customFormat="1" thickBot="1">
      <c r="A74" s="53" t="s">
        <v>106</v>
      </c>
      <c r="B74" s="54"/>
      <c r="C74" s="21" t="s">
        <v>107</v>
      </c>
      <c r="D74" s="21"/>
      <c r="E74" s="21"/>
      <c r="F74" s="22"/>
      <c r="G74" s="21"/>
      <c r="H74" s="23"/>
      <c r="I74" s="5"/>
      <c r="J74" s="48"/>
      <c r="K74" s="5"/>
      <c r="L74" s="5"/>
      <c r="M74" s="7"/>
      <c r="N74" s="7"/>
      <c r="O74" s="7"/>
      <c r="P74" s="8"/>
      <c r="Q74" s="26"/>
      <c r="R74" s="9"/>
    </row>
    <row r="75" spans="1:18" s="44" customFormat="1" ht="28.5" customHeight="1">
      <c r="A75" s="100" t="s">
        <v>108</v>
      </c>
      <c r="B75" s="64">
        <v>92618</v>
      </c>
      <c r="C75" s="75" t="s">
        <v>109</v>
      </c>
      <c r="D75" s="35" t="s">
        <v>31</v>
      </c>
      <c r="E75" s="35">
        <f t="shared" ref="E75:E82" si="8">TRUNC(I75,2)</f>
        <v>7</v>
      </c>
      <c r="F75" s="36">
        <f t="shared" ref="F75:F82" si="9">J75</f>
        <v>2008.66</v>
      </c>
      <c r="G75" s="35">
        <f t="shared" ref="G75:G82" si="10">TRUNC(J75*J$17,2)</f>
        <v>2530.91</v>
      </c>
      <c r="H75" s="37">
        <f t="shared" ref="H75:H82" si="11">TRUNC(E75*G75,2)</f>
        <v>17716.37</v>
      </c>
      <c r="I75" s="47">
        <v>7</v>
      </c>
      <c r="J75" s="48">
        <v>2008.66</v>
      </c>
      <c r="K75" s="47"/>
      <c r="L75" s="47"/>
      <c r="M75" s="41"/>
      <c r="N75" s="41"/>
      <c r="O75" s="41"/>
      <c r="P75" s="42"/>
      <c r="Q75" s="43"/>
      <c r="R75" s="76"/>
    </row>
    <row r="76" spans="1:18" s="44" customFormat="1" ht="28.5" customHeight="1">
      <c r="A76" s="100" t="s">
        <v>110</v>
      </c>
      <c r="B76" s="120">
        <v>92606</v>
      </c>
      <c r="C76" s="75" t="s">
        <v>111</v>
      </c>
      <c r="D76" s="35" t="s">
        <v>31</v>
      </c>
      <c r="E76" s="35">
        <f t="shared" si="8"/>
        <v>2</v>
      </c>
      <c r="F76" s="36">
        <f t="shared" si="9"/>
        <v>949.15</v>
      </c>
      <c r="G76" s="35">
        <f t="shared" si="10"/>
        <v>1195.92</v>
      </c>
      <c r="H76" s="37">
        <f t="shared" si="11"/>
        <v>2391.84</v>
      </c>
      <c r="I76" s="47">
        <v>2</v>
      </c>
      <c r="J76" s="48">
        <v>949.15</v>
      </c>
      <c r="K76" s="47"/>
      <c r="L76" s="47"/>
      <c r="M76" s="41"/>
      <c r="N76" s="41"/>
      <c r="O76" s="41"/>
      <c r="P76" s="42"/>
      <c r="Q76" s="43"/>
      <c r="R76" s="76"/>
    </row>
    <row r="77" spans="1:18" s="44" customFormat="1" ht="23.25" customHeight="1">
      <c r="A77" s="100" t="s">
        <v>112</v>
      </c>
      <c r="B77" s="33">
        <v>92610</v>
      </c>
      <c r="C77" s="121" t="s">
        <v>113</v>
      </c>
      <c r="D77" s="35" t="s">
        <v>31</v>
      </c>
      <c r="E77" s="35">
        <f t="shared" si="8"/>
        <v>4</v>
      </c>
      <c r="F77" s="36">
        <f t="shared" si="9"/>
        <v>1300.49</v>
      </c>
      <c r="G77" s="35">
        <f t="shared" si="10"/>
        <v>1638.61</v>
      </c>
      <c r="H77" s="37">
        <f t="shared" si="11"/>
        <v>6554.44</v>
      </c>
      <c r="I77" s="47">
        <v>4</v>
      </c>
      <c r="J77" s="48">
        <v>1300.49</v>
      </c>
      <c r="K77" s="47"/>
      <c r="L77" s="47"/>
      <c r="M77" s="41"/>
      <c r="N77" s="41"/>
      <c r="O77" s="41"/>
      <c r="P77" s="42"/>
      <c r="Q77" s="43"/>
      <c r="R77" s="76"/>
    </row>
    <row r="78" spans="1:18" s="44" customFormat="1" ht="40.5" customHeight="1">
      <c r="A78" s="100" t="s">
        <v>114</v>
      </c>
      <c r="B78" s="77">
        <v>92612</v>
      </c>
      <c r="C78" s="75" t="s">
        <v>115</v>
      </c>
      <c r="D78" s="122" t="s">
        <v>31</v>
      </c>
      <c r="E78" s="35">
        <f t="shared" si="8"/>
        <v>4</v>
      </c>
      <c r="F78" s="36">
        <f t="shared" si="9"/>
        <v>1463.03</v>
      </c>
      <c r="G78" s="35">
        <f t="shared" si="10"/>
        <v>1843.41</v>
      </c>
      <c r="H78" s="37">
        <f t="shared" si="11"/>
        <v>7373.64</v>
      </c>
      <c r="I78" s="47">
        <f>4</f>
        <v>4</v>
      </c>
      <c r="J78" s="48">
        <v>1463.03</v>
      </c>
      <c r="K78" s="47"/>
      <c r="L78" s="47"/>
      <c r="M78" s="41"/>
      <c r="N78" s="41"/>
      <c r="O78" s="41"/>
      <c r="P78" s="42"/>
      <c r="Q78" s="43"/>
      <c r="R78" s="76"/>
    </row>
    <row r="79" spans="1:18" s="44" customFormat="1" ht="17.25" customHeight="1">
      <c r="A79" s="100" t="s">
        <v>116</v>
      </c>
      <c r="B79" s="33">
        <v>94213</v>
      </c>
      <c r="C79" s="123" t="s">
        <v>117</v>
      </c>
      <c r="D79" s="46" t="s">
        <v>25</v>
      </c>
      <c r="E79" s="35">
        <f t="shared" si="8"/>
        <v>315.58999999999997</v>
      </c>
      <c r="F79" s="36">
        <f t="shared" si="9"/>
        <v>86.46</v>
      </c>
      <c r="G79" s="46">
        <f t="shared" si="10"/>
        <v>108.93</v>
      </c>
      <c r="H79" s="37">
        <f t="shared" si="11"/>
        <v>34377.21</v>
      </c>
      <c r="I79" s="47">
        <f>I30+3*4.7+2*2.65+5.85*5.5+12.91</f>
        <v>315.59500000000003</v>
      </c>
      <c r="J79" s="48">
        <v>86.46</v>
      </c>
      <c r="K79" s="47"/>
      <c r="L79" s="47"/>
      <c r="M79" s="41"/>
      <c r="N79" s="41"/>
      <c r="O79" s="41"/>
      <c r="P79" s="42"/>
      <c r="Q79" s="43"/>
      <c r="R79" s="76"/>
    </row>
    <row r="80" spans="1:18" s="44" customFormat="1" ht="38.25" customHeight="1">
      <c r="A80" s="100" t="s">
        <v>118</v>
      </c>
      <c r="B80" s="124" t="s">
        <v>23</v>
      </c>
      <c r="C80" s="75" t="s">
        <v>119</v>
      </c>
      <c r="D80" s="46" t="s">
        <v>28</v>
      </c>
      <c r="E80" s="35">
        <f t="shared" si="8"/>
        <v>221.7</v>
      </c>
      <c r="F80" s="36">
        <f t="shared" si="9"/>
        <v>66.319999999999993</v>
      </c>
      <c r="G80" s="46">
        <f t="shared" si="10"/>
        <v>83.56</v>
      </c>
      <c r="H80" s="37">
        <f t="shared" si="11"/>
        <v>18525.25</v>
      </c>
      <c r="I80" s="41">
        <f>4*13.7+6*21.3+2*2+6*5.85</f>
        <v>221.70000000000002</v>
      </c>
      <c r="J80" s="48">
        <v>66.319999999999993</v>
      </c>
      <c r="K80" s="47">
        <f>4.8/1.2</f>
        <v>4</v>
      </c>
      <c r="L80" s="47">
        <f>6.4/1.2</f>
        <v>5.3333333333333339</v>
      </c>
      <c r="M80" s="41"/>
      <c r="N80" s="41"/>
      <c r="O80" s="41">
        <f>5/1.2</f>
        <v>4.166666666666667</v>
      </c>
      <c r="P80" s="42"/>
      <c r="Q80" s="43"/>
      <c r="R80" s="76"/>
    </row>
    <row r="81" spans="1:18" s="44" customFormat="1" ht="24.75" customHeight="1">
      <c r="A81" s="100" t="s">
        <v>120</v>
      </c>
      <c r="B81" s="64">
        <v>94227</v>
      </c>
      <c r="C81" s="75" t="s">
        <v>121</v>
      </c>
      <c r="D81" s="46" t="s">
        <v>28</v>
      </c>
      <c r="E81" s="35">
        <f t="shared" si="8"/>
        <v>108.74</v>
      </c>
      <c r="F81" s="36">
        <f t="shared" si="9"/>
        <v>57.54</v>
      </c>
      <c r="G81" s="46">
        <f t="shared" si="10"/>
        <v>72.5</v>
      </c>
      <c r="H81" s="37">
        <f t="shared" si="11"/>
        <v>7883.65</v>
      </c>
      <c r="I81" s="47">
        <f>2+2+4.15+3.15+4.05+(20+5+10.5)*2+16.89+5.5</f>
        <v>108.74</v>
      </c>
      <c r="J81" s="48">
        <v>57.54</v>
      </c>
      <c r="K81" s="47"/>
      <c r="L81" s="125"/>
      <c r="M81" s="41"/>
      <c r="O81" s="41"/>
      <c r="P81" s="42"/>
      <c r="Q81" s="43"/>
      <c r="R81" s="76"/>
    </row>
    <row r="82" spans="1:18" s="44" customFormat="1" ht="25.5" customHeight="1" thickBot="1">
      <c r="A82" s="110" t="s">
        <v>122</v>
      </c>
      <c r="B82" s="93">
        <v>96116</v>
      </c>
      <c r="C82" s="79" t="s">
        <v>123</v>
      </c>
      <c r="D82" s="50" t="s">
        <v>25</v>
      </c>
      <c r="E82" s="51">
        <f t="shared" si="8"/>
        <v>201.97</v>
      </c>
      <c r="F82" s="94">
        <f t="shared" si="9"/>
        <v>61.68</v>
      </c>
      <c r="G82" s="50">
        <f t="shared" si="10"/>
        <v>77.709999999999994</v>
      </c>
      <c r="H82" s="52">
        <f t="shared" si="11"/>
        <v>15695.08</v>
      </c>
      <c r="I82" s="47">
        <f>I32</f>
        <v>201.96999999999997</v>
      </c>
      <c r="J82" s="48">
        <v>61.68</v>
      </c>
      <c r="K82" s="47"/>
      <c r="L82" s="47"/>
      <c r="M82" s="41"/>
      <c r="N82" s="41"/>
      <c r="O82" s="41"/>
      <c r="P82" s="42"/>
      <c r="Q82" s="43"/>
      <c r="R82" s="76"/>
    </row>
    <row r="83" spans="1:18" s="87" customFormat="1" thickBot="1">
      <c r="A83" s="53"/>
      <c r="B83" s="54"/>
      <c r="C83" s="21" t="s">
        <v>32</v>
      </c>
      <c r="D83" s="54"/>
      <c r="E83" s="54"/>
      <c r="F83" s="54"/>
      <c r="G83" s="54"/>
      <c r="H83" s="55">
        <f>SUM(H75:H82)</f>
        <v>110517.48</v>
      </c>
      <c r="I83" s="82"/>
      <c r="J83" s="83"/>
      <c r="K83" s="82"/>
      <c r="L83" s="82"/>
      <c r="M83" s="84"/>
      <c r="N83" s="84"/>
      <c r="O83" s="84"/>
      <c r="P83" s="85"/>
      <c r="Q83" s="86"/>
      <c r="R83" s="86"/>
    </row>
    <row r="84" spans="1:18" s="27" customFormat="1" ht="6" customHeight="1" thickBot="1">
      <c r="A84" s="111"/>
      <c r="B84" s="112"/>
      <c r="C84" s="97"/>
      <c r="D84" s="114"/>
      <c r="E84" s="61"/>
      <c r="F84" s="61"/>
      <c r="G84" s="62"/>
      <c r="H84" s="99"/>
      <c r="I84" s="5"/>
      <c r="J84" s="48"/>
      <c r="K84" s="5"/>
      <c r="L84" s="5"/>
      <c r="M84" s="7"/>
      <c r="N84" s="7"/>
      <c r="O84" s="7"/>
      <c r="P84" s="8"/>
      <c r="Q84" s="26"/>
      <c r="R84" s="9"/>
    </row>
    <row r="85" spans="1:18" s="27" customFormat="1" thickBot="1">
      <c r="A85" s="126" t="s">
        <v>124</v>
      </c>
      <c r="B85" s="127"/>
      <c r="C85" s="128" t="s">
        <v>125</v>
      </c>
      <c r="D85" s="128"/>
      <c r="E85" s="128"/>
      <c r="F85" s="129"/>
      <c r="G85" s="128"/>
      <c r="H85" s="130"/>
      <c r="I85" s="5"/>
      <c r="J85" s="48"/>
      <c r="K85" s="5"/>
      <c r="L85" s="5"/>
      <c r="M85" s="7"/>
      <c r="N85" s="7"/>
      <c r="O85" s="7"/>
      <c r="P85" s="8"/>
      <c r="Q85" s="26"/>
      <c r="R85" s="9"/>
    </row>
    <row r="86" spans="1:18" s="27" customFormat="1" thickBot="1">
      <c r="A86" s="53" t="s">
        <v>126</v>
      </c>
      <c r="B86" s="54"/>
      <c r="C86" s="131" t="s">
        <v>127</v>
      </c>
      <c r="D86" s="54"/>
      <c r="E86" s="54"/>
      <c r="F86" s="54"/>
      <c r="G86" s="54"/>
      <c r="H86" s="55"/>
      <c r="I86" s="5"/>
      <c r="J86" s="48"/>
      <c r="K86" s="5"/>
      <c r="L86" s="5"/>
      <c r="M86" s="7"/>
      <c r="N86" s="7"/>
      <c r="O86" s="7"/>
      <c r="P86" s="8"/>
      <c r="Q86" s="26"/>
      <c r="R86" s="9"/>
    </row>
    <row r="87" spans="1:18" s="44" customFormat="1" ht="34.5" customHeight="1">
      <c r="A87" s="100" t="s">
        <v>128</v>
      </c>
      <c r="B87" s="64">
        <v>91016</v>
      </c>
      <c r="C87" s="78" t="s">
        <v>129</v>
      </c>
      <c r="D87" s="35" t="s">
        <v>31</v>
      </c>
      <c r="E87" s="35">
        <f>TRUNC(I87,2)</f>
        <v>2</v>
      </c>
      <c r="F87" s="91">
        <f>J87</f>
        <v>682.68</v>
      </c>
      <c r="G87" s="35">
        <f>TRUNC(J87*J$17,2)</f>
        <v>860.17</v>
      </c>
      <c r="H87" s="37">
        <f>TRUNC(E87*G87,2)</f>
        <v>1720.34</v>
      </c>
      <c r="I87" s="102">
        <v>2</v>
      </c>
      <c r="J87" s="101">
        <v>682.68</v>
      </c>
      <c r="K87" s="102"/>
      <c r="L87" s="102"/>
      <c r="M87" s="41"/>
      <c r="N87" s="41"/>
      <c r="O87" s="41" t="e">
        <f>L75:O81</f>
        <v>#VALUE!</v>
      </c>
      <c r="P87" s="42"/>
      <c r="Q87" s="43"/>
      <c r="R87" s="76"/>
    </row>
    <row r="88" spans="1:18" s="44" customFormat="1" ht="23.25" customHeight="1">
      <c r="A88" s="118" t="s">
        <v>130</v>
      </c>
      <c r="B88" s="33">
        <v>91304</v>
      </c>
      <c r="C88" s="75" t="s">
        <v>131</v>
      </c>
      <c r="D88" s="46" t="s">
        <v>31</v>
      </c>
      <c r="E88" s="132">
        <f>TRUNC(I88,2)</f>
        <v>7</v>
      </c>
      <c r="F88" s="36">
        <f>J88</f>
        <v>82.77</v>
      </c>
      <c r="G88" s="72">
        <f>TRUNC(J88*J$17,2)</f>
        <v>104.29</v>
      </c>
      <c r="H88" s="37">
        <f>TRUNC(E88*G88,2)</f>
        <v>730.03</v>
      </c>
      <c r="I88" s="102">
        <v>7</v>
      </c>
      <c r="J88" s="133">
        <v>82.77</v>
      </c>
      <c r="K88" s="102"/>
      <c r="L88" s="102"/>
      <c r="M88" s="41"/>
      <c r="N88" s="41"/>
      <c r="O88" s="41"/>
      <c r="P88" s="42"/>
      <c r="Q88" s="43"/>
      <c r="R88" s="76"/>
    </row>
    <row r="89" spans="1:18" s="44" customFormat="1" ht="36.75" customHeight="1">
      <c r="A89" s="134" t="s">
        <v>132</v>
      </c>
      <c r="B89" s="93">
        <v>91015</v>
      </c>
      <c r="C89" s="135" t="s">
        <v>133</v>
      </c>
      <c r="D89" s="51" t="s">
        <v>31</v>
      </c>
      <c r="E89" s="51">
        <f>TRUNC(I89,2)</f>
        <v>4</v>
      </c>
      <c r="F89" s="94">
        <f>J89</f>
        <v>644.22</v>
      </c>
      <c r="G89" s="51">
        <f>TRUNC(J89*J$17,2)</f>
        <v>811.71</v>
      </c>
      <c r="H89" s="52">
        <f>TRUNC(E89*G89,2)</f>
        <v>3246.84</v>
      </c>
      <c r="I89" s="102">
        <v>4</v>
      </c>
      <c r="J89" s="136">
        <v>644.22</v>
      </c>
      <c r="K89" s="102"/>
      <c r="L89" s="102"/>
      <c r="M89" s="41"/>
      <c r="N89" s="41"/>
      <c r="O89" s="41"/>
      <c r="P89" s="42"/>
      <c r="Q89" s="43"/>
      <c r="R89" s="76"/>
    </row>
    <row r="90" spans="1:18" s="44" customFormat="1" ht="36.75" customHeight="1" thickBot="1">
      <c r="A90" s="137" t="s">
        <v>134</v>
      </c>
      <c r="B90" s="93">
        <v>91014</v>
      </c>
      <c r="C90" s="121" t="s">
        <v>135</v>
      </c>
      <c r="D90" s="50" t="s">
        <v>31</v>
      </c>
      <c r="E90" s="50">
        <f>TRUNC(I90,2)</f>
        <v>2</v>
      </c>
      <c r="F90" s="94">
        <f>J90</f>
        <v>594.29999999999995</v>
      </c>
      <c r="G90" s="50">
        <f>TRUNC(J90*J$17,2)</f>
        <v>748.81</v>
      </c>
      <c r="H90" s="138">
        <f>TRUNC(E90*G90,2)</f>
        <v>1497.62</v>
      </c>
      <c r="I90" s="102">
        <v>2</v>
      </c>
      <c r="J90" s="136">
        <v>594.29999999999995</v>
      </c>
      <c r="K90" s="102"/>
      <c r="L90" s="102"/>
      <c r="M90" s="41"/>
      <c r="N90" s="41"/>
      <c r="O90" s="41"/>
      <c r="P90" s="42"/>
      <c r="Q90" s="43"/>
      <c r="R90" s="76"/>
    </row>
    <row r="91" spans="1:18" s="44" customFormat="1" thickBot="1">
      <c r="A91" s="53" t="s">
        <v>136</v>
      </c>
      <c r="B91" s="54"/>
      <c r="C91" s="131" t="s">
        <v>137</v>
      </c>
      <c r="D91" s="54"/>
      <c r="E91" s="54"/>
      <c r="F91" s="54"/>
      <c r="G91" s="54"/>
      <c r="H91" s="55"/>
      <c r="I91" s="102"/>
      <c r="J91" s="101"/>
      <c r="K91" s="102"/>
      <c r="L91" s="102"/>
      <c r="M91" s="41"/>
      <c r="N91" s="41"/>
      <c r="O91" s="41"/>
      <c r="P91" s="42"/>
      <c r="Q91" s="43"/>
      <c r="R91" s="76"/>
    </row>
    <row r="92" spans="1:18" s="44" customFormat="1" ht="21" customHeight="1">
      <c r="A92" s="134" t="s">
        <v>138</v>
      </c>
      <c r="B92" s="64">
        <v>100701</v>
      </c>
      <c r="C92" s="78" t="s">
        <v>139</v>
      </c>
      <c r="D92" s="35" t="s">
        <v>25</v>
      </c>
      <c r="E92" s="35">
        <f>TRUNC(I92,2)</f>
        <v>1.68</v>
      </c>
      <c r="F92" s="91">
        <f>J92</f>
        <v>557.41</v>
      </c>
      <c r="G92" s="35">
        <f>TRUNC(J92*J$17,2)</f>
        <v>702.33</v>
      </c>
      <c r="H92" s="37">
        <f>TRUNC(E92*G92,2)</f>
        <v>1179.9100000000001</v>
      </c>
      <c r="I92" s="102">
        <f>0.8*2.1</f>
        <v>1.6800000000000002</v>
      </c>
      <c r="J92" s="101">
        <v>557.41</v>
      </c>
      <c r="K92">
        <v>94807</v>
      </c>
      <c r="L92" s="102">
        <f>22.05-7.5-4</f>
        <v>10.55</v>
      </c>
      <c r="M92" s="41"/>
      <c r="N92" s="41"/>
      <c r="O92" s="41"/>
      <c r="P92" s="42"/>
      <c r="Q92" s="43"/>
      <c r="R92" s="76"/>
    </row>
    <row r="93" spans="1:18" s="44" customFormat="1" ht="24" customHeight="1">
      <c r="A93" s="134" t="s">
        <v>140</v>
      </c>
      <c r="B93" s="93">
        <v>99861</v>
      </c>
      <c r="C93" s="79" t="s">
        <v>141</v>
      </c>
      <c r="D93" s="51" t="s">
        <v>25</v>
      </c>
      <c r="E93" s="51">
        <f>TRUNC(I93,2)</f>
        <v>19.2</v>
      </c>
      <c r="F93" s="36">
        <f>J93</f>
        <v>524.41999999999996</v>
      </c>
      <c r="G93" s="51">
        <f>TRUNC(J93*J$17,2)</f>
        <v>660.76</v>
      </c>
      <c r="H93" s="52">
        <f>TRUNC(E93*G93,2)</f>
        <v>12686.59</v>
      </c>
      <c r="I93" s="47">
        <f>(4*2*1.2+2.8*1.2+1.2*1.2*3+3*0.8*0.8)</f>
        <v>19.200000000000003</v>
      </c>
      <c r="J93" s="101">
        <v>524.41999999999996</v>
      </c>
      <c r="K93"/>
      <c r="L93" s="102"/>
      <c r="M93" s="41"/>
      <c r="N93" s="41"/>
      <c r="O93" s="41"/>
      <c r="P93" s="42"/>
      <c r="Q93" s="43"/>
      <c r="R93" s="76"/>
    </row>
    <row r="94" spans="1:18" s="44" customFormat="1" ht="34.5" customHeight="1">
      <c r="A94" s="134" t="s">
        <v>142</v>
      </c>
      <c r="B94" s="93">
        <v>94562</v>
      </c>
      <c r="C94" s="79" t="s">
        <v>143</v>
      </c>
      <c r="D94" s="50" t="s">
        <v>25</v>
      </c>
      <c r="E94" s="46">
        <f>TRUNC(I94,2)</f>
        <v>1.44</v>
      </c>
      <c r="F94" s="36">
        <f>J94</f>
        <v>684.4</v>
      </c>
      <c r="G94" s="46">
        <f>TRUNC(J94*J$17,2)</f>
        <v>862.34</v>
      </c>
      <c r="H94" s="81">
        <f>TRUNC(E94*G94,2)</f>
        <v>1241.76</v>
      </c>
      <c r="I94" s="102">
        <f>1.2*1.2</f>
        <v>1.44</v>
      </c>
      <c r="J94" s="101">
        <v>684.4</v>
      </c>
      <c r="K94"/>
      <c r="L94" s="102"/>
      <c r="M94" s="41"/>
      <c r="N94" s="41"/>
      <c r="O94" s="41"/>
      <c r="P94" s="42"/>
      <c r="Q94" s="43"/>
      <c r="R94" s="76"/>
    </row>
    <row r="95" spans="1:18" s="44" customFormat="1" ht="36" customHeight="1">
      <c r="A95" s="134" t="s">
        <v>144</v>
      </c>
      <c r="B95" s="33">
        <v>94559</v>
      </c>
      <c r="C95" s="139" t="s">
        <v>145</v>
      </c>
      <c r="D95" s="46" t="s">
        <v>25</v>
      </c>
      <c r="E95" s="46">
        <f>TRUNC(I95,2)</f>
        <v>0.64</v>
      </c>
      <c r="F95" s="36">
        <f>J95</f>
        <v>692.95</v>
      </c>
      <c r="G95" s="46">
        <f>TRUNC(J95*J$17,2)</f>
        <v>873.11</v>
      </c>
      <c r="H95" s="81">
        <f>TRUNC(E95*G95,2)</f>
        <v>558.79</v>
      </c>
      <c r="I95" s="102">
        <f>0.8*0.8</f>
        <v>0.64000000000000012</v>
      </c>
      <c r="J95" s="101">
        <v>692.95</v>
      </c>
      <c r="K95"/>
      <c r="L95" s="102"/>
      <c r="M95" s="41"/>
      <c r="N95" s="41"/>
      <c r="O95" s="41"/>
      <c r="P95" s="42"/>
      <c r="Q95" s="43"/>
      <c r="R95" s="76"/>
    </row>
    <row r="96" spans="1:18" s="108" customFormat="1" thickBot="1">
      <c r="A96" s="137" t="s">
        <v>140</v>
      </c>
      <c r="B96" s="140" t="s">
        <v>23</v>
      </c>
      <c r="C96" s="90" t="s">
        <v>146</v>
      </c>
      <c r="D96" s="141" t="s">
        <v>25</v>
      </c>
      <c r="E96" s="51">
        <f>TRUNC(I96,2)</f>
        <v>10.8</v>
      </c>
      <c r="F96" s="94">
        <f>J96</f>
        <v>350.38</v>
      </c>
      <c r="G96" s="51">
        <f>TRUNC(J96*J$17,2)</f>
        <v>441.47</v>
      </c>
      <c r="H96" s="52">
        <f>TRUNC(E96*G96,2)</f>
        <v>4767.87</v>
      </c>
      <c r="I96" s="142">
        <f>4*2.7</f>
        <v>10.8</v>
      </c>
      <c r="J96" s="101">
        <v>350.38</v>
      </c>
      <c r="K96" s="142"/>
      <c r="L96" s="142"/>
      <c r="M96" s="104"/>
      <c r="N96" s="104"/>
      <c r="O96" s="104"/>
      <c r="P96" s="105"/>
      <c r="Q96" s="106"/>
      <c r="R96" s="107"/>
    </row>
    <row r="97" spans="1:18" s="87" customFormat="1" thickBot="1">
      <c r="A97" s="126"/>
      <c r="B97" s="127"/>
      <c r="C97" s="128" t="s">
        <v>32</v>
      </c>
      <c r="D97" s="127"/>
      <c r="E97" s="127"/>
      <c r="F97" s="127"/>
      <c r="G97" s="127"/>
      <c r="H97" s="143">
        <f>SUM(H87:H96)</f>
        <v>27629.75</v>
      </c>
      <c r="I97" s="82"/>
      <c r="J97" s="83"/>
      <c r="K97" s="82"/>
      <c r="L97" s="82"/>
      <c r="M97" s="84"/>
      <c r="N97" s="84"/>
      <c r="O97" s="84"/>
      <c r="P97" s="85"/>
      <c r="Q97" s="86"/>
      <c r="R97" s="86"/>
    </row>
    <row r="98" spans="1:18" s="27" customFormat="1" ht="5.25" customHeight="1" thickBot="1">
      <c r="A98" s="144"/>
      <c r="B98" s="145"/>
      <c r="C98" s="146"/>
      <c r="D98" s="147"/>
      <c r="E98" s="148"/>
      <c r="F98" s="149"/>
      <c r="G98" s="150"/>
      <c r="H98" s="151"/>
      <c r="I98" s="5"/>
      <c r="J98" s="48"/>
      <c r="K98" s="5"/>
      <c r="L98" s="5"/>
      <c r="M98" s="7"/>
      <c r="N98" s="7"/>
      <c r="O98" s="7"/>
      <c r="P98" s="8"/>
      <c r="Q98" s="26"/>
      <c r="R98" s="9"/>
    </row>
    <row r="99" spans="1:18" s="27" customFormat="1" thickBot="1">
      <c r="A99" s="28" t="s">
        <v>147</v>
      </c>
      <c r="B99" s="152"/>
      <c r="C99" s="29" t="s">
        <v>148</v>
      </c>
      <c r="D99" s="29"/>
      <c r="E99" s="29"/>
      <c r="F99" s="30"/>
      <c r="G99" s="29"/>
      <c r="H99" s="31"/>
      <c r="I99" s="5"/>
      <c r="J99" s="48"/>
      <c r="K99" s="5"/>
      <c r="L99" s="5"/>
      <c r="M99" s="7"/>
      <c r="N99" s="7"/>
      <c r="O99" s="7"/>
      <c r="P99" s="8"/>
      <c r="Q99" s="26"/>
      <c r="R99" s="9"/>
    </row>
    <row r="100" spans="1:18" s="44" customFormat="1" ht="34.5" customHeight="1">
      <c r="A100" s="100" t="s">
        <v>149</v>
      </c>
      <c r="B100" s="64">
        <v>87879</v>
      </c>
      <c r="C100" s="78" t="s">
        <v>150</v>
      </c>
      <c r="D100" s="35" t="s">
        <v>25</v>
      </c>
      <c r="E100" s="35">
        <f t="shared" ref="E100:E105" si="12">TRUNC(I100,2)</f>
        <v>392.89</v>
      </c>
      <c r="F100" s="91">
        <f t="shared" ref="F100:F105" si="13">J100</f>
        <v>3.01</v>
      </c>
      <c r="G100" s="35">
        <f t="shared" ref="G100:G105" si="14">TRUNC(J100*J$17,2)</f>
        <v>3.79</v>
      </c>
      <c r="H100" s="37">
        <f t="shared" ref="H100:H105" si="15">TRUNC(E100*G100,2)</f>
        <v>1489.05</v>
      </c>
      <c r="I100" s="47">
        <f>273.23+59.83*2</f>
        <v>392.89</v>
      </c>
      <c r="J100" s="48">
        <v>3.01</v>
      </c>
      <c r="K100" s="47"/>
      <c r="L100" s="47"/>
      <c r="N100" s="41"/>
      <c r="O100" s="41"/>
      <c r="P100" s="42"/>
      <c r="Q100" s="43"/>
      <c r="R100" s="76"/>
    </row>
    <row r="101" spans="1:18" s="44" customFormat="1" ht="48" customHeight="1">
      <c r="A101" s="118" t="s">
        <v>151</v>
      </c>
      <c r="B101" s="33" t="s">
        <v>152</v>
      </c>
      <c r="C101" s="75" t="s">
        <v>153</v>
      </c>
      <c r="D101" s="46" t="s">
        <v>25</v>
      </c>
      <c r="E101" s="35">
        <f t="shared" si="12"/>
        <v>392.89</v>
      </c>
      <c r="F101" s="36">
        <f t="shared" si="13"/>
        <v>26.15</v>
      </c>
      <c r="G101" s="46">
        <f t="shared" si="14"/>
        <v>32.94</v>
      </c>
      <c r="H101" s="37">
        <f t="shared" si="15"/>
        <v>12941.79</v>
      </c>
      <c r="I101" s="47">
        <f>I100</f>
        <v>392.89</v>
      </c>
      <c r="J101" s="48">
        <v>26.15</v>
      </c>
      <c r="K101" s="47"/>
      <c r="L101" s="47"/>
      <c r="N101" s="41"/>
      <c r="O101" s="41"/>
      <c r="P101" s="42"/>
      <c r="Q101" s="43"/>
      <c r="R101" s="76"/>
    </row>
    <row r="102" spans="1:18" s="44" customFormat="1" ht="37.5" customHeight="1">
      <c r="A102" s="118" t="s">
        <v>154</v>
      </c>
      <c r="B102" s="33" t="s">
        <v>155</v>
      </c>
      <c r="C102" s="75" t="s">
        <v>156</v>
      </c>
      <c r="D102" s="46" t="s">
        <v>25</v>
      </c>
      <c r="E102" s="35">
        <f t="shared" si="12"/>
        <v>76.23</v>
      </c>
      <c r="F102" s="36">
        <f t="shared" si="13"/>
        <v>56.35</v>
      </c>
      <c r="G102" s="46">
        <f t="shared" si="14"/>
        <v>71</v>
      </c>
      <c r="H102" s="37">
        <f t="shared" si="15"/>
        <v>5412.33</v>
      </c>
      <c r="I102" s="47">
        <f>(2.2+2.2+3.05+3.05+1.4+1.4+3.05+3.05+1.4+1.4+3.05+3.05+2+2+2+2)*2.1</f>
        <v>76.23</v>
      </c>
      <c r="J102" s="48">
        <v>56.35</v>
      </c>
      <c r="K102" s="47"/>
      <c r="L102" s="47"/>
      <c r="M102" s="41"/>
      <c r="N102" s="41"/>
      <c r="O102" s="41"/>
      <c r="P102" s="42"/>
      <c r="Q102" s="43"/>
      <c r="R102" s="76"/>
    </row>
    <row r="103" spans="1:18" s="44" customFormat="1" ht="22.5" customHeight="1">
      <c r="A103" s="118" t="s">
        <v>157</v>
      </c>
      <c r="B103" s="33">
        <v>102253</v>
      </c>
      <c r="C103" s="75" t="s">
        <v>158</v>
      </c>
      <c r="D103" s="50" t="s">
        <v>25</v>
      </c>
      <c r="E103" s="35">
        <f t="shared" si="12"/>
        <v>9.93</v>
      </c>
      <c r="F103" s="36">
        <f t="shared" si="13"/>
        <v>566.95000000000005</v>
      </c>
      <c r="G103" s="46">
        <f t="shared" si="14"/>
        <v>714.35</v>
      </c>
      <c r="H103" s="37">
        <f t="shared" si="15"/>
        <v>7093.49</v>
      </c>
      <c r="I103" s="47">
        <f>6.65*0.8+4.6*0.6+5*0.74*0.5</f>
        <v>9.93</v>
      </c>
      <c r="J103" s="48">
        <v>566.95000000000005</v>
      </c>
      <c r="K103" s="47"/>
      <c r="L103" s="47"/>
      <c r="M103" s="41"/>
      <c r="N103" s="41"/>
      <c r="O103" s="41"/>
      <c r="P103" s="42"/>
      <c r="Q103" s="43"/>
      <c r="R103" s="76"/>
    </row>
    <row r="104" spans="1:18" s="44" customFormat="1" ht="24" customHeight="1">
      <c r="A104" s="118" t="s">
        <v>159</v>
      </c>
      <c r="B104" s="33">
        <v>86895</v>
      </c>
      <c r="C104" s="75" t="s">
        <v>160</v>
      </c>
      <c r="D104" s="50" t="s">
        <v>31</v>
      </c>
      <c r="E104" s="35">
        <f t="shared" si="12"/>
        <v>1</v>
      </c>
      <c r="F104" s="36">
        <f t="shared" si="13"/>
        <v>268.8</v>
      </c>
      <c r="G104" s="46">
        <f t="shared" si="14"/>
        <v>338.68</v>
      </c>
      <c r="H104" s="37">
        <f t="shared" si="15"/>
        <v>338.68</v>
      </c>
      <c r="I104" s="47">
        <v>1</v>
      </c>
      <c r="J104" s="48">
        <v>268.8</v>
      </c>
      <c r="K104" s="47"/>
      <c r="L104" s="47"/>
      <c r="M104" s="41"/>
      <c r="N104" s="41"/>
      <c r="O104" s="41"/>
      <c r="P104" s="42"/>
      <c r="Q104" s="43"/>
      <c r="R104" s="76"/>
    </row>
    <row r="105" spans="1:18" s="44" customFormat="1" ht="24.75" customHeight="1" thickBot="1">
      <c r="A105" s="119" t="s">
        <v>161</v>
      </c>
      <c r="B105" s="93">
        <v>86889</v>
      </c>
      <c r="C105" s="49" t="s">
        <v>162</v>
      </c>
      <c r="D105" s="50" t="s">
        <v>28</v>
      </c>
      <c r="E105" s="51">
        <f t="shared" si="12"/>
        <v>1.6</v>
      </c>
      <c r="F105" s="94">
        <f t="shared" si="13"/>
        <v>360.42</v>
      </c>
      <c r="G105" s="50">
        <f t="shared" si="14"/>
        <v>454.12</v>
      </c>
      <c r="H105" s="52">
        <f t="shared" si="15"/>
        <v>726.59</v>
      </c>
      <c r="I105" s="47">
        <v>1.6</v>
      </c>
      <c r="J105" s="48">
        <v>360.42</v>
      </c>
      <c r="K105" s="47">
        <f>540.627/1.5</f>
        <v>360.41799999999995</v>
      </c>
      <c r="L105" s="47" t="s">
        <v>163</v>
      </c>
      <c r="M105" s="41"/>
      <c r="N105" s="41"/>
      <c r="O105" s="41"/>
      <c r="P105" s="42"/>
      <c r="Q105" s="43"/>
      <c r="R105" s="76"/>
    </row>
    <row r="106" spans="1:18" s="87" customFormat="1" thickBot="1">
      <c r="A106" s="53"/>
      <c r="B106" s="54"/>
      <c r="C106" s="21" t="s">
        <v>32</v>
      </c>
      <c r="D106" s="54"/>
      <c r="E106" s="54"/>
      <c r="F106" s="54"/>
      <c r="G106" s="54"/>
      <c r="H106" s="55">
        <f>SUM(H100:H105)</f>
        <v>28001.929999999997</v>
      </c>
      <c r="I106" s="82"/>
      <c r="J106" s="83"/>
      <c r="K106" s="82"/>
      <c r="L106" s="82"/>
      <c r="M106" s="84"/>
      <c r="N106" s="84"/>
      <c r="O106" s="84"/>
      <c r="P106" s="85"/>
      <c r="Q106" s="86"/>
      <c r="R106" s="86"/>
    </row>
    <row r="107" spans="1:18" s="27" customFormat="1" ht="6" customHeight="1" thickBot="1">
      <c r="A107" s="111"/>
      <c r="B107" s="112"/>
      <c r="C107" s="113"/>
      <c r="D107" s="114"/>
      <c r="E107" s="61"/>
      <c r="F107" s="61"/>
      <c r="G107" s="62"/>
      <c r="H107" s="99"/>
      <c r="I107" s="5"/>
      <c r="J107" s="48"/>
      <c r="K107" s="5"/>
      <c r="L107" s="5"/>
      <c r="M107" s="7"/>
      <c r="N107" s="7"/>
      <c r="O107" s="7"/>
      <c r="P107" s="8"/>
      <c r="Q107" s="26"/>
      <c r="R107" s="9"/>
    </row>
    <row r="108" spans="1:18" s="27" customFormat="1" thickBot="1">
      <c r="A108" s="53" t="s">
        <v>164</v>
      </c>
      <c r="B108" s="54"/>
      <c r="C108" s="21" t="s">
        <v>165</v>
      </c>
      <c r="D108" s="21"/>
      <c r="E108" s="21"/>
      <c r="F108" s="22"/>
      <c r="G108" s="21"/>
      <c r="H108" s="23"/>
      <c r="I108" s="5"/>
      <c r="J108" s="48"/>
      <c r="K108" s="5"/>
      <c r="L108" s="5"/>
      <c r="M108" s="7"/>
      <c r="N108" s="7"/>
      <c r="O108" s="7"/>
      <c r="P108" s="8"/>
      <c r="Q108" s="26"/>
      <c r="R108" s="9"/>
    </row>
    <row r="109" spans="1:18" s="108" customFormat="1" ht="24.75" customHeight="1">
      <c r="A109" s="32" t="s">
        <v>166</v>
      </c>
      <c r="B109" s="64" t="s">
        <v>167</v>
      </c>
      <c r="C109" s="34" t="s">
        <v>168</v>
      </c>
      <c r="D109" s="35" t="s">
        <v>25</v>
      </c>
      <c r="E109" s="35">
        <f t="shared" ref="E109:E115" si="16">TRUNC(I109,2)</f>
        <v>180.58</v>
      </c>
      <c r="F109" s="91">
        <f t="shared" ref="F109:F115" si="17">J109</f>
        <v>43.37</v>
      </c>
      <c r="G109" s="35">
        <f t="shared" ref="G109:G115" si="18">TRUNC(J109*J$17,2)</f>
        <v>54.64</v>
      </c>
      <c r="H109" s="37">
        <f t="shared" ref="H109:H115" si="19">TRUNC(E109*G109,2)</f>
        <v>9866.89</v>
      </c>
      <c r="I109" s="102">
        <f>12.05+1.82+1.62+16.6+15.79+6.71+3.61+3.66+29.36+55.8+4+19.98+9.58</f>
        <v>180.57999999999998</v>
      </c>
      <c r="J109" s="101">
        <v>43.37</v>
      </c>
      <c r="K109" s="6"/>
      <c r="L109" s="6"/>
      <c r="M109" s="104"/>
      <c r="N109" s="104"/>
      <c r="O109" s="104"/>
      <c r="P109" s="105"/>
      <c r="Q109" s="106"/>
      <c r="R109" s="107"/>
    </row>
    <row r="110" spans="1:18" s="108" customFormat="1" ht="26.25" customHeight="1">
      <c r="A110" s="32" t="s">
        <v>169</v>
      </c>
      <c r="B110" s="33" t="s">
        <v>170</v>
      </c>
      <c r="C110" s="45" t="s">
        <v>171</v>
      </c>
      <c r="D110" s="46" t="s">
        <v>28</v>
      </c>
      <c r="E110" s="35">
        <f t="shared" si="16"/>
        <v>141.58000000000001</v>
      </c>
      <c r="F110" s="36">
        <f t="shared" si="17"/>
        <v>6.24</v>
      </c>
      <c r="G110" s="46">
        <f t="shared" si="18"/>
        <v>7.86</v>
      </c>
      <c r="H110" s="81">
        <f t="shared" si="19"/>
        <v>1112.81</v>
      </c>
      <c r="I110" s="47">
        <f>14.4+1.25+1.25+1.3+16.3+15.9+22.6+31.69+17.99+18.9</f>
        <v>141.57999999999998</v>
      </c>
      <c r="J110" s="101">
        <v>6.24</v>
      </c>
      <c r="K110" s="6"/>
      <c r="L110" s="6"/>
      <c r="M110" s="104"/>
      <c r="N110" s="104"/>
      <c r="O110" s="104"/>
      <c r="P110" s="105"/>
      <c r="Q110" s="106"/>
      <c r="R110" s="107"/>
    </row>
    <row r="111" spans="1:18" s="44" customFormat="1" ht="40.5" customHeight="1">
      <c r="A111" s="32" t="s">
        <v>172</v>
      </c>
      <c r="B111" s="33">
        <v>94990</v>
      </c>
      <c r="C111" s="45" t="s">
        <v>173</v>
      </c>
      <c r="D111" s="35" t="s">
        <v>54</v>
      </c>
      <c r="E111" s="35">
        <f t="shared" si="16"/>
        <v>4.9400000000000004</v>
      </c>
      <c r="F111" s="36">
        <f t="shared" si="17"/>
        <v>598.4</v>
      </c>
      <c r="G111" s="35">
        <f t="shared" si="18"/>
        <v>753.98</v>
      </c>
      <c r="H111" s="81">
        <f t="shared" si="19"/>
        <v>3724.66</v>
      </c>
      <c r="I111" s="47">
        <f>(30.1+10.5+3.15+2+20+5+2.65+6+2.95)*1*0.06</f>
        <v>4.9410000000000007</v>
      </c>
      <c r="J111" s="101">
        <v>598.4</v>
      </c>
      <c r="K111" s="102"/>
      <c r="L111" s="102"/>
      <c r="M111" s="41"/>
      <c r="N111" s="41"/>
      <c r="O111" s="41"/>
      <c r="P111" s="42"/>
      <c r="Q111" s="43"/>
      <c r="R111" s="76"/>
    </row>
    <row r="112" spans="1:18" s="44" customFormat="1" ht="27" customHeight="1">
      <c r="A112" s="32" t="s">
        <v>174</v>
      </c>
      <c r="B112" s="64">
        <v>97101</v>
      </c>
      <c r="C112" s="34" t="s">
        <v>175</v>
      </c>
      <c r="D112" s="46" t="s">
        <v>25</v>
      </c>
      <c r="E112" s="35">
        <f t="shared" si="16"/>
        <v>65.95</v>
      </c>
      <c r="F112" s="36">
        <f t="shared" si="17"/>
        <v>227.54</v>
      </c>
      <c r="G112" s="46">
        <f t="shared" si="18"/>
        <v>286.7</v>
      </c>
      <c r="H112" s="81">
        <f t="shared" si="19"/>
        <v>18907.86</v>
      </c>
      <c r="I112" s="102">
        <v>65.95</v>
      </c>
      <c r="J112" s="101">
        <v>227.54</v>
      </c>
      <c r="K112" s="102"/>
      <c r="L112" s="47"/>
      <c r="M112" s="41"/>
      <c r="N112" s="41"/>
      <c r="O112" s="41"/>
      <c r="P112" s="42"/>
      <c r="Q112" s="43"/>
      <c r="R112" s="76"/>
    </row>
    <row r="113" spans="1:18" s="44" customFormat="1" ht="15.75" customHeight="1">
      <c r="A113" s="32" t="s">
        <v>176</v>
      </c>
      <c r="B113" s="64">
        <v>98689</v>
      </c>
      <c r="C113" s="34" t="s">
        <v>177</v>
      </c>
      <c r="D113" s="46" t="s">
        <v>28</v>
      </c>
      <c r="E113" s="35">
        <f t="shared" si="16"/>
        <v>5.6</v>
      </c>
      <c r="F113" s="36">
        <f t="shared" si="17"/>
        <v>75.680000000000007</v>
      </c>
      <c r="G113" s="46">
        <f t="shared" si="18"/>
        <v>95.35</v>
      </c>
      <c r="H113" s="81">
        <f t="shared" si="19"/>
        <v>533.96</v>
      </c>
      <c r="I113" s="102">
        <f>0.8+0.8+4</f>
        <v>5.6</v>
      </c>
      <c r="J113" s="101">
        <v>75.680000000000007</v>
      </c>
      <c r="K113" s="102"/>
      <c r="L113" s="102"/>
      <c r="M113" s="41"/>
      <c r="N113" s="41"/>
      <c r="O113" s="41"/>
      <c r="P113" s="42"/>
      <c r="Q113" s="43"/>
      <c r="R113" s="76"/>
    </row>
    <row r="114" spans="1:18" s="44" customFormat="1" ht="33.75" customHeight="1">
      <c r="A114" s="32" t="s">
        <v>178</v>
      </c>
      <c r="B114" s="33">
        <v>94990</v>
      </c>
      <c r="C114" s="45" t="s">
        <v>179</v>
      </c>
      <c r="D114" s="46" t="s">
        <v>54</v>
      </c>
      <c r="E114" s="35">
        <f t="shared" si="16"/>
        <v>12.8</v>
      </c>
      <c r="F114" s="36">
        <f t="shared" si="17"/>
        <v>598.4</v>
      </c>
      <c r="G114" s="46">
        <f t="shared" si="18"/>
        <v>753.98</v>
      </c>
      <c r="H114" s="81">
        <f t="shared" si="19"/>
        <v>9650.94</v>
      </c>
      <c r="I114" s="102">
        <f>256.02*0.05</f>
        <v>12.801</v>
      </c>
      <c r="J114" s="101">
        <v>598.4</v>
      </c>
      <c r="K114" s="102"/>
      <c r="L114" s="102"/>
      <c r="M114" s="41"/>
      <c r="N114" s="41"/>
      <c r="O114" s="41"/>
      <c r="P114" s="42"/>
      <c r="Q114" s="43"/>
      <c r="R114" s="76"/>
    </row>
    <row r="115" spans="1:18" s="44" customFormat="1" ht="15.75" customHeight="1" thickBot="1">
      <c r="A115" s="153" t="s">
        <v>180</v>
      </c>
      <c r="B115" s="120" t="s">
        <v>181</v>
      </c>
      <c r="C115" s="70" t="s">
        <v>182</v>
      </c>
      <c r="D115" s="50" t="s">
        <v>25</v>
      </c>
      <c r="E115" s="51">
        <f t="shared" si="16"/>
        <v>28.92</v>
      </c>
      <c r="F115" s="94">
        <f t="shared" si="17"/>
        <v>122.98</v>
      </c>
      <c r="G115" s="50">
        <f t="shared" si="18"/>
        <v>154.94999999999999</v>
      </c>
      <c r="H115" s="138">
        <f t="shared" si="19"/>
        <v>4481.1499999999996</v>
      </c>
      <c r="I115" s="142">
        <f>(108.46+7.25)*0.25</f>
        <v>28.927499999999998</v>
      </c>
      <c r="J115" s="101">
        <v>122.98</v>
      </c>
      <c r="K115" s="102"/>
      <c r="L115" s="102"/>
      <c r="M115" s="41"/>
      <c r="N115" s="41"/>
      <c r="O115" s="41"/>
      <c r="P115" s="42"/>
      <c r="Q115" s="43"/>
      <c r="R115" s="76"/>
    </row>
    <row r="116" spans="1:18" s="87" customFormat="1" thickBot="1">
      <c r="A116" s="53"/>
      <c r="B116" s="54"/>
      <c r="C116" s="21" t="s">
        <v>32</v>
      </c>
      <c r="D116" s="54"/>
      <c r="E116" s="54"/>
      <c r="F116" s="54"/>
      <c r="G116" s="54"/>
      <c r="H116" s="55">
        <f>SUM(H109:H115)</f>
        <v>48278.270000000004</v>
      </c>
      <c r="I116" s="82"/>
      <c r="J116" s="83"/>
      <c r="K116" s="82"/>
      <c r="L116" s="82"/>
      <c r="M116" s="84"/>
      <c r="N116" s="84"/>
      <c r="O116" s="84"/>
      <c r="P116" s="85"/>
      <c r="Q116" s="86"/>
      <c r="R116" s="86"/>
    </row>
    <row r="117" spans="1:18" s="87" customFormat="1" ht="5.25" customHeight="1" thickBot="1">
      <c r="A117" s="154"/>
      <c r="B117" s="155"/>
      <c r="C117" s="97"/>
      <c r="D117" s="98"/>
      <c r="E117" s="98"/>
      <c r="F117" s="115"/>
      <c r="G117" s="62"/>
      <c r="H117" s="156"/>
      <c r="I117" s="82"/>
      <c r="J117" s="83"/>
      <c r="K117" s="82"/>
      <c r="L117" s="82"/>
      <c r="M117" s="84"/>
      <c r="N117" s="84"/>
      <c r="O117" s="84"/>
      <c r="P117" s="85"/>
      <c r="Q117" s="86"/>
      <c r="R117" s="86"/>
    </row>
    <row r="118" spans="1:18" s="27" customFormat="1" thickBot="1">
      <c r="A118" s="53" t="s">
        <v>183</v>
      </c>
      <c r="B118" s="54"/>
      <c r="C118" s="21" t="s">
        <v>184</v>
      </c>
      <c r="D118" s="21"/>
      <c r="E118" s="21"/>
      <c r="F118" s="22"/>
      <c r="G118" s="21"/>
      <c r="H118" s="23"/>
      <c r="I118" s="5"/>
      <c r="J118" s="48"/>
      <c r="K118" s="5"/>
      <c r="L118" s="5"/>
      <c r="M118" s="7"/>
      <c r="N118" s="7"/>
      <c r="O118" s="7"/>
      <c r="P118" s="8"/>
      <c r="Q118" s="26"/>
      <c r="R118" s="9"/>
    </row>
    <row r="119" spans="1:18" s="44" customFormat="1" ht="28.5" customHeight="1">
      <c r="A119" s="32" t="s">
        <v>185</v>
      </c>
      <c r="B119" s="64">
        <v>102184</v>
      </c>
      <c r="C119" s="34" t="s">
        <v>186</v>
      </c>
      <c r="D119" s="157" t="s">
        <v>187</v>
      </c>
      <c r="E119" s="35">
        <f>TRUNC(I119,2)</f>
        <v>2</v>
      </c>
      <c r="F119" s="91">
        <f>J119</f>
        <v>1675.4</v>
      </c>
      <c r="G119" s="35">
        <f>TRUNC(J119*J$17,2)</f>
        <v>2111</v>
      </c>
      <c r="H119" s="37">
        <f>TRUNC(E119*G119,2)</f>
        <v>4222</v>
      </c>
      <c r="I119" s="47">
        <v>2</v>
      </c>
      <c r="J119" s="48">
        <v>1675.4</v>
      </c>
      <c r="K119" s="47" t="s">
        <v>188</v>
      </c>
      <c r="L119" s="47"/>
      <c r="M119" s="41"/>
      <c r="N119" s="41"/>
      <c r="O119" s="41"/>
      <c r="P119" s="42"/>
      <c r="Q119" s="43"/>
      <c r="R119" s="76"/>
    </row>
    <row r="120" spans="1:18" s="44" customFormat="1" ht="15.75" customHeight="1" thickBot="1">
      <c r="A120" s="153" t="s">
        <v>189</v>
      </c>
      <c r="B120" s="120">
        <v>102181</v>
      </c>
      <c r="C120" s="79" t="s">
        <v>190</v>
      </c>
      <c r="D120" s="50" t="s">
        <v>25</v>
      </c>
      <c r="E120" s="51">
        <f>TRUNC(I120,2)</f>
        <v>8.91</v>
      </c>
      <c r="F120" s="94">
        <f>J120</f>
        <v>446.47</v>
      </c>
      <c r="G120" s="50">
        <f>TRUNC(J120*J$17,2)</f>
        <v>562.54999999999995</v>
      </c>
      <c r="H120" s="52">
        <f>TRUNC(E120*G120,2)</f>
        <v>5012.32</v>
      </c>
      <c r="I120" s="47">
        <f>(4.7*2.7)-(0.9*2.1*2)</f>
        <v>8.91</v>
      </c>
      <c r="J120" s="48">
        <v>446.47</v>
      </c>
      <c r="K120" s="47" t="s">
        <v>191</v>
      </c>
      <c r="L120" s="47"/>
      <c r="M120" s="41"/>
      <c r="N120" s="41"/>
      <c r="O120" s="41"/>
      <c r="P120" s="42"/>
      <c r="Q120" s="43"/>
      <c r="R120" s="76"/>
    </row>
    <row r="121" spans="1:18" s="87" customFormat="1" thickBot="1">
      <c r="A121" s="53"/>
      <c r="B121" s="54"/>
      <c r="C121" s="21" t="s">
        <v>32</v>
      </c>
      <c r="D121" s="54"/>
      <c r="E121" s="54"/>
      <c r="F121" s="54"/>
      <c r="G121" s="54"/>
      <c r="H121" s="55">
        <f>SUM(H119:H120)</f>
        <v>9234.32</v>
      </c>
      <c r="I121" s="82"/>
      <c r="J121" s="83"/>
      <c r="K121" s="82"/>
      <c r="L121" s="82"/>
      <c r="M121" s="84"/>
      <c r="N121" s="84"/>
      <c r="O121" s="84"/>
      <c r="P121" s="85"/>
      <c r="Q121" s="86"/>
      <c r="R121" s="86"/>
    </row>
    <row r="122" spans="1:18" s="27" customFormat="1" ht="5.25" customHeight="1" thickBot="1">
      <c r="A122" s="111"/>
      <c r="B122" s="112"/>
      <c r="C122" s="97"/>
      <c r="D122" s="114"/>
      <c r="E122" s="98"/>
      <c r="F122" s="115"/>
      <c r="G122" s="62"/>
      <c r="H122" s="99"/>
      <c r="I122" s="5"/>
      <c r="J122" s="48"/>
      <c r="K122" s="5"/>
      <c r="L122" s="5"/>
      <c r="M122" s="7"/>
      <c r="N122" s="7"/>
      <c r="O122" s="7"/>
      <c r="P122" s="8"/>
      <c r="Q122" s="26"/>
      <c r="R122" s="9"/>
    </row>
    <row r="123" spans="1:18" s="27" customFormat="1" thickBot="1">
      <c r="A123" s="126" t="s">
        <v>192</v>
      </c>
      <c r="B123" s="127"/>
      <c r="C123" s="128" t="s">
        <v>193</v>
      </c>
      <c r="D123" s="128"/>
      <c r="E123" s="128"/>
      <c r="F123" s="129"/>
      <c r="G123" s="128"/>
      <c r="H123" s="130"/>
      <c r="I123" s="5"/>
      <c r="J123" s="48"/>
      <c r="K123" s="5"/>
      <c r="L123" s="5"/>
      <c r="M123" s="7"/>
      <c r="N123" s="7"/>
      <c r="O123" s="7"/>
      <c r="P123" s="8"/>
      <c r="Q123" s="26"/>
      <c r="R123" s="9"/>
    </row>
    <row r="124" spans="1:18" s="65" customFormat="1" ht="25.5" customHeight="1">
      <c r="A124" s="158" t="s">
        <v>194</v>
      </c>
      <c r="B124" s="159" t="s">
        <v>195</v>
      </c>
      <c r="C124" s="160" t="s">
        <v>196</v>
      </c>
      <c r="D124" s="161" t="s">
        <v>25</v>
      </c>
      <c r="E124" s="161">
        <f t="shared" ref="E124:E132" si="20">TRUNC(I124,2)</f>
        <v>394.59</v>
      </c>
      <c r="F124" s="162">
        <f t="shared" ref="F124:F132" si="21">J124</f>
        <v>19.37</v>
      </c>
      <c r="G124" s="161">
        <f t="shared" ref="G124:G132" si="22">TRUNC(J124*J$17,2)</f>
        <v>24.4</v>
      </c>
      <c r="H124" s="163">
        <f t="shared" ref="H124:H132" si="23">TRUNC(E124*G124,2)</f>
        <v>9627.99</v>
      </c>
      <c r="I124" s="47">
        <f>(10.5+2+3.15+20)*3.9+(10.9+6+2.85+20.16)*4.9+20*3</f>
        <v>394.59399999999999</v>
      </c>
      <c r="J124" s="48">
        <v>19.37</v>
      </c>
      <c r="K124" s="47"/>
      <c r="L124" s="47"/>
      <c r="M124" s="41"/>
      <c r="N124" s="41"/>
      <c r="O124" s="41"/>
      <c r="P124" s="42"/>
      <c r="Q124" s="41"/>
      <c r="R124" s="41"/>
    </row>
    <row r="125" spans="1:18" s="65" customFormat="1" ht="23.25" customHeight="1">
      <c r="A125" s="164" t="s">
        <v>197</v>
      </c>
      <c r="B125" s="33" t="s">
        <v>195</v>
      </c>
      <c r="C125" s="45" t="s">
        <v>198</v>
      </c>
      <c r="D125" s="46" t="s">
        <v>25</v>
      </c>
      <c r="E125" s="35">
        <f t="shared" si="20"/>
        <v>28.76</v>
      </c>
      <c r="F125" s="36">
        <f t="shared" si="21"/>
        <v>19.37</v>
      </c>
      <c r="G125" s="46">
        <f t="shared" si="22"/>
        <v>24.4</v>
      </c>
      <c r="H125" s="37">
        <f t="shared" si="23"/>
        <v>701.74</v>
      </c>
      <c r="I125" s="165">
        <f>13.02*2+0.2*3.9*2+5.8*0.2</f>
        <v>28.759999999999998</v>
      </c>
      <c r="J125" s="48">
        <v>19.37</v>
      </c>
      <c r="K125" s="47"/>
      <c r="L125" s="47"/>
      <c r="M125" s="41"/>
      <c r="N125" s="41"/>
      <c r="O125" s="41"/>
      <c r="P125" s="42"/>
      <c r="Q125" s="41"/>
      <c r="R125" s="41"/>
    </row>
    <row r="126" spans="1:18" s="44" customFormat="1" ht="24.75" customHeight="1">
      <c r="A126" s="164" t="s">
        <v>199</v>
      </c>
      <c r="B126" s="33" t="s">
        <v>200</v>
      </c>
      <c r="C126" s="45" t="s">
        <v>201</v>
      </c>
      <c r="D126" s="46" t="s">
        <v>25</v>
      </c>
      <c r="E126" s="35">
        <f t="shared" si="20"/>
        <v>372.69</v>
      </c>
      <c r="F126" s="36">
        <f t="shared" si="21"/>
        <v>11.44</v>
      </c>
      <c r="G126" s="46">
        <f t="shared" si="22"/>
        <v>14.41</v>
      </c>
      <c r="H126" s="37">
        <f t="shared" si="23"/>
        <v>5370.46</v>
      </c>
      <c r="I126" s="47">
        <f>(14.4+1.25+1.3+1.25+16.3+15.9+22.6+31.69+17.99)*2.8+(5.4+10.5+8.9+8.9+8)*0.7</f>
        <v>372.69399999999996</v>
      </c>
      <c r="J126" s="48">
        <v>11.44</v>
      </c>
      <c r="K126" s="47"/>
      <c r="L126" s="47"/>
      <c r="M126" s="41"/>
      <c r="N126" s="41"/>
      <c r="O126" s="41"/>
      <c r="P126" s="42"/>
      <c r="Q126" s="43"/>
      <c r="R126" s="76"/>
    </row>
    <row r="127" spans="1:18" s="44" customFormat="1" ht="15" customHeight="1">
      <c r="A127" s="164" t="s">
        <v>202</v>
      </c>
      <c r="B127" s="33" t="s">
        <v>203</v>
      </c>
      <c r="C127" s="45" t="s">
        <v>204</v>
      </c>
      <c r="D127" s="46" t="s">
        <v>25</v>
      </c>
      <c r="E127" s="35">
        <f t="shared" si="20"/>
        <v>186.34</v>
      </c>
      <c r="F127" s="36">
        <f t="shared" si="21"/>
        <v>11.38</v>
      </c>
      <c r="G127" s="46">
        <f t="shared" si="22"/>
        <v>14.33</v>
      </c>
      <c r="H127" s="37">
        <f t="shared" si="23"/>
        <v>2670.25</v>
      </c>
      <c r="I127" s="47">
        <f>I126/2</f>
        <v>186.34699999999998</v>
      </c>
      <c r="J127" s="48">
        <v>11.38</v>
      </c>
      <c r="K127" s="47"/>
      <c r="L127" s="47"/>
      <c r="M127" s="41"/>
      <c r="N127" s="41"/>
      <c r="O127" s="41"/>
      <c r="P127" s="42"/>
      <c r="Q127" s="43"/>
      <c r="R127" s="76"/>
    </row>
    <row r="128" spans="1:18" s="44" customFormat="1" ht="25.5" customHeight="1">
      <c r="A128" s="164" t="s">
        <v>205</v>
      </c>
      <c r="B128" s="33">
        <v>102200</v>
      </c>
      <c r="C128" s="45" t="s">
        <v>206</v>
      </c>
      <c r="D128" s="46" t="s">
        <v>25</v>
      </c>
      <c r="E128" s="35">
        <f t="shared" si="20"/>
        <v>29.82</v>
      </c>
      <c r="F128" s="36">
        <f t="shared" si="21"/>
        <v>13.56</v>
      </c>
      <c r="G128" s="46">
        <f t="shared" si="22"/>
        <v>17.079999999999998</v>
      </c>
      <c r="H128" s="37">
        <f t="shared" si="23"/>
        <v>509.32</v>
      </c>
      <c r="I128" s="47">
        <f>((0.9+0.9+4*0.8+3*0.7)*2.1)*2</f>
        <v>29.82</v>
      </c>
      <c r="J128" s="48">
        <v>13.56</v>
      </c>
      <c r="K128" s="47"/>
      <c r="L128" s="47"/>
      <c r="M128" s="41"/>
      <c r="N128" s="41"/>
      <c r="O128" s="41"/>
      <c r="P128" s="42"/>
      <c r="Q128" s="43"/>
      <c r="R128" s="76"/>
    </row>
    <row r="129" spans="1:18" s="44" customFormat="1" ht="24" customHeight="1">
      <c r="A129" s="164" t="s">
        <v>207</v>
      </c>
      <c r="B129" s="33">
        <v>102219</v>
      </c>
      <c r="C129" s="45" t="s">
        <v>208</v>
      </c>
      <c r="D129" s="46" t="s">
        <v>25</v>
      </c>
      <c r="E129" s="35">
        <f t="shared" si="20"/>
        <v>29.82</v>
      </c>
      <c r="F129" s="36">
        <f t="shared" si="21"/>
        <v>10.89</v>
      </c>
      <c r="G129" s="46">
        <f t="shared" si="22"/>
        <v>13.72</v>
      </c>
      <c r="H129" s="37">
        <f t="shared" si="23"/>
        <v>409.13</v>
      </c>
      <c r="I129" s="47">
        <f>I128</f>
        <v>29.82</v>
      </c>
      <c r="J129" s="48">
        <v>10.89</v>
      </c>
      <c r="K129" s="47"/>
      <c r="L129" s="47"/>
      <c r="M129" s="41"/>
      <c r="N129" s="41"/>
      <c r="O129" s="41"/>
      <c r="P129" s="42"/>
      <c r="Q129" s="43"/>
      <c r="R129" s="76"/>
    </row>
    <row r="130" spans="1:18" s="44" customFormat="1" ht="34.5" customHeight="1">
      <c r="A130" s="164" t="s">
        <v>209</v>
      </c>
      <c r="B130" s="33">
        <v>100742</v>
      </c>
      <c r="C130" s="45" t="s">
        <v>210</v>
      </c>
      <c r="D130" s="46" t="s">
        <v>25</v>
      </c>
      <c r="E130" s="51">
        <f t="shared" si="20"/>
        <v>52.24</v>
      </c>
      <c r="F130" s="94">
        <f t="shared" si="21"/>
        <v>16.100000000000001</v>
      </c>
      <c r="G130" s="50">
        <f t="shared" si="22"/>
        <v>20.28</v>
      </c>
      <c r="H130" s="52">
        <f t="shared" si="23"/>
        <v>1059.42</v>
      </c>
      <c r="I130" s="47">
        <f>(4*2*1.2+2.8*1.2+1.2*1.2*3+3*0.8*0.8)*2+0.8*2.1*3*2+0.8*4.7</f>
        <v>52.24</v>
      </c>
      <c r="J130" s="48">
        <v>16.100000000000001</v>
      </c>
      <c r="K130" s="47"/>
      <c r="M130" s="41"/>
      <c r="N130" s="41"/>
      <c r="O130" s="41"/>
      <c r="P130" s="42"/>
      <c r="Q130" s="43"/>
      <c r="R130" s="76"/>
    </row>
    <row r="131" spans="1:18" s="44" customFormat="1" ht="27.75" customHeight="1">
      <c r="A131" s="164" t="s">
        <v>211</v>
      </c>
      <c r="B131" s="33">
        <v>102500</v>
      </c>
      <c r="C131" s="45" t="s">
        <v>212</v>
      </c>
      <c r="D131" s="166" t="s">
        <v>28</v>
      </c>
      <c r="E131" s="46">
        <f t="shared" si="20"/>
        <v>39</v>
      </c>
      <c r="F131" s="36">
        <f t="shared" si="21"/>
        <v>3</v>
      </c>
      <c r="G131" s="46">
        <f t="shared" si="22"/>
        <v>3.78</v>
      </c>
      <c r="H131" s="81">
        <f t="shared" si="23"/>
        <v>147.41999999999999</v>
      </c>
      <c r="I131" s="47">
        <f>4*5+6.4+9*1.4</f>
        <v>39</v>
      </c>
      <c r="J131" s="48">
        <v>3</v>
      </c>
      <c r="K131" s="47"/>
      <c r="M131" s="41"/>
      <c r="N131" s="41"/>
      <c r="O131" s="41"/>
      <c r="P131" s="42"/>
      <c r="Q131" s="43"/>
      <c r="R131" s="76"/>
    </row>
    <row r="132" spans="1:18" s="44" customFormat="1" ht="24" customHeight="1" thickBot="1">
      <c r="A132" s="167" t="s">
        <v>213</v>
      </c>
      <c r="B132" s="33" t="s">
        <v>200</v>
      </c>
      <c r="C132" s="168" t="s">
        <v>214</v>
      </c>
      <c r="D132" s="169" t="s">
        <v>25</v>
      </c>
      <c r="E132" s="170">
        <f t="shared" si="20"/>
        <v>735.31</v>
      </c>
      <c r="F132" s="171">
        <f t="shared" si="21"/>
        <v>11.44</v>
      </c>
      <c r="G132" s="170">
        <f t="shared" si="22"/>
        <v>14.41</v>
      </c>
      <c r="H132" s="172">
        <f t="shared" si="23"/>
        <v>10595.81</v>
      </c>
      <c r="I132" s="47">
        <f>136.17*2.7*2</f>
        <v>735.31799999999998</v>
      </c>
      <c r="J132" s="48">
        <v>11.44</v>
      </c>
      <c r="K132" s="47"/>
      <c r="L132" s="47"/>
      <c r="M132" s="41"/>
      <c r="N132" s="41"/>
      <c r="O132" s="41"/>
      <c r="P132" s="42"/>
      <c r="Q132" s="43"/>
      <c r="R132" s="76"/>
    </row>
    <row r="133" spans="1:18" s="27" customFormat="1" thickBot="1">
      <c r="A133" s="28"/>
      <c r="B133" s="152"/>
      <c r="C133" s="29" t="s">
        <v>32</v>
      </c>
      <c r="D133" s="152"/>
      <c r="E133" s="152"/>
      <c r="F133" s="152"/>
      <c r="G133" s="152"/>
      <c r="H133" s="173">
        <f>SUM(H124:H132)</f>
        <v>31091.539999999994</v>
      </c>
      <c r="I133" s="174"/>
      <c r="J133" s="175"/>
      <c r="K133" s="82"/>
      <c r="L133" s="82"/>
      <c r="M133" s="7"/>
      <c r="N133" s="7"/>
      <c r="O133" s="7"/>
      <c r="P133" s="8"/>
      <c r="Q133" s="26"/>
      <c r="R133" s="9"/>
    </row>
    <row r="134" spans="1:18" s="44" customFormat="1" ht="6.75" customHeight="1" thickBot="1">
      <c r="A134" s="95"/>
      <c r="B134" s="96"/>
      <c r="C134" s="97"/>
      <c r="D134" s="98"/>
      <c r="E134" s="61"/>
      <c r="F134" s="61"/>
      <c r="G134" s="62"/>
      <c r="H134" s="99"/>
      <c r="I134" s="47"/>
      <c r="J134" s="48"/>
      <c r="K134" s="47"/>
      <c r="L134" s="47"/>
      <c r="M134" s="41"/>
      <c r="N134" s="41"/>
      <c r="O134" s="41"/>
      <c r="P134" s="42"/>
      <c r="Q134" s="43"/>
      <c r="R134" s="76"/>
    </row>
    <row r="135" spans="1:18" s="27" customFormat="1" thickBot="1">
      <c r="A135" s="126" t="s">
        <v>215</v>
      </c>
      <c r="B135" s="127"/>
      <c r="C135" s="128" t="s">
        <v>216</v>
      </c>
      <c r="D135" s="128"/>
      <c r="E135" s="128"/>
      <c r="F135" s="129"/>
      <c r="G135" s="128"/>
      <c r="H135" s="130"/>
      <c r="I135" s="5"/>
      <c r="J135" s="48"/>
      <c r="K135" s="5"/>
      <c r="L135" s="5"/>
      <c r="M135" s="7"/>
      <c r="N135" s="7"/>
      <c r="O135" s="7"/>
      <c r="P135" s="8"/>
      <c r="Q135" s="26"/>
      <c r="R135" s="9"/>
    </row>
    <row r="136" spans="1:18" s="108" customFormat="1" ht="25.5" customHeight="1">
      <c r="A136" s="176" t="s">
        <v>217</v>
      </c>
      <c r="B136" s="177" t="s">
        <v>218</v>
      </c>
      <c r="C136" s="178" t="s">
        <v>219</v>
      </c>
      <c r="D136" s="179" t="s">
        <v>220</v>
      </c>
      <c r="E136" s="36">
        <f t="shared" ref="E136:E167" si="24">TRUNC(I136,2)</f>
        <v>1</v>
      </c>
      <c r="F136" s="36">
        <f t="shared" ref="F136:F167" si="25">J136</f>
        <v>4183</v>
      </c>
      <c r="G136" s="36">
        <f t="shared" ref="G136:G167" si="26">TRUNC(J136*J$17,2)</f>
        <v>5270.58</v>
      </c>
      <c r="H136" s="36">
        <f t="shared" ref="H136:H167" si="27">TRUNC(E136*G136,2)</f>
        <v>5270.58</v>
      </c>
      <c r="I136" s="47">
        <v>1</v>
      </c>
      <c r="J136" s="180">
        <v>4183</v>
      </c>
      <c r="K136" s="6"/>
      <c r="L136" s="6"/>
      <c r="M136" s="104"/>
      <c r="N136" s="104"/>
      <c r="O136" s="104"/>
      <c r="P136" s="105"/>
      <c r="Q136" s="106"/>
      <c r="R136" s="107"/>
    </row>
    <row r="137" spans="1:18" s="108" customFormat="1" ht="24.75" customHeight="1">
      <c r="A137" s="181" t="s">
        <v>221</v>
      </c>
      <c r="B137" s="33">
        <v>92988</v>
      </c>
      <c r="C137" s="45" t="s">
        <v>222</v>
      </c>
      <c r="D137" s="182" t="s">
        <v>28</v>
      </c>
      <c r="E137" s="36">
        <f t="shared" si="24"/>
        <v>48.9</v>
      </c>
      <c r="F137" s="36">
        <f t="shared" si="25"/>
        <v>55.87</v>
      </c>
      <c r="G137" s="36">
        <f t="shared" si="26"/>
        <v>70.39</v>
      </c>
      <c r="H137" s="36">
        <f t="shared" si="27"/>
        <v>3442.07</v>
      </c>
      <c r="I137" s="47">
        <f>(40.5+5.4+3)</f>
        <v>48.9</v>
      </c>
      <c r="J137" s="180">
        <v>55.87</v>
      </c>
      <c r="K137" s="6"/>
      <c r="L137" s="6"/>
      <c r="M137" s="104"/>
      <c r="N137" s="104"/>
      <c r="O137" s="104"/>
      <c r="P137" s="105"/>
      <c r="Q137" s="106"/>
      <c r="R137" s="107"/>
    </row>
    <row r="138" spans="1:18" s="108" customFormat="1" ht="25.5" customHeight="1">
      <c r="A138" s="181" t="s">
        <v>223</v>
      </c>
      <c r="B138" s="33">
        <v>92986</v>
      </c>
      <c r="C138" s="45" t="s">
        <v>224</v>
      </c>
      <c r="D138" s="182" t="s">
        <v>28</v>
      </c>
      <c r="E138" s="36">
        <f t="shared" si="24"/>
        <v>16.3</v>
      </c>
      <c r="F138" s="36">
        <f t="shared" si="25"/>
        <v>39.6</v>
      </c>
      <c r="G138" s="36">
        <f t="shared" si="26"/>
        <v>49.89</v>
      </c>
      <c r="H138" s="36">
        <f t="shared" si="27"/>
        <v>813.2</v>
      </c>
      <c r="I138" s="47">
        <f>(13.5+1.8+1)</f>
        <v>16.3</v>
      </c>
      <c r="J138" s="180">
        <v>39.6</v>
      </c>
      <c r="K138" s="6"/>
      <c r="L138" s="6"/>
      <c r="M138" s="104"/>
      <c r="N138" s="104"/>
      <c r="O138" s="104"/>
      <c r="P138" s="105"/>
      <c r="Q138" s="106"/>
      <c r="R138" s="107"/>
    </row>
    <row r="139" spans="1:18" s="108" customFormat="1" ht="25.5" customHeight="1">
      <c r="A139" s="181" t="s">
        <v>225</v>
      </c>
      <c r="B139" s="33">
        <v>92983</v>
      </c>
      <c r="C139" s="45" t="s">
        <v>226</v>
      </c>
      <c r="D139" s="182" t="s">
        <v>28</v>
      </c>
      <c r="E139" s="36">
        <f t="shared" si="24"/>
        <v>10</v>
      </c>
      <c r="F139" s="36">
        <f t="shared" si="25"/>
        <v>28.3</v>
      </c>
      <c r="G139" s="36">
        <f t="shared" si="26"/>
        <v>35.65</v>
      </c>
      <c r="H139" s="36">
        <f t="shared" si="27"/>
        <v>356.5</v>
      </c>
      <c r="I139" s="47">
        <f>(2.5*4)</f>
        <v>10</v>
      </c>
      <c r="J139" s="180">
        <v>28.3</v>
      </c>
      <c r="K139" s="6"/>
      <c r="L139" s="6"/>
      <c r="M139" s="104"/>
      <c r="N139" s="104"/>
      <c r="O139" s="104"/>
      <c r="P139" s="105"/>
      <c r="Q139" s="106"/>
      <c r="R139" s="107"/>
    </row>
    <row r="140" spans="1:18" s="108" customFormat="1" ht="24.75" customHeight="1">
      <c r="A140" s="181" t="s">
        <v>227</v>
      </c>
      <c r="B140" s="33">
        <v>92981</v>
      </c>
      <c r="C140" s="45" t="s">
        <v>228</v>
      </c>
      <c r="D140" s="182" t="s">
        <v>28</v>
      </c>
      <c r="E140" s="36">
        <f t="shared" si="24"/>
        <v>79.8</v>
      </c>
      <c r="F140" s="36">
        <f t="shared" si="25"/>
        <v>16.97</v>
      </c>
      <c r="G140" s="36">
        <f t="shared" si="26"/>
        <v>21.38</v>
      </c>
      <c r="H140" s="36">
        <f t="shared" si="27"/>
        <v>1706.12</v>
      </c>
      <c r="I140" s="47">
        <f>(5.2+4.5+5.93+1.82+2.5)*4</f>
        <v>79.8</v>
      </c>
      <c r="J140" s="180">
        <v>16.97</v>
      </c>
      <c r="K140" s="6"/>
      <c r="L140" s="6"/>
      <c r="M140" s="104"/>
      <c r="N140" s="104"/>
      <c r="O140" s="104"/>
      <c r="P140" s="105"/>
      <c r="Q140" s="106"/>
      <c r="R140" s="107"/>
    </row>
    <row r="141" spans="1:18" s="108" customFormat="1" ht="24.75" customHeight="1">
      <c r="A141" s="181" t="s">
        <v>229</v>
      </c>
      <c r="B141" s="33">
        <v>92979</v>
      </c>
      <c r="C141" s="45" t="s">
        <v>230</v>
      </c>
      <c r="D141" s="182" t="s">
        <v>28</v>
      </c>
      <c r="E141" s="36">
        <f t="shared" si="24"/>
        <v>44.9</v>
      </c>
      <c r="F141" s="36">
        <f t="shared" si="25"/>
        <v>11.04</v>
      </c>
      <c r="G141" s="36">
        <f t="shared" si="26"/>
        <v>13.91</v>
      </c>
      <c r="H141" s="36">
        <f t="shared" si="27"/>
        <v>624.54999999999995</v>
      </c>
      <c r="I141" s="47">
        <f>((5.2+4.5+5.93+1.82+2.5)*2)+2.5+2.5</f>
        <v>44.9</v>
      </c>
      <c r="J141" s="180">
        <v>11.04</v>
      </c>
      <c r="K141" s="6"/>
      <c r="L141" s="6"/>
      <c r="M141" s="104"/>
      <c r="N141" s="104"/>
      <c r="O141" s="104"/>
      <c r="P141" s="105"/>
      <c r="Q141" s="106"/>
      <c r="R141" s="107"/>
    </row>
    <row r="142" spans="1:18" s="108" customFormat="1" ht="24.75" customHeight="1">
      <c r="A142" s="181" t="s">
        <v>231</v>
      </c>
      <c r="B142" s="33">
        <v>91930</v>
      </c>
      <c r="C142" s="45" t="s">
        <v>232</v>
      </c>
      <c r="D142" s="182" t="s">
        <v>28</v>
      </c>
      <c r="E142" s="36">
        <f t="shared" si="24"/>
        <v>84.4</v>
      </c>
      <c r="F142" s="36">
        <f t="shared" si="25"/>
        <v>8.9700000000000006</v>
      </c>
      <c r="G142" s="36">
        <f t="shared" si="26"/>
        <v>11.3</v>
      </c>
      <c r="H142" s="36">
        <f t="shared" si="27"/>
        <v>953.72</v>
      </c>
      <c r="I142" s="47">
        <f>(11.8+11.4+2.5+2.5+1.5+1.5+11)*2</f>
        <v>84.4</v>
      </c>
      <c r="J142" s="180">
        <v>8.9700000000000006</v>
      </c>
      <c r="K142" s="6"/>
      <c r="L142" s="6"/>
      <c r="M142" s="104"/>
      <c r="N142" s="104"/>
      <c r="O142" s="104"/>
      <c r="P142" s="105"/>
      <c r="Q142" s="106"/>
      <c r="R142" s="107"/>
    </row>
    <row r="143" spans="1:18" s="108" customFormat="1" ht="23.25" customHeight="1">
      <c r="A143" s="181" t="s">
        <v>233</v>
      </c>
      <c r="B143" s="33">
        <v>91928</v>
      </c>
      <c r="C143" s="45" t="s">
        <v>234</v>
      </c>
      <c r="D143" s="182" t="s">
        <v>28</v>
      </c>
      <c r="E143" s="36">
        <f t="shared" si="24"/>
        <v>254.7</v>
      </c>
      <c r="F143" s="36">
        <f t="shared" si="25"/>
        <v>6.52</v>
      </c>
      <c r="G143" s="36">
        <f t="shared" si="26"/>
        <v>8.2100000000000009</v>
      </c>
      <c r="H143" s="36">
        <f t="shared" si="27"/>
        <v>2091.08</v>
      </c>
      <c r="I143" s="47">
        <f>(6.4+10.4+11.8+2.4+3.4+2.6+2.7+1.5+2.5+2.5+5.8+5.8+1.7+3.8+4.1+(7*2.5))*3</f>
        <v>254.7</v>
      </c>
      <c r="J143" s="180">
        <v>6.52</v>
      </c>
      <c r="K143" s="6"/>
      <c r="L143" s="6"/>
      <c r="M143" s="104"/>
      <c r="N143" s="104"/>
      <c r="O143" s="104"/>
      <c r="P143" s="105"/>
      <c r="Q143" s="106"/>
      <c r="R143" s="107"/>
    </row>
    <row r="144" spans="1:18" s="108" customFormat="1" ht="23.25" customHeight="1">
      <c r="A144" s="181" t="s">
        <v>235</v>
      </c>
      <c r="B144" s="33">
        <v>91926</v>
      </c>
      <c r="C144" s="45" t="s">
        <v>236</v>
      </c>
      <c r="D144" s="182" t="s">
        <v>28</v>
      </c>
      <c r="E144" s="36">
        <f t="shared" si="24"/>
        <v>394.68</v>
      </c>
      <c r="F144" s="36">
        <f t="shared" si="25"/>
        <v>3.89</v>
      </c>
      <c r="G144" s="36">
        <f t="shared" si="26"/>
        <v>4.9000000000000004</v>
      </c>
      <c r="H144" s="36">
        <f t="shared" si="27"/>
        <v>1933.93</v>
      </c>
      <c r="I144" s="47">
        <f>(4.2+(9*2.5)+1.6+1.5+1.72+1.5+0.94+2.05+2.15+1.2+3.09+1.8+4.05+3.77+1.8+3.2+2.3+4.3+4.1+4.89+1.5+2.1+3.2+1.9+5.3+2.5+6.09+2+5.04+3.7+2.6+3.6+3.5+3.8+3.8+5.07+3.2)*3</f>
        <v>394.67999999999995</v>
      </c>
      <c r="J144" s="180">
        <v>3.89</v>
      </c>
      <c r="K144" s="6"/>
      <c r="L144" s="6"/>
      <c r="M144" s="104"/>
      <c r="N144" s="104"/>
      <c r="O144" s="104"/>
      <c r="P144" s="105"/>
      <c r="Q144" s="106"/>
      <c r="R144" s="107"/>
    </row>
    <row r="145" spans="1:18" s="108" customFormat="1" ht="22.5" customHeight="1">
      <c r="A145" s="181" t="s">
        <v>237</v>
      </c>
      <c r="B145" s="33">
        <v>91924</v>
      </c>
      <c r="C145" s="45" t="s">
        <v>238</v>
      </c>
      <c r="D145" s="182" t="s">
        <v>28</v>
      </c>
      <c r="E145" s="36">
        <f t="shared" si="24"/>
        <v>268.41000000000003</v>
      </c>
      <c r="F145" s="36">
        <f t="shared" si="25"/>
        <v>2.61</v>
      </c>
      <c r="G145" s="36">
        <f t="shared" si="26"/>
        <v>3.28</v>
      </c>
      <c r="H145" s="36">
        <f t="shared" si="27"/>
        <v>880.38</v>
      </c>
      <c r="I145" s="47">
        <f>(4+2.5+5.5+2+3.4+7.6+4.3+6.4+2.4+2.4+9.3+3.4+3.4+3+2.3+(7*1.5)+3.2+3+1.87+1.5+7.5)*3</f>
        <v>268.40999999999997</v>
      </c>
      <c r="J145" s="180">
        <v>2.61</v>
      </c>
      <c r="K145" s="6"/>
      <c r="L145" s="6"/>
      <c r="M145" s="104"/>
      <c r="N145" s="104"/>
      <c r="O145" s="104"/>
      <c r="P145" s="105"/>
      <c r="Q145" s="106"/>
      <c r="R145" s="107"/>
    </row>
    <row r="146" spans="1:18" s="108" customFormat="1" ht="25.5" customHeight="1">
      <c r="A146" s="181" t="s">
        <v>239</v>
      </c>
      <c r="B146" s="33">
        <v>96977</v>
      </c>
      <c r="C146" s="45" t="s">
        <v>240</v>
      </c>
      <c r="D146" s="182" t="s">
        <v>28</v>
      </c>
      <c r="E146" s="36">
        <f t="shared" si="24"/>
        <v>12.3</v>
      </c>
      <c r="F146" s="36">
        <f t="shared" si="25"/>
        <v>43.24</v>
      </c>
      <c r="G146" s="36">
        <f t="shared" si="26"/>
        <v>54.48</v>
      </c>
      <c r="H146" s="36">
        <f t="shared" si="27"/>
        <v>670.1</v>
      </c>
      <c r="I146" s="47">
        <f>((2.4*3+5.1))</f>
        <v>12.299999999999999</v>
      </c>
      <c r="J146" s="180">
        <v>43.24</v>
      </c>
      <c r="K146" s="6"/>
      <c r="L146" s="6"/>
      <c r="M146" s="104"/>
      <c r="N146" s="104"/>
      <c r="O146" s="104"/>
      <c r="P146" s="105"/>
      <c r="Q146" s="106"/>
      <c r="R146" s="107"/>
    </row>
    <row r="147" spans="1:18" s="108" customFormat="1" ht="22.5" customHeight="1">
      <c r="A147" s="181" t="s">
        <v>241</v>
      </c>
      <c r="B147" s="33">
        <v>90444</v>
      </c>
      <c r="C147" s="45" t="s">
        <v>242</v>
      </c>
      <c r="D147" s="182" t="s">
        <v>28</v>
      </c>
      <c r="E147" s="36">
        <f t="shared" si="24"/>
        <v>44.99</v>
      </c>
      <c r="F147" s="36">
        <f t="shared" si="25"/>
        <v>16.73</v>
      </c>
      <c r="G147" s="36">
        <f t="shared" si="26"/>
        <v>21.07</v>
      </c>
      <c r="H147" s="36">
        <f t="shared" si="27"/>
        <v>947.93</v>
      </c>
      <c r="I147" s="47">
        <f>(5.3+3.8+3.7+2.07+1.6+2.15+9.07+0.8+(2*7.5)+1.5)</f>
        <v>44.99</v>
      </c>
      <c r="J147" s="180">
        <v>16.73</v>
      </c>
      <c r="K147" s="6"/>
      <c r="L147" s="6"/>
      <c r="M147" s="104"/>
      <c r="N147" s="104"/>
      <c r="O147" s="104"/>
      <c r="P147" s="105"/>
      <c r="Q147" s="106"/>
      <c r="R147" s="107"/>
    </row>
    <row r="148" spans="1:18" s="108" customFormat="1" ht="22.5" customHeight="1">
      <c r="A148" s="181" t="s">
        <v>243</v>
      </c>
      <c r="B148" s="33">
        <v>90447</v>
      </c>
      <c r="C148" s="45" t="s">
        <v>244</v>
      </c>
      <c r="D148" s="182" t="s">
        <v>28</v>
      </c>
      <c r="E148" s="36">
        <f t="shared" si="24"/>
        <v>60</v>
      </c>
      <c r="F148" s="36">
        <f t="shared" si="25"/>
        <v>4.42</v>
      </c>
      <c r="G148" s="36">
        <f t="shared" si="26"/>
        <v>5.56</v>
      </c>
      <c r="H148" s="36">
        <f t="shared" si="27"/>
        <v>333.6</v>
      </c>
      <c r="I148" s="47">
        <f>((11*2.2)+(2.5*6)+5+0.8+3.2+3.5+4.5+3.8)</f>
        <v>60</v>
      </c>
      <c r="J148" s="180">
        <v>4.42</v>
      </c>
      <c r="K148" s="6"/>
      <c r="L148" s="6"/>
      <c r="M148" s="104"/>
      <c r="N148" s="104"/>
      <c r="O148" s="104"/>
      <c r="P148" s="105"/>
      <c r="Q148" s="106"/>
      <c r="R148" s="107"/>
    </row>
    <row r="149" spans="1:18" s="108" customFormat="1" ht="23.25" customHeight="1">
      <c r="A149" s="181" t="s">
        <v>245</v>
      </c>
      <c r="B149" s="33">
        <v>95749</v>
      </c>
      <c r="C149" s="45" t="s">
        <v>246</v>
      </c>
      <c r="D149" s="182" t="s">
        <v>28</v>
      </c>
      <c r="E149" s="36">
        <f t="shared" si="24"/>
        <v>27.2</v>
      </c>
      <c r="F149" s="36">
        <f t="shared" si="25"/>
        <v>21.24</v>
      </c>
      <c r="G149" s="36">
        <f t="shared" si="26"/>
        <v>26.76</v>
      </c>
      <c r="H149" s="36">
        <f t="shared" si="27"/>
        <v>727.87</v>
      </c>
      <c r="I149" s="47">
        <f>(8.7+8.7+4.9+4.9)</f>
        <v>27.199999999999996</v>
      </c>
      <c r="J149" s="180">
        <v>21.24</v>
      </c>
      <c r="K149" s="6"/>
      <c r="L149" s="6"/>
      <c r="M149" s="104"/>
      <c r="N149" s="104"/>
      <c r="O149" s="104"/>
      <c r="P149" s="105"/>
      <c r="Q149" s="106"/>
      <c r="R149" s="107"/>
    </row>
    <row r="150" spans="1:18" s="108" customFormat="1" ht="33.75" customHeight="1">
      <c r="A150" s="181" t="s">
        <v>247</v>
      </c>
      <c r="B150" s="33">
        <v>95750</v>
      </c>
      <c r="C150" s="45" t="s">
        <v>248</v>
      </c>
      <c r="D150" s="182" t="s">
        <v>28</v>
      </c>
      <c r="E150" s="36">
        <f t="shared" si="24"/>
        <v>6.2</v>
      </c>
      <c r="F150" s="36">
        <f t="shared" si="25"/>
        <v>25.14</v>
      </c>
      <c r="G150" s="36">
        <f t="shared" si="26"/>
        <v>31.67</v>
      </c>
      <c r="H150" s="36">
        <f t="shared" si="27"/>
        <v>196.35</v>
      </c>
      <c r="I150" s="47">
        <v>6.2</v>
      </c>
      <c r="J150" s="180">
        <v>25.14</v>
      </c>
      <c r="K150" s="6"/>
      <c r="L150" s="6"/>
      <c r="M150" s="104"/>
      <c r="N150" s="104"/>
      <c r="O150" s="104"/>
      <c r="P150" s="105"/>
      <c r="Q150" s="106"/>
      <c r="R150" s="107"/>
    </row>
    <row r="151" spans="1:18" s="44" customFormat="1" ht="30" customHeight="1">
      <c r="A151" s="181" t="s">
        <v>249</v>
      </c>
      <c r="B151" s="33">
        <v>97669</v>
      </c>
      <c r="C151" s="45" t="s">
        <v>250</v>
      </c>
      <c r="D151" s="182" t="s">
        <v>28</v>
      </c>
      <c r="E151" s="36">
        <f t="shared" si="24"/>
        <v>16</v>
      </c>
      <c r="F151" s="36">
        <f t="shared" si="25"/>
        <v>14.79</v>
      </c>
      <c r="G151" s="36">
        <f t="shared" si="26"/>
        <v>18.63</v>
      </c>
      <c r="H151" s="36">
        <f t="shared" si="27"/>
        <v>298.08</v>
      </c>
      <c r="I151" s="47">
        <v>16</v>
      </c>
      <c r="J151" s="180">
        <v>14.79</v>
      </c>
      <c r="K151" s="47"/>
      <c r="L151" s="47"/>
      <c r="M151" s="41"/>
      <c r="N151" s="41"/>
      <c r="O151" s="41"/>
      <c r="P151" s="42"/>
      <c r="Q151" s="43"/>
      <c r="R151" s="76"/>
    </row>
    <row r="152" spans="1:18" s="44" customFormat="1" ht="25.5" customHeight="1">
      <c r="A152" s="181" t="s">
        <v>251</v>
      </c>
      <c r="B152" s="33">
        <v>91854</v>
      </c>
      <c r="C152" s="45" t="s">
        <v>252</v>
      </c>
      <c r="D152" s="182" t="s">
        <v>28</v>
      </c>
      <c r="E152" s="36">
        <f t="shared" si="24"/>
        <v>112</v>
      </c>
      <c r="F152" s="36">
        <f t="shared" si="25"/>
        <v>6.47</v>
      </c>
      <c r="G152" s="36">
        <f t="shared" si="26"/>
        <v>8.15</v>
      </c>
      <c r="H152" s="36">
        <f t="shared" si="27"/>
        <v>912.8</v>
      </c>
      <c r="I152" s="47">
        <v>112</v>
      </c>
      <c r="J152" s="180">
        <v>6.47</v>
      </c>
      <c r="K152" s="47"/>
      <c r="L152" s="47">
        <f>202-136</f>
        <v>66</v>
      </c>
      <c r="M152" s="41"/>
      <c r="N152" s="41"/>
      <c r="O152" s="41"/>
      <c r="P152" s="42"/>
      <c r="Q152" s="43"/>
      <c r="R152" s="76"/>
    </row>
    <row r="153" spans="1:18" s="44" customFormat="1" ht="25.5" customHeight="1">
      <c r="A153" s="181" t="s">
        <v>253</v>
      </c>
      <c r="B153" s="33">
        <v>95778</v>
      </c>
      <c r="C153" s="45" t="s">
        <v>254</v>
      </c>
      <c r="D153" s="182" t="s">
        <v>31</v>
      </c>
      <c r="E153" s="36">
        <f t="shared" si="24"/>
        <v>13</v>
      </c>
      <c r="F153" s="36">
        <f t="shared" si="25"/>
        <v>20.98</v>
      </c>
      <c r="G153" s="36">
        <f t="shared" si="26"/>
        <v>26.43</v>
      </c>
      <c r="H153" s="36">
        <f t="shared" si="27"/>
        <v>343.59</v>
      </c>
      <c r="I153" s="47">
        <v>13</v>
      </c>
      <c r="J153" s="180">
        <v>20.98</v>
      </c>
      <c r="K153" s="47"/>
      <c r="L153" s="47"/>
      <c r="M153" s="41"/>
      <c r="N153" s="41"/>
      <c r="O153" s="41"/>
      <c r="P153" s="42"/>
      <c r="Q153" s="43"/>
      <c r="R153" s="76"/>
    </row>
    <row r="154" spans="1:18" s="44" customFormat="1" ht="25.5" customHeight="1">
      <c r="A154" s="181" t="s">
        <v>255</v>
      </c>
      <c r="B154" s="33" t="s">
        <v>218</v>
      </c>
      <c r="C154" s="45" t="s">
        <v>256</v>
      </c>
      <c r="D154" s="182" t="s">
        <v>31</v>
      </c>
      <c r="E154" s="36">
        <f t="shared" si="24"/>
        <v>6</v>
      </c>
      <c r="F154" s="36">
        <f t="shared" si="25"/>
        <v>65.14</v>
      </c>
      <c r="G154" s="36">
        <f t="shared" si="26"/>
        <v>82.07</v>
      </c>
      <c r="H154" s="36">
        <f t="shared" si="27"/>
        <v>492.42</v>
      </c>
      <c r="I154" s="47">
        <v>6</v>
      </c>
      <c r="J154" s="180">
        <v>65.14</v>
      </c>
      <c r="K154" s="47"/>
      <c r="L154" s="47"/>
      <c r="M154" s="41"/>
      <c r="N154" s="41"/>
      <c r="O154" s="41"/>
      <c r="P154" s="42"/>
      <c r="Q154" s="43"/>
      <c r="R154" s="76"/>
    </row>
    <row r="155" spans="1:18" s="44" customFormat="1" ht="25.5" customHeight="1">
      <c r="A155" s="181" t="s">
        <v>257</v>
      </c>
      <c r="B155" s="33">
        <v>92008</v>
      </c>
      <c r="C155" s="45" t="s">
        <v>258</v>
      </c>
      <c r="D155" s="182" t="s">
        <v>31</v>
      </c>
      <c r="E155" s="36">
        <f t="shared" si="24"/>
        <v>33</v>
      </c>
      <c r="F155" s="36">
        <f t="shared" si="25"/>
        <v>31.74</v>
      </c>
      <c r="G155" s="36">
        <f t="shared" si="26"/>
        <v>39.99</v>
      </c>
      <c r="H155" s="36">
        <f t="shared" si="27"/>
        <v>1319.67</v>
      </c>
      <c r="I155" s="47">
        <v>33</v>
      </c>
      <c r="J155" s="180">
        <v>31.74</v>
      </c>
      <c r="K155" s="47"/>
      <c r="L155" s="47"/>
      <c r="M155" s="41"/>
      <c r="N155" s="41"/>
      <c r="O155" s="41"/>
      <c r="P155" s="42"/>
      <c r="Q155" s="43"/>
      <c r="R155" s="76"/>
    </row>
    <row r="156" spans="1:18" s="44" customFormat="1" ht="25.5" customHeight="1">
      <c r="A156" s="181" t="s">
        <v>259</v>
      </c>
      <c r="B156" s="33">
        <v>92004</v>
      </c>
      <c r="C156" s="45" t="s">
        <v>260</v>
      </c>
      <c r="D156" s="182" t="s">
        <v>31</v>
      </c>
      <c r="E156" s="36">
        <f t="shared" si="24"/>
        <v>8</v>
      </c>
      <c r="F156" s="36">
        <f t="shared" si="25"/>
        <v>36.46</v>
      </c>
      <c r="G156" s="36">
        <f t="shared" si="26"/>
        <v>45.93</v>
      </c>
      <c r="H156" s="36">
        <f t="shared" si="27"/>
        <v>367.44</v>
      </c>
      <c r="I156" s="47">
        <v>8</v>
      </c>
      <c r="J156" s="180">
        <v>36.46</v>
      </c>
      <c r="K156" s="47"/>
      <c r="L156" s="47"/>
      <c r="M156" s="41"/>
      <c r="N156" s="41"/>
      <c r="O156" s="41"/>
      <c r="P156" s="42"/>
      <c r="Q156" s="43"/>
      <c r="R156" s="76"/>
    </row>
    <row r="157" spans="1:18" s="44" customFormat="1" ht="25.5" customHeight="1">
      <c r="A157" s="181" t="s">
        <v>261</v>
      </c>
      <c r="B157" s="33">
        <v>92005</v>
      </c>
      <c r="C157" s="45" t="s">
        <v>262</v>
      </c>
      <c r="D157" s="182" t="s">
        <v>31</v>
      </c>
      <c r="E157" s="36">
        <f t="shared" si="24"/>
        <v>1</v>
      </c>
      <c r="F157" s="36">
        <f t="shared" si="25"/>
        <v>40</v>
      </c>
      <c r="G157" s="36">
        <f t="shared" si="26"/>
        <v>50.4</v>
      </c>
      <c r="H157" s="36">
        <f t="shared" si="27"/>
        <v>50.4</v>
      </c>
      <c r="I157" s="47">
        <v>1</v>
      </c>
      <c r="J157" s="180">
        <v>40</v>
      </c>
      <c r="K157" s="47"/>
      <c r="L157" s="47"/>
      <c r="M157" s="41"/>
      <c r="N157" s="41"/>
      <c r="O157" s="41"/>
      <c r="P157" s="42"/>
      <c r="Q157" s="43"/>
      <c r="R157" s="76"/>
    </row>
    <row r="158" spans="1:18" s="44" customFormat="1" ht="25.5" customHeight="1">
      <c r="A158" s="181" t="s">
        <v>263</v>
      </c>
      <c r="B158" s="33">
        <v>91996</v>
      </c>
      <c r="C158" s="45" t="s">
        <v>264</v>
      </c>
      <c r="D158" s="182" t="s">
        <v>31</v>
      </c>
      <c r="E158" s="36">
        <f t="shared" si="24"/>
        <v>4</v>
      </c>
      <c r="F158" s="36">
        <f t="shared" si="25"/>
        <v>22.13</v>
      </c>
      <c r="G158" s="36">
        <f t="shared" si="26"/>
        <v>27.88</v>
      </c>
      <c r="H158" s="36">
        <f t="shared" si="27"/>
        <v>111.52</v>
      </c>
      <c r="I158" s="47">
        <v>4</v>
      </c>
      <c r="J158" s="180">
        <v>22.13</v>
      </c>
      <c r="K158" s="47"/>
      <c r="L158" s="47"/>
      <c r="M158" s="41"/>
      <c r="N158" s="41"/>
      <c r="O158" s="41"/>
      <c r="P158" s="42"/>
      <c r="Q158" s="43"/>
      <c r="R158" s="76"/>
    </row>
    <row r="159" spans="1:18" s="44" customFormat="1" ht="25.5" customHeight="1">
      <c r="A159" s="181" t="s">
        <v>265</v>
      </c>
      <c r="B159" s="33">
        <v>91992</v>
      </c>
      <c r="C159" s="45" t="s">
        <v>266</v>
      </c>
      <c r="D159" s="182" t="s">
        <v>31</v>
      </c>
      <c r="E159" s="36">
        <f t="shared" si="24"/>
        <v>7</v>
      </c>
      <c r="F159" s="36">
        <f t="shared" si="25"/>
        <v>28.2</v>
      </c>
      <c r="G159" s="36">
        <f t="shared" si="26"/>
        <v>35.53</v>
      </c>
      <c r="H159" s="36">
        <f t="shared" si="27"/>
        <v>248.71</v>
      </c>
      <c r="I159" s="47">
        <v>7</v>
      </c>
      <c r="J159" s="180">
        <v>28.2</v>
      </c>
      <c r="K159" s="47"/>
      <c r="L159" s="47"/>
      <c r="M159" s="41"/>
      <c r="N159" s="41"/>
      <c r="O159" s="41"/>
      <c r="P159" s="42"/>
      <c r="Q159" s="43"/>
      <c r="R159" s="76"/>
    </row>
    <row r="160" spans="1:18" s="44" customFormat="1" ht="25.5" customHeight="1">
      <c r="A160" s="181" t="s">
        <v>267</v>
      </c>
      <c r="B160" s="33">
        <v>91953</v>
      </c>
      <c r="C160" s="45" t="s">
        <v>268</v>
      </c>
      <c r="D160" s="182" t="s">
        <v>31</v>
      </c>
      <c r="E160" s="36">
        <f t="shared" si="24"/>
        <v>11</v>
      </c>
      <c r="F160" s="36">
        <f t="shared" si="25"/>
        <v>18.68</v>
      </c>
      <c r="G160" s="36">
        <f t="shared" si="26"/>
        <v>23.53</v>
      </c>
      <c r="H160" s="36">
        <f t="shared" si="27"/>
        <v>258.83</v>
      </c>
      <c r="I160" s="47">
        <v>11</v>
      </c>
      <c r="J160" s="180">
        <v>18.68</v>
      </c>
      <c r="K160" s="47"/>
      <c r="L160" s="47"/>
      <c r="M160" s="41"/>
      <c r="N160" s="41"/>
      <c r="O160" s="41"/>
      <c r="P160" s="42"/>
      <c r="Q160" s="43"/>
      <c r="R160" s="76"/>
    </row>
    <row r="161" spans="1:18" s="44" customFormat="1" ht="25.5" customHeight="1">
      <c r="A161" s="181" t="s">
        <v>269</v>
      </c>
      <c r="B161" s="33">
        <v>91955</v>
      </c>
      <c r="C161" s="45" t="s">
        <v>270</v>
      </c>
      <c r="D161" s="182" t="s">
        <v>31</v>
      </c>
      <c r="E161" s="36">
        <f t="shared" si="24"/>
        <v>2</v>
      </c>
      <c r="F161" s="36">
        <f t="shared" si="25"/>
        <v>23.04</v>
      </c>
      <c r="G161" s="36">
        <f t="shared" si="26"/>
        <v>29.03</v>
      </c>
      <c r="H161" s="36">
        <f t="shared" si="27"/>
        <v>58.06</v>
      </c>
      <c r="I161" s="47">
        <v>2</v>
      </c>
      <c r="J161" s="180">
        <v>23.04</v>
      </c>
      <c r="K161" s="47"/>
      <c r="L161" s="47"/>
      <c r="M161" s="41"/>
      <c r="N161" s="41"/>
      <c r="O161" s="41"/>
      <c r="P161" s="42"/>
      <c r="Q161" s="43"/>
      <c r="R161" s="76"/>
    </row>
    <row r="162" spans="1:18" s="44" customFormat="1" ht="25.5" customHeight="1">
      <c r="A162" s="181" t="s">
        <v>271</v>
      </c>
      <c r="B162" s="33">
        <v>91965</v>
      </c>
      <c r="C162" s="45" t="s">
        <v>272</v>
      </c>
      <c r="D162" s="182" t="s">
        <v>31</v>
      </c>
      <c r="E162" s="36">
        <f t="shared" si="24"/>
        <v>4</v>
      </c>
      <c r="F162" s="36">
        <f t="shared" si="25"/>
        <v>44.82</v>
      </c>
      <c r="G162" s="36">
        <f t="shared" si="26"/>
        <v>56.47</v>
      </c>
      <c r="H162" s="36">
        <f t="shared" si="27"/>
        <v>225.88</v>
      </c>
      <c r="I162" s="47">
        <v>4</v>
      </c>
      <c r="J162" s="180">
        <v>44.82</v>
      </c>
      <c r="K162" s="47"/>
      <c r="L162" s="47"/>
      <c r="M162" s="41"/>
      <c r="N162" s="41"/>
      <c r="O162" s="41"/>
      <c r="P162" s="42"/>
      <c r="Q162" s="43"/>
      <c r="R162" s="76"/>
    </row>
    <row r="163" spans="1:18" s="44" customFormat="1" ht="25.5" customHeight="1">
      <c r="A163" s="181" t="s">
        <v>273</v>
      </c>
      <c r="B163" s="33">
        <v>91969</v>
      </c>
      <c r="C163" s="45" t="s">
        <v>274</v>
      </c>
      <c r="D163" s="182" t="s">
        <v>31</v>
      </c>
      <c r="E163" s="36">
        <f t="shared" si="24"/>
        <v>1</v>
      </c>
      <c r="F163" s="36">
        <f t="shared" si="25"/>
        <v>53.51</v>
      </c>
      <c r="G163" s="36">
        <f t="shared" si="26"/>
        <v>67.42</v>
      </c>
      <c r="H163" s="36">
        <f t="shared" si="27"/>
        <v>67.42</v>
      </c>
      <c r="I163" s="47">
        <v>1</v>
      </c>
      <c r="J163" s="180">
        <v>53.51</v>
      </c>
      <c r="K163" s="47"/>
      <c r="L163" s="47"/>
      <c r="M163" s="41"/>
      <c r="N163" s="41"/>
      <c r="O163" s="41"/>
      <c r="P163" s="42"/>
      <c r="Q163" s="43"/>
      <c r="R163" s="76"/>
    </row>
    <row r="164" spans="1:18" s="44" customFormat="1" ht="25.5" customHeight="1">
      <c r="A164" s="181" t="s">
        <v>275</v>
      </c>
      <c r="B164" s="33" t="s">
        <v>218</v>
      </c>
      <c r="C164" s="45" t="s">
        <v>276</v>
      </c>
      <c r="D164" s="182" t="s">
        <v>187</v>
      </c>
      <c r="E164" s="36">
        <f t="shared" si="24"/>
        <v>36</v>
      </c>
      <c r="F164" s="36">
        <f t="shared" si="25"/>
        <v>81.150000000000006</v>
      </c>
      <c r="G164" s="36">
        <f t="shared" si="26"/>
        <v>102.24</v>
      </c>
      <c r="H164" s="36">
        <f t="shared" si="27"/>
        <v>3680.64</v>
      </c>
      <c r="I164" s="47">
        <v>36</v>
      </c>
      <c r="J164" s="180">
        <v>81.150000000000006</v>
      </c>
      <c r="K164" s="47"/>
      <c r="L164" s="47"/>
      <c r="M164" s="41"/>
      <c r="N164" s="41"/>
      <c r="O164" s="41"/>
      <c r="P164" s="42"/>
      <c r="Q164" s="43"/>
      <c r="R164" s="76"/>
    </row>
    <row r="165" spans="1:18" s="44" customFormat="1" ht="25.5" customHeight="1">
      <c r="A165" s="181" t="s">
        <v>277</v>
      </c>
      <c r="B165" s="33">
        <v>97599</v>
      </c>
      <c r="C165" s="45" t="s">
        <v>278</v>
      </c>
      <c r="D165" s="182" t="s">
        <v>31</v>
      </c>
      <c r="E165" s="36">
        <f t="shared" si="24"/>
        <v>7</v>
      </c>
      <c r="F165" s="36">
        <f t="shared" si="25"/>
        <v>21.88</v>
      </c>
      <c r="G165" s="36">
        <f t="shared" si="26"/>
        <v>27.56</v>
      </c>
      <c r="H165" s="36">
        <f t="shared" si="27"/>
        <v>192.92</v>
      </c>
      <c r="I165" s="47">
        <v>7</v>
      </c>
      <c r="J165" s="180">
        <v>21.88</v>
      </c>
      <c r="K165" s="47"/>
      <c r="L165" s="47"/>
      <c r="M165" s="41"/>
      <c r="N165" s="41"/>
      <c r="O165" s="41"/>
      <c r="P165" s="42"/>
      <c r="Q165" s="43"/>
      <c r="R165" s="76"/>
    </row>
    <row r="166" spans="1:18" s="44" customFormat="1" ht="25.5" customHeight="1">
      <c r="A166" s="181" t="s">
        <v>279</v>
      </c>
      <c r="B166" s="33">
        <v>97592</v>
      </c>
      <c r="C166" s="45" t="s">
        <v>280</v>
      </c>
      <c r="D166" s="182" t="s">
        <v>31</v>
      </c>
      <c r="E166" s="36">
        <f t="shared" si="24"/>
        <v>5</v>
      </c>
      <c r="F166" s="36">
        <f t="shared" si="25"/>
        <v>28.97</v>
      </c>
      <c r="G166" s="36">
        <f t="shared" si="26"/>
        <v>36.5</v>
      </c>
      <c r="H166" s="36">
        <f t="shared" si="27"/>
        <v>182.5</v>
      </c>
      <c r="I166" s="47">
        <v>5</v>
      </c>
      <c r="J166" s="180">
        <v>28.97</v>
      </c>
      <c r="K166" s="47"/>
      <c r="L166" s="47"/>
      <c r="M166" s="41"/>
      <c r="N166" s="41"/>
      <c r="O166" s="41"/>
      <c r="P166" s="42"/>
      <c r="Q166" s="43"/>
      <c r="R166" s="76"/>
    </row>
    <row r="167" spans="1:18" s="44" customFormat="1" ht="25.5" customHeight="1">
      <c r="A167" s="181" t="s">
        <v>281</v>
      </c>
      <c r="B167" s="33" t="s">
        <v>218</v>
      </c>
      <c r="C167" s="45" t="s">
        <v>282</v>
      </c>
      <c r="D167" s="182" t="s">
        <v>31</v>
      </c>
      <c r="E167" s="36">
        <f t="shared" si="24"/>
        <v>6</v>
      </c>
      <c r="F167" s="36">
        <f t="shared" si="25"/>
        <v>106.28</v>
      </c>
      <c r="G167" s="36">
        <f t="shared" si="26"/>
        <v>133.91</v>
      </c>
      <c r="H167" s="36">
        <f t="shared" si="27"/>
        <v>803.46</v>
      </c>
      <c r="I167" s="47">
        <v>6</v>
      </c>
      <c r="J167" s="180">
        <v>106.28</v>
      </c>
      <c r="K167" s="47"/>
      <c r="L167" s="47"/>
      <c r="M167" s="41"/>
      <c r="N167" s="41"/>
      <c r="O167" s="41"/>
      <c r="P167" s="42"/>
      <c r="Q167" s="43"/>
      <c r="R167" s="76"/>
    </row>
    <row r="168" spans="1:18" s="44" customFormat="1" ht="25.5" customHeight="1">
      <c r="A168" s="181" t="s">
        <v>283</v>
      </c>
      <c r="B168" s="33" t="s">
        <v>218</v>
      </c>
      <c r="C168" s="45" t="s">
        <v>284</v>
      </c>
      <c r="D168" s="182" t="s">
        <v>31</v>
      </c>
      <c r="E168" s="36">
        <f t="shared" ref="E168:E196" si="28">TRUNC(I168,2)</f>
        <v>8</v>
      </c>
      <c r="F168" s="36">
        <f t="shared" ref="F168:F196" si="29">J168</f>
        <v>57.41</v>
      </c>
      <c r="G168" s="36">
        <f t="shared" ref="G168:G196" si="30">TRUNC(J168*J$17,2)</f>
        <v>72.33</v>
      </c>
      <c r="H168" s="36">
        <f t="shared" ref="H168:H199" si="31">TRUNC(E168*G168,2)</f>
        <v>578.64</v>
      </c>
      <c r="I168" s="47">
        <v>8</v>
      </c>
      <c r="J168" s="180">
        <v>57.41</v>
      </c>
      <c r="K168" s="47"/>
      <c r="L168" s="47"/>
      <c r="M168" s="41"/>
      <c r="N168" s="41"/>
      <c r="O168" s="41"/>
      <c r="P168" s="42"/>
      <c r="Q168" s="43"/>
      <c r="R168" s="76"/>
    </row>
    <row r="169" spans="1:18" s="44" customFormat="1" ht="25.5" customHeight="1">
      <c r="A169" s="181" t="s">
        <v>285</v>
      </c>
      <c r="B169" s="33">
        <v>101894</v>
      </c>
      <c r="C169" s="45" t="s">
        <v>286</v>
      </c>
      <c r="D169" s="182" t="s">
        <v>31</v>
      </c>
      <c r="E169" s="36">
        <f t="shared" si="28"/>
        <v>1</v>
      </c>
      <c r="F169" s="36">
        <f t="shared" si="29"/>
        <v>1470.08</v>
      </c>
      <c r="G169" s="36">
        <f t="shared" si="30"/>
        <v>1852.3</v>
      </c>
      <c r="H169" s="36">
        <f t="shared" si="31"/>
        <v>1852.3</v>
      </c>
      <c r="I169" s="47">
        <v>1</v>
      </c>
      <c r="J169" s="180">
        <v>1470.08</v>
      </c>
      <c r="K169" s="47"/>
      <c r="L169" s="47"/>
      <c r="M169" s="41"/>
      <c r="N169" s="41"/>
      <c r="O169" s="41"/>
      <c r="P169" s="42"/>
      <c r="Q169" s="43"/>
      <c r="R169" s="76"/>
    </row>
    <row r="170" spans="1:18" s="44" customFormat="1" ht="25.5" customHeight="1">
      <c r="A170" s="181" t="s">
        <v>287</v>
      </c>
      <c r="B170" s="33" t="s">
        <v>218</v>
      </c>
      <c r="C170" s="45" t="s">
        <v>288</v>
      </c>
      <c r="D170" s="182" t="s">
        <v>31</v>
      </c>
      <c r="E170" s="36">
        <f t="shared" si="28"/>
        <v>4</v>
      </c>
      <c r="F170" s="36">
        <f t="shared" si="29"/>
        <v>103.77</v>
      </c>
      <c r="G170" s="36">
        <f t="shared" si="30"/>
        <v>130.75</v>
      </c>
      <c r="H170" s="36">
        <f t="shared" si="31"/>
        <v>523</v>
      </c>
      <c r="I170" s="47">
        <v>4</v>
      </c>
      <c r="J170" s="180">
        <v>103.77</v>
      </c>
      <c r="K170" s="47"/>
      <c r="L170" s="47"/>
      <c r="M170" s="41"/>
      <c r="N170" s="41"/>
      <c r="O170" s="41"/>
      <c r="P170" s="42"/>
      <c r="Q170" s="43"/>
      <c r="R170" s="76"/>
    </row>
    <row r="171" spans="1:18" s="44" customFormat="1" ht="25.5" customHeight="1">
      <c r="A171" s="181" t="s">
        <v>289</v>
      </c>
      <c r="B171" s="33">
        <v>93673</v>
      </c>
      <c r="C171" s="45" t="s">
        <v>290</v>
      </c>
      <c r="D171" s="182" t="s">
        <v>31</v>
      </c>
      <c r="E171" s="36">
        <f t="shared" si="28"/>
        <v>2</v>
      </c>
      <c r="F171" s="36">
        <f t="shared" si="29"/>
        <v>89.09</v>
      </c>
      <c r="G171" s="36">
        <f t="shared" si="30"/>
        <v>112.25</v>
      </c>
      <c r="H171" s="36">
        <f t="shared" si="31"/>
        <v>224.5</v>
      </c>
      <c r="I171" s="47">
        <v>2</v>
      </c>
      <c r="J171" s="180">
        <v>89.09</v>
      </c>
      <c r="K171" s="47"/>
      <c r="L171" s="47"/>
      <c r="M171" s="41"/>
      <c r="N171" s="41"/>
      <c r="O171" s="41"/>
      <c r="P171" s="42"/>
      <c r="Q171" s="43"/>
      <c r="R171" s="76"/>
    </row>
    <row r="172" spans="1:18" s="44" customFormat="1" ht="25.5" customHeight="1">
      <c r="A172" s="181" t="s">
        <v>291</v>
      </c>
      <c r="B172" s="33">
        <v>93653</v>
      </c>
      <c r="C172" s="45" t="s">
        <v>292</v>
      </c>
      <c r="D172" s="182" t="s">
        <v>31</v>
      </c>
      <c r="E172" s="36">
        <f t="shared" si="28"/>
        <v>4</v>
      </c>
      <c r="F172" s="36">
        <f t="shared" si="29"/>
        <v>11.32</v>
      </c>
      <c r="G172" s="36">
        <f t="shared" si="30"/>
        <v>14.26</v>
      </c>
      <c r="H172" s="36">
        <f t="shared" si="31"/>
        <v>57.04</v>
      </c>
      <c r="I172" s="47">
        <v>4</v>
      </c>
      <c r="J172" s="180">
        <v>11.32</v>
      </c>
      <c r="K172" s="47"/>
      <c r="L172" s="47"/>
      <c r="M172" s="41"/>
      <c r="N172" s="41"/>
      <c r="O172" s="41"/>
      <c r="P172" s="42"/>
      <c r="Q172" s="43"/>
      <c r="R172" s="76"/>
    </row>
    <row r="173" spans="1:18" s="44" customFormat="1" ht="25.5" customHeight="1">
      <c r="A173" s="181" t="s">
        <v>293</v>
      </c>
      <c r="B173" s="33">
        <v>93654</v>
      </c>
      <c r="C173" s="45" t="s">
        <v>294</v>
      </c>
      <c r="D173" s="182" t="s">
        <v>31</v>
      </c>
      <c r="E173" s="36">
        <f t="shared" si="28"/>
        <v>5</v>
      </c>
      <c r="F173" s="36">
        <f t="shared" si="29"/>
        <v>11.72</v>
      </c>
      <c r="G173" s="36">
        <f t="shared" si="30"/>
        <v>14.76</v>
      </c>
      <c r="H173" s="36">
        <f t="shared" si="31"/>
        <v>73.8</v>
      </c>
      <c r="I173" s="47">
        <v>5</v>
      </c>
      <c r="J173" s="180">
        <v>11.72</v>
      </c>
      <c r="K173" s="47"/>
      <c r="L173" s="47"/>
      <c r="M173" s="41"/>
      <c r="N173" s="41"/>
      <c r="O173" s="41"/>
      <c r="P173" s="42"/>
      <c r="Q173" s="43"/>
      <c r="R173" s="76"/>
    </row>
    <row r="174" spans="1:18" s="44" customFormat="1" ht="25.5" customHeight="1">
      <c r="A174" s="181" t="s">
        <v>295</v>
      </c>
      <c r="B174" s="33">
        <v>93655</v>
      </c>
      <c r="C174" s="45" t="s">
        <v>296</v>
      </c>
      <c r="D174" s="182" t="s">
        <v>31</v>
      </c>
      <c r="E174" s="36">
        <f t="shared" si="28"/>
        <v>3</v>
      </c>
      <c r="F174" s="36">
        <f t="shared" si="29"/>
        <v>12.56</v>
      </c>
      <c r="G174" s="36">
        <f t="shared" si="30"/>
        <v>15.82</v>
      </c>
      <c r="H174" s="36">
        <f t="shared" si="31"/>
        <v>47.46</v>
      </c>
      <c r="I174" s="47">
        <v>3</v>
      </c>
      <c r="J174" s="180">
        <v>12.56</v>
      </c>
      <c r="K174" s="47"/>
      <c r="L174" s="47"/>
      <c r="M174" s="41"/>
      <c r="N174" s="41"/>
      <c r="O174" s="41"/>
      <c r="P174" s="42"/>
      <c r="Q174" s="43"/>
      <c r="R174" s="76"/>
    </row>
    <row r="175" spans="1:18" s="44" customFormat="1" ht="25.5" customHeight="1">
      <c r="A175" s="181" t="s">
        <v>297</v>
      </c>
      <c r="B175" s="33">
        <v>93656</v>
      </c>
      <c r="C175" s="45" t="s">
        <v>298</v>
      </c>
      <c r="D175" s="182" t="s">
        <v>31</v>
      </c>
      <c r="E175" s="36">
        <f t="shared" si="28"/>
        <v>2</v>
      </c>
      <c r="F175" s="36">
        <f t="shared" si="29"/>
        <v>12.56</v>
      </c>
      <c r="G175" s="36">
        <f t="shared" si="30"/>
        <v>15.82</v>
      </c>
      <c r="H175" s="36">
        <f t="shared" si="31"/>
        <v>31.64</v>
      </c>
      <c r="I175" s="47">
        <v>2</v>
      </c>
      <c r="J175" s="180">
        <v>12.56</v>
      </c>
      <c r="K175" s="47"/>
      <c r="L175" s="47"/>
      <c r="M175" s="41"/>
      <c r="N175" s="41"/>
      <c r="O175" s="41"/>
      <c r="P175" s="42"/>
      <c r="Q175" s="43"/>
      <c r="R175" s="76"/>
    </row>
    <row r="176" spans="1:18" s="44" customFormat="1" ht="25.5" customHeight="1">
      <c r="A176" s="181" t="s">
        <v>299</v>
      </c>
      <c r="B176" s="33">
        <v>93661</v>
      </c>
      <c r="C176" s="45" t="s">
        <v>300</v>
      </c>
      <c r="D176" s="182" t="s">
        <v>31</v>
      </c>
      <c r="E176" s="36">
        <f t="shared" si="28"/>
        <v>2</v>
      </c>
      <c r="F176" s="36">
        <f t="shared" si="29"/>
        <v>58.6</v>
      </c>
      <c r="G176" s="36">
        <f t="shared" si="30"/>
        <v>73.83</v>
      </c>
      <c r="H176" s="36">
        <f t="shared" si="31"/>
        <v>147.66</v>
      </c>
      <c r="I176" s="47">
        <v>2</v>
      </c>
      <c r="J176" s="180">
        <v>58.6</v>
      </c>
      <c r="K176" s="47"/>
      <c r="L176" s="47"/>
      <c r="M176" s="41"/>
      <c r="N176" s="41"/>
      <c r="O176" s="41"/>
      <c r="P176" s="42"/>
      <c r="Q176" s="43"/>
      <c r="R176" s="76"/>
    </row>
    <row r="177" spans="1:18" s="44" customFormat="1" ht="25.5" customHeight="1">
      <c r="A177" s="181" t="s">
        <v>301</v>
      </c>
      <c r="B177" s="33">
        <v>93662</v>
      </c>
      <c r="C177" s="45" t="s">
        <v>302</v>
      </c>
      <c r="D177" s="182" t="s">
        <v>31</v>
      </c>
      <c r="E177" s="36">
        <f t="shared" si="28"/>
        <v>9</v>
      </c>
      <c r="F177" s="36">
        <f t="shared" si="29"/>
        <v>60.28</v>
      </c>
      <c r="G177" s="36">
        <f t="shared" si="30"/>
        <v>75.95</v>
      </c>
      <c r="H177" s="36">
        <f t="shared" si="31"/>
        <v>683.55</v>
      </c>
      <c r="I177" s="47">
        <v>9</v>
      </c>
      <c r="J177" s="180">
        <v>60.28</v>
      </c>
      <c r="K177" s="47"/>
      <c r="L177" s="47"/>
      <c r="M177" s="41"/>
      <c r="N177" s="41"/>
      <c r="O177" s="41"/>
      <c r="P177" s="42"/>
      <c r="Q177" s="43"/>
      <c r="R177" s="76"/>
    </row>
    <row r="178" spans="1:18" s="44" customFormat="1" ht="25.5" customHeight="1">
      <c r="A178" s="181" t="s">
        <v>303</v>
      </c>
      <c r="B178" s="33">
        <v>93664</v>
      </c>
      <c r="C178" s="45" t="s">
        <v>304</v>
      </c>
      <c r="D178" s="182" t="s">
        <v>31</v>
      </c>
      <c r="E178" s="36">
        <f t="shared" si="28"/>
        <v>4</v>
      </c>
      <c r="F178" s="36">
        <f t="shared" si="29"/>
        <v>62.27</v>
      </c>
      <c r="G178" s="36">
        <f t="shared" si="30"/>
        <v>78.459999999999994</v>
      </c>
      <c r="H178" s="36">
        <f t="shared" si="31"/>
        <v>313.83999999999997</v>
      </c>
      <c r="I178" s="47">
        <v>4</v>
      </c>
      <c r="J178" s="180">
        <v>62.27</v>
      </c>
      <c r="K178" s="47"/>
      <c r="L178" s="47"/>
      <c r="M178" s="41"/>
      <c r="N178" s="41"/>
      <c r="O178" s="41"/>
      <c r="P178" s="42"/>
      <c r="Q178" s="43"/>
      <c r="R178" s="76"/>
    </row>
    <row r="179" spans="1:18" s="44" customFormat="1" ht="25.5" customHeight="1">
      <c r="A179" s="181" t="s">
        <v>305</v>
      </c>
      <c r="B179" s="33" t="s">
        <v>218</v>
      </c>
      <c r="C179" s="45" t="s">
        <v>306</v>
      </c>
      <c r="D179" s="182" t="s">
        <v>31</v>
      </c>
      <c r="E179" s="36">
        <f t="shared" si="28"/>
        <v>1</v>
      </c>
      <c r="F179" s="36">
        <f t="shared" si="29"/>
        <v>169.56</v>
      </c>
      <c r="G179" s="36">
        <f t="shared" si="30"/>
        <v>213.64</v>
      </c>
      <c r="H179" s="36">
        <f t="shared" si="31"/>
        <v>213.64</v>
      </c>
      <c r="I179" s="47">
        <v>1</v>
      </c>
      <c r="J179" s="180">
        <v>169.56</v>
      </c>
      <c r="K179" s="47"/>
      <c r="L179" s="47"/>
      <c r="M179" s="41"/>
      <c r="N179" s="41"/>
      <c r="O179" s="41"/>
      <c r="P179" s="42"/>
      <c r="Q179" s="43"/>
      <c r="R179" s="76"/>
    </row>
    <row r="180" spans="1:18" s="44" customFormat="1" ht="25.5" customHeight="1">
      <c r="A180" s="181" t="s">
        <v>307</v>
      </c>
      <c r="B180" s="33" t="s">
        <v>218</v>
      </c>
      <c r="C180" s="45" t="s">
        <v>308</v>
      </c>
      <c r="D180" s="182" t="s">
        <v>31</v>
      </c>
      <c r="E180" s="36">
        <f t="shared" si="28"/>
        <v>11</v>
      </c>
      <c r="F180" s="36">
        <f t="shared" si="29"/>
        <v>109.02</v>
      </c>
      <c r="G180" s="36">
        <f t="shared" si="30"/>
        <v>137.36000000000001</v>
      </c>
      <c r="H180" s="36">
        <f t="shared" si="31"/>
        <v>1510.96</v>
      </c>
      <c r="I180" s="47">
        <v>11</v>
      </c>
      <c r="J180" s="180">
        <v>109.02</v>
      </c>
      <c r="K180" s="47"/>
      <c r="L180" s="47"/>
      <c r="M180" s="41"/>
      <c r="N180" s="41"/>
      <c r="O180" s="41"/>
      <c r="P180" s="42"/>
      <c r="Q180" s="43"/>
      <c r="R180" s="76"/>
    </row>
    <row r="181" spans="1:18" s="44" customFormat="1" ht="25.5" customHeight="1">
      <c r="A181" s="181" t="s">
        <v>309</v>
      </c>
      <c r="B181" s="33">
        <v>96985</v>
      </c>
      <c r="C181" s="45" t="s">
        <v>310</v>
      </c>
      <c r="D181" s="182" t="s">
        <v>31</v>
      </c>
      <c r="E181" s="36">
        <f t="shared" si="28"/>
        <v>4</v>
      </c>
      <c r="F181" s="36">
        <f t="shared" si="29"/>
        <v>51.37</v>
      </c>
      <c r="G181" s="36">
        <f t="shared" si="30"/>
        <v>64.72</v>
      </c>
      <c r="H181" s="36">
        <f t="shared" si="31"/>
        <v>258.88</v>
      </c>
      <c r="I181" s="47">
        <v>4</v>
      </c>
      <c r="J181" s="180">
        <v>51.37</v>
      </c>
      <c r="K181" s="47"/>
      <c r="L181" s="47"/>
      <c r="M181" s="41"/>
      <c r="N181" s="41"/>
      <c r="O181" s="41"/>
      <c r="P181" s="42"/>
      <c r="Q181" s="43"/>
      <c r="R181" s="76"/>
    </row>
    <row r="182" spans="1:18" s="44" customFormat="1" ht="25.5" customHeight="1">
      <c r="A182" s="181" t="s">
        <v>311</v>
      </c>
      <c r="B182" s="33" t="s">
        <v>218</v>
      </c>
      <c r="C182" s="45" t="s">
        <v>312</v>
      </c>
      <c r="D182" s="182" t="s">
        <v>31</v>
      </c>
      <c r="E182" s="36">
        <f t="shared" si="28"/>
        <v>4</v>
      </c>
      <c r="F182" s="36">
        <f t="shared" si="29"/>
        <v>17.54</v>
      </c>
      <c r="G182" s="36">
        <f t="shared" si="30"/>
        <v>22.1</v>
      </c>
      <c r="H182" s="36">
        <f t="shared" si="31"/>
        <v>88.4</v>
      </c>
      <c r="I182" s="47">
        <v>4</v>
      </c>
      <c r="J182" s="180">
        <v>17.54</v>
      </c>
      <c r="K182" s="47"/>
      <c r="L182" s="47"/>
      <c r="M182" s="41"/>
      <c r="N182" s="41"/>
      <c r="O182" s="41"/>
      <c r="P182" s="42"/>
      <c r="Q182" s="43"/>
      <c r="R182" s="76"/>
    </row>
    <row r="183" spans="1:18" s="44" customFormat="1" ht="25.5" customHeight="1">
      <c r="A183" s="181" t="s">
        <v>313</v>
      </c>
      <c r="B183" s="33">
        <v>97883</v>
      </c>
      <c r="C183" s="45" t="s">
        <v>314</v>
      </c>
      <c r="D183" s="182" t="s">
        <v>31</v>
      </c>
      <c r="E183" s="36">
        <f t="shared" si="28"/>
        <v>4</v>
      </c>
      <c r="F183" s="36">
        <f t="shared" si="29"/>
        <v>345.42</v>
      </c>
      <c r="G183" s="36">
        <f t="shared" si="30"/>
        <v>435.22</v>
      </c>
      <c r="H183" s="36">
        <f t="shared" si="31"/>
        <v>1740.88</v>
      </c>
      <c r="I183" s="47">
        <v>4</v>
      </c>
      <c r="J183" s="180">
        <v>345.42</v>
      </c>
      <c r="K183" s="47"/>
      <c r="L183" s="47"/>
      <c r="M183" s="41"/>
      <c r="N183" s="41"/>
      <c r="O183" s="41"/>
      <c r="P183" s="42"/>
      <c r="Q183" s="43"/>
      <c r="R183" s="76"/>
    </row>
    <row r="184" spans="1:18" s="44" customFormat="1" ht="25.5" customHeight="1">
      <c r="A184" s="181" t="s">
        <v>315</v>
      </c>
      <c r="B184" s="33">
        <v>101881</v>
      </c>
      <c r="C184" s="45" t="s">
        <v>316</v>
      </c>
      <c r="D184" s="182" t="s">
        <v>31</v>
      </c>
      <c r="E184" s="36">
        <f t="shared" si="28"/>
        <v>1</v>
      </c>
      <c r="F184" s="36">
        <f t="shared" si="29"/>
        <v>9790.09</v>
      </c>
      <c r="G184" s="36">
        <f t="shared" si="30"/>
        <v>12335.51</v>
      </c>
      <c r="H184" s="36">
        <f t="shared" si="31"/>
        <v>12335.51</v>
      </c>
      <c r="I184" s="47">
        <v>1</v>
      </c>
      <c r="J184" s="180">
        <v>9790.09</v>
      </c>
      <c r="K184" s="47"/>
      <c r="L184" s="47"/>
      <c r="M184" s="41"/>
      <c r="N184" s="41"/>
      <c r="O184" s="41"/>
      <c r="P184" s="42"/>
      <c r="Q184" s="43"/>
      <c r="R184" s="76"/>
    </row>
    <row r="185" spans="1:18" s="44" customFormat="1" ht="24" customHeight="1">
      <c r="A185" s="181" t="s">
        <v>317</v>
      </c>
      <c r="B185" s="33">
        <v>101879</v>
      </c>
      <c r="C185" s="45" t="s">
        <v>318</v>
      </c>
      <c r="D185" s="182" t="s">
        <v>31</v>
      </c>
      <c r="E185" s="36">
        <f t="shared" si="28"/>
        <v>3</v>
      </c>
      <c r="F185" s="36">
        <f t="shared" si="29"/>
        <v>588.44000000000005</v>
      </c>
      <c r="G185" s="36">
        <f t="shared" si="30"/>
        <v>741.43</v>
      </c>
      <c r="H185" s="36">
        <f t="shared" si="31"/>
        <v>2224.29</v>
      </c>
      <c r="I185" s="47">
        <v>3</v>
      </c>
      <c r="J185" s="180">
        <v>588.44000000000005</v>
      </c>
      <c r="K185" s="102"/>
      <c r="L185" s="102"/>
      <c r="M185" s="41"/>
      <c r="N185" s="41"/>
      <c r="O185" s="41"/>
      <c r="P185" s="42"/>
      <c r="Q185" s="43"/>
      <c r="R185" s="76"/>
    </row>
    <row r="186" spans="1:18" s="44" customFormat="1" ht="24" customHeight="1">
      <c r="A186" s="181" t="s">
        <v>319</v>
      </c>
      <c r="B186" s="33">
        <v>91941</v>
      </c>
      <c r="C186" s="45" t="s">
        <v>320</v>
      </c>
      <c r="D186" s="182" t="s">
        <v>31</v>
      </c>
      <c r="E186" s="36">
        <f t="shared" si="28"/>
        <v>33</v>
      </c>
      <c r="F186" s="36">
        <f t="shared" si="29"/>
        <v>6.87</v>
      </c>
      <c r="G186" s="36">
        <f t="shared" si="30"/>
        <v>8.65</v>
      </c>
      <c r="H186" s="36">
        <f t="shared" si="31"/>
        <v>285.45</v>
      </c>
      <c r="I186" s="47">
        <v>33</v>
      </c>
      <c r="J186" s="180">
        <v>6.87</v>
      </c>
      <c r="K186" s="102"/>
      <c r="L186" s="102"/>
      <c r="M186" s="41"/>
      <c r="N186" s="41"/>
      <c r="O186" s="41">
        <f>2.25*1.3</f>
        <v>2.9250000000000003</v>
      </c>
      <c r="P186" s="42"/>
      <c r="Q186" s="43"/>
      <c r="R186" s="76"/>
    </row>
    <row r="187" spans="1:18" s="44" customFormat="1" ht="24" customHeight="1">
      <c r="A187" s="181" t="s">
        <v>321</v>
      </c>
      <c r="B187" s="33">
        <v>91940</v>
      </c>
      <c r="C187" s="45" t="s">
        <v>322</v>
      </c>
      <c r="D187" s="182" t="s">
        <v>31</v>
      </c>
      <c r="E187" s="36">
        <f t="shared" si="28"/>
        <v>13</v>
      </c>
      <c r="F187" s="36">
        <f t="shared" si="29"/>
        <v>10.16</v>
      </c>
      <c r="G187" s="36">
        <f t="shared" si="30"/>
        <v>12.8</v>
      </c>
      <c r="H187" s="36">
        <f t="shared" si="31"/>
        <v>166.4</v>
      </c>
      <c r="I187" s="47">
        <v>13</v>
      </c>
      <c r="J187" s="180">
        <v>10.16</v>
      </c>
      <c r="K187" s="102"/>
      <c r="L187" s="102"/>
      <c r="M187" s="41"/>
      <c r="N187" s="41"/>
      <c r="O187" s="41">
        <f>1.48*1.3</f>
        <v>1.9239999999999999</v>
      </c>
      <c r="P187" s="42"/>
      <c r="Q187" s="43"/>
      <c r="R187" s="76"/>
    </row>
    <row r="188" spans="1:18" s="187" customFormat="1" ht="22.5" customHeight="1">
      <c r="A188" s="181" t="s">
        <v>323</v>
      </c>
      <c r="B188" s="33">
        <v>91939</v>
      </c>
      <c r="C188" s="45" t="s">
        <v>324</v>
      </c>
      <c r="D188" s="182" t="s">
        <v>31</v>
      </c>
      <c r="E188" s="36">
        <f t="shared" si="28"/>
        <v>7</v>
      </c>
      <c r="F188" s="36">
        <f t="shared" si="29"/>
        <v>18.940000000000001</v>
      </c>
      <c r="G188" s="36">
        <f t="shared" si="30"/>
        <v>23.86</v>
      </c>
      <c r="H188" s="36">
        <f t="shared" si="31"/>
        <v>167.02</v>
      </c>
      <c r="I188" s="47">
        <v>7</v>
      </c>
      <c r="J188" s="180">
        <v>18.940000000000001</v>
      </c>
      <c r="K188" s="102"/>
      <c r="L188" s="102"/>
      <c r="M188" s="183">
        <f>12*15+200</f>
        <v>380</v>
      </c>
      <c r="N188" s="183">
        <v>4.25</v>
      </c>
      <c r="O188" s="184"/>
      <c r="P188" s="185"/>
      <c r="Q188" s="186"/>
      <c r="R188" s="184"/>
    </row>
    <row r="189" spans="1:18" s="44" customFormat="1" ht="24.75" customHeight="1">
      <c r="A189" s="181" t="s">
        <v>325</v>
      </c>
      <c r="B189" s="33">
        <v>91944</v>
      </c>
      <c r="C189" s="45" t="s">
        <v>326</v>
      </c>
      <c r="D189" s="182" t="s">
        <v>31</v>
      </c>
      <c r="E189" s="36">
        <f t="shared" si="28"/>
        <v>2</v>
      </c>
      <c r="F189" s="36">
        <f t="shared" si="29"/>
        <v>9.42</v>
      </c>
      <c r="G189" s="36">
        <f t="shared" si="30"/>
        <v>11.86</v>
      </c>
      <c r="H189" s="36">
        <f t="shared" si="31"/>
        <v>23.72</v>
      </c>
      <c r="I189" s="47">
        <v>2</v>
      </c>
      <c r="J189" s="180">
        <v>9.42</v>
      </c>
      <c r="K189" s="102"/>
      <c r="L189" s="102"/>
      <c r="M189" s="41"/>
      <c r="N189" s="41"/>
      <c r="O189" s="41"/>
      <c r="P189" s="42"/>
      <c r="Q189" s="43"/>
      <c r="R189" s="76"/>
    </row>
    <row r="190" spans="1:18" s="44" customFormat="1" ht="22.5" customHeight="1">
      <c r="A190" s="181" t="s">
        <v>327</v>
      </c>
      <c r="B190" s="33">
        <v>101632</v>
      </c>
      <c r="C190" s="45" t="s">
        <v>328</v>
      </c>
      <c r="D190" s="182" t="s">
        <v>31</v>
      </c>
      <c r="E190" s="36">
        <f t="shared" si="28"/>
        <v>1</v>
      </c>
      <c r="F190" s="36">
        <f t="shared" si="29"/>
        <v>34.409999999999997</v>
      </c>
      <c r="G190" s="36">
        <f t="shared" si="30"/>
        <v>43.35</v>
      </c>
      <c r="H190" s="36">
        <f t="shared" si="31"/>
        <v>43.35</v>
      </c>
      <c r="I190" s="47">
        <v>1</v>
      </c>
      <c r="J190" s="180">
        <v>34.409999999999997</v>
      </c>
      <c r="K190" s="47"/>
      <c r="L190" s="47"/>
      <c r="M190" s="41"/>
      <c r="N190" s="41"/>
      <c r="O190" s="41"/>
      <c r="P190" s="42"/>
      <c r="Q190" s="43"/>
      <c r="R190" s="76"/>
    </row>
    <row r="191" spans="1:18" s="44" customFormat="1" ht="26.25" customHeight="1">
      <c r="A191" s="181" t="s">
        <v>329</v>
      </c>
      <c r="B191" s="33">
        <v>97660</v>
      </c>
      <c r="C191" s="45" t="s">
        <v>330</v>
      </c>
      <c r="D191" s="182" t="s">
        <v>31</v>
      </c>
      <c r="E191" s="36">
        <f t="shared" si="28"/>
        <v>59</v>
      </c>
      <c r="F191" s="36">
        <f t="shared" si="29"/>
        <v>0.43</v>
      </c>
      <c r="G191" s="36">
        <f t="shared" si="30"/>
        <v>0.54</v>
      </c>
      <c r="H191" s="36">
        <f t="shared" si="31"/>
        <v>31.86</v>
      </c>
      <c r="I191" s="47">
        <f>(13+33+5+5+3)</f>
        <v>59</v>
      </c>
      <c r="J191" s="180">
        <v>0.43</v>
      </c>
      <c r="K191" s="47"/>
      <c r="L191" s="47"/>
      <c r="M191" s="41"/>
      <c r="N191" s="41"/>
      <c r="O191" s="41"/>
      <c r="P191" s="42"/>
      <c r="Q191" s="43"/>
      <c r="R191" s="76"/>
    </row>
    <row r="192" spans="1:18" s="44" customFormat="1" ht="17.25" customHeight="1">
      <c r="A192" s="181" t="s">
        <v>331</v>
      </c>
      <c r="B192" s="33">
        <v>97661</v>
      </c>
      <c r="C192" s="45" t="s">
        <v>332</v>
      </c>
      <c r="D192" s="182" t="s">
        <v>28</v>
      </c>
      <c r="E192" s="36">
        <f t="shared" si="28"/>
        <v>480</v>
      </c>
      <c r="F192" s="36">
        <f t="shared" si="29"/>
        <v>0.43</v>
      </c>
      <c r="G192" s="36">
        <f t="shared" si="30"/>
        <v>0.54</v>
      </c>
      <c r="H192" s="36">
        <f t="shared" si="31"/>
        <v>259.2</v>
      </c>
      <c r="I192" s="47">
        <v>480</v>
      </c>
      <c r="J192" s="180">
        <v>0.43</v>
      </c>
      <c r="K192" s="47"/>
      <c r="L192" s="47"/>
      <c r="M192" s="41"/>
      <c r="N192" s="41"/>
      <c r="O192" s="41"/>
      <c r="P192" s="42"/>
      <c r="Q192" s="43"/>
      <c r="R192" s="76"/>
    </row>
    <row r="193" spans="1:18" s="44" customFormat="1" ht="25.5" customHeight="1">
      <c r="A193" s="181" t="s">
        <v>333</v>
      </c>
      <c r="B193" s="33">
        <v>97665</v>
      </c>
      <c r="C193" s="45" t="s">
        <v>334</v>
      </c>
      <c r="D193" s="182" t="s">
        <v>31</v>
      </c>
      <c r="E193" s="36">
        <f t="shared" si="28"/>
        <v>26</v>
      </c>
      <c r="F193" s="36">
        <f t="shared" si="29"/>
        <v>0.83</v>
      </c>
      <c r="G193" s="36">
        <f t="shared" si="30"/>
        <v>1.04</v>
      </c>
      <c r="H193" s="36">
        <f t="shared" si="31"/>
        <v>27.04</v>
      </c>
      <c r="I193" s="47">
        <v>26</v>
      </c>
      <c r="J193" s="180">
        <v>0.83</v>
      </c>
      <c r="K193" s="47"/>
      <c r="L193" s="47"/>
      <c r="M193" s="41">
        <f>192-136</f>
        <v>56</v>
      </c>
      <c r="N193" s="41"/>
      <c r="O193" s="41"/>
      <c r="P193" s="42"/>
      <c r="Q193" s="43"/>
      <c r="R193" s="76"/>
    </row>
    <row r="194" spans="1:18" s="44" customFormat="1" ht="27" customHeight="1">
      <c r="A194" s="181" t="s">
        <v>335</v>
      </c>
      <c r="B194" s="33">
        <v>91835</v>
      </c>
      <c r="C194" s="45" t="s">
        <v>336</v>
      </c>
      <c r="D194" s="182" t="s">
        <v>28</v>
      </c>
      <c r="E194" s="36">
        <f t="shared" si="28"/>
        <v>50.6</v>
      </c>
      <c r="F194" s="36">
        <f t="shared" si="29"/>
        <v>7.8</v>
      </c>
      <c r="G194" s="36">
        <f t="shared" si="30"/>
        <v>9.82</v>
      </c>
      <c r="H194" s="36">
        <f t="shared" si="31"/>
        <v>496.89</v>
      </c>
      <c r="I194" s="47">
        <f>(11.8+(9*2.5)+3.8+7.2+5.3)</f>
        <v>50.599999999999994</v>
      </c>
      <c r="J194" s="180">
        <v>7.8</v>
      </c>
      <c r="K194" s="47"/>
      <c r="L194" s="47"/>
      <c r="M194" s="41"/>
      <c r="N194" s="41"/>
      <c r="O194" s="41"/>
      <c r="P194" s="42"/>
      <c r="Q194" s="43"/>
      <c r="R194" s="76"/>
    </row>
    <row r="195" spans="1:18" s="44" customFormat="1" ht="26.25" customHeight="1">
      <c r="A195" s="181" t="s">
        <v>337</v>
      </c>
      <c r="B195" s="33">
        <v>100860</v>
      </c>
      <c r="C195" s="45" t="s">
        <v>338</v>
      </c>
      <c r="D195" s="182" t="s">
        <v>31</v>
      </c>
      <c r="E195" s="36">
        <f t="shared" si="28"/>
        <v>1</v>
      </c>
      <c r="F195" s="36">
        <f t="shared" si="29"/>
        <v>78.95</v>
      </c>
      <c r="G195" s="36">
        <f t="shared" si="30"/>
        <v>99.47</v>
      </c>
      <c r="H195" s="36">
        <f t="shared" si="31"/>
        <v>99.47</v>
      </c>
      <c r="I195" s="47">
        <v>1</v>
      </c>
      <c r="J195" s="180">
        <v>78.95</v>
      </c>
      <c r="K195" s="47"/>
      <c r="L195" s="47"/>
      <c r="M195" s="41"/>
      <c r="N195" s="41"/>
      <c r="O195" s="41"/>
      <c r="P195" s="42"/>
      <c r="Q195" s="43"/>
      <c r="R195" s="76"/>
    </row>
    <row r="196" spans="1:18" s="44" customFormat="1" ht="27" customHeight="1" thickBot="1">
      <c r="A196" s="188" t="s">
        <v>339</v>
      </c>
      <c r="B196" s="189">
        <v>93141</v>
      </c>
      <c r="C196" s="168" t="s">
        <v>340</v>
      </c>
      <c r="D196" s="190" t="s">
        <v>31</v>
      </c>
      <c r="E196" s="36">
        <f t="shared" si="28"/>
        <v>2</v>
      </c>
      <c r="F196" s="36">
        <f t="shared" si="29"/>
        <v>138.12</v>
      </c>
      <c r="G196" s="36">
        <f t="shared" si="30"/>
        <v>174.03</v>
      </c>
      <c r="H196" s="36">
        <f t="shared" si="31"/>
        <v>348.06</v>
      </c>
      <c r="I196" s="47">
        <v>2</v>
      </c>
      <c r="J196" s="180">
        <v>138.12</v>
      </c>
      <c r="K196" s="47"/>
      <c r="L196" s="47"/>
      <c r="M196" s="41"/>
      <c r="N196" s="41"/>
      <c r="O196" s="41"/>
      <c r="P196" s="42"/>
      <c r="Q196" s="43"/>
      <c r="R196" s="76"/>
    </row>
    <row r="197" spans="1:18" s="27" customFormat="1" thickBot="1">
      <c r="A197" s="28"/>
      <c r="B197" s="152"/>
      <c r="C197" s="29" t="s">
        <v>32</v>
      </c>
      <c r="D197" s="152"/>
      <c r="E197" s="29"/>
      <c r="F197" s="30"/>
      <c r="G197" s="152"/>
      <c r="H197" s="173">
        <f>SUM(H136:H196)</f>
        <v>55416.76999999999</v>
      </c>
      <c r="I197" s="82"/>
      <c r="J197" s="83"/>
      <c r="K197" s="82"/>
      <c r="L197" s="82"/>
      <c r="M197" s="7"/>
      <c r="N197" s="7"/>
      <c r="O197" s="7"/>
      <c r="P197" s="8"/>
      <c r="Q197" s="26"/>
      <c r="R197" s="9"/>
    </row>
    <row r="198" spans="1:18" s="27" customFormat="1" ht="6" customHeight="1" thickBot="1">
      <c r="A198" s="111"/>
      <c r="B198" s="112"/>
      <c r="C198" s="113"/>
      <c r="D198" s="114"/>
      <c r="E198" s="98"/>
      <c r="F198" s="115"/>
      <c r="G198" s="62"/>
      <c r="H198" s="99"/>
      <c r="I198" s="5"/>
      <c r="J198" s="48"/>
      <c r="K198" s="5"/>
      <c r="L198" s="5"/>
      <c r="M198" s="7"/>
      <c r="N198" s="7"/>
      <c r="O198" s="7"/>
      <c r="P198" s="8"/>
      <c r="Q198" s="26"/>
      <c r="R198" s="9"/>
    </row>
    <row r="199" spans="1:18" s="27" customFormat="1" thickBot="1">
      <c r="A199" s="126" t="s">
        <v>341</v>
      </c>
      <c r="B199" s="127"/>
      <c r="C199" s="128" t="s">
        <v>342</v>
      </c>
      <c r="D199" s="128"/>
      <c r="E199" s="128"/>
      <c r="F199" s="129"/>
      <c r="G199" s="128"/>
      <c r="H199" s="130"/>
      <c r="I199" s="24"/>
      <c r="J199" s="25"/>
      <c r="K199" s="24"/>
      <c r="L199" s="24"/>
      <c r="M199" s="26"/>
      <c r="N199" s="26"/>
      <c r="O199" s="26"/>
      <c r="P199" s="191"/>
      <c r="Q199" s="26"/>
      <c r="R199" s="26"/>
    </row>
    <row r="200" spans="1:18" s="65" customFormat="1" ht="21.75" customHeight="1">
      <c r="A200" s="192" t="s">
        <v>343</v>
      </c>
      <c r="B200" s="159" t="s">
        <v>23</v>
      </c>
      <c r="C200" s="160" t="s">
        <v>344</v>
      </c>
      <c r="D200" s="193" t="s">
        <v>31</v>
      </c>
      <c r="E200" s="194">
        <f t="shared" ref="E200:E223" si="32">TRUNC(I200,2)</f>
        <v>2</v>
      </c>
      <c r="F200" s="195">
        <f t="shared" ref="F200:F223" si="33">J200</f>
        <v>66.680000000000007</v>
      </c>
      <c r="G200" s="194">
        <f t="shared" ref="G200:G223" si="34">TRUNC(J200*J$17,2)</f>
        <v>84.01</v>
      </c>
      <c r="H200" s="196">
        <f t="shared" ref="H200:H223" si="35">TRUNC(E200*G200,2)</f>
        <v>168.02</v>
      </c>
      <c r="I200" s="47">
        <v>2</v>
      </c>
      <c r="J200" s="180">
        <v>66.680000000000007</v>
      </c>
      <c r="K200" s="47"/>
      <c r="L200" s="47"/>
      <c r="M200" s="41"/>
      <c r="N200" s="41"/>
      <c r="O200" s="41"/>
      <c r="P200" s="42"/>
      <c r="Q200" s="41"/>
      <c r="R200" s="41"/>
    </row>
    <row r="201" spans="1:18" s="44" customFormat="1" ht="21" customHeight="1">
      <c r="A201" s="181" t="s">
        <v>345</v>
      </c>
      <c r="B201" s="33">
        <v>91944</v>
      </c>
      <c r="C201" s="45" t="s">
        <v>326</v>
      </c>
      <c r="D201" s="182" t="s">
        <v>31</v>
      </c>
      <c r="E201" s="197">
        <f t="shared" si="32"/>
        <v>2</v>
      </c>
      <c r="F201" s="198">
        <f t="shared" si="33"/>
        <v>9.42</v>
      </c>
      <c r="G201" s="197">
        <f t="shared" si="34"/>
        <v>11.86</v>
      </c>
      <c r="H201" s="199">
        <f t="shared" si="35"/>
        <v>23.72</v>
      </c>
      <c r="I201" s="47">
        <v>2</v>
      </c>
      <c r="J201" s="180">
        <v>9.42</v>
      </c>
      <c r="K201" s="47"/>
      <c r="L201" s="47"/>
      <c r="M201" s="43"/>
      <c r="N201" s="43"/>
      <c r="O201" s="43"/>
      <c r="P201" s="200"/>
      <c r="Q201" s="43"/>
      <c r="R201" s="43"/>
    </row>
    <row r="202" spans="1:18" s="65" customFormat="1" ht="25.5" customHeight="1">
      <c r="A202" s="181" t="s">
        <v>346</v>
      </c>
      <c r="B202" s="33">
        <v>91941</v>
      </c>
      <c r="C202" s="45" t="s">
        <v>320</v>
      </c>
      <c r="D202" s="182" t="s">
        <v>31</v>
      </c>
      <c r="E202" s="197">
        <f t="shared" si="32"/>
        <v>17</v>
      </c>
      <c r="F202" s="198">
        <f t="shared" si="33"/>
        <v>6.87</v>
      </c>
      <c r="G202" s="197">
        <f t="shared" si="34"/>
        <v>8.65</v>
      </c>
      <c r="H202" s="199">
        <f t="shared" si="35"/>
        <v>147.05000000000001</v>
      </c>
      <c r="I202" s="47">
        <v>17</v>
      </c>
      <c r="J202" s="180">
        <v>6.87</v>
      </c>
      <c r="K202" s="47"/>
      <c r="L202" s="47"/>
      <c r="M202" s="41"/>
      <c r="N202" s="41"/>
      <c r="O202" s="41"/>
      <c r="P202" s="42"/>
      <c r="Q202" s="41"/>
      <c r="R202" s="41"/>
    </row>
    <row r="203" spans="1:18" s="65" customFormat="1" ht="24.75" customHeight="1">
      <c r="A203" s="181" t="s">
        <v>347</v>
      </c>
      <c r="B203" s="33">
        <v>91940</v>
      </c>
      <c r="C203" s="45" t="s">
        <v>322</v>
      </c>
      <c r="D203" s="182" t="s">
        <v>31</v>
      </c>
      <c r="E203" s="197">
        <f t="shared" si="32"/>
        <v>4</v>
      </c>
      <c r="F203" s="198">
        <f t="shared" si="33"/>
        <v>10.16</v>
      </c>
      <c r="G203" s="197">
        <f t="shared" si="34"/>
        <v>12.8</v>
      </c>
      <c r="H203" s="199">
        <f t="shared" si="35"/>
        <v>51.2</v>
      </c>
      <c r="I203" s="47">
        <v>4</v>
      </c>
      <c r="J203" s="180">
        <v>10.16</v>
      </c>
      <c r="K203" s="47"/>
      <c r="L203" s="47"/>
      <c r="M203" s="41"/>
      <c r="N203" s="41"/>
      <c r="O203" s="41"/>
      <c r="P203" s="42"/>
      <c r="Q203" s="41"/>
      <c r="R203" s="41"/>
    </row>
    <row r="204" spans="1:18" s="44" customFormat="1" ht="24.75" customHeight="1">
      <c r="A204" s="181" t="s">
        <v>348</v>
      </c>
      <c r="B204" s="33">
        <v>91939</v>
      </c>
      <c r="C204" s="45" t="s">
        <v>324</v>
      </c>
      <c r="D204" s="182" t="s">
        <v>31</v>
      </c>
      <c r="E204" s="197">
        <f t="shared" si="32"/>
        <v>1</v>
      </c>
      <c r="F204" s="198">
        <f t="shared" si="33"/>
        <v>18.940000000000001</v>
      </c>
      <c r="G204" s="197">
        <f t="shared" si="34"/>
        <v>23.86</v>
      </c>
      <c r="H204" s="199">
        <f t="shared" si="35"/>
        <v>23.86</v>
      </c>
      <c r="I204" s="47">
        <v>1</v>
      </c>
      <c r="J204" s="180">
        <v>18.940000000000001</v>
      </c>
      <c r="K204" s="47" t="s">
        <v>349</v>
      </c>
      <c r="L204" s="47"/>
      <c r="M204" s="43"/>
      <c r="N204" s="43"/>
      <c r="O204" s="43"/>
      <c r="P204" s="200"/>
      <c r="Q204" s="43" t="s">
        <v>350</v>
      </c>
      <c r="R204" s="43"/>
    </row>
    <row r="205" spans="1:18" s="44" customFormat="1" ht="24" customHeight="1">
      <c r="A205" s="181" t="s">
        <v>351</v>
      </c>
      <c r="B205" s="33">
        <v>95781</v>
      </c>
      <c r="C205" s="45" t="s">
        <v>352</v>
      </c>
      <c r="D205" s="182" t="s">
        <v>31</v>
      </c>
      <c r="E205" s="197">
        <f t="shared" si="32"/>
        <v>5</v>
      </c>
      <c r="F205" s="198">
        <f t="shared" si="33"/>
        <v>23.77</v>
      </c>
      <c r="G205" s="197">
        <f t="shared" si="34"/>
        <v>29.95</v>
      </c>
      <c r="H205" s="199">
        <f t="shared" si="35"/>
        <v>149.75</v>
      </c>
      <c r="I205" s="47">
        <v>5</v>
      </c>
      <c r="J205" s="180">
        <v>23.77</v>
      </c>
      <c r="K205" s="47"/>
      <c r="L205" s="47"/>
      <c r="M205" s="43"/>
      <c r="N205" s="43"/>
      <c r="O205" s="43"/>
      <c r="P205" s="200"/>
      <c r="Q205" s="43"/>
      <c r="R205" s="43"/>
    </row>
    <row r="206" spans="1:18" s="44" customFormat="1" ht="24" customHeight="1">
      <c r="A206" s="181" t="s">
        <v>353</v>
      </c>
      <c r="B206" s="33">
        <v>90444</v>
      </c>
      <c r="C206" s="45" t="s">
        <v>242</v>
      </c>
      <c r="D206" s="182" t="s">
        <v>28</v>
      </c>
      <c r="E206" s="197">
        <f t="shared" si="32"/>
        <v>13.5</v>
      </c>
      <c r="F206" s="198">
        <f t="shared" si="33"/>
        <v>16.73</v>
      </c>
      <c r="G206" s="197">
        <f t="shared" si="34"/>
        <v>21.07</v>
      </c>
      <c r="H206" s="199">
        <f t="shared" si="35"/>
        <v>284.44</v>
      </c>
      <c r="I206" s="47">
        <v>13.5</v>
      </c>
      <c r="J206" s="180">
        <v>16.73</v>
      </c>
      <c r="K206" s="47"/>
      <c r="L206" s="47"/>
      <c r="M206" s="43"/>
      <c r="N206" s="43"/>
      <c r="O206" s="43"/>
      <c r="P206" s="200"/>
      <c r="Q206" s="43"/>
      <c r="R206" s="43"/>
    </row>
    <row r="207" spans="1:18" s="44" customFormat="1" ht="33" customHeight="1">
      <c r="A207" s="181" t="s">
        <v>354</v>
      </c>
      <c r="B207" s="33">
        <v>90447</v>
      </c>
      <c r="C207" s="45" t="s">
        <v>244</v>
      </c>
      <c r="D207" s="182" t="s">
        <v>28</v>
      </c>
      <c r="E207" s="197">
        <f t="shared" si="32"/>
        <v>40.1</v>
      </c>
      <c r="F207" s="198">
        <f t="shared" si="33"/>
        <v>4.42</v>
      </c>
      <c r="G207" s="197">
        <f t="shared" si="34"/>
        <v>5.56</v>
      </c>
      <c r="H207" s="199">
        <f t="shared" si="35"/>
        <v>222.95</v>
      </c>
      <c r="I207" s="47">
        <f>(7*2.8)+2.8+3.2+4+3+7.5</f>
        <v>40.099999999999994</v>
      </c>
      <c r="J207" s="180">
        <v>4.42</v>
      </c>
      <c r="K207" s="47"/>
      <c r="L207" s="47"/>
      <c r="M207" s="43"/>
      <c r="N207" s="43"/>
      <c r="O207" s="43"/>
      <c r="P207" s="200"/>
      <c r="Q207" s="43"/>
      <c r="R207" s="43"/>
    </row>
    <row r="208" spans="1:18" s="44" customFormat="1" ht="27.75" customHeight="1">
      <c r="A208" s="181" t="s">
        <v>355</v>
      </c>
      <c r="B208" s="33">
        <v>91854</v>
      </c>
      <c r="C208" s="45" t="s">
        <v>252</v>
      </c>
      <c r="D208" s="182" t="s">
        <v>28</v>
      </c>
      <c r="E208" s="197">
        <f t="shared" si="32"/>
        <v>29.6</v>
      </c>
      <c r="F208" s="198">
        <f t="shared" si="33"/>
        <v>6.47</v>
      </c>
      <c r="G208" s="197">
        <f t="shared" si="34"/>
        <v>8.15</v>
      </c>
      <c r="H208" s="199">
        <f t="shared" si="35"/>
        <v>241.24</v>
      </c>
      <c r="I208" s="47">
        <f>(7*2.8)+2.8+3.2+4</f>
        <v>29.599999999999998</v>
      </c>
      <c r="J208" s="180">
        <v>6.47</v>
      </c>
      <c r="K208" s="47"/>
      <c r="L208" s="47"/>
      <c r="M208" s="43"/>
      <c r="N208" s="43"/>
      <c r="O208" s="43"/>
      <c r="P208" s="200"/>
      <c r="Q208" s="43"/>
      <c r="R208" s="43"/>
    </row>
    <row r="209" spans="1:18" s="44" customFormat="1" ht="29.25" customHeight="1">
      <c r="A209" s="181" t="s">
        <v>356</v>
      </c>
      <c r="B209" s="33">
        <v>91835</v>
      </c>
      <c r="C209" s="45" t="s">
        <v>336</v>
      </c>
      <c r="D209" s="182" t="s">
        <v>28</v>
      </c>
      <c r="E209" s="197">
        <f t="shared" si="32"/>
        <v>32.549999999999997</v>
      </c>
      <c r="F209" s="198">
        <f t="shared" si="33"/>
        <v>7.8</v>
      </c>
      <c r="G209" s="197">
        <f t="shared" si="34"/>
        <v>9.82</v>
      </c>
      <c r="H209" s="199">
        <f t="shared" si="35"/>
        <v>319.64</v>
      </c>
      <c r="I209" s="47">
        <f>(9.05+3.3+10.28+3.16+2.3+4.46)</f>
        <v>32.550000000000004</v>
      </c>
      <c r="J209" s="180">
        <v>7.8</v>
      </c>
      <c r="K209" s="47"/>
      <c r="L209" s="47"/>
      <c r="M209" s="43"/>
      <c r="N209" s="43"/>
      <c r="O209" s="43"/>
      <c r="P209" s="200"/>
      <c r="Q209" s="43"/>
      <c r="R209" s="43"/>
    </row>
    <row r="210" spans="1:18" s="44" customFormat="1" ht="24.75" customHeight="1">
      <c r="A210" s="181" t="s">
        <v>357</v>
      </c>
      <c r="B210" s="33">
        <v>95750</v>
      </c>
      <c r="C210" s="45" t="s">
        <v>248</v>
      </c>
      <c r="D210" s="182" t="s">
        <v>28</v>
      </c>
      <c r="E210" s="197">
        <f t="shared" si="32"/>
        <v>7.5</v>
      </c>
      <c r="F210" s="198">
        <f t="shared" si="33"/>
        <v>25.14</v>
      </c>
      <c r="G210" s="197">
        <f t="shared" si="34"/>
        <v>31.67</v>
      </c>
      <c r="H210" s="199">
        <f t="shared" si="35"/>
        <v>237.52</v>
      </c>
      <c r="I210" s="47">
        <v>7.5</v>
      </c>
      <c r="J210" s="180">
        <v>25.14</v>
      </c>
      <c r="K210" s="47"/>
      <c r="L210" s="47"/>
      <c r="M210" s="43"/>
      <c r="N210" s="43"/>
      <c r="O210" s="43"/>
      <c r="P210" s="200"/>
      <c r="Q210" s="43"/>
      <c r="R210" s="43"/>
    </row>
    <row r="211" spans="1:18" s="44" customFormat="1" ht="27" customHeight="1">
      <c r="A211" s="181" t="s">
        <v>358</v>
      </c>
      <c r="B211" s="33">
        <v>98307</v>
      </c>
      <c r="C211" s="45" t="s">
        <v>359</v>
      </c>
      <c r="D211" s="182" t="s">
        <v>31</v>
      </c>
      <c r="E211" s="197">
        <f t="shared" si="32"/>
        <v>31</v>
      </c>
      <c r="F211" s="198">
        <f t="shared" si="33"/>
        <v>35.67</v>
      </c>
      <c r="G211" s="197">
        <f t="shared" si="34"/>
        <v>44.94</v>
      </c>
      <c r="H211" s="199">
        <f t="shared" si="35"/>
        <v>1393.14</v>
      </c>
      <c r="I211" s="47">
        <v>31</v>
      </c>
      <c r="J211" s="180">
        <v>35.67</v>
      </c>
      <c r="K211" s="47"/>
      <c r="L211" s="47"/>
      <c r="M211" s="43"/>
      <c r="N211" s="43"/>
      <c r="O211" s="43"/>
      <c r="P211" s="200"/>
      <c r="Q211" s="43"/>
      <c r="R211" s="43"/>
    </row>
    <row r="212" spans="1:18" s="44" customFormat="1">
      <c r="A212" s="181" t="s">
        <v>360</v>
      </c>
      <c r="B212" s="33">
        <v>98308</v>
      </c>
      <c r="C212" s="45" t="s">
        <v>361</v>
      </c>
      <c r="D212" s="182" t="s">
        <v>31</v>
      </c>
      <c r="E212" s="197">
        <f t="shared" si="32"/>
        <v>2</v>
      </c>
      <c r="F212" s="198">
        <f t="shared" si="33"/>
        <v>23.09</v>
      </c>
      <c r="G212" s="197">
        <f t="shared" si="34"/>
        <v>29.09</v>
      </c>
      <c r="H212" s="199">
        <f t="shared" si="35"/>
        <v>58.18</v>
      </c>
      <c r="I212" s="47">
        <v>2</v>
      </c>
      <c r="J212" s="180">
        <v>23.09</v>
      </c>
      <c r="K212" s="47"/>
      <c r="L212" s="47"/>
      <c r="M212" s="43"/>
      <c r="N212" s="43"/>
      <c r="O212" s="43"/>
      <c r="P212" s="200"/>
      <c r="Q212" s="43"/>
      <c r="R212" s="43"/>
    </row>
    <row r="213" spans="1:18" s="44" customFormat="1" ht="28.5" customHeight="1">
      <c r="A213" s="181" t="s">
        <v>362</v>
      </c>
      <c r="B213" s="33">
        <v>98295</v>
      </c>
      <c r="C213" s="45" t="s">
        <v>363</v>
      </c>
      <c r="D213" s="182" t="s">
        <v>28</v>
      </c>
      <c r="E213" s="197">
        <f t="shared" si="32"/>
        <v>301.89999999999998</v>
      </c>
      <c r="F213" s="198">
        <f t="shared" si="33"/>
        <v>1.38</v>
      </c>
      <c r="G213" s="197">
        <f t="shared" si="34"/>
        <v>1.73</v>
      </c>
      <c r="H213" s="199">
        <f t="shared" si="35"/>
        <v>522.28</v>
      </c>
      <c r="I213" s="47">
        <f>(7.2+1.5+11.7+(5*3.2)+6.9+(2*16)+9+1.5+(3*2.9)+2.4+1+4.5+2.1+12+18+7.3+1.5+15.1+17.3+0.4+6.3+1.5+3+1.5+10+2+7+8+3+20+3+4.5+28.5+10+(2.5*7))</f>
        <v>301.90000000000003</v>
      </c>
      <c r="J213" s="180">
        <v>1.38</v>
      </c>
      <c r="K213" s="47"/>
      <c r="L213" s="47"/>
      <c r="M213" s="43"/>
      <c r="N213" s="43"/>
      <c r="O213" s="43"/>
      <c r="P213" s="200"/>
      <c r="Q213" s="43"/>
      <c r="R213" s="43"/>
    </row>
    <row r="214" spans="1:18" s="44" customFormat="1" ht="25.5" customHeight="1">
      <c r="A214" s="181" t="s">
        <v>364</v>
      </c>
      <c r="B214" s="33">
        <v>98301</v>
      </c>
      <c r="C214" s="201" t="s">
        <v>365</v>
      </c>
      <c r="D214" s="182" t="s">
        <v>31</v>
      </c>
      <c r="E214" s="197">
        <f t="shared" si="32"/>
        <v>1</v>
      </c>
      <c r="F214" s="198">
        <f t="shared" si="33"/>
        <v>400.02</v>
      </c>
      <c r="G214" s="197">
        <f t="shared" si="34"/>
        <v>504.02</v>
      </c>
      <c r="H214" s="199">
        <f t="shared" si="35"/>
        <v>504.02</v>
      </c>
      <c r="I214" s="47">
        <v>1</v>
      </c>
      <c r="J214" s="180">
        <v>400.02</v>
      </c>
      <c r="K214" s="47"/>
      <c r="L214" s="47"/>
      <c r="M214" s="43"/>
      <c r="N214" s="43"/>
      <c r="O214" s="43"/>
      <c r="P214" s="200"/>
      <c r="Q214" s="43"/>
      <c r="R214" s="43"/>
    </row>
    <row r="215" spans="1:18" s="44" customFormat="1" ht="22.5" customHeight="1">
      <c r="A215" s="181" t="s">
        <v>366</v>
      </c>
      <c r="B215" s="33" t="s">
        <v>218</v>
      </c>
      <c r="C215" s="201" t="s">
        <v>367</v>
      </c>
      <c r="D215" s="182" t="s">
        <v>31</v>
      </c>
      <c r="E215" s="197">
        <f t="shared" si="32"/>
        <v>1</v>
      </c>
      <c r="F215" s="198">
        <f t="shared" si="33"/>
        <v>622.92999999999995</v>
      </c>
      <c r="G215" s="197">
        <f t="shared" si="34"/>
        <v>784.89</v>
      </c>
      <c r="H215" s="199">
        <f t="shared" si="35"/>
        <v>784.89</v>
      </c>
      <c r="I215" s="47">
        <v>1</v>
      </c>
      <c r="J215" s="180">
        <v>622.92999999999995</v>
      </c>
      <c r="K215" s="47"/>
      <c r="L215" s="47"/>
      <c r="M215" s="43"/>
      <c r="N215" s="43"/>
      <c r="O215" s="43"/>
      <c r="P215" s="200"/>
      <c r="Q215" s="43"/>
      <c r="R215" s="43"/>
    </row>
    <row r="216" spans="1:18" s="44" customFormat="1" ht="28.5" customHeight="1">
      <c r="A216" s="181" t="s">
        <v>368</v>
      </c>
      <c r="B216" s="202" t="s">
        <v>218</v>
      </c>
      <c r="C216" s="75" t="s">
        <v>369</v>
      </c>
      <c r="D216" s="182" t="s">
        <v>31</v>
      </c>
      <c r="E216" s="197">
        <f t="shared" si="32"/>
        <v>1</v>
      </c>
      <c r="F216" s="198">
        <f t="shared" si="33"/>
        <v>51.68</v>
      </c>
      <c r="G216" s="197">
        <f t="shared" si="34"/>
        <v>65.11</v>
      </c>
      <c r="H216" s="199">
        <f t="shared" si="35"/>
        <v>65.11</v>
      </c>
      <c r="I216" s="47">
        <v>1</v>
      </c>
      <c r="J216" s="180">
        <v>51.68</v>
      </c>
      <c r="K216" s="47"/>
      <c r="L216" s="47"/>
      <c r="M216" s="43"/>
      <c r="N216" s="43"/>
      <c r="O216" s="43"/>
      <c r="P216" s="200"/>
      <c r="Q216" s="43"/>
      <c r="R216" s="43"/>
    </row>
    <row r="217" spans="1:18" s="44" customFormat="1">
      <c r="A217" s="181" t="s">
        <v>370</v>
      </c>
      <c r="B217" s="202" t="s">
        <v>218</v>
      </c>
      <c r="C217" s="203" t="s">
        <v>371</v>
      </c>
      <c r="D217" s="182" t="s">
        <v>31</v>
      </c>
      <c r="E217" s="197">
        <f t="shared" si="32"/>
        <v>1</v>
      </c>
      <c r="F217" s="198">
        <f t="shared" si="33"/>
        <v>187.69</v>
      </c>
      <c r="G217" s="197">
        <f t="shared" si="34"/>
        <v>236.48</v>
      </c>
      <c r="H217" s="199">
        <f t="shared" si="35"/>
        <v>236.48</v>
      </c>
      <c r="I217" s="47">
        <v>1</v>
      </c>
      <c r="J217" s="180">
        <v>187.69</v>
      </c>
      <c r="K217" s="47"/>
      <c r="L217" s="47"/>
      <c r="M217" s="43"/>
      <c r="N217" s="43"/>
      <c r="O217" s="43"/>
      <c r="P217" s="200"/>
      <c r="Q217" s="43"/>
      <c r="R217" s="43"/>
    </row>
    <row r="218" spans="1:18" s="44" customFormat="1">
      <c r="A218" s="181" t="s">
        <v>372</v>
      </c>
      <c r="B218" s="202" t="s">
        <v>218</v>
      </c>
      <c r="C218" s="203" t="s">
        <v>373</v>
      </c>
      <c r="D218" s="182" t="s">
        <v>31</v>
      </c>
      <c r="E218" s="197">
        <f t="shared" si="32"/>
        <v>24</v>
      </c>
      <c r="F218" s="198">
        <f t="shared" si="33"/>
        <v>11.99</v>
      </c>
      <c r="G218" s="197">
        <f t="shared" si="34"/>
        <v>15.1</v>
      </c>
      <c r="H218" s="199">
        <f t="shared" si="35"/>
        <v>362.4</v>
      </c>
      <c r="I218" s="47">
        <v>24</v>
      </c>
      <c r="J218" s="180">
        <v>11.99</v>
      </c>
      <c r="K218" s="47" t="s">
        <v>374</v>
      </c>
      <c r="L218" s="47"/>
      <c r="M218" s="43"/>
      <c r="N218" s="43"/>
      <c r="O218" s="43"/>
      <c r="P218" s="200"/>
      <c r="Q218" s="43"/>
      <c r="R218" s="43"/>
    </row>
    <row r="219" spans="1:18" s="44" customFormat="1" ht="13.5" customHeight="1">
      <c r="A219" s="181" t="s">
        <v>375</v>
      </c>
      <c r="B219" s="202" t="s">
        <v>218</v>
      </c>
      <c r="C219" s="203" t="s">
        <v>376</v>
      </c>
      <c r="D219" s="182" t="s">
        <v>31</v>
      </c>
      <c r="E219" s="197">
        <f t="shared" si="32"/>
        <v>6</v>
      </c>
      <c r="F219" s="198">
        <f t="shared" si="33"/>
        <v>16.04</v>
      </c>
      <c r="G219" s="197">
        <f t="shared" si="34"/>
        <v>20.21</v>
      </c>
      <c r="H219" s="199">
        <f t="shared" si="35"/>
        <v>121.26</v>
      </c>
      <c r="I219" s="47">
        <v>6</v>
      </c>
      <c r="J219" s="180">
        <v>16.04</v>
      </c>
      <c r="K219" s="47" t="s">
        <v>377</v>
      </c>
      <c r="L219" s="47" t="s">
        <v>378</v>
      </c>
      <c r="M219" s="43"/>
      <c r="N219" s="43"/>
      <c r="O219" s="41"/>
      <c r="P219" s="42"/>
      <c r="Q219" s="43"/>
      <c r="R219" s="76"/>
    </row>
    <row r="220" spans="1:18" s="44" customFormat="1" ht="15.75" customHeight="1">
      <c r="A220" s="181" t="s">
        <v>379</v>
      </c>
      <c r="B220" s="202" t="s">
        <v>218</v>
      </c>
      <c r="C220" s="75" t="s">
        <v>380</v>
      </c>
      <c r="D220" s="182" t="s">
        <v>31</v>
      </c>
      <c r="E220" s="197">
        <f t="shared" si="32"/>
        <v>31</v>
      </c>
      <c r="F220" s="198">
        <f t="shared" si="33"/>
        <v>3.96</v>
      </c>
      <c r="G220" s="197">
        <f t="shared" si="34"/>
        <v>4.9800000000000004</v>
      </c>
      <c r="H220" s="199">
        <f t="shared" si="35"/>
        <v>154.38</v>
      </c>
      <c r="I220" s="47">
        <v>31</v>
      </c>
      <c r="J220" s="180">
        <v>3.96</v>
      </c>
      <c r="K220" s="47"/>
      <c r="L220" s="47"/>
      <c r="M220" s="41"/>
      <c r="N220" s="41"/>
      <c r="O220" s="41"/>
      <c r="P220" s="42"/>
      <c r="Q220" s="43"/>
      <c r="R220" s="76"/>
    </row>
    <row r="221" spans="1:18" s="44" customFormat="1" ht="25.5" customHeight="1">
      <c r="A221" s="181" t="s">
        <v>381</v>
      </c>
      <c r="B221" s="33">
        <v>97883</v>
      </c>
      <c r="C221" s="45" t="s">
        <v>314</v>
      </c>
      <c r="D221" s="182" t="s">
        <v>31</v>
      </c>
      <c r="E221" s="197">
        <f t="shared" si="32"/>
        <v>2</v>
      </c>
      <c r="F221" s="198">
        <f t="shared" si="33"/>
        <v>345.42</v>
      </c>
      <c r="G221" s="197">
        <f t="shared" si="34"/>
        <v>435.22</v>
      </c>
      <c r="H221" s="199">
        <f t="shared" si="35"/>
        <v>870.44</v>
      </c>
      <c r="I221" s="47">
        <v>2</v>
      </c>
      <c r="J221" s="180">
        <v>345.42</v>
      </c>
      <c r="K221" s="47"/>
      <c r="L221" s="47"/>
      <c r="M221" s="41"/>
      <c r="N221" s="41"/>
      <c r="O221" s="41"/>
      <c r="P221" s="42"/>
      <c r="Q221" s="43"/>
      <c r="R221" s="76"/>
    </row>
    <row r="222" spans="1:18" s="44" customFormat="1" ht="25.5" customHeight="1">
      <c r="A222" s="181" t="s">
        <v>382</v>
      </c>
      <c r="B222" s="33">
        <v>91857</v>
      </c>
      <c r="C222" s="45" t="s">
        <v>383</v>
      </c>
      <c r="D222" s="182" t="s">
        <v>31</v>
      </c>
      <c r="E222" s="197">
        <f t="shared" si="32"/>
        <v>10.44</v>
      </c>
      <c r="F222" s="198">
        <f t="shared" si="33"/>
        <v>10.68</v>
      </c>
      <c r="G222" s="197">
        <f t="shared" si="34"/>
        <v>13.45</v>
      </c>
      <c r="H222" s="199">
        <f t="shared" si="35"/>
        <v>140.41</v>
      </c>
      <c r="I222" s="47">
        <v>10.44</v>
      </c>
      <c r="J222" s="180">
        <v>10.68</v>
      </c>
      <c r="K222" s="47"/>
      <c r="L222" s="47"/>
      <c r="M222" s="41"/>
      <c r="N222" s="41"/>
      <c r="O222" s="41"/>
      <c r="P222" s="42"/>
      <c r="Q222" s="43"/>
      <c r="R222" s="76"/>
    </row>
    <row r="223" spans="1:18" s="44" customFormat="1" ht="24" customHeight="1" thickBot="1">
      <c r="A223" s="188" t="s">
        <v>384</v>
      </c>
      <c r="B223" s="189" t="s">
        <v>218</v>
      </c>
      <c r="C223" s="168" t="s">
        <v>385</v>
      </c>
      <c r="D223" s="190" t="s">
        <v>31</v>
      </c>
      <c r="E223" s="204">
        <f t="shared" si="32"/>
        <v>3.2</v>
      </c>
      <c r="F223" s="205">
        <f t="shared" si="33"/>
        <v>17.600000000000001</v>
      </c>
      <c r="G223" s="204">
        <f t="shared" si="34"/>
        <v>22.17</v>
      </c>
      <c r="H223" s="206">
        <f t="shared" si="35"/>
        <v>70.94</v>
      </c>
      <c r="I223" s="47">
        <v>3.2</v>
      </c>
      <c r="J223" s="180">
        <v>17.600000000000001</v>
      </c>
      <c r="K223" s="47"/>
      <c r="L223" s="47"/>
      <c r="M223" s="41"/>
      <c r="N223" s="41"/>
      <c r="O223" s="41"/>
      <c r="P223" s="42"/>
      <c r="Q223" s="43"/>
      <c r="R223" s="76"/>
    </row>
    <row r="224" spans="1:18" s="87" customFormat="1" thickBot="1">
      <c r="A224" s="28"/>
      <c r="B224" s="152"/>
      <c r="C224" s="29" t="s">
        <v>32</v>
      </c>
      <c r="D224" s="152"/>
      <c r="E224" s="152"/>
      <c r="F224" s="152"/>
      <c r="G224" s="152"/>
      <c r="H224" s="173">
        <f>SUM(H200:H223)</f>
        <v>7153.3199999999988</v>
      </c>
      <c r="I224" s="82"/>
      <c r="J224" s="83"/>
      <c r="K224" s="82"/>
      <c r="L224" s="82"/>
      <c r="M224" s="84"/>
      <c r="N224" s="84"/>
      <c r="O224" s="84"/>
      <c r="P224" s="85"/>
      <c r="Q224" s="86"/>
      <c r="R224" s="86"/>
    </row>
    <row r="225" spans="1:18" s="87" customFormat="1" ht="5.25" customHeight="1" thickBot="1">
      <c r="A225" s="154"/>
      <c r="B225" s="155"/>
      <c r="C225" s="97"/>
      <c r="D225" s="98"/>
      <c r="E225" s="207"/>
      <c r="F225" s="207"/>
      <c r="G225" s="62"/>
      <c r="H225" s="156"/>
      <c r="I225" s="82"/>
      <c r="J225" s="83"/>
      <c r="K225" s="82"/>
      <c r="L225" s="82"/>
      <c r="M225" s="84"/>
      <c r="N225" s="84"/>
      <c r="O225" s="84"/>
      <c r="P225" s="85"/>
      <c r="Q225" s="86"/>
      <c r="R225" s="86"/>
    </row>
    <row r="226" spans="1:18" s="27" customFormat="1" thickBot="1">
      <c r="A226" s="53" t="s">
        <v>386</v>
      </c>
      <c r="B226" s="54"/>
      <c r="C226" s="21" t="s">
        <v>387</v>
      </c>
      <c r="D226" s="21"/>
      <c r="E226" s="54"/>
      <c r="F226" s="54"/>
      <c r="G226" s="21"/>
      <c r="H226" s="23"/>
      <c r="I226" s="5"/>
      <c r="J226" s="48"/>
      <c r="K226" s="5"/>
      <c r="L226" s="5"/>
      <c r="M226" s="7"/>
      <c r="N226" s="7"/>
      <c r="O226" s="7"/>
      <c r="P226" s="8"/>
      <c r="Q226" s="26"/>
      <c r="R226" s="9"/>
    </row>
    <row r="227" spans="1:18" s="27" customFormat="1" thickBot="1">
      <c r="A227" s="127" t="s">
        <v>388</v>
      </c>
      <c r="B227" s="54"/>
      <c r="C227" s="131" t="s">
        <v>389</v>
      </c>
      <c r="D227" s="54"/>
      <c r="E227" s="54"/>
      <c r="F227" s="54"/>
      <c r="G227" s="54"/>
      <c r="H227" s="54"/>
      <c r="I227" s="5"/>
      <c r="J227" s="48"/>
      <c r="K227" s="5"/>
      <c r="L227" s="5"/>
      <c r="M227" s="7"/>
      <c r="N227" s="7"/>
      <c r="O227" s="7"/>
      <c r="P227" s="8"/>
      <c r="Q227" s="26"/>
      <c r="R227" s="9"/>
    </row>
    <row r="228" spans="1:18" s="44" customFormat="1" ht="25.5" customHeight="1">
      <c r="A228" s="181" t="s">
        <v>390</v>
      </c>
      <c r="B228" s="33">
        <v>90447</v>
      </c>
      <c r="C228" s="160" t="s">
        <v>244</v>
      </c>
      <c r="D228" s="161" t="s">
        <v>28</v>
      </c>
      <c r="E228" s="161">
        <f t="shared" ref="E228:E261" si="36">TRUNC(I228,2)</f>
        <v>18</v>
      </c>
      <c r="F228" s="162">
        <f t="shared" ref="F228:F261" si="37">J228</f>
        <v>4.42</v>
      </c>
      <c r="G228" s="161">
        <f t="shared" ref="G228:G240" si="38">TRUNC(J228*J$17,2)</f>
        <v>5.56</v>
      </c>
      <c r="H228" s="163">
        <f t="shared" ref="H228:H261" si="39">TRUNC(E228*G228,2)</f>
        <v>100.08</v>
      </c>
      <c r="I228" s="102">
        <f>6*1.8+8*0.9</f>
        <v>18</v>
      </c>
      <c r="J228" s="101">
        <v>4.42</v>
      </c>
      <c r="K228" s="102"/>
      <c r="L228" s="102"/>
      <c r="M228" s="41"/>
      <c r="N228" s="41"/>
      <c r="O228" s="41"/>
      <c r="P228" s="42"/>
      <c r="Q228" s="43"/>
      <c r="R228" s="76"/>
    </row>
    <row r="229" spans="1:18" s="187" customFormat="1" ht="25.5" customHeight="1">
      <c r="A229" s="208" t="s">
        <v>391</v>
      </c>
      <c r="B229" s="33" t="s">
        <v>392</v>
      </c>
      <c r="C229" s="45" t="s">
        <v>393</v>
      </c>
      <c r="D229" s="46" t="s">
        <v>31</v>
      </c>
      <c r="E229" s="35">
        <f t="shared" si="36"/>
        <v>3</v>
      </c>
      <c r="F229" s="36">
        <f t="shared" si="37"/>
        <v>257.08999999999997</v>
      </c>
      <c r="G229" s="46">
        <f t="shared" si="38"/>
        <v>323.93</v>
      </c>
      <c r="H229" s="37">
        <f t="shared" si="39"/>
        <v>971.79</v>
      </c>
      <c r="I229" s="102">
        <v>3</v>
      </c>
      <c r="J229" s="101">
        <v>257.08999999999997</v>
      </c>
      <c r="K229" s="102"/>
      <c r="L229" s="102"/>
      <c r="M229" s="184"/>
      <c r="N229" s="184"/>
      <c r="O229" s="184"/>
      <c r="P229" s="185"/>
      <c r="Q229" s="186"/>
      <c r="R229" s="184"/>
    </row>
    <row r="230" spans="1:18" s="187" customFormat="1" ht="15" customHeight="1">
      <c r="A230" s="181" t="s">
        <v>394</v>
      </c>
      <c r="B230" s="33" t="s">
        <v>23</v>
      </c>
      <c r="C230" s="139" t="s">
        <v>395</v>
      </c>
      <c r="D230" s="209" t="s">
        <v>31</v>
      </c>
      <c r="E230" s="35">
        <f t="shared" si="36"/>
        <v>1</v>
      </c>
      <c r="F230" s="36">
        <f t="shared" si="37"/>
        <v>817.76</v>
      </c>
      <c r="G230" s="46">
        <f t="shared" si="38"/>
        <v>1030.3699999999999</v>
      </c>
      <c r="H230" s="37">
        <f t="shared" si="39"/>
        <v>1030.3699999999999</v>
      </c>
      <c r="I230" s="210">
        <v>1</v>
      </c>
      <c r="J230" s="210">
        <v>817.76</v>
      </c>
      <c r="K230" s="102"/>
      <c r="L230" s="102"/>
      <c r="M230" s="184"/>
      <c r="N230" s="184"/>
      <c r="O230" s="184"/>
      <c r="P230" s="185"/>
      <c r="Q230" s="186"/>
      <c r="R230" s="184"/>
    </row>
    <row r="231" spans="1:18" s="187" customFormat="1" ht="26.25" customHeight="1">
      <c r="A231" s="181" t="s">
        <v>396</v>
      </c>
      <c r="B231" s="33">
        <v>86906</v>
      </c>
      <c r="C231" s="45" t="s">
        <v>397</v>
      </c>
      <c r="D231" s="46" t="s">
        <v>31</v>
      </c>
      <c r="E231" s="35">
        <f t="shared" si="36"/>
        <v>4</v>
      </c>
      <c r="F231" s="36">
        <f t="shared" si="37"/>
        <v>54.21</v>
      </c>
      <c r="G231" s="46">
        <f t="shared" si="38"/>
        <v>68.3</v>
      </c>
      <c r="H231" s="37">
        <f t="shared" si="39"/>
        <v>273.2</v>
      </c>
      <c r="I231" s="102">
        <v>4</v>
      </c>
      <c r="J231" s="101">
        <v>54.21</v>
      </c>
      <c r="K231" s="102"/>
      <c r="L231" s="102"/>
      <c r="M231" s="184"/>
      <c r="N231" s="184"/>
      <c r="O231" s="184"/>
      <c r="P231" s="185"/>
      <c r="Q231" s="186"/>
      <c r="R231" s="184"/>
    </row>
    <row r="232" spans="1:18" s="187" customFormat="1" ht="25.5" customHeight="1">
      <c r="A232" s="181" t="s">
        <v>398</v>
      </c>
      <c r="B232" s="33">
        <v>86909</v>
      </c>
      <c r="C232" s="45" t="s">
        <v>399</v>
      </c>
      <c r="D232" s="46" t="s">
        <v>31</v>
      </c>
      <c r="E232" s="35">
        <f t="shared" si="36"/>
        <v>1</v>
      </c>
      <c r="F232" s="36">
        <f t="shared" si="37"/>
        <v>108.62</v>
      </c>
      <c r="G232" s="46">
        <f t="shared" si="38"/>
        <v>136.86000000000001</v>
      </c>
      <c r="H232" s="37">
        <f t="shared" si="39"/>
        <v>136.86000000000001</v>
      </c>
      <c r="I232" s="102">
        <v>1</v>
      </c>
      <c r="J232" s="101">
        <v>108.62</v>
      </c>
      <c r="K232" s="102"/>
      <c r="L232" s="102"/>
      <c r="M232" s="184"/>
      <c r="N232" s="184"/>
      <c r="O232" s="184"/>
      <c r="P232" s="185"/>
      <c r="Q232" s="186"/>
      <c r="R232" s="184"/>
    </row>
    <row r="233" spans="1:18" s="187" customFormat="1" ht="30" customHeight="1">
      <c r="A233" s="181" t="s">
        <v>400</v>
      </c>
      <c r="B233" s="33">
        <v>86900</v>
      </c>
      <c r="C233" s="45" t="s">
        <v>401</v>
      </c>
      <c r="D233" s="46" t="s">
        <v>31</v>
      </c>
      <c r="E233" s="35">
        <f t="shared" si="36"/>
        <v>1</v>
      </c>
      <c r="F233" s="36">
        <f t="shared" si="37"/>
        <v>194.2</v>
      </c>
      <c r="G233" s="46">
        <f t="shared" si="38"/>
        <v>244.69</v>
      </c>
      <c r="H233" s="37">
        <f t="shared" si="39"/>
        <v>244.69</v>
      </c>
      <c r="I233" s="102">
        <v>1</v>
      </c>
      <c r="J233" s="101">
        <v>194.2</v>
      </c>
      <c r="K233" s="102"/>
      <c r="L233" s="102"/>
      <c r="M233" s="184"/>
      <c r="N233" s="184"/>
      <c r="O233" s="184"/>
      <c r="P233" s="185"/>
      <c r="Q233" s="186"/>
      <c r="R233" s="184"/>
    </row>
    <row r="234" spans="1:18" s="187" customFormat="1" ht="27" customHeight="1">
      <c r="A234" s="181" t="s">
        <v>402</v>
      </c>
      <c r="B234" s="33">
        <v>86914</v>
      </c>
      <c r="C234" s="45" t="s">
        <v>403</v>
      </c>
      <c r="D234" s="46" t="s">
        <v>31</v>
      </c>
      <c r="E234" s="35">
        <f t="shared" si="36"/>
        <v>1</v>
      </c>
      <c r="F234" s="36">
        <f t="shared" si="37"/>
        <v>41.45</v>
      </c>
      <c r="G234" s="46">
        <f t="shared" si="38"/>
        <v>52.22</v>
      </c>
      <c r="H234" s="37">
        <f t="shared" si="39"/>
        <v>52.22</v>
      </c>
      <c r="I234" s="102">
        <v>1</v>
      </c>
      <c r="J234" s="101">
        <v>41.45</v>
      </c>
      <c r="K234" s="102"/>
      <c r="L234" s="102"/>
      <c r="M234" s="184"/>
      <c r="N234" s="184"/>
      <c r="O234" s="184"/>
      <c r="P234" s="185"/>
      <c r="Q234" s="186"/>
      <c r="R234" s="184"/>
    </row>
    <row r="235" spans="1:18" s="187" customFormat="1" ht="24.75" customHeight="1">
      <c r="A235" s="181" t="s">
        <v>404</v>
      </c>
      <c r="B235" s="33">
        <v>99635</v>
      </c>
      <c r="C235" s="45" t="s">
        <v>405</v>
      </c>
      <c r="D235" s="46" t="s">
        <v>31</v>
      </c>
      <c r="E235" s="35">
        <f t="shared" si="36"/>
        <v>4</v>
      </c>
      <c r="F235" s="36">
        <f t="shared" si="37"/>
        <v>175.9</v>
      </c>
      <c r="G235" s="46">
        <f t="shared" si="38"/>
        <v>221.63</v>
      </c>
      <c r="H235" s="37">
        <f t="shared" si="39"/>
        <v>886.52</v>
      </c>
      <c r="I235" s="102">
        <v>4</v>
      </c>
      <c r="J235" s="101">
        <v>175.9</v>
      </c>
      <c r="K235" s="102"/>
      <c r="L235" s="102"/>
      <c r="M235" s="184"/>
      <c r="N235" s="184"/>
      <c r="O235" s="184"/>
      <c r="P235" s="185"/>
      <c r="Q235" s="186"/>
      <c r="R235" s="184"/>
    </row>
    <row r="236" spans="1:18" s="17" customFormat="1" ht="33" customHeight="1">
      <c r="A236" s="181" t="s">
        <v>406</v>
      </c>
      <c r="B236" s="33">
        <v>94794</v>
      </c>
      <c r="C236" s="45" t="s">
        <v>407</v>
      </c>
      <c r="D236" s="46" t="s">
        <v>31</v>
      </c>
      <c r="E236" s="35">
        <f t="shared" si="36"/>
        <v>3</v>
      </c>
      <c r="F236" s="36">
        <f t="shared" si="37"/>
        <v>91.56</v>
      </c>
      <c r="G236" s="46">
        <f t="shared" si="38"/>
        <v>115.36</v>
      </c>
      <c r="H236" s="37">
        <f t="shared" si="39"/>
        <v>346.08</v>
      </c>
      <c r="I236" s="47">
        <v>3</v>
      </c>
      <c r="J236" s="48">
        <v>91.56</v>
      </c>
      <c r="K236" s="47"/>
      <c r="L236" s="47"/>
      <c r="M236" s="41"/>
      <c r="N236" s="41">
        <v>105.24</v>
      </c>
      <c r="O236" s="41"/>
      <c r="P236" s="42"/>
      <c r="Q236" s="76"/>
      <c r="R236" s="76"/>
    </row>
    <row r="237" spans="1:18" s="17" customFormat="1" ht="25.5" customHeight="1">
      <c r="A237" s="181" t="s">
        <v>408</v>
      </c>
      <c r="B237" s="33">
        <v>89366</v>
      </c>
      <c r="C237" s="45" t="s">
        <v>409</v>
      </c>
      <c r="D237" s="46" t="s">
        <v>31</v>
      </c>
      <c r="E237" s="35">
        <f t="shared" si="36"/>
        <v>5</v>
      </c>
      <c r="F237" s="36">
        <f t="shared" si="37"/>
        <v>13.04</v>
      </c>
      <c r="G237" s="46">
        <f t="shared" si="38"/>
        <v>16.43</v>
      </c>
      <c r="H237" s="37">
        <f t="shared" si="39"/>
        <v>82.15</v>
      </c>
      <c r="I237" s="47">
        <v>5</v>
      </c>
      <c r="J237" s="48">
        <v>13.04</v>
      </c>
      <c r="K237" s="47"/>
      <c r="L237" s="47"/>
      <c r="M237" s="41"/>
      <c r="N237" s="41">
        <f>7.61*1.03</f>
        <v>7.8383000000000003</v>
      </c>
      <c r="O237" s="41"/>
      <c r="P237" s="42"/>
      <c r="Q237" s="76"/>
      <c r="R237" s="76"/>
    </row>
    <row r="238" spans="1:18" s="17" customFormat="1" ht="23.25" customHeight="1">
      <c r="A238" s="181" t="s">
        <v>410</v>
      </c>
      <c r="B238" s="33" t="s">
        <v>411</v>
      </c>
      <c r="C238" s="45" t="s">
        <v>412</v>
      </c>
      <c r="D238" s="46" t="s">
        <v>28</v>
      </c>
      <c r="E238" s="35">
        <f t="shared" si="36"/>
        <v>9</v>
      </c>
      <c r="F238" s="36">
        <f t="shared" si="37"/>
        <v>15.42</v>
      </c>
      <c r="G238" s="46">
        <f t="shared" si="38"/>
        <v>19.420000000000002</v>
      </c>
      <c r="H238" s="37">
        <f t="shared" si="39"/>
        <v>174.78</v>
      </c>
      <c r="I238" s="47">
        <v>9</v>
      </c>
      <c r="J238" s="48">
        <v>15.42</v>
      </c>
      <c r="K238" s="47"/>
      <c r="L238" s="47"/>
      <c r="M238" s="41">
        <f>14*2</f>
        <v>28</v>
      </c>
      <c r="N238" s="41">
        <v>19.61</v>
      </c>
      <c r="O238" s="41"/>
      <c r="P238" s="42"/>
      <c r="Q238" s="76"/>
      <c r="R238" s="76"/>
    </row>
    <row r="239" spans="1:18" s="17" customFormat="1" ht="21.75" customHeight="1">
      <c r="A239" s="181" t="s">
        <v>413</v>
      </c>
      <c r="B239" s="33" t="s">
        <v>414</v>
      </c>
      <c r="C239" s="45" t="s">
        <v>415</v>
      </c>
      <c r="D239" s="46" t="s">
        <v>28</v>
      </c>
      <c r="E239" s="35">
        <f t="shared" si="36"/>
        <v>45.6</v>
      </c>
      <c r="F239" s="36">
        <f t="shared" si="37"/>
        <v>15.62</v>
      </c>
      <c r="G239" s="46">
        <f t="shared" si="38"/>
        <v>19.68</v>
      </c>
      <c r="H239" s="37">
        <f t="shared" si="39"/>
        <v>897.4</v>
      </c>
      <c r="I239" s="47">
        <f>33.6+12</f>
        <v>45.6</v>
      </c>
      <c r="J239" s="48">
        <v>15.62</v>
      </c>
      <c r="K239" s="47"/>
      <c r="L239" s="47"/>
      <c r="M239" s="41"/>
      <c r="N239" s="41">
        <f>8.23*1.03</f>
        <v>8.4769000000000005</v>
      </c>
      <c r="O239" s="41">
        <f>7.97*1.3</f>
        <v>10.361000000000001</v>
      </c>
      <c r="P239" s="42"/>
      <c r="Q239" s="76"/>
      <c r="R239" s="76"/>
    </row>
    <row r="240" spans="1:18" s="17" customFormat="1" ht="19.5" customHeight="1">
      <c r="A240" s="181" t="s">
        <v>416</v>
      </c>
      <c r="B240" s="33">
        <v>102607</v>
      </c>
      <c r="C240" s="45" t="s">
        <v>417</v>
      </c>
      <c r="D240" s="46" t="s">
        <v>31</v>
      </c>
      <c r="E240" s="35">
        <f t="shared" si="36"/>
        <v>2</v>
      </c>
      <c r="F240" s="36">
        <f t="shared" si="37"/>
        <v>433.69</v>
      </c>
      <c r="G240" s="46">
        <f t="shared" si="38"/>
        <v>546.44000000000005</v>
      </c>
      <c r="H240" s="37">
        <f t="shared" si="39"/>
        <v>1092.8800000000001</v>
      </c>
      <c r="I240" s="47">
        <v>2</v>
      </c>
      <c r="J240" s="48">
        <v>433.69</v>
      </c>
      <c r="K240" s="47"/>
      <c r="L240" s="47"/>
      <c r="M240" s="41"/>
      <c r="N240" s="41"/>
      <c r="O240" s="41"/>
      <c r="P240" s="42"/>
      <c r="Q240" s="76"/>
      <c r="R240" s="76"/>
    </row>
    <row r="241" spans="1:18" s="17" customFormat="1">
      <c r="A241" s="181"/>
      <c r="B241" s="33"/>
      <c r="C241" s="175" t="s">
        <v>418</v>
      </c>
      <c r="D241" s="46"/>
      <c r="E241" s="35">
        <f t="shared" si="36"/>
        <v>0</v>
      </c>
      <c r="F241" s="36">
        <f t="shared" si="37"/>
        <v>0</v>
      </c>
      <c r="G241" s="46"/>
      <c r="H241" s="37">
        <f t="shared" si="39"/>
        <v>0</v>
      </c>
      <c r="I241" s="47"/>
      <c r="J241" s="48"/>
      <c r="K241" s="47"/>
      <c r="L241" s="47"/>
      <c r="M241" s="41"/>
      <c r="N241" s="41"/>
      <c r="O241" s="41"/>
      <c r="P241" s="42"/>
      <c r="Q241" s="76"/>
    </row>
    <row r="242" spans="1:18" s="65" customFormat="1" ht="15.75" customHeight="1">
      <c r="A242" s="181" t="s">
        <v>419</v>
      </c>
      <c r="B242" s="33">
        <v>95544</v>
      </c>
      <c r="C242" s="45" t="s">
        <v>420</v>
      </c>
      <c r="D242" s="46" t="s">
        <v>31</v>
      </c>
      <c r="E242" s="35">
        <f t="shared" si="36"/>
        <v>4</v>
      </c>
      <c r="F242" s="36">
        <f t="shared" si="37"/>
        <v>38.049999999999997</v>
      </c>
      <c r="G242" s="46">
        <f t="shared" ref="G242:G261" si="40">TRUNC(J242*J$17,2)</f>
        <v>47.94</v>
      </c>
      <c r="H242" s="37">
        <f t="shared" si="39"/>
        <v>191.76</v>
      </c>
      <c r="I242" s="47">
        <v>4</v>
      </c>
      <c r="J242" s="48">
        <v>38.049999999999997</v>
      </c>
      <c r="K242" s="47"/>
      <c r="L242" s="47"/>
      <c r="M242" s="41"/>
      <c r="N242" s="41">
        <f>27.92*1.03</f>
        <v>28.757600000000004</v>
      </c>
      <c r="O242" s="41"/>
      <c r="P242" s="42"/>
      <c r="Q242" s="41"/>
    </row>
    <row r="243" spans="1:18" s="65" customFormat="1" ht="15" customHeight="1">
      <c r="A243" s="181" t="s">
        <v>421</v>
      </c>
      <c r="B243" s="33">
        <v>95545</v>
      </c>
      <c r="C243" s="45" t="s">
        <v>422</v>
      </c>
      <c r="D243" s="46" t="s">
        <v>31</v>
      </c>
      <c r="E243" s="35">
        <f t="shared" si="36"/>
        <v>4</v>
      </c>
      <c r="F243" s="36">
        <f t="shared" si="37"/>
        <v>36.42</v>
      </c>
      <c r="G243" s="46">
        <f t="shared" si="40"/>
        <v>45.88</v>
      </c>
      <c r="H243" s="37">
        <f t="shared" si="39"/>
        <v>183.52</v>
      </c>
      <c r="I243" s="47">
        <v>4</v>
      </c>
      <c r="J243" s="48">
        <v>36.42</v>
      </c>
      <c r="K243" s="47"/>
      <c r="L243" s="47"/>
      <c r="M243" s="41"/>
      <c r="N243" s="41">
        <f>29.22*1.03</f>
        <v>30.096599999999999</v>
      </c>
      <c r="O243" s="41"/>
      <c r="P243" s="42"/>
      <c r="Q243" s="41"/>
    </row>
    <row r="244" spans="1:18" s="17" customFormat="1" ht="23.25" customHeight="1">
      <c r="A244" s="181" t="s">
        <v>423</v>
      </c>
      <c r="B244" s="33">
        <v>99253</v>
      </c>
      <c r="C244" s="45" t="s">
        <v>424</v>
      </c>
      <c r="D244" s="46" t="s">
        <v>31</v>
      </c>
      <c r="E244" s="35">
        <f t="shared" si="36"/>
        <v>6</v>
      </c>
      <c r="F244" s="36">
        <f t="shared" si="37"/>
        <v>495.33</v>
      </c>
      <c r="G244" s="46">
        <f t="shared" si="40"/>
        <v>624.11</v>
      </c>
      <c r="H244" s="37">
        <f t="shared" si="39"/>
        <v>3744.66</v>
      </c>
      <c r="I244" s="47">
        <v>6</v>
      </c>
      <c r="J244" s="48">
        <v>495.33</v>
      </c>
      <c r="K244" s="47"/>
      <c r="L244" s="47"/>
      <c r="M244" s="41"/>
      <c r="N244" s="41"/>
      <c r="O244" s="41"/>
      <c r="P244" s="42"/>
      <c r="Q244" s="76"/>
      <c r="R244" s="76"/>
    </row>
    <row r="245" spans="1:18" s="17" customFormat="1" ht="21.75" customHeight="1">
      <c r="A245" s="181" t="s">
        <v>425</v>
      </c>
      <c r="B245" s="33">
        <v>95469</v>
      </c>
      <c r="C245" s="45" t="s">
        <v>426</v>
      </c>
      <c r="D245" s="46" t="s">
        <v>31</v>
      </c>
      <c r="E245" s="35">
        <f t="shared" si="36"/>
        <v>3</v>
      </c>
      <c r="F245" s="36">
        <f t="shared" si="37"/>
        <v>219.67</v>
      </c>
      <c r="G245" s="46">
        <f t="shared" si="40"/>
        <v>276.77999999999997</v>
      </c>
      <c r="H245" s="37">
        <f t="shared" si="39"/>
        <v>830.34</v>
      </c>
      <c r="I245" s="47">
        <v>3</v>
      </c>
      <c r="J245" s="48">
        <v>219.67</v>
      </c>
      <c r="K245" s="47"/>
      <c r="L245" s="47"/>
      <c r="M245" s="41"/>
      <c r="N245" s="41"/>
      <c r="O245" s="41"/>
      <c r="P245" s="42"/>
      <c r="Q245" s="76"/>
      <c r="R245" s="76"/>
    </row>
    <row r="246" spans="1:18" s="17" customFormat="1" ht="36.75" customHeight="1">
      <c r="A246" s="181" t="s">
        <v>427</v>
      </c>
      <c r="B246" s="33">
        <v>95472</v>
      </c>
      <c r="C246" s="45" t="s">
        <v>428</v>
      </c>
      <c r="D246" s="46" t="s">
        <v>31</v>
      </c>
      <c r="E246" s="35">
        <f t="shared" si="36"/>
        <v>1</v>
      </c>
      <c r="F246" s="36">
        <f t="shared" si="37"/>
        <v>596.79999999999995</v>
      </c>
      <c r="G246" s="46">
        <f t="shared" si="40"/>
        <v>751.96</v>
      </c>
      <c r="H246" s="37">
        <f t="shared" si="39"/>
        <v>751.96</v>
      </c>
      <c r="I246" s="47">
        <v>1</v>
      </c>
      <c r="J246" s="48">
        <v>596.79999999999995</v>
      </c>
      <c r="K246" s="47"/>
      <c r="L246" s="47"/>
      <c r="M246" s="41"/>
      <c r="N246" s="41"/>
      <c r="O246" s="41"/>
      <c r="P246" s="42"/>
      <c r="Q246" s="76"/>
      <c r="R246" s="76"/>
    </row>
    <row r="247" spans="1:18" s="17" customFormat="1" ht="24" customHeight="1">
      <c r="A247" s="181" t="s">
        <v>429</v>
      </c>
      <c r="B247" s="33" t="s">
        <v>430</v>
      </c>
      <c r="C247" s="45" t="s">
        <v>431</v>
      </c>
      <c r="D247" s="46" t="s">
        <v>31</v>
      </c>
      <c r="E247" s="35">
        <f t="shared" si="36"/>
        <v>4</v>
      </c>
      <c r="F247" s="36">
        <f t="shared" si="37"/>
        <v>29.48</v>
      </c>
      <c r="G247" s="46">
        <f t="shared" si="40"/>
        <v>37.14</v>
      </c>
      <c r="H247" s="37">
        <f t="shared" si="39"/>
        <v>148.56</v>
      </c>
      <c r="I247" s="47">
        <v>4</v>
      </c>
      <c r="J247" s="48">
        <v>29.48</v>
      </c>
      <c r="K247" s="47"/>
      <c r="L247" s="47"/>
      <c r="M247" s="41"/>
      <c r="N247" s="41"/>
      <c r="O247" s="41"/>
      <c r="P247" s="42"/>
      <c r="Q247" s="76"/>
      <c r="R247" s="76"/>
    </row>
    <row r="248" spans="1:18" s="65" customFormat="1" ht="22.5" customHeight="1">
      <c r="A248" s="181" t="s">
        <v>432</v>
      </c>
      <c r="B248" s="33" t="s">
        <v>433</v>
      </c>
      <c r="C248" s="211" t="s">
        <v>434</v>
      </c>
      <c r="D248" s="46" t="s">
        <v>28</v>
      </c>
      <c r="E248" s="35">
        <f t="shared" si="36"/>
        <v>34.6</v>
      </c>
      <c r="F248" s="36">
        <f t="shared" si="37"/>
        <v>44.83</v>
      </c>
      <c r="G248" s="46">
        <f t="shared" si="40"/>
        <v>56.48</v>
      </c>
      <c r="H248" s="37">
        <f t="shared" si="39"/>
        <v>1954.2</v>
      </c>
      <c r="I248" s="47">
        <f>2.4+5.7+3.1+13.1+10.3</f>
        <v>34.599999999999994</v>
      </c>
      <c r="J248" s="48">
        <v>44.83</v>
      </c>
      <c r="K248" s="47"/>
      <c r="L248" s="47"/>
      <c r="M248" s="41">
        <f>55+25+25+6</f>
        <v>111</v>
      </c>
      <c r="N248" s="41"/>
      <c r="O248" s="41">
        <f>17.86*1.3</f>
        <v>23.218</v>
      </c>
      <c r="P248" s="42"/>
      <c r="Q248" s="41"/>
      <c r="R248" s="41"/>
    </row>
    <row r="249" spans="1:18" s="65" customFormat="1" ht="22.5" customHeight="1">
      <c r="A249" s="181" t="s">
        <v>435</v>
      </c>
      <c r="B249" s="33" t="s">
        <v>436</v>
      </c>
      <c r="C249" s="211" t="s">
        <v>437</v>
      </c>
      <c r="D249" s="46" t="s">
        <v>28</v>
      </c>
      <c r="E249" s="35">
        <f t="shared" si="36"/>
        <v>12</v>
      </c>
      <c r="F249" s="36">
        <f t="shared" si="37"/>
        <v>14.59</v>
      </c>
      <c r="G249" s="46">
        <f t="shared" si="40"/>
        <v>18.38</v>
      </c>
      <c r="H249" s="37">
        <f t="shared" si="39"/>
        <v>220.56</v>
      </c>
      <c r="I249" s="47">
        <v>12</v>
      </c>
      <c r="J249" s="48">
        <v>14.59</v>
      </c>
      <c r="K249" s="47"/>
      <c r="L249" s="47"/>
      <c r="M249" s="41"/>
      <c r="N249" s="41"/>
      <c r="O249" s="41">
        <f>5.06*1.3</f>
        <v>6.5779999999999994</v>
      </c>
      <c r="P249" s="42"/>
      <c r="Q249" s="41"/>
      <c r="R249" s="41"/>
    </row>
    <row r="250" spans="1:18" s="17" customFormat="1" ht="25.5" customHeight="1">
      <c r="A250" s="181" t="s">
        <v>438</v>
      </c>
      <c r="B250" s="33" t="s">
        <v>439</v>
      </c>
      <c r="C250" s="45" t="s">
        <v>440</v>
      </c>
      <c r="D250" s="46" t="s">
        <v>31</v>
      </c>
      <c r="E250" s="35">
        <f t="shared" si="36"/>
        <v>3</v>
      </c>
      <c r="F250" s="36">
        <f t="shared" si="37"/>
        <v>18.13</v>
      </c>
      <c r="G250" s="46">
        <f t="shared" si="40"/>
        <v>22.84</v>
      </c>
      <c r="H250" s="37">
        <f t="shared" si="39"/>
        <v>68.52</v>
      </c>
      <c r="I250" s="47">
        <v>3</v>
      </c>
      <c r="J250" s="48">
        <v>18.13</v>
      </c>
      <c r="K250" s="47"/>
      <c r="L250" s="47"/>
      <c r="M250" s="41"/>
      <c r="N250" s="41"/>
      <c r="O250" s="41">
        <f>11.83*1.3</f>
        <v>15.379000000000001</v>
      </c>
      <c r="P250" s="42"/>
      <c r="Q250" s="76"/>
      <c r="R250" s="76"/>
    </row>
    <row r="251" spans="1:18" s="17" customFormat="1" ht="33.75" customHeight="1">
      <c r="A251" s="181" t="s">
        <v>441</v>
      </c>
      <c r="B251" s="33" t="s">
        <v>442</v>
      </c>
      <c r="C251" s="45" t="s">
        <v>443</v>
      </c>
      <c r="D251" s="46" t="s">
        <v>31</v>
      </c>
      <c r="E251" s="35">
        <f t="shared" si="36"/>
        <v>4</v>
      </c>
      <c r="F251" s="36">
        <f t="shared" si="37"/>
        <v>8.3699999999999992</v>
      </c>
      <c r="G251" s="46">
        <f t="shared" si="40"/>
        <v>10.54</v>
      </c>
      <c r="H251" s="37">
        <f t="shared" si="39"/>
        <v>42.16</v>
      </c>
      <c r="I251" s="47">
        <v>4</v>
      </c>
      <c r="J251" s="48">
        <v>8.3699999999999992</v>
      </c>
      <c r="K251" s="47"/>
      <c r="L251" s="47"/>
      <c r="M251" s="41"/>
      <c r="N251" s="41"/>
      <c r="O251" s="41">
        <f>4.38*1.3</f>
        <v>5.694</v>
      </c>
      <c r="P251" s="42"/>
      <c r="Q251" s="76"/>
      <c r="R251" s="76"/>
    </row>
    <row r="252" spans="1:18" s="212" customFormat="1" ht="30" customHeight="1">
      <c r="A252" s="181" t="s">
        <v>444</v>
      </c>
      <c r="B252" s="33">
        <v>89690</v>
      </c>
      <c r="C252" s="45" t="s">
        <v>445</v>
      </c>
      <c r="D252" s="46" t="s">
        <v>31</v>
      </c>
      <c r="E252" s="35">
        <f t="shared" si="36"/>
        <v>3</v>
      </c>
      <c r="F252" s="36">
        <f t="shared" si="37"/>
        <v>71.14</v>
      </c>
      <c r="G252" s="46">
        <f t="shared" si="40"/>
        <v>89.63</v>
      </c>
      <c r="H252" s="37">
        <f t="shared" si="39"/>
        <v>268.89</v>
      </c>
      <c r="I252" s="47">
        <v>3</v>
      </c>
      <c r="J252" s="48">
        <v>71.14</v>
      </c>
      <c r="K252" s="47"/>
      <c r="L252" s="47"/>
      <c r="M252" s="184"/>
      <c r="N252" s="184"/>
      <c r="O252" s="184"/>
      <c r="P252" s="185"/>
      <c r="Q252" s="184"/>
      <c r="R252" s="184"/>
    </row>
    <row r="253" spans="1:18" s="212" customFormat="1" ht="30" customHeight="1">
      <c r="A253" s="181" t="s">
        <v>446</v>
      </c>
      <c r="B253" s="33">
        <v>89802</v>
      </c>
      <c r="C253" s="45" t="s">
        <v>447</v>
      </c>
      <c r="D253" s="46" t="s">
        <v>31</v>
      </c>
      <c r="E253" s="35">
        <f t="shared" si="36"/>
        <v>4</v>
      </c>
      <c r="F253" s="36">
        <f t="shared" si="37"/>
        <v>7.76</v>
      </c>
      <c r="G253" s="46">
        <f t="shared" si="40"/>
        <v>9.77</v>
      </c>
      <c r="H253" s="37">
        <f t="shared" si="39"/>
        <v>39.08</v>
      </c>
      <c r="I253" s="47">
        <v>4</v>
      </c>
      <c r="J253" s="48">
        <v>7.76</v>
      </c>
      <c r="K253" s="47"/>
      <c r="L253" s="47"/>
      <c r="M253" s="184"/>
      <c r="N253" s="184"/>
      <c r="O253" s="184"/>
      <c r="P253" s="185"/>
      <c r="Q253" s="184"/>
      <c r="R253" s="184"/>
    </row>
    <row r="254" spans="1:18" s="212" customFormat="1" ht="30" customHeight="1">
      <c r="A254" s="181" t="s">
        <v>448</v>
      </c>
      <c r="B254" s="33">
        <v>89557</v>
      </c>
      <c r="C254" s="45" t="s">
        <v>449</v>
      </c>
      <c r="D254" s="46" t="s">
        <v>31</v>
      </c>
      <c r="E254" s="35">
        <f t="shared" si="36"/>
        <v>4</v>
      </c>
      <c r="F254" s="36">
        <f t="shared" si="37"/>
        <v>26.53</v>
      </c>
      <c r="G254" s="46">
        <f t="shared" si="40"/>
        <v>33.42</v>
      </c>
      <c r="H254" s="37">
        <f t="shared" si="39"/>
        <v>133.68</v>
      </c>
      <c r="I254" s="47">
        <v>4</v>
      </c>
      <c r="J254" s="48">
        <v>26.53</v>
      </c>
      <c r="K254" s="47"/>
      <c r="L254" s="47"/>
      <c r="M254" s="184"/>
      <c r="N254" s="184"/>
      <c r="O254" s="184"/>
      <c r="P254" s="185"/>
      <c r="Q254" s="184"/>
      <c r="R254" s="184"/>
    </row>
    <row r="255" spans="1:18" s="212" customFormat="1" ht="30" customHeight="1">
      <c r="A255" s="181" t="s">
        <v>450</v>
      </c>
      <c r="B255" s="33">
        <v>89546</v>
      </c>
      <c r="C255" s="45" t="s">
        <v>451</v>
      </c>
      <c r="D255" s="46" t="s">
        <v>31</v>
      </c>
      <c r="E255" s="35">
        <f t="shared" si="36"/>
        <v>4</v>
      </c>
      <c r="F255" s="36">
        <f t="shared" si="37"/>
        <v>10.85</v>
      </c>
      <c r="G255" s="46">
        <f t="shared" si="40"/>
        <v>13.67</v>
      </c>
      <c r="H255" s="37">
        <f t="shared" si="39"/>
        <v>54.68</v>
      </c>
      <c r="I255" s="47">
        <v>4</v>
      </c>
      <c r="J255" s="48">
        <v>10.85</v>
      </c>
      <c r="K255" s="47"/>
      <c r="L255" s="47"/>
      <c r="M255" s="184"/>
      <c r="N255" s="184"/>
      <c r="O255" s="184"/>
      <c r="P255" s="185"/>
      <c r="Q255" s="184"/>
      <c r="R255" s="184"/>
    </row>
    <row r="256" spans="1:18" s="65" customFormat="1" ht="24.75" customHeight="1">
      <c r="A256" s="181" t="s">
        <v>452</v>
      </c>
      <c r="B256" s="33" t="s">
        <v>23</v>
      </c>
      <c r="C256" s="45" t="s">
        <v>453</v>
      </c>
      <c r="D256" s="67" t="s">
        <v>187</v>
      </c>
      <c r="E256" s="35">
        <f t="shared" si="36"/>
        <v>1</v>
      </c>
      <c r="F256" s="36">
        <f t="shared" si="37"/>
        <v>482.14</v>
      </c>
      <c r="G256" s="46">
        <f t="shared" si="40"/>
        <v>607.49</v>
      </c>
      <c r="H256" s="37">
        <f t="shared" si="39"/>
        <v>607.49</v>
      </c>
      <c r="I256" s="47">
        <v>1</v>
      </c>
      <c r="J256" s="48">
        <v>482.14</v>
      </c>
      <c r="K256" s="47"/>
      <c r="L256" s="47"/>
      <c r="M256" s="41"/>
      <c r="N256" s="41"/>
      <c r="O256" s="41"/>
      <c r="P256" s="42"/>
      <c r="Q256" s="41"/>
      <c r="R256" s="41"/>
    </row>
    <row r="257" spans="1:18" s="65" customFormat="1" ht="18.75" customHeight="1">
      <c r="A257" s="181" t="s">
        <v>454</v>
      </c>
      <c r="B257" s="33" t="s">
        <v>23</v>
      </c>
      <c r="C257" s="45" t="s">
        <v>455</v>
      </c>
      <c r="D257" s="213" t="s">
        <v>187</v>
      </c>
      <c r="E257" s="35">
        <f t="shared" si="36"/>
        <v>1</v>
      </c>
      <c r="F257" s="36">
        <f t="shared" si="37"/>
        <v>226.3</v>
      </c>
      <c r="G257" s="46">
        <f t="shared" si="40"/>
        <v>285.13</v>
      </c>
      <c r="H257" s="37">
        <f t="shared" si="39"/>
        <v>285.13</v>
      </c>
      <c r="I257" s="47">
        <v>1</v>
      </c>
      <c r="J257" s="214">
        <v>226.3</v>
      </c>
      <c r="K257" s="47"/>
      <c r="L257" s="47"/>
      <c r="M257" s="41"/>
      <c r="N257" s="41"/>
      <c r="O257" s="41"/>
      <c r="P257" s="42"/>
      <c r="Q257" s="41"/>
      <c r="R257" s="41"/>
    </row>
    <row r="258" spans="1:18" s="65" customFormat="1" ht="27" customHeight="1">
      <c r="A258" s="181" t="s">
        <v>456</v>
      </c>
      <c r="B258" s="33">
        <v>98052</v>
      </c>
      <c r="C258" s="45" t="s">
        <v>457</v>
      </c>
      <c r="D258" s="213" t="s">
        <v>31</v>
      </c>
      <c r="E258" s="35">
        <f t="shared" si="36"/>
        <v>1</v>
      </c>
      <c r="F258" s="36">
        <f t="shared" si="37"/>
        <v>1830.56</v>
      </c>
      <c r="G258" s="46">
        <f t="shared" si="40"/>
        <v>2306.5</v>
      </c>
      <c r="H258" s="37">
        <f t="shared" si="39"/>
        <v>2306.5</v>
      </c>
      <c r="I258" s="47">
        <v>1</v>
      </c>
      <c r="J258" s="214">
        <v>1830.56</v>
      </c>
      <c r="K258" s="47"/>
      <c r="L258" s="47"/>
      <c r="M258" s="41"/>
      <c r="N258" s="41"/>
      <c r="O258" s="41"/>
      <c r="P258" s="42"/>
      <c r="Q258" s="41"/>
      <c r="R258" s="41"/>
    </row>
    <row r="259" spans="1:18" s="65" customFormat="1" ht="26.25" customHeight="1">
      <c r="A259" s="181" t="s">
        <v>458</v>
      </c>
      <c r="B259" s="33">
        <v>98062</v>
      </c>
      <c r="C259" s="45" t="s">
        <v>459</v>
      </c>
      <c r="D259" s="213" t="s">
        <v>31</v>
      </c>
      <c r="E259" s="35">
        <f t="shared" si="36"/>
        <v>1</v>
      </c>
      <c r="F259" s="36">
        <f t="shared" si="37"/>
        <v>2612.3000000000002</v>
      </c>
      <c r="G259" s="46">
        <f t="shared" si="40"/>
        <v>3291.49</v>
      </c>
      <c r="H259" s="37">
        <f t="shared" si="39"/>
        <v>3291.49</v>
      </c>
      <c r="I259" s="47">
        <v>1</v>
      </c>
      <c r="J259" s="214">
        <v>2612.3000000000002</v>
      </c>
      <c r="K259" s="47"/>
      <c r="L259" s="47"/>
      <c r="M259" s="41"/>
      <c r="N259" s="41"/>
      <c r="O259" s="41"/>
      <c r="P259" s="42"/>
      <c r="Q259" s="41"/>
      <c r="R259" s="41"/>
    </row>
    <row r="260" spans="1:18" s="65" customFormat="1" ht="13.5" customHeight="1">
      <c r="A260" s="181" t="s">
        <v>460</v>
      </c>
      <c r="B260" s="33">
        <v>93358</v>
      </c>
      <c r="C260" s="90" t="s">
        <v>461</v>
      </c>
      <c r="D260" s="213" t="s">
        <v>54</v>
      </c>
      <c r="E260" s="51">
        <f t="shared" si="36"/>
        <v>2.75</v>
      </c>
      <c r="F260" s="94">
        <f t="shared" si="37"/>
        <v>55.46</v>
      </c>
      <c r="G260" s="50">
        <f t="shared" si="40"/>
        <v>69.87</v>
      </c>
      <c r="H260" s="52">
        <f t="shared" si="39"/>
        <v>192.14</v>
      </c>
      <c r="I260" s="47">
        <f>30.6*0.3*0.3</f>
        <v>2.754</v>
      </c>
      <c r="J260" s="48">
        <v>55.46</v>
      </c>
      <c r="K260" s="47"/>
      <c r="L260" s="47"/>
      <c r="M260" s="41"/>
      <c r="N260" s="41"/>
      <c r="O260" s="41"/>
      <c r="P260" s="42"/>
      <c r="Q260" s="41"/>
      <c r="R260" s="41"/>
    </row>
    <row r="261" spans="1:18" s="65" customFormat="1" ht="35.25" customHeight="1" thickBot="1">
      <c r="A261" s="181" t="s">
        <v>462</v>
      </c>
      <c r="B261" s="33">
        <v>86920</v>
      </c>
      <c r="C261" s="45" t="s">
        <v>463</v>
      </c>
      <c r="D261" s="67" t="s">
        <v>31</v>
      </c>
      <c r="E261" s="46">
        <f t="shared" si="36"/>
        <v>1</v>
      </c>
      <c r="F261" s="36">
        <f t="shared" si="37"/>
        <v>582.52</v>
      </c>
      <c r="G261" s="46">
        <f t="shared" si="40"/>
        <v>733.97</v>
      </c>
      <c r="H261" s="81">
        <f t="shared" si="39"/>
        <v>733.97</v>
      </c>
      <c r="I261" s="47">
        <v>1</v>
      </c>
      <c r="J261" s="48">
        <v>582.52</v>
      </c>
      <c r="K261" s="47"/>
      <c r="L261" s="47"/>
      <c r="M261" s="41"/>
      <c r="N261" s="41"/>
      <c r="O261" s="41"/>
      <c r="P261" s="42"/>
      <c r="Q261" s="41"/>
      <c r="R261" s="41"/>
    </row>
    <row r="262" spans="1:18" s="187" customFormat="1" thickBot="1">
      <c r="A262" s="53"/>
      <c r="B262" s="54"/>
      <c r="C262" s="21" t="s">
        <v>32</v>
      </c>
      <c r="D262" s="54"/>
      <c r="E262" s="54"/>
      <c r="F262" s="54"/>
      <c r="G262" s="54"/>
      <c r="H262" s="55">
        <f>SUM(H228:H261)</f>
        <v>22338.309999999998</v>
      </c>
      <c r="I262" s="82"/>
      <c r="J262" s="215"/>
      <c r="K262" s="82"/>
      <c r="L262" s="82"/>
      <c r="M262" s="184"/>
      <c r="N262" s="184"/>
      <c r="O262" s="184"/>
      <c r="P262" s="185"/>
      <c r="Q262" s="186"/>
      <c r="R262" s="86"/>
    </row>
    <row r="263" spans="1:18" s="187" customFormat="1" ht="6.75" customHeight="1" thickBot="1">
      <c r="A263" s="154"/>
      <c r="B263" s="155"/>
      <c r="C263" s="97"/>
      <c r="D263" s="207"/>
      <c r="E263" s="207"/>
      <c r="F263" s="207"/>
      <c r="G263" s="216"/>
      <c r="H263" s="217"/>
      <c r="I263" s="82"/>
      <c r="J263" s="83"/>
      <c r="K263" s="82"/>
      <c r="L263" s="82"/>
      <c r="M263" s="184"/>
      <c r="N263" s="184"/>
      <c r="O263" s="184"/>
      <c r="P263" s="185"/>
      <c r="Q263" s="186"/>
      <c r="R263" s="86"/>
    </row>
    <row r="264" spans="1:18" s="17" customFormat="1" thickBot="1">
      <c r="A264" s="53" t="s">
        <v>464</v>
      </c>
      <c r="B264" s="54"/>
      <c r="C264" s="21" t="s">
        <v>465</v>
      </c>
      <c r="D264" s="21"/>
      <c r="E264" s="54"/>
      <c r="F264" s="54"/>
      <c r="G264" s="21"/>
      <c r="H264" s="23"/>
      <c r="I264" s="5"/>
      <c r="J264" s="48"/>
      <c r="K264" s="5"/>
      <c r="L264" s="5"/>
      <c r="M264" s="41"/>
      <c r="N264" s="218"/>
      <c r="O264" s="41"/>
      <c r="P264" s="42"/>
      <c r="Q264" s="76"/>
      <c r="R264" s="9"/>
    </row>
    <row r="265" spans="1:18" s="17" customFormat="1" thickBot="1">
      <c r="A265" s="126" t="s">
        <v>466</v>
      </c>
      <c r="B265" s="127"/>
      <c r="C265" s="219" t="s">
        <v>467</v>
      </c>
      <c r="D265" s="127"/>
      <c r="E265" s="127"/>
      <c r="F265" s="127"/>
      <c r="G265" s="127"/>
      <c r="H265" s="143"/>
      <c r="I265" s="5"/>
      <c r="J265" s="48"/>
      <c r="K265" s="5"/>
      <c r="L265" s="5"/>
      <c r="M265" s="41"/>
      <c r="N265" s="218"/>
      <c r="O265" s="41"/>
      <c r="P265" s="42"/>
      <c r="Q265" s="76"/>
      <c r="R265" s="9"/>
    </row>
    <row r="266" spans="1:18" s="17" customFormat="1" ht="36.75" customHeight="1">
      <c r="A266" s="158" t="s">
        <v>468</v>
      </c>
      <c r="B266" s="177" t="s">
        <v>100</v>
      </c>
      <c r="C266" s="220" t="s">
        <v>101</v>
      </c>
      <c r="D266" s="221" t="s">
        <v>25</v>
      </c>
      <c r="E266" s="221">
        <f t="shared" ref="E266:E277" si="41">TRUNC(I266,2)</f>
        <v>81.7</v>
      </c>
      <c r="F266" s="222">
        <f t="shared" ref="F266:F277" si="42">J266</f>
        <v>70.36</v>
      </c>
      <c r="G266" s="221">
        <f>TRUNC(J266*J$17,2)</f>
        <v>88.65</v>
      </c>
      <c r="H266" s="223">
        <f t="shared" ref="H266:H277" si="43">TRUNC(E266*G266,2)</f>
        <v>7242.7</v>
      </c>
      <c r="I266" s="47">
        <f>136.17*0.6</f>
        <v>81.701999999999984</v>
      </c>
      <c r="J266" s="48">
        <v>70.36</v>
      </c>
      <c r="K266" s="47"/>
      <c r="L266" s="47"/>
      <c r="M266" s="41"/>
      <c r="N266" s="218"/>
      <c r="O266" s="41"/>
      <c r="P266" s="42"/>
      <c r="Q266" s="76"/>
      <c r="R266" s="76"/>
    </row>
    <row r="267" spans="1:18" s="17" customFormat="1" ht="16.5" customHeight="1">
      <c r="A267" s="32" t="s">
        <v>469</v>
      </c>
      <c r="B267" s="33" t="s">
        <v>23</v>
      </c>
      <c r="C267" s="139" t="s">
        <v>62</v>
      </c>
      <c r="D267" s="46" t="s">
        <v>54</v>
      </c>
      <c r="E267" s="46">
        <f t="shared" si="41"/>
        <v>0.72</v>
      </c>
      <c r="F267" s="36">
        <f t="shared" si="42"/>
        <v>207.75</v>
      </c>
      <c r="G267" s="46">
        <f>TRUNC(J267*J$17,2)</f>
        <v>261.76</v>
      </c>
      <c r="H267" s="81">
        <f t="shared" si="43"/>
        <v>188.46</v>
      </c>
      <c r="I267" s="47">
        <f>54*0.15*0.3*0.3</f>
        <v>0.72899999999999987</v>
      </c>
      <c r="J267" s="48">
        <v>207.75</v>
      </c>
      <c r="K267" s="47">
        <f>136.17/2.5</f>
        <v>54.467999999999996</v>
      </c>
      <c r="L267" s="47"/>
      <c r="M267" s="41"/>
      <c r="N267" s="218"/>
      <c r="O267" s="41"/>
      <c r="P267" s="42"/>
      <c r="Q267" s="76"/>
      <c r="R267" s="76"/>
    </row>
    <row r="268" spans="1:18" s="17" customFormat="1" ht="25.5" customHeight="1">
      <c r="A268" s="32" t="s">
        <v>470</v>
      </c>
      <c r="B268" s="120">
        <v>92411</v>
      </c>
      <c r="C268" s="90" t="s">
        <v>92</v>
      </c>
      <c r="D268" s="224" t="s">
        <v>25</v>
      </c>
      <c r="E268" s="46">
        <f t="shared" si="41"/>
        <v>70.010000000000005</v>
      </c>
      <c r="F268" s="36">
        <f t="shared" si="42"/>
        <v>124.66</v>
      </c>
      <c r="G268" s="46">
        <f>TRUNC(J268*J$17,2)</f>
        <v>157.07</v>
      </c>
      <c r="H268" s="81">
        <f t="shared" si="43"/>
        <v>10996.47</v>
      </c>
      <c r="I268" s="47">
        <f>54*0.6*0.9+136.17*0.3</f>
        <v>70.010999999999996</v>
      </c>
      <c r="J268" s="48">
        <v>124.66</v>
      </c>
      <c r="K268" s="47"/>
      <c r="L268" s="47"/>
      <c r="M268" s="41"/>
      <c r="N268" s="218"/>
      <c r="O268" s="41"/>
      <c r="P268" s="41"/>
      <c r="Q268" s="76"/>
      <c r="R268" s="76"/>
    </row>
    <row r="269" spans="1:18" s="17" customFormat="1" ht="24.75" customHeight="1">
      <c r="A269" s="32" t="s">
        <v>471</v>
      </c>
      <c r="B269" s="33">
        <v>94971</v>
      </c>
      <c r="C269" s="75" t="s">
        <v>75</v>
      </c>
      <c r="D269" s="225" t="s">
        <v>54</v>
      </c>
      <c r="E269" s="35">
        <f t="shared" si="41"/>
        <v>3.54</v>
      </c>
      <c r="F269" s="226">
        <f t="shared" si="42"/>
        <v>382.79</v>
      </c>
      <c r="G269" s="35">
        <f xml:space="preserve"> TRUNC(J269*J$17,2)</f>
        <v>482.31</v>
      </c>
      <c r="H269" s="37">
        <f t="shared" si="43"/>
        <v>1707.37</v>
      </c>
      <c r="I269" s="47">
        <f>54*0.15*0.3*0.9+136.17*0.1*0.1</f>
        <v>3.5486999999999997</v>
      </c>
      <c r="J269" s="180">
        <v>382.79</v>
      </c>
      <c r="K269" s="47"/>
      <c r="L269" s="47"/>
      <c r="M269" s="41"/>
      <c r="N269" s="218"/>
      <c r="O269" s="41"/>
      <c r="P269" s="41"/>
      <c r="Q269" s="76"/>
      <c r="R269" s="76"/>
    </row>
    <row r="270" spans="1:18" s="17" customFormat="1" ht="28.5" customHeight="1">
      <c r="A270" s="32" t="s">
        <v>472</v>
      </c>
      <c r="B270" s="33">
        <v>92873</v>
      </c>
      <c r="C270" s="75" t="s">
        <v>473</v>
      </c>
      <c r="D270" s="225" t="s">
        <v>54</v>
      </c>
      <c r="E270" s="35">
        <f t="shared" si="41"/>
        <v>3.54</v>
      </c>
      <c r="F270" s="48">
        <f t="shared" si="42"/>
        <v>144.18</v>
      </c>
      <c r="G270" s="46">
        <f xml:space="preserve"> TRUNC(J270*J$17,2)</f>
        <v>181.66</v>
      </c>
      <c r="H270" s="37">
        <f t="shared" si="43"/>
        <v>643.07000000000005</v>
      </c>
      <c r="I270" s="47">
        <f>I269</f>
        <v>3.5486999999999997</v>
      </c>
      <c r="J270" s="180">
        <v>144.18</v>
      </c>
      <c r="K270" s="47"/>
      <c r="L270" s="47"/>
      <c r="M270" s="41"/>
      <c r="N270" s="218"/>
      <c r="O270" s="41"/>
      <c r="P270" s="42"/>
      <c r="Q270" s="76"/>
      <c r="R270" s="76"/>
    </row>
    <row r="271" spans="1:18" s="17" customFormat="1" ht="36.75" customHeight="1">
      <c r="A271" s="32" t="s">
        <v>474</v>
      </c>
      <c r="B271" s="109">
        <v>92778</v>
      </c>
      <c r="C271" s="79" t="s">
        <v>94</v>
      </c>
      <c r="D271" s="227" t="s">
        <v>82</v>
      </c>
      <c r="E271" s="35">
        <f t="shared" si="41"/>
        <v>198.72</v>
      </c>
      <c r="F271" s="48">
        <f t="shared" si="42"/>
        <v>17.91</v>
      </c>
      <c r="G271" s="46">
        <f xml:space="preserve"> TRUNC(J271*J$17,2)</f>
        <v>22.56</v>
      </c>
      <c r="H271" s="37">
        <f t="shared" si="43"/>
        <v>4483.12</v>
      </c>
      <c r="I271" s="6">
        <f>I269*80*0.7</f>
        <v>198.72719999999995</v>
      </c>
      <c r="J271" s="48">
        <v>17.91</v>
      </c>
      <c r="K271" s="47"/>
      <c r="L271" s="47"/>
      <c r="M271" s="41"/>
      <c r="N271" s="218"/>
      <c r="O271" s="41"/>
      <c r="P271" s="42"/>
      <c r="Q271" s="76"/>
      <c r="R271" s="76"/>
    </row>
    <row r="272" spans="1:18" s="17" customFormat="1" ht="36.75" customHeight="1">
      <c r="A272" s="228" t="s">
        <v>475</v>
      </c>
      <c r="B272" s="103">
        <v>92776</v>
      </c>
      <c r="C272" s="229" t="s">
        <v>476</v>
      </c>
      <c r="D272" s="225" t="s">
        <v>82</v>
      </c>
      <c r="E272" s="72">
        <f t="shared" si="41"/>
        <v>85.16</v>
      </c>
      <c r="F272" s="48">
        <f t="shared" si="42"/>
        <v>20.34</v>
      </c>
      <c r="G272" s="46">
        <f xml:space="preserve"> TRUNC(J272*J$17,2)</f>
        <v>25.62</v>
      </c>
      <c r="H272" s="81">
        <f t="shared" si="43"/>
        <v>2181.79</v>
      </c>
      <c r="I272" s="102">
        <f>I270*80*0.3</f>
        <v>85.16879999999999</v>
      </c>
      <c r="J272" s="180">
        <v>20.34</v>
      </c>
      <c r="K272" s="47"/>
      <c r="L272" s="47"/>
      <c r="M272" s="41"/>
      <c r="N272" s="218"/>
      <c r="O272" s="41"/>
      <c r="P272" s="42"/>
      <c r="Q272" s="76"/>
      <c r="R272" s="76"/>
    </row>
    <row r="273" spans="1:18" s="17" customFormat="1" ht="34.5" customHeight="1">
      <c r="A273" s="230" t="s">
        <v>469</v>
      </c>
      <c r="B273" s="33">
        <v>87879</v>
      </c>
      <c r="C273" s="229" t="s">
        <v>150</v>
      </c>
      <c r="D273" s="46" t="s">
        <v>25</v>
      </c>
      <c r="E273" s="122">
        <f t="shared" si="41"/>
        <v>163.4</v>
      </c>
      <c r="F273" s="36">
        <f t="shared" si="42"/>
        <v>3.01</v>
      </c>
      <c r="G273" s="46">
        <f>TRUNC(J273*J$17,2)</f>
        <v>3.79</v>
      </c>
      <c r="H273" s="37">
        <f t="shared" si="43"/>
        <v>619.28</v>
      </c>
      <c r="I273" s="47">
        <f>136.17*0.6*2</f>
        <v>163.40399999999997</v>
      </c>
      <c r="J273" s="48">
        <v>3.01</v>
      </c>
      <c r="K273" s="47"/>
      <c r="L273" s="231"/>
      <c r="M273" s="232"/>
      <c r="N273" s="233"/>
      <c r="O273" s="234"/>
      <c r="P273" s="235"/>
      <c r="Q273" s="236"/>
      <c r="R273" s="237"/>
    </row>
    <row r="274" spans="1:18" s="17" customFormat="1" ht="46.5" customHeight="1">
      <c r="A274" s="164" t="s">
        <v>470</v>
      </c>
      <c r="B274" s="64" t="s">
        <v>152</v>
      </c>
      <c r="C274" s="90" t="s">
        <v>153</v>
      </c>
      <c r="D274" s="51" t="s">
        <v>25</v>
      </c>
      <c r="E274" s="35">
        <f t="shared" si="41"/>
        <v>163.4</v>
      </c>
      <c r="F274" s="36">
        <f t="shared" si="42"/>
        <v>26.15</v>
      </c>
      <c r="G274" s="46">
        <f>TRUNC(J274*J$17,2)</f>
        <v>32.94</v>
      </c>
      <c r="H274" s="37">
        <f t="shared" si="43"/>
        <v>5382.39</v>
      </c>
      <c r="I274" s="47">
        <f>I273</f>
        <v>163.40399999999997</v>
      </c>
      <c r="J274" s="48">
        <v>26.15</v>
      </c>
      <c r="K274" s="47"/>
      <c r="L274" s="238"/>
      <c r="M274" s="239"/>
      <c r="N274" s="240"/>
      <c r="O274" s="236"/>
      <c r="P274" s="235"/>
      <c r="Q274" s="236"/>
      <c r="R274" s="236"/>
    </row>
    <row r="275" spans="1:18" s="17" customFormat="1" ht="19.5" customHeight="1">
      <c r="A275" s="164" t="s">
        <v>471</v>
      </c>
      <c r="B275" s="241" t="s">
        <v>23</v>
      </c>
      <c r="C275" s="75" t="s">
        <v>477</v>
      </c>
      <c r="D275" s="72" t="s">
        <v>31</v>
      </c>
      <c r="E275" s="35">
        <f t="shared" si="41"/>
        <v>2</v>
      </c>
      <c r="F275" s="36">
        <f t="shared" si="42"/>
        <v>301</v>
      </c>
      <c r="G275" s="46">
        <f>TRUNC(J275*J$17,2)</f>
        <v>379.26</v>
      </c>
      <c r="H275" s="37">
        <f t="shared" si="43"/>
        <v>758.52</v>
      </c>
      <c r="I275" s="47">
        <v>2</v>
      </c>
      <c r="J275" s="48">
        <v>301</v>
      </c>
      <c r="K275" s="47"/>
      <c r="L275" s="242"/>
      <c r="M275" s="243"/>
      <c r="N275" s="244"/>
      <c r="O275" s="245"/>
      <c r="P275" s="246"/>
      <c r="Q275" s="245"/>
      <c r="R275" s="245"/>
    </row>
    <row r="276" spans="1:18" s="17" customFormat="1" ht="16.5" customHeight="1">
      <c r="A276" s="164" t="s">
        <v>472</v>
      </c>
      <c r="B276" s="241">
        <v>98504</v>
      </c>
      <c r="C276" s="75" t="s">
        <v>478</v>
      </c>
      <c r="D276" s="141" t="s">
        <v>25</v>
      </c>
      <c r="E276" s="35">
        <f t="shared" si="41"/>
        <v>329.55</v>
      </c>
      <c r="F276" s="36">
        <f t="shared" si="42"/>
        <v>11.42</v>
      </c>
      <c r="G276" s="46">
        <f>TRUNC(J276*J$17,2)</f>
        <v>14.38</v>
      </c>
      <c r="H276" s="37">
        <f t="shared" si="43"/>
        <v>4738.92</v>
      </c>
      <c r="I276" s="47">
        <f>84.01*2+161.53</f>
        <v>329.55</v>
      </c>
      <c r="J276" s="48">
        <v>11.42</v>
      </c>
      <c r="K276" s="47"/>
      <c r="L276" s="242"/>
      <c r="M276" s="243"/>
      <c r="N276" s="244"/>
      <c r="O276" s="245"/>
      <c r="P276" s="246"/>
      <c r="Q276" s="245"/>
      <c r="R276" s="245"/>
    </row>
    <row r="277" spans="1:18" s="44" customFormat="1" ht="36" customHeight="1" thickBot="1">
      <c r="A277" s="167" t="s">
        <v>474</v>
      </c>
      <c r="B277" s="168" t="s">
        <v>23</v>
      </c>
      <c r="C277" s="247" t="s">
        <v>479</v>
      </c>
      <c r="D277" s="169" t="s">
        <v>28</v>
      </c>
      <c r="E277" s="170">
        <f t="shared" si="41"/>
        <v>136.16999999999999</v>
      </c>
      <c r="F277" s="248">
        <f t="shared" si="42"/>
        <v>103.07</v>
      </c>
      <c r="G277" s="169">
        <f>TRUNC(J277*J$17,2)</f>
        <v>129.86000000000001</v>
      </c>
      <c r="H277" s="172">
        <f t="shared" si="43"/>
        <v>17683.03</v>
      </c>
      <c r="I277" s="41">
        <v>136.16999999999999</v>
      </c>
      <c r="J277" s="48">
        <v>103.07</v>
      </c>
      <c r="K277" s="47"/>
      <c r="L277" s="47"/>
      <c r="M277" s="41"/>
      <c r="N277" s="41"/>
      <c r="O277" s="41"/>
      <c r="P277" s="42"/>
      <c r="Q277" s="43"/>
      <c r="R277" s="76"/>
    </row>
    <row r="278" spans="1:18" s="187" customFormat="1" thickBot="1">
      <c r="A278" s="28"/>
      <c r="B278" s="152"/>
      <c r="C278" s="29" t="s">
        <v>32</v>
      </c>
      <c r="D278" s="152"/>
      <c r="E278" s="152"/>
      <c r="F278" s="152"/>
      <c r="G278" s="152"/>
      <c r="H278" s="173">
        <f>SUM(H266:H277)</f>
        <v>56625.119999999988</v>
      </c>
      <c r="I278" s="82"/>
      <c r="J278" s="83"/>
      <c r="K278" s="82"/>
      <c r="L278" s="249"/>
      <c r="M278" s="184"/>
      <c r="N278" s="250"/>
      <c r="O278" s="184"/>
      <c r="P278" s="185"/>
      <c r="Q278" s="186"/>
      <c r="R278" s="86"/>
    </row>
    <row r="279" spans="1:18" s="17" customFormat="1" ht="6.75" customHeight="1" thickBot="1">
      <c r="A279" s="111"/>
      <c r="B279" s="112"/>
      <c r="C279" s="251"/>
      <c r="D279" s="114"/>
      <c r="E279" s="61"/>
      <c r="F279" s="61"/>
      <c r="G279" s="62"/>
      <c r="H279" s="99"/>
      <c r="I279" s="5"/>
      <c r="J279" s="48"/>
      <c r="K279" s="5"/>
      <c r="L279" s="5"/>
      <c r="M279" s="41"/>
      <c r="N279" s="218"/>
      <c r="O279" s="41"/>
      <c r="P279" s="42"/>
      <c r="Q279" s="76"/>
      <c r="R279" s="9"/>
    </row>
    <row r="280" spans="1:18" s="17" customFormat="1" thickBot="1">
      <c r="A280" s="126" t="s">
        <v>480</v>
      </c>
      <c r="B280" s="127"/>
      <c r="C280" s="128" t="s">
        <v>481</v>
      </c>
      <c r="D280" s="128"/>
      <c r="E280" s="127"/>
      <c r="F280" s="127"/>
      <c r="G280" s="128"/>
      <c r="H280" s="130"/>
      <c r="I280" s="5"/>
      <c r="J280" s="48"/>
      <c r="K280" s="5"/>
      <c r="L280" s="5"/>
      <c r="M280" s="41"/>
      <c r="N280" s="218"/>
      <c r="O280" s="41"/>
      <c r="P280" s="42"/>
      <c r="Q280" s="76"/>
      <c r="R280" s="9"/>
    </row>
    <row r="281" spans="1:18" s="255" customFormat="1" thickBot="1">
      <c r="A281" s="252" t="s">
        <v>482</v>
      </c>
      <c r="B281" s="131"/>
      <c r="C281" s="131" t="s">
        <v>483</v>
      </c>
      <c r="D281" s="131"/>
      <c r="E281" s="131"/>
      <c r="F281" s="131"/>
      <c r="G281" s="131"/>
      <c r="H281" s="253"/>
      <c r="I281" s="6"/>
      <c r="J281" s="6"/>
      <c r="K281" s="6"/>
      <c r="L281" s="6"/>
      <c r="M281" s="104"/>
      <c r="N281" s="254"/>
      <c r="O281" s="104"/>
      <c r="P281" s="105"/>
      <c r="Q281" s="107"/>
      <c r="R281" s="107"/>
    </row>
    <row r="282" spans="1:18" s="255" customFormat="1">
      <c r="A282" s="32" t="s">
        <v>484</v>
      </c>
      <c r="B282" s="64">
        <v>93358</v>
      </c>
      <c r="C282" s="78" t="s">
        <v>461</v>
      </c>
      <c r="D282" s="35" t="s">
        <v>54</v>
      </c>
      <c r="E282" s="35">
        <f t="shared" ref="E282:E299" si="44">TRUNC(I282,2)</f>
        <v>7.9</v>
      </c>
      <c r="F282" s="91">
        <f t="shared" ref="F282:F299" si="45">J282</f>
        <v>55.46</v>
      </c>
      <c r="G282" s="51">
        <f t="shared" ref="G282:G299" si="46">TRUNC(J282*J$17,2)</f>
        <v>69.87</v>
      </c>
      <c r="H282" s="37">
        <f t="shared" ref="H282:H299" si="47">TRUNC(E282*G282,2)</f>
        <v>551.97</v>
      </c>
      <c r="I282" s="47">
        <f>3.1*1*1.7+3.1*1*1.7/2</f>
        <v>7.9049999999999994</v>
      </c>
      <c r="J282" s="256">
        <v>55.46</v>
      </c>
      <c r="K282" s="6"/>
      <c r="L282" s="6"/>
      <c r="M282" s="104"/>
      <c r="N282" s="254"/>
      <c r="O282" s="104"/>
      <c r="P282" s="105"/>
      <c r="Q282" s="107"/>
      <c r="R282" s="107"/>
    </row>
    <row r="283" spans="1:18" s="255" customFormat="1" ht="37.5" customHeight="1">
      <c r="A283" s="32" t="s">
        <v>485</v>
      </c>
      <c r="B283" s="64" t="s">
        <v>100</v>
      </c>
      <c r="C283" s="78" t="s">
        <v>101</v>
      </c>
      <c r="D283" s="35" t="s">
        <v>25</v>
      </c>
      <c r="E283" s="35">
        <f t="shared" si="44"/>
        <v>18.36</v>
      </c>
      <c r="F283" s="36">
        <f t="shared" si="45"/>
        <v>70.36</v>
      </c>
      <c r="G283" s="50">
        <f t="shared" si="46"/>
        <v>88.65</v>
      </c>
      <c r="H283" s="37">
        <f t="shared" si="47"/>
        <v>1627.61</v>
      </c>
      <c r="I283" s="47">
        <f>3.1*1.7*2+3.1*1.7*2/2+1*1.7+1*1.7/2</f>
        <v>18.36</v>
      </c>
      <c r="J283" s="210">
        <v>70.36</v>
      </c>
      <c r="K283" s="6"/>
      <c r="L283" s="6"/>
      <c r="M283" s="104"/>
      <c r="N283" s="254"/>
      <c r="O283" s="104"/>
      <c r="P283" s="105"/>
      <c r="Q283" s="107"/>
      <c r="R283" s="107"/>
    </row>
    <row r="284" spans="1:18" s="255" customFormat="1" ht="25.5" customHeight="1">
      <c r="A284" s="32" t="s">
        <v>486</v>
      </c>
      <c r="B284" s="33">
        <v>92411</v>
      </c>
      <c r="C284" s="75" t="s">
        <v>92</v>
      </c>
      <c r="D284" s="46" t="s">
        <v>25</v>
      </c>
      <c r="E284" s="35">
        <f t="shared" si="44"/>
        <v>17.82</v>
      </c>
      <c r="F284" s="36">
        <f t="shared" si="45"/>
        <v>124.66</v>
      </c>
      <c r="G284" s="50">
        <f t="shared" si="46"/>
        <v>157.07</v>
      </c>
      <c r="H284" s="37">
        <f t="shared" si="47"/>
        <v>2798.98</v>
      </c>
      <c r="I284" s="47">
        <f>(6.2*2*0.3+1*2*0.3)*2+1.7*0.9*6</f>
        <v>17.82</v>
      </c>
      <c r="J284" s="210">
        <v>124.66</v>
      </c>
      <c r="K284" s="6"/>
      <c r="L284" s="6"/>
      <c r="M284" s="104"/>
      <c r="N284" s="254"/>
      <c r="O284" s="104"/>
      <c r="P284" s="105"/>
      <c r="Q284" s="107"/>
      <c r="R284" s="107"/>
    </row>
    <row r="285" spans="1:18" s="255" customFormat="1" ht="24" customHeight="1">
      <c r="A285" s="32" t="s">
        <v>487</v>
      </c>
      <c r="B285" s="33">
        <v>94971</v>
      </c>
      <c r="C285" s="75" t="s">
        <v>75</v>
      </c>
      <c r="D285" s="35" t="s">
        <v>54</v>
      </c>
      <c r="E285" s="35">
        <f t="shared" si="44"/>
        <v>1.08</v>
      </c>
      <c r="F285" s="36">
        <f t="shared" si="45"/>
        <v>382.79</v>
      </c>
      <c r="G285" s="50">
        <f t="shared" si="46"/>
        <v>482.31</v>
      </c>
      <c r="H285" s="37">
        <f t="shared" si="47"/>
        <v>520.89</v>
      </c>
      <c r="I285" s="47">
        <f>6.2*0.15*0.3*2+4*0.15*0.3+0.15*0.3*0.5*2+1*6*0.05</f>
        <v>1.0830000000000002</v>
      </c>
      <c r="J285" s="210">
        <v>382.79</v>
      </c>
      <c r="K285" s="6"/>
      <c r="L285" s="6"/>
      <c r="M285" s="104"/>
      <c r="N285" s="254"/>
      <c r="O285" s="104"/>
      <c r="P285" s="105"/>
      <c r="Q285" s="107"/>
      <c r="R285" s="107"/>
    </row>
    <row r="286" spans="1:18" s="255" customFormat="1" ht="27" customHeight="1">
      <c r="A286" s="32" t="s">
        <v>488</v>
      </c>
      <c r="B286" s="33">
        <v>92873</v>
      </c>
      <c r="C286" s="75" t="s">
        <v>473</v>
      </c>
      <c r="D286" s="46" t="s">
        <v>54</v>
      </c>
      <c r="E286" s="35">
        <f t="shared" si="44"/>
        <v>1.08</v>
      </c>
      <c r="F286" s="36">
        <f t="shared" si="45"/>
        <v>144.18</v>
      </c>
      <c r="G286" s="50">
        <f t="shared" si="46"/>
        <v>181.66</v>
      </c>
      <c r="H286" s="37">
        <f t="shared" si="47"/>
        <v>196.19</v>
      </c>
      <c r="I286" s="257">
        <f>I285</f>
        <v>1.0830000000000002</v>
      </c>
      <c r="J286" s="210">
        <v>144.18</v>
      </c>
      <c r="K286" s="6"/>
      <c r="L286" s="6"/>
      <c r="M286" s="104"/>
      <c r="N286" s="254"/>
      <c r="O286" s="104"/>
      <c r="P286" s="105"/>
      <c r="Q286" s="107"/>
      <c r="R286" s="107"/>
    </row>
    <row r="287" spans="1:18" s="255" customFormat="1" ht="33" customHeight="1">
      <c r="A287" s="32" t="s">
        <v>489</v>
      </c>
      <c r="B287" s="103">
        <v>92778</v>
      </c>
      <c r="C287" s="75" t="s">
        <v>94</v>
      </c>
      <c r="D287" s="46" t="s">
        <v>82</v>
      </c>
      <c r="E287" s="35">
        <f t="shared" si="44"/>
        <v>60.64</v>
      </c>
      <c r="F287" s="36">
        <f t="shared" si="45"/>
        <v>17.91</v>
      </c>
      <c r="G287" s="50">
        <f t="shared" si="46"/>
        <v>22.56</v>
      </c>
      <c r="H287" s="37">
        <f t="shared" si="47"/>
        <v>1368.03</v>
      </c>
      <c r="I287" s="257">
        <f>I285*80*0.7</f>
        <v>60.648000000000003</v>
      </c>
      <c r="J287" s="210">
        <v>17.91</v>
      </c>
      <c r="K287" s="6"/>
      <c r="L287" s="6"/>
      <c r="M287" s="104"/>
      <c r="N287" s="254"/>
      <c r="O287" s="104"/>
      <c r="P287" s="105"/>
      <c r="Q287" s="107"/>
      <c r="R287" s="107"/>
    </row>
    <row r="288" spans="1:18" s="255" customFormat="1" ht="34.5" customHeight="1">
      <c r="A288" s="32" t="s">
        <v>490</v>
      </c>
      <c r="B288" s="103">
        <v>92776</v>
      </c>
      <c r="C288" s="75" t="s">
        <v>476</v>
      </c>
      <c r="D288" s="46" t="s">
        <v>82</v>
      </c>
      <c r="E288" s="35">
        <f t="shared" si="44"/>
        <v>25.99</v>
      </c>
      <c r="F288" s="36">
        <f t="shared" si="45"/>
        <v>20.34</v>
      </c>
      <c r="G288" s="50">
        <f t="shared" si="46"/>
        <v>25.62</v>
      </c>
      <c r="H288" s="37">
        <f t="shared" si="47"/>
        <v>665.86</v>
      </c>
      <c r="I288" s="257">
        <f>I285*80*0.3</f>
        <v>25.992000000000004</v>
      </c>
      <c r="J288" s="210">
        <v>20.34</v>
      </c>
      <c r="K288" s="6"/>
      <c r="L288" s="6"/>
      <c r="M288" s="104"/>
      <c r="N288" s="254"/>
      <c r="O288" s="104"/>
      <c r="P288" s="105"/>
      <c r="Q288" s="107"/>
      <c r="R288" s="107"/>
    </row>
    <row r="289" spans="1:18" s="255" customFormat="1" ht="37.5" customHeight="1">
      <c r="A289" s="32" t="s">
        <v>491</v>
      </c>
      <c r="B289" s="64">
        <v>87879</v>
      </c>
      <c r="C289" s="75" t="s">
        <v>150</v>
      </c>
      <c r="D289" s="46" t="s">
        <v>25</v>
      </c>
      <c r="E289" s="35">
        <f t="shared" si="44"/>
        <v>15.81</v>
      </c>
      <c r="F289" s="36">
        <f t="shared" si="45"/>
        <v>3.01</v>
      </c>
      <c r="G289" s="50">
        <f t="shared" si="46"/>
        <v>3.79</v>
      </c>
      <c r="H289" s="37">
        <f t="shared" si="47"/>
        <v>59.91</v>
      </c>
      <c r="I289" s="47">
        <f>3.1*1.7*2+3.1*1.7/2*2</f>
        <v>15.809999999999999</v>
      </c>
      <c r="J289" s="210">
        <v>3.01</v>
      </c>
      <c r="K289" s="6"/>
      <c r="L289" s="6"/>
      <c r="M289" s="104"/>
      <c r="N289" s="254"/>
      <c r="O289" s="104"/>
      <c r="P289" s="105"/>
      <c r="Q289" s="107"/>
      <c r="R289" s="107"/>
    </row>
    <row r="290" spans="1:18" s="255" customFormat="1" ht="48" customHeight="1">
      <c r="A290" s="32" t="s">
        <v>492</v>
      </c>
      <c r="B290" s="33" t="s">
        <v>152</v>
      </c>
      <c r="C290" s="75" t="s">
        <v>153</v>
      </c>
      <c r="D290" s="46" t="s">
        <v>25</v>
      </c>
      <c r="E290" s="35">
        <f t="shared" si="44"/>
        <v>15.81</v>
      </c>
      <c r="F290" s="36">
        <f t="shared" si="45"/>
        <v>26.15</v>
      </c>
      <c r="G290" s="50">
        <f t="shared" si="46"/>
        <v>32.94</v>
      </c>
      <c r="H290" s="37">
        <f t="shared" si="47"/>
        <v>520.78</v>
      </c>
      <c r="I290" s="257">
        <f>I289</f>
        <v>15.809999999999999</v>
      </c>
      <c r="J290" s="210">
        <v>26.15</v>
      </c>
      <c r="K290" s="6"/>
      <c r="L290" s="6"/>
      <c r="M290" s="104"/>
      <c r="N290" s="254"/>
      <c r="O290" s="104"/>
      <c r="P290" s="105"/>
      <c r="Q290" s="107"/>
      <c r="R290" s="107"/>
    </row>
    <row r="291" spans="1:18" s="255" customFormat="1" ht="28.5" customHeight="1">
      <c r="A291" s="32" t="s">
        <v>493</v>
      </c>
      <c r="B291" s="33" t="s">
        <v>200</v>
      </c>
      <c r="C291" s="45" t="s">
        <v>201</v>
      </c>
      <c r="D291" s="46" t="s">
        <v>25</v>
      </c>
      <c r="E291" s="35">
        <f t="shared" si="44"/>
        <v>43.21</v>
      </c>
      <c r="F291" s="36">
        <f t="shared" si="45"/>
        <v>11.44</v>
      </c>
      <c r="G291" s="50">
        <f t="shared" si="46"/>
        <v>14.41</v>
      </c>
      <c r="H291" s="37">
        <f t="shared" si="47"/>
        <v>622.65</v>
      </c>
      <c r="I291" s="47">
        <v>43.21</v>
      </c>
      <c r="J291" s="210">
        <v>11.44</v>
      </c>
      <c r="K291" s="6"/>
      <c r="L291" s="6"/>
      <c r="M291" s="104"/>
      <c r="N291" s="254"/>
      <c r="O291" s="104"/>
      <c r="P291" s="105"/>
      <c r="Q291" s="107"/>
      <c r="R291" s="107"/>
    </row>
    <row r="292" spans="1:18" s="255" customFormat="1" ht="26.25" customHeight="1">
      <c r="A292" s="32" t="s">
        <v>494</v>
      </c>
      <c r="B292" s="33">
        <v>98563</v>
      </c>
      <c r="C292" s="45" t="s">
        <v>495</v>
      </c>
      <c r="D292" s="46" t="s">
        <v>25</v>
      </c>
      <c r="E292" s="35">
        <f t="shared" si="44"/>
        <v>5.4</v>
      </c>
      <c r="F292" s="36">
        <f t="shared" si="45"/>
        <v>26.06</v>
      </c>
      <c r="G292" s="50">
        <f t="shared" si="46"/>
        <v>32.83</v>
      </c>
      <c r="H292" s="37">
        <f t="shared" si="47"/>
        <v>177.28</v>
      </c>
      <c r="I292" s="257">
        <v>5.4</v>
      </c>
      <c r="J292" s="210">
        <v>26.06</v>
      </c>
      <c r="K292" s="6"/>
      <c r="L292" s="6"/>
      <c r="M292" s="104"/>
      <c r="N292" s="254"/>
      <c r="O292" s="104"/>
      <c r="P292" s="105"/>
      <c r="Q292" s="107"/>
      <c r="R292" s="107"/>
    </row>
    <row r="293" spans="1:18" s="255" customFormat="1" ht="26.25" customHeight="1">
      <c r="A293" s="32" t="s">
        <v>496</v>
      </c>
      <c r="B293" s="33">
        <v>98564</v>
      </c>
      <c r="C293" s="45" t="s">
        <v>497</v>
      </c>
      <c r="D293" s="46" t="s">
        <v>25</v>
      </c>
      <c r="E293" s="35">
        <f t="shared" si="44"/>
        <v>10.41</v>
      </c>
      <c r="F293" s="36">
        <f t="shared" si="45"/>
        <v>37.49</v>
      </c>
      <c r="G293" s="50">
        <f t="shared" si="46"/>
        <v>47.23</v>
      </c>
      <c r="H293" s="37">
        <f t="shared" si="47"/>
        <v>491.66</v>
      </c>
      <c r="I293" s="257">
        <v>10.41</v>
      </c>
      <c r="J293" s="210">
        <v>37.49</v>
      </c>
      <c r="K293" s="6"/>
      <c r="L293" s="6"/>
      <c r="M293" s="104"/>
      <c r="N293" s="254"/>
      <c r="O293" s="104"/>
      <c r="P293" s="105"/>
      <c r="Q293" s="107"/>
      <c r="R293" s="107"/>
    </row>
    <row r="294" spans="1:18" s="255" customFormat="1" ht="22.5" customHeight="1">
      <c r="A294" s="32" t="s">
        <v>498</v>
      </c>
      <c r="B294" s="33">
        <v>98553</v>
      </c>
      <c r="C294" s="45" t="s">
        <v>499</v>
      </c>
      <c r="D294" s="46" t="s">
        <v>25</v>
      </c>
      <c r="E294" s="35">
        <f t="shared" si="44"/>
        <v>15.81</v>
      </c>
      <c r="F294" s="36">
        <f t="shared" si="45"/>
        <v>100.75</v>
      </c>
      <c r="G294" s="50">
        <f t="shared" si="46"/>
        <v>126.94</v>
      </c>
      <c r="H294" s="37">
        <f t="shared" si="47"/>
        <v>2006.92</v>
      </c>
      <c r="I294" s="257">
        <v>15.81</v>
      </c>
      <c r="J294" s="210">
        <v>100.75</v>
      </c>
      <c r="K294" s="6"/>
      <c r="L294" s="6"/>
      <c r="M294" s="104"/>
      <c r="N294" s="254"/>
      <c r="O294" s="104"/>
      <c r="P294" s="105"/>
      <c r="Q294" s="107"/>
      <c r="R294" s="107"/>
    </row>
    <row r="295" spans="1:18" s="255" customFormat="1" ht="26.25" customHeight="1">
      <c r="A295" s="32" t="s">
        <v>500</v>
      </c>
      <c r="B295" s="33" t="s">
        <v>23</v>
      </c>
      <c r="C295" s="75" t="s">
        <v>501</v>
      </c>
      <c r="D295" s="225" t="s">
        <v>31</v>
      </c>
      <c r="E295" s="35">
        <f t="shared" si="44"/>
        <v>1</v>
      </c>
      <c r="F295" s="36">
        <f t="shared" si="45"/>
        <v>840.45</v>
      </c>
      <c r="G295" s="50">
        <f t="shared" si="46"/>
        <v>1058.96</v>
      </c>
      <c r="H295" s="37">
        <f t="shared" si="47"/>
        <v>1058.96</v>
      </c>
      <c r="I295" s="257">
        <v>1</v>
      </c>
      <c r="J295" s="256">
        <v>840.45</v>
      </c>
      <c r="K295" s="6"/>
      <c r="L295" s="6"/>
      <c r="M295" s="104"/>
      <c r="N295" s="254"/>
      <c r="O295" s="104"/>
      <c r="P295" s="105"/>
      <c r="Q295" s="107"/>
      <c r="R295" s="107"/>
    </row>
    <row r="296" spans="1:18" s="17" customFormat="1" ht="22.5" customHeight="1">
      <c r="A296" s="46" t="s">
        <v>502</v>
      </c>
      <c r="B296" s="80">
        <v>90447</v>
      </c>
      <c r="C296" s="45" t="s">
        <v>244</v>
      </c>
      <c r="D296" s="46" t="s">
        <v>28</v>
      </c>
      <c r="E296" s="35">
        <f t="shared" si="44"/>
        <v>5.4</v>
      </c>
      <c r="F296" s="36">
        <f t="shared" si="45"/>
        <v>4.42</v>
      </c>
      <c r="G296" s="50">
        <f t="shared" si="46"/>
        <v>5.56</v>
      </c>
      <c r="H296" s="37">
        <f t="shared" si="47"/>
        <v>30.02</v>
      </c>
      <c r="I296" s="47">
        <f>2.7+2.7</f>
        <v>5.4</v>
      </c>
      <c r="J296" s="48">
        <v>4.42</v>
      </c>
      <c r="K296" s="47"/>
      <c r="L296" s="47"/>
      <c r="M296" s="41"/>
      <c r="N296" s="218"/>
      <c r="O296" s="41"/>
      <c r="P296" s="42"/>
      <c r="Q296" s="76"/>
      <c r="R296" s="76"/>
    </row>
    <row r="297" spans="1:18" s="17" customFormat="1" ht="28.5" customHeight="1">
      <c r="A297" s="46" t="s">
        <v>503</v>
      </c>
      <c r="B297" s="80" t="s">
        <v>414</v>
      </c>
      <c r="C297" s="75" t="s">
        <v>415</v>
      </c>
      <c r="D297" s="46" t="s">
        <v>28</v>
      </c>
      <c r="E297" s="35">
        <f t="shared" si="44"/>
        <v>5.4</v>
      </c>
      <c r="F297" s="36">
        <f t="shared" si="45"/>
        <v>15.62</v>
      </c>
      <c r="G297" s="50">
        <f t="shared" si="46"/>
        <v>19.68</v>
      </c>
      <c r="H297" s="37">
        <f t="shared" si="47"/>
        <v>106.27</v>
      </c>
      <c r="I297" s="117">
        <f>I296</f>
        <v>5.4</v>
      </c>
      <c r="J297" s="258">
        <v>15.62</v>
      </c>
      <c r="K297" s="117"/>
      <c r="L297" s="117"/>
      <c r="M297" s="41"/>
      <c r="N297" s="218"/>
      <c r="O297" s="41"/>
      <c r="P297" s="42"/>
      <c r="Q297" s="76"/>
      <c r="R297" s="76"/>
    </row>
    <row r="298" spans="1:18" s="17" customFormat="1" ht="29.25" customHeight="1">
      <c r="A298" s="50" t="s">
        <v>504</v>
      </c>
      <c r="B298" s="80">
        <v>89362</v>
      </c>
      <c r="C298" s="75" t="s">
        <v>505</v>
      </c>
      <c r="D298" s="46" t="s">
        <v>31</v>
      </c>
      <c r="E298" s="35">
        <f t="shared" si="44"/>
        <v>4</v>
      </c>
      <c r="F298" s="36">
        <f t="shared" si="45"/>
        <v>6.64</v>
      </c>
      <c r="G298" s="50">
        <f t="shared" si="46"/>
        <v>8.36</v>
      </c>
      <c r="H298" s="37">
        <f t="shared" si="47"/>
        <v>33.44</v>
      </c>
      <c r="I298" s="47">
        <v>4</v>
      </c>
      <c r="J298" s="48">
        <v>6.64</v>
      </c>
      <c r="K298" s="47"/>
      <c r="L298" s="47"/>
      <c r="M298" s="41"/>
      <c r="N298" s="218"/>
      <c r="O298" s="41"/>
      <c r="P298" s="42"/>
      <c r="Q298" s="76"/>
      <c r="R298" s="76"/>
    </row>
    <row r="299" spans="1:18" s="17" customFormat="1" ht="22.5" customHeight="1" thickBot="1">
      <c r="A299" s="46" t="s">
        <v>506</v>
      </c>
      <c r="B299" s="80">
        <v>89363</v>
      </c>
      <c r="C299" s="75" t="s">
        <v>507</v>
      </c>
      <c r="D299" s="46" t="s">
        <v>31</v>
      </c>
      <c r="E299" s="35">
        <f t="shared" si="44"/>
        <v>2</v>
      </c>
      <c r="F299" s="36">
        <f t="shared" si="45"/>
        <v>7.39</v>
      </c>
      <c r="G299" s="50">
        <f t="shared" si="46"/>
        <v>9.31</v>
      </c>
      <c r="H299" s="37">
        <f t="shared" si="47"/>
        <v>18.62</v>
      </c>
      <c r="I299" s="47">
        <v>2</v>
      </c>
      <c r="J299" s="48">
        <v>7.39</v>
      </c>
      <c r="K299" s="47"/>
      <c r="L299" s="47"/>
      <c r="M299" s="41"/>
      <c r="N299" s="218"/>
      <c r="O299" s="41"/>
      <c r="P299" s="42"/>
      <c r="Q299" s="76"/>
      <c r="R299" s="76"/>
    </row>
    <row r="300" spans="1:18" s="17" customFormat="1" thickBot="1">
      <c r="A300" s="53"/>
      <c r="B300" s="54"/>
      <c r="C300" s="21" t="s">
        <v>32</v>
      </c>
      <c r="D300" s="54"/>
      <c r="E300" s="54"/>
      <c r="F300" s="54"/>
      <c r="G300" s="54"/>
      <c r="H300" s="55">
        <f>SUM(H282:H299)</f>
        <v>12856.04</v>
      </c>
      <c r="I300" s="5"/>
      <c r="J300" s="48"/>
      <c r="K300" s="5"/>
      <c r="L300" s="5"/>
      <c r="M300" s="41"/>
      <c r="N300" s="218"/>
      <c r="O300" s="41"/>
      <c r="P300" s="42"/>
      <c r="Q300" s="76"/>
      <c r="R300" s="9"/>
    </row>
    <row r="301" spans="1:18" s="17" customFormat="1" ht="6" customHeight="1" thickBot="1">
      <c r="A301" s="111"/>
      <c r="B301" s="112"/>
      <c r="C301" s="259"/>
      <c r="D301" s="114"/>
      <c r="E301" s="207"/>
      <c r="F301" s="207"/>
      <c r="G301" s="62"/>
      <c r="H301" s="99"/>
      <c r="I301" s="5"/>
      <c r="J301" s="48"/>
      <c r="K301" s="5"/>
      <c r="L301" s="5"/>
      <c r="M301" s="41"/>
      <c r="N301" s="218"/>
      <c r="O301" s="41"/>
      <c r="P301" s="42"/>
      <c r="Q301" s="76"/>
      <c r="R301" s="9"/>
    </row>
    <row r="302" spans="1:18" s="17" customFormat="1" thickBot="1">
      <c r="A302" s="53" t="s">
        <v>508</v>
      </c>
      <c r="B302" s="54"/>
      <c r="C302" s="21" t="s">
        <v>509</v>
      </c>
      <c r="D302" s="21"/>
      <c r="E302" s="54"/>
      <c r="F302" s="54"/>
      <c r="G302" s="21"/>
      <c r="H302" s="23"/>
      <c r="I302" s="5"/>
      <c r="J302" s="48"/>
      <c r="K302" s="5"/>
      <c r="L302" s="5"/>
      <c r="M302" s="41"/>
      <c r="N302" s="218"/>
      <c r="O302" s="41"/>
      <c r="P302" s="42"/>
      <c r="Q302" s="76"/>
      <c r="R302" s="9"/>
    </row>
    <row r="303" spans="1:18" s="212" customFormat="1" thickBot="1">
      <c r="A303" s="110" t="s">
        <v>510</v>
      </c>
      <c r="B303" s="69">
        <v>99803</v>
      </c>
      <c r="C303" s="90" t="s">
        <v>511</v>
      </c>
      <c r="D303" s="51" t="s">
        <v>25</v>
      </c>
      <c r="E303" s="51">
        <f>TRUNC(I303,2)</f>
        <v>238.2</v>
      </c>
      <c r="F303" s="260">
        <f>J303</f>
        <v>1.35</v>
      </c>
      <c r="G303" s="51">
        <f>TRUNC(J303*J$17,2)</f>
        <v>1.7</v>
      </c>
      <c r="H303" s="261">
        <f>TRUNC(E303*G303,2)</f>
        <v>404.94</v>
      </c>
      <c r="I303" s="47">
        <f>51+187.2</f>
        <v>238.2</v>
      </c>
      <c r="J303" s="48">
        <v>1.35</v>
      </c>
      <c r="K303" s="47"/>
      <c r="L303" s="47"/>
      <c r="M303" s="184"/>
      <c r="N303" s="184"/>
      <c r="O303" s="184"/>
      <c r="P303" s="185"/>
      <c r="Q303" s="184"/>
      <c r="R303" s="184"/>
    </row>
    <row r="304" spans="1:18" s="187" customFormat="1" thickBot="1">
      <c r="A304" s="53"/>
      <c r="B304" s="21"/>
      <c r="C304" s="21" t="s">
        <v>32</v>
      </c>
      <c r="D304" s="21"/>
      <c r="E304" s="21"/>
      <c r="F304" s="22"/>
      <c r="G304" s="21"/>
      <c r="H304" s="23">
        <f>SUM(H303:H303)</f>
        <v>404.94</v>
      </c>
      <c r="I304" s="82"/>
      <c r="J304" s="83"/>
      <c r="K304" s="82"/>
      <c r="L304" s="82"/>
      <c r="M304" s="184"/>
      <c r="N304" s="250"/>
      <c r="O304" s="184"/>
      <c r="P304" s="185"/>
      <c r="Q304" s="186"/>
      <c r="R304" s="86"/>
    </row>
    <row r="305" spans="1:18" s="17" customFormat="1" ht="6" customHeight="1" thickBot="1">
      <c r="A305" s="111"/>
      <c r="B305" s="262"/>
      <c r="C305" s="251"/>
      <c r="D305" s="114"/>
      <c r="E305" s="61"/>
      <c r="F305" s="61"/>
      <c r="G305" s="62"/>
      <c r="H305" s="99"/>
      <c r="I305" s="5"/>
      <c r="J305" s="48"/>
      <c r="K305" s="5"/>
      <c r="L305" s="5"/>
      <c r="M305" s="41"/>
      <c r="N305" s="218"/>
      <c r="O305" s="41"/>
      <c r="P305" s="42"/>
      <c r="Q305" s="76"/>
      <c r="R305" s="9"/>
    </row>
    <row r="306" spans="1:18" s="187" customFormat="1" thickBot="1">
      <c r="A306" s="20"/>
      <c r="B306" s="21"/>
      <c r="C306" s="21" t="s">
        <v>512</v>
      </c>
      <c r="D306" s="21"/>
      <c r="E306" s="21"/>
      <c r="F306" s="22"/>
      <c r="G306" s="21"/>
      <c r="H306" s="23">
        <f>SUM(H22:H305)/2</f>
        <v>500088.80000000005</v>
      </c>
      <c r="I306" s="82"/>
      <c r="J306" s="83"/>
      <c r="K306" s="82"/>
      <c r="L306" s="82"/>
      <c r="M306" s="186"/>
      <c r="N306" s="263"/>
      <c r="O306" s="186"/>
      <c r="P306" s="264"/>
      <c r="Q306" s="186"/>
      <c r="R306" s="86"/>
    </row>
    <row r="307" spans="1:18">
      <c r="J307" s="48"/>
    </row>
    <row r="308" spans="1:18" ht="36.75" customHeight="1">
      <c r="A308" s="272" t="s">
        <v>513</v>
      </c>
      <c r="B308" s="272"/>
      <c r="C308" s="272"/>
      <c r="D308" s="272"/>
      <c r="E308" s="272"/>
      <c r="F308" s="272"/>
      <c r="G308" s="272"/>
      <c r="H308" s="272"/>
      <c r="I308" s="265"/>
      <c r="J308" s="266"/>
      <c r="K308" s="265"/>
      <c r="L308" s="265"/>
    </row>
  </sheetData>
  <mergeCells count="10">
    <mergeCell ref="E18:H18"/>
    <mergeCell ref="E19:H19"/>
    <mergeCell ref="A308:H308"/>
    <mergeCell ref="A13:H13"/>
    <mergeCell ref="E14:H14"/>
    <mergeCell ref="A15:C15"/>
    <mergeCell ref="A16:C16"/>
    <mergeCell ref="E16:H16"/>
    <mergeCell ref="A17:C17"/>
    <mergeCell ref="E17:H17"/>
  </mergeCells>
  <pageMargins left="0.35000000000000003" right="0.17007874015748004" top="1.3153543307086608" bottom="1.025196850393701" header="1.0200787401574798" footer="0.7299212598425201"/>
  <pageSetup paperSize="0" scale="70" fitToWidth="0" fitToHeight="0" pageOrder="overThenDown" orientation="portrait" horizontalDpi="0" verticalDpi="0" copies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4"/>
  <sheetViews>
    <sheetView workbookViewId="0"/>
  </sheetViews>
  <sheetFormatPr defaultRowHeight="14.25"/>
  <cols>
    <col min="1" max="1" width="4.75" customWidth="1"/>
    <col min="2" max="2" width="20" customWidth="1"/>
    <col min="3" max="3" width="5.625" style="341" customWidth="1"/>
    <col min="4" max="4" width="8" style="9" customWidth="1"/>
    <col min="5" max="5" width="5.5" style="17" customWidth="1"/>
    <col min="6" max="6" width="9.5" style="9" customWidth="1"/>
    <col min="7" max="7" width="5.625" style="279" customWidth="1"/>
    <col min="8" max="8" width="7.375" style="7" customWidth="1"/>
    <col min="9" max="9" width="6.625" style="7" customWidth="1"/>
    <col min="10" max="10" width="7.375" style="7" customWidth="1"/>
    <col min="11" max="11" width="4.875" style="7" customWidth="1"/>
    <col min="12" max="12" width="7.375" style="7" customWidth="1"/>
    <col min="13" max="13" width="5.25" style="279" customWidth="1"/>
    <col min="14" max="14" width="7.25" style="7" customWidth="1"/>
    <col min="15" max="15" width="5.125" style="279" customWidth="1"/>
    <col min="16" max="16" width="7.875" style="7" customWidth="1"/>
    <col min="17" max="17" width="8.625" style="9" customWidth="1"/>
    <col min="18" max="18" width="8.375" customWidth="1"/>
    <col min="19" max="19" width="13.375" style="316" customWidth="1"/>
    <col min="20" max="20" width="8.5" style="276" customWidth="1"/>
    <col min="21" max="1028" width="8.375" customWidth="1"/>
    <col min="1029" max="1029" width="9" customWidth="1"/>
  </cols>
  <sheetData>
    <row r="1" spans="1:20">
      <c r="A1" s="7"/>
      <c r="B1" s="7"/>
      <c r="C1" s="7"/>
      <c r="D1" s="7"/>
      <c r="E1" s="41"/>
      <c r="F1" s="7"/>
      <c r="G1" s="273"/>
      <c r="H1" s="274"/>
      <c r="I1" s="274"/>
      <c r="J1" s="274"/>
      <c r="K1" s="274"/>
      <c r="L1" s="274"/>
      <c r="M1" s="273"/>
      <c r="N1" s="274"/>
      <c r="O1" s="273"/>
      <c r="P1" s="274"/>
      <c r="S1" s="275"/>
    </row>
    <row r="2" spans="1:20">
      <c r="A2" s="7"/>
      <c r="B2" s="7"/>
      <c r="C2" s="7"/>
      <c r="D2" s="7"/>
      <c r="E2" s="41"/>
      <c r="F2" s="7"/>
      <c r="G2" s="273"/>
      <c r="H2" s="274"/>
      <c r="I2" s="274"/>
      <c r="J2" s="274"/>
      <c r="K2" s="274"/>
      <c r="L2" s="274"/>
      <c r="M2" s="273"/>
      <c r="N2" s="274"/>
      <c r="O2" s="273"/>
      <c r="P2" s="274"/>
      <c r="S2" s="275"/>
    </row>
    <row r="3" spans="1:20">
      <c r="A3" s="7"/>
      <c r="B3" s="7"/>
      <c r="C3" s="7"/>
      <c r="D3" s="7"/>
      <c r="E3" s="41"/>
      <c r="F3" s="7"/>
      <c r="G3" s="273"/>
      <c r="H3" s="274"/>
      <c r="I3" s="274"/>
      <c r="J3" s="274"/>
      <c r="K3" s="274"/>
      <c r="L3" s="274"/>
      <c r="M3" s="273"/>
      <c r="N3" s="274"/>
      <c r="O3" s="273"/>
      <c r="P3" s="274"/>
      <c r="S3" s="275"/>
    </row>
    <row r="4" spans="1:20">
      <c r="A4" s="7"/>
      <c r="B4" s="7"/>
      <c r="C4" s="7"/>
      <c r="D4" s="7"/>
      <c r="E4" s="41"/>
      <c r="F4" s="7"/>
      <c r="G4" s="273"/>
      <c r="H4" s="274"/>
      <c r="I4" s="274"/>
      <c r="J4" s="274"/>
      <c r="K4" s="274"/>
      <c r="L4" s="274"/>
      <c r="M4" s="273"/>
      <c r="N4" s="274"/>
      <c r="O4" s="273"/>
      <c r="P4" s="274"/>
      <c r="S4" s="275"/>
    </row>
    <row r="5" spans="1:20" ht="15">
      <c r="A5" s="7"/>
      <c r="B5" s="7"/>
      <c r="C5" s="7"/>
      <c r="D5" s="7"/>
      <c r="E5" s="41"/>
      <c r="F5" s="7"/>
      <c r="G5" s="273"/>
      <c r="H5" s="277"/>
      <c r="I5" s="277"/>
      <c r="J5" s="277"/>
      <c r="K5" s="277"/>
      <c r="L5" s="277"/>
      <c r="M5" s="278"/>
      <c r="N5" s="277"/>
      <c r="O5" s="278"/>
      <c r="P5" s="277"/>
      <c r="S5" s="275"/>
    </row>
    <row r="6" spans="1:20" ht="15">
      <c r="A6" s="7"/>
      <c r="B6" s="7"/>
      <c r="C6" s="7"/>
      <c r="D6" s="7"/>
      <c r="E6" s="41"/>
      <c r="F6" s="7"/>
      <c r="H6" s="277"/>
      <c r="I6" s="277"/>
      <c r="J6" s="277"/>
      <c r="K6" s="277"/>
      <c r="L6" s="277"/>
      <c r="M6" s="278"/>
      <c r="N6" s="277"/>
      <c r="O6" s="278"/>
      <c r="P6" s="277"/>
      <c r="S6" s="275"/>
    </row>
    <row r="7" spans="1:20" ht="7.5" customHeight="1">
      <c r="A7" s="18"/>
      <c r="B7" s="18"/>
      <c r="C7" s="18"/>
      <c r="D7" s="18"/>
      <c r="E7" s="280"/>
      <c r="F7" s="18"/>
      <c r="S7" s="275"/>
    </row>
    <row r="8" spans="1:20" ht="18.75" customHeight="1">
      <c r="A8" s="18"/>
      <c r="B8" s="18"/>
      <c r="C8" s="342" t="s">
        <v>514</v>
      </c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S8" s="275"/>
    </row>
    <row r="9" spans="1:20" ht="7.5" customHeight="1">
      <c r="A9" s="18"/>
      <c r="B9" s="18"/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2"/>
      <c r="P9" s="281"/>
      <c r="S9" s="275"/>
    </row>
    <row r="10" spans="1:20" ht="15.75" thickBot="1">
      <c r="B10" s="283" t="s">
        <v>515</v>
      </c>
      <c r="C10" s="283"/>
      <c r="D10" s="284"/>
      <c r="E10" s="285"/>
      <c r="F10" s="284"/>
      <c r="G10" s="286"/>
      <c r="H10" s="284"/>
      <c r="I10" s="284"/>
      <c r="J10" s="284"/>
      <c r="K10" s="284"/>
      <c r="L10" s="284"/>
      <c r="M10" s="286"/>
      <c r="N10" s="284"/>
      <c r="O10" s="286"/>
      <c r="P10" s="284"/>
      <c r="S10" s="275"/>
    </row>
    <row r="11" spans="1:20" ht="15">
      <c r="A11" s="287"/>
      <c r="B11" s="288" t="s">
        <v>516</v>
      </c>
      <c r="C11" s="289"/>
      <c r="D11" s="290"/>
      <c r="E11" s="291"/>
      <c r="F11" s="290"/>
      <c r="G11" s="292"/>
      <c r="H11" s="293"/>
      <c r="I11" s="293"/>
      <c r="J11" s="293"/>
      <c r="K11" s="293"/>
      <c r="L11" s="293"/>
      <c r="M11" s="292"/>
      <c r="N11" s="293" t="s">
        <v>3</v>
      </c>
      <c r="O11" s="292"/>
      <c r="P11" s="293"/>
      <c r="Q11" s="294"/>
      <c r="S11" s="275"/>
    </row>
    <row r="12" spans="1:20" ht="15">
      <c r="A12" s="295"/>
      <c r="B12" s="284" t="s">
        <v>517</v>
      </c>
      <c r="C12" s="284"/>
      <c r="D12" s="284"/>
      <c r="E12" s="285"/>
      <c r="F12" s="284"/>
      <c r="G12" s="286"/>
      <c r="H12" s="284"/>
      <c r="I12" s="284"/>
      <c r="J12" s="284"/>
      <c r="K12" s="284"/>
      <c r="L12" s="284"/>
      <c r="M12" s="7"/>
      <c r="N12" s="7" t="s">
        <v>5</v>
      </c>
      <c r="O12" s="7"/>
      <c r="P12" s="284"/>
      <c r="Q12" s="296"/>
      <c r="S12" s="275"/>
    </row>
    <row r="13" spans="1:20" ht="9" customHeight="1" thickBot="1">
      <c r="A13" s="297"/>
      <c r="B13" s="274"/>
      <c r="C13" s="274"/>
      <c r="D13" s="274"/>
      <c r="E13" s="41"/>
      <c r="F13" s="274"/>
      <c r="Q13" s="296"/>
      <c r="S13" s="275"/>
    </row>
    <row r="14" spans="1:20" s="299" customFormat="1" ht="13.5" thickBot="1">
      <c r="A14" s="343" t="s">
        <v>6</v>
      </c>
      <c r="B14" s="344" t="s">
        <v>518</v>
      </c>
      <c r="C14" s="298" t="s">
        <v>519</v>
      </c>
      <c r="D14" s="345" t="s">
        <v>520</v>
      </c>
      <c r="E14" s="346" t="s">
        <v>521</v>
      </c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7" t="s">
        <v>522</v>
      </c>
      <c r="S14" s="27"/>
      <c r="T14" s="300"/>
    </row>
    <row r="15" spans="1:20" s="299" customFormat="1" ht="13.5" thickBot="1">
      <c r="A15" s="343"/>
      <c r="B15" s="344"/>
      <c r="C15" s="301" t="s">
        <v>6</v>
      </c>
      <c r="D15" s="345"/>
      <c r="E15" s="302" t="s">
        <v>519</v>
      </c>
      <c r="F15" s="303" t="s">
        <v>523</v>
      </c>
      <c r="G15" s="304" t="s">
        <v>519</v>
      </c>
      <c r="H15" s="305" t="s">
        <v>524</v>
      </c>
      <c r="I15" s="306" t="s">
        <v>519</v>
      </c>
      <c r="J15" s="305" t="s">
        <v>525</v>
      </c>
      <c r="K15" s="306" t="s">
        <v>519</v>
      </c>
      <c r="L15" s="305" t="s">
        <v>526</v>
      </c>
      <c r="M15" s="306" t="s">
        <v>519</v>
      </c>
      <c r="N15" s="305" t="s">
        <v>527</v>
      </c>
      <c r="O15" s="306" t="s">
        <v>519</v>
      </c>
      <c r="P15" s="305" t="s">
        <v>528</v>
      </c>
      <c r="Q15" s="347"/>
      <c r="S15" s="27"/>
      <c r="T15" s="300"/>
    </row>
    <row r="16" spans="1:20" s="315" customFormat="1" ht="4.5" customHeight="1">
      <c r="A16" s="307"/>
      <c r="B16" s="308"/>
      <c r="C16" s="309"/>
      <c r="D16" s="310"/>
      <c r="E16" s="311"/>
      <c r="F16" s="312"/>
      <c r="G16" s="313"/>
      <c r="H16" s="312"/>
      <c r="I16" s="312"/>
      <c r="J16" s="312"/>
      <c r="K16" s="312"/>
      <c r="L16" s="312"/>
      <c r="M16" s="313"/>
      <c r="N16" s="312"/>
      <c r="O16" s="313"/>
      <c r="P16" s="312"/>
      <c r="Q16" s="314"/>
      <c r="S16" s="316"/>
      <c r="T16" s="309"/>
    </row>
    <row r="17" spans="1:21" s="315" customFormat="1" ht="12.75">
      <c r="A17" s="317" t="s">
        <v>13</v>
      </c>
      <c r="B17" s="318" t="str">
        <f>orcam!C21</f>
        <v>SERVIÇOS PRELIMINARES</v>
      </c>
      <c r="C17" s="319">
        <f>D17/D54</f>
        <v>9.8297522360028866E-2</v>
      </c>
      <c r="D17" s="318">
        <f>orcam!H27</f>
        <v>49157.49</v>
      </c>
      <c r="E17" s="320">
        <v>0.16</v>
      </c>
      <c r="F17" s="321">
        <f>E17*D17</f>
        <v>7865.1984000000002</v>
      </c>
      <c r="G17" s="320">
        <v>0.16</v>
      </c>
      <c r="H17" s="321">
        <f>G17*D17</f>
        <v>7865.1984000000002</v>
      </c>
      <c r="I17" s="320">
        <v>0.16</v>
      </c>
      <c r="J17" s="321">
        <f>I17*D17</f>
        <v>7865.1984000000002</v>
      </c>
      <c r="K17" s="320">
        <v>0.16</v>
      </c>
      <c r="L17" s="321">
        <f>K17*D17</f>
        <v>7865.1984000000002</v>
      </c>
      <c r="M17" s="320">
        <v>0.16</v>
      </c>
      <c r="N17" s="321">
        <f>M17*D17</f>
        <v>7865.1984000000002</v>
      </c>
      <c r="O17" s="322">
        <v>0.2</v>
      </c>
      <c r="P17" s="321">
        <f>O17*D17</f>
        <v>9831.4979999999996</v>
      </c>
      <c r="Q17" s="323">
        <f>F17+H17+J17+L17+N17+P17</f>
        <v>49157.49</v>
      </c>
      <c r="S17" s="7"/>
      <c r="T17" s="309"/>
    </row>
    <row r="18" spans="1:21" s="315" customFormat="1" ht="6" customHeight="1">
      <c r="A18" s="317"/>
      <c r="B18" s="318"/>
      <c r="C18" s="319"/>
      <c r="D18" s="318"/>
      <c r="E18" s="324"/>
      <c r="F18" s="325"/>
      <c r="G18" s="324"/>
      <c r="H18" s="325"/>
      <c r="I18" s="325"/>
      <c r="J18" s="325"/>
      <c r="K18" s="324"/>
      <c r="L18" s="325"/>
      <c r="M18" s="325"/>
      <c r="N18" s="325"/>
      <c r="O18" s="326"/>
      <c r="P18" s="325"/>
      <c r="Q18" s="323"/>
      <c r="S18" s="7"/>
      <c r="T18" s="309"/>
    </row>
    <row r="19" spans="1:21" s="315" customFormat="1" ht="12.75">
      <c r="A19" s="327" t="s">
        <v>33</v>
      </c>
      <c r="B19" s="318" t="str">
        <f>orcam!C29</f>
        <v>RETIRADAS E DEMOLIÇÕES</v>
      </c>
      <c r="C19" s="319">
        <f>D19/D54</f>
        <v>1.8565482770260003E-2</v>
      </c>
      <c r="D19" s="318">
        <f>orcam!H43</f>
        <v>9284.39</v>
      </c>
      <c r="E19" s="320">
        <v>1</v>
      </c>
      <c r="F19" s="328">
        <f>E19*D19</f>
        <v>9284.39</v>
      </c>
      <c r="G19" s="329">
        <v>0</v>
      </c>
      <c r="H19" s="328">
        <f>G19*D19</f>
        <v>0</v>
      </c>
      <c r="I19" s="329">
        <v>0</v>
      </c>
      <c r="J19" s="328">
        <f>I19*D19</f>
        <v>0</v>
      </c>
      <c r="K19" s="320">
        <v>0</v>
      </c>
      <c r="L19" s="321">
        <f>K19*D19</f>
        <v>0</v>
      </c>
      <c r="M19" s="320">
        <v>0</v>
      </c>
      <c r="N19" s="328">
        <f>M19*D19</f>
        <v>0</v>
      </c>
      <c r="O19" s="330">
        <v>0</v>
      </c>
      <c r="P19" s="328">
        <f>O19*D19</f>
        <v>0</v>
      </c>
      <c r="Q19" s="323">
        <f>F19+H19+J19+L19+N19+P19</f>
        <v>9284.39</v>
      </c>
      <c r="S19" s="7"/>
      <c r="T19" s="309"/>
    </row>
    <row r="20" spans="1:21" s="315" customFormat="1" ht="6" customHeight="1">
      <c r="A20" s="317"/>
      <c r="B20" s="318"/>
      <c r="C20" s="319"/>
      <c r="D20" s="318"/>
      <c r="E20" s="324"/>
      <c r="F20" s="325"/>
      <c r="G20" s="329"/>
      <c r="H20" s="328"/>
      <c r="I20" s="328"/>
      <c r="J20" s="328"/>
      <c r="K20" s="320"/>
      <c r="L20" s="321"/>
      <c r="M20" s="328"/>
      <c r="N20" s="328"/>
      <c r="O20" s="330"/>
      <c r="P20" s="328"/>
      <c r="Q20" s="323"/>
      <c r="S20" s="7"/>
      <c r="T20" s="309"/>
    </row>
    <row r="21" spans="1:21" s="315" customFormat="1" ht="12.75">
      <c r="A21" s="327" t="s">
        <v>64</v>
      </c>
      <c r="B21" s="318" t="str">
        <f>orcam!C45</f>
        <v>MOVIMENTO DE TERRA</v>
      </c>
      <c r="C21" s="319">
        <f>D21/D54</f>
        <v>1.2086453445868015E-3</v>
      </c>
      <c r="D21" s="318">
        <f>orcam!H48</f>
        <v>604.42999999999995</v>
      </c>
      <c r="E21" s="320">
        <v>1</v>
      </c>
      <c r="F21" s="328">
        <f>E21*D21</f>
        <v>604.42999999999995</v>
      </c>
      <c r="G21" s="329">
        <v>0</v>
      </c>
      <c r="H21" s="328">
        <f>G21*D21</f>
        <v>0</v>
      </c>
      <c r="I21" s="329">
        <v>0</v>
      </c>
      <c r="J21" s="328">
        <f>I21*D21</f>
        <v>0</v>
      </c>
      <c r="K21" s="320">
        <v>0</v>
      </c>
      <c r="L21" s="321">
        <f>K21*D21</f>
        <v>0</v>
      </c>
      <c r="M21" s="320">
        <v>0</v>
      </c>
      <c r="N21" s="328">
        <f>M21*D21</f>
        <v>0</v>
      </c>
      <c r="O21" s="330">
        <v>0</v>
      </c>
      <c r="P21" s="328">
        <f>O21*D21</f>
        <v>0</v>
      </c>
      <c r="Q21" s="323">
        <f>F21+H21+J21+L21+N21+P21</f>
        <v>604.42999999999995</v>
      </c>
      <c r="S21" s="7"/>
      <c r="T21" s="309"/>
    </row>
    <row r="22" spans="1:21" s="315" customFormat="1" ht="6" customHeight="1">
      <c r="A22" s="317"/>
      <c r="B22" s="318"/>
      <c r="C22" s="319"/>
      <c r="D22" s="318"/>
      <c r="E22" s="324"/>
      <c r="F22" s="325"/>
      <c r="G22" s="329"/>
      <c r="H22" s="328"/>
      <c r="I22" s="328"/>
      <c r="J22" s="328"/>
      <c r="K22" s="320"/>
      <c r="L22" s="321"/>
      <c r="M22" s="328"/>
      <c r="N22" s="328"/>
      <c r="O22" s="330"/>
      <c r="P22" s="328"/>
      <c r="Q22" s="323"/>
      <c r="S22" s="7"/>
      <c r="T22" s="309"/>
    </row>
    <row r="23" spans="1:21" s="315" customFormat="1" ht="13.5" customHeight="1">
      <c r="A23" s="317" t="s">
        <v>70</v>
      </c>
      <c r="B23" s="318" t="str">
        <f>orcam!C50</f>
        <v>FUNDAÇÕES</v>
      </c>
      <c r="C23" s="319">
        <f>D23/D54</f>
        <v>1.3060540448016434E-2</v>
      </c>
      <c r="D23" s="318">
        <f>orcam!H58</f>
        <v>6531.4299999999994</v>
      </c>
      <c r="E23" s="320">
        <v>0.4</v>
      </c>
      <c r="F23" s="328">
        <f>E23*D23</f>
        <v>2612.5720000000001</v>
      </c>
      <c r="G23" s="329">
        <v>0.6</v>
      </c>
      <c r="H23" s="328">
        <f>G23*D23</f>
        <v>3918.8579999999993</v>
      </c>
      <c r="I23" s="329">
        <v>0</v>
      </c>
      <c r="J23" s="328">
        <f>I23*D23</f>
        <v>0</v>
      </c>
      <c r="K23" s="320">
        <v>0</v>
      </c>
      <c r="L23" s="321">
        <f>K23*D23</f>
        <v>0</v>
      </c>
      <c r="M23" s="320">
        <v>0</v>
      </c>
      <c r="N23" s="328">
        <f>M23*D23</f>
        <v>0</v>
      </c>
      <c r="O23" s="330">
        <v>0</v>
      </c>
      <c r="P23" s="328">
        <f>O23*D23</f>
        <v>0</v>
      </c>
      <c r="Q23" s="323">
        <f>F23+H23+J23+L23+N23+P23</f>
        <v>6531.4299999999994</v>
      </c>
      <c r="S23" s="7"/>
      <c r="T23" s="309"/>
    </row>
    <row r="24" spans="1:21" s="315" customFormat="1" ht="6" customHeight="1">
      <c r="A24" s="317"/>
      <c r="B24" s="318"/>
      <c r="C24" s="319"/>
      <c r="D24" s="318"/>
      <c r="E24" s="324"/>
      <c r="F24" s="325"/>
      <c r="G24" s="324"/>
      <c r="H24" s="325"/>
      <c r="I24" s="328"/>
      <c r="J24" s="328"/>
      <c r="K24" s="320"/>
      <c r="L24" s="321"/>
      <c r="M24" s="328"/>
      <c r="N24" s="328"/>
      <c r="O24" s="330"/>
      <c r="P24" s="328"/>
      <c r="Q24" s="323"/>
      <c r="S24" s="7"/>
      <c r="T24" s="309"/>
    </row>
    <row r="25" spans="1:21" s="315" customFormat="1" ht="12.75">
      <c r="A25" s="327" t="s">
        <v>87</v>
      </c>
      <c r="B25" s="318" t="str">
        <f>orcam!C60</f>
        <v>ESTRUTURA</v>
      </c>
      <c r="C25" s="319">
        <f>D25/D54</f>
        <v>3.8513699966885882E-2</v>
      </c>
      <c r="D25" s="318">
        <f>orcam!H66</f>
        <v>19260.269999999997</v>
      </c>
      <c r="E25" s="320">
        <v>0</v>
      </c>
      <c r="F25" s="328">
        <f>E25*D25</f>
        <v>0</v>
      </c>
      <c r="G25" s="329">
        <v>0.2</v>
      </c>
      <c r="H25" s="328">
        <f>G25*D25</f>
        <v>3852.0539999999996</v>
      </c>
      <c r="I25" s="329">
        <v>0.4</v>
      </c>
      <c r="J25" s="328">
        <f>I25*D25</f>
        <v>7704.1079999999993</v>
      </c>
      <c r="K25" s="320">
        <v>0.4</v>
      </c>
      <c r="L25" s="321">
        <f>K25*D25</f>
        <v>7704.1079999999993</v>
      </c>
      <c r="M25" s="320">
        <v>0</v>
      </c>
      <c r="N25" s="328">
        <f>M25*D25</f>
        <v>0</v>
      </c>
      <c r="O25" s="330">
        <v>0</v>
      </c>
      <c r="P25" s="328">
        <f>O25*D25</f>
        <v>0</v>
      </c>
      <c r="Q25" s="323">
        <f>F25+H25+J25+L25+N25+P25</f>
        <v>19260.269999999997</v>
      </c>
      <c r="S25" s="7"/>
      <c r="T25" s="309"/>
      <c r="U25" s="315">
        <f>100/6</f>
        <v>16.666666666666668</v>
      </c>
    </row>
    <row r="26" spans="1:21" s="315" customFormat="1" ht="6" customHeight="1">
      <c r="A26" s="317"/>
      <c r="B26" s="318"/>
      <c r="C26" s="319"/>
      <c r="D26" s="318"/>
      <c r="E26" s="320"/>
      <c r="F26" s="328"/>
      <c r="G26" s="329"/>
      <c r="H26" s="328"/>
      <c r="I26" s="328"/>
      <c r="J26" s="328"/>
      <c r="K26" s="320"/>
      <c r="L26" s="321"/>
      <c r="M26" s="329"/>
      <c r="N26" s="328"/>
      <c r="O26" s="330"/>
      <c r="P26" s="328"/>
      <c r="Q26" s="323"/>
      <c r="S26" s="7"/>
      <c r="T26" s="309"/>
    </row>
    <row r="27" spans="1:21" s="315" customFormat="1" ht="12.75">
      <c r="A27" s="327" t="s">
        <v>97</v>
      </c>
      <c r="B27" s="318" t="str">
        <f>orcam!C68</f>
        <v>ALVENARIA</v>
      </c>
      <c r="C27" s="319">
        <f>D27/D54</f>
        <v>1.1403974654101433E-2</v>
      </c>
      <c r="D27" s="318">
        <f>orcam!H72</f>
        <v>5703</v>
      </c>
      <c r="E27" s="320">
        <v>0</v>
      </c>
      <c r="F27" s="328">
        <f>E27*D27</f>
        <v>0</v>
      </c>
      <c r="G27" s="329">
        <v>0.2</v>
      </c>
      <c r="H27" s="328">
        <f>G27*D27</f>
        <v>1140.6000000000001</v>
      </c>
      <c r="I27" s="329">
        <v>0.4</v>
      </c>
      <c r="J27" s="328">
        <f>I27*D27</f>
        <v>2281.2000000000003</v>
      </c>
      <c r="K27" s="320">
        <v>0.4</v>
      </c>
      <c r="L27" s="321">
        <f>K27*D27</f>
        <v>2281.2000000000003</v>
      </c>
      <c r="M27" s="320">
        <v>0</v>
      </c>
      <c r="N27" s="328">
        <f>M27*D27</f>
        <v>0</v>
      </c>
      <c r="O27" s="330">
        <v>0</v>
      </c>
      <c r="P27" s="328">
        <f>O27*D27</f>
        <v>0</v>
      </c>
      <c r="Q27" s="323">
        <f>F27+H27+J27+L27+N27+P27</f>
        <v>5703</v>
      </c>
      <c r="S27" s="7"/>
      <c r="T27" s="309"/>
    </row>
    <row r="28" spans="1:21" s="315" customFormat="1" ht="6" customHeight="1">
      <c r="A28" s="317"/>
      <c r="B28" s="318"/>
      <c r="C28" s="319"/>
      <c r="D28" s="318"/>
      <c r="E28" s="320"/>
      <c r="F28" s="328"/>
      <c r="G28" s="324"/>
      <c r="H28" s="325"/>
      <c r="I28" s="325"/>
      <c r="J28" s="325"/>
      <c r="K28" s="324"/>
      <c r="L28" s="321"/>
      <c r="M28" s="329"/>
      <c r="N28" s="328"/>
      <c r="O28" s="330"/>
      <c r="P28" s="328"/>
      <c r="Q28" s="323"/>
      <c r="S28" s="7"/>
      <c r="T28" s="309"/>
    </row>
    <row r="29" spans="1:21" s="315" customFormat="1" ht="12.75">
      <c r="A29" s="327" t="s">
        <v>106</v>
      </c>
      <c r="B29" s="318" t="str">
        <f>orcam!C74</f>
        <v>COBERTURA</v>
      </c>
      <c r="C29" s="319">
        <f>D29/D54</f>
        <v>0.22099571116169769</v>
      </c>
      <c r="D29" s="318">
        <f>orcam!H83</f>
        <v>110517.48</v>
      </c>
      <c r="E29" s="320">
        <v>0</v>
      </c>
      <c r="F29" s="328">
        <f>E29*D29</f>
        <v>0</v>
      </c>
      <c r="G29" s="329">
        <v>0</v>
      </c>
      <c r="H29" s="328">
        <f>G29*D29</f>
        <v>0</v>
      </c>
      <c r="I29" s="329">
        <v>0.5</v>
      </c>
      <c r="J29" s="328">
        <f>I29*D29</f>
        <v>55258.74</v>
      </c>
      <c r="K29" s="320">
        <v>0.5</v>
      </c>
      <c r="L29" s="321">
        <f>K29*D29</f>
        <v>55258.74</v>
      </c>
      <c r="M29" s="320">
        <v>0</v>
      </c>
      <c r="N29" s="328">
        <f>M29*D29</f>
        <v>0</v>
      </c>
      <c r="O29" s="330">
        <v>0</v>
      </c>
      <c r="P29" s="328">
        <f>O29*D29</f>
        <v>0</v>
      </c>
      <c r="Q29" s="323">
        <f>F29+H29+J29+L29+N29+P29</f>
        <v>110517.48</v>
      </c>
      <c r="S29" s="7"/>
      <c r="T29" s="309"/>
    </row>
    <row r="30" spans="1:21" s="315" customFormat="1" ht="6" customHeight="1">
      <c r="A30" s="317"/>
      <c r="B30" s="318"/>
      <c r="C30" s="319"/>
      <c r="D30" s="318"/>
      <c r="E30" s="320"/>
      <c r="F30" s="328"/>
      <c r="G30" s="329"/>
      <c r="H30" s="328"/>
      <c r="I30" s="325"/>
      <c r="J30" s="325"/>
      <c r="K30" s="324"/>
      <c r="L30" s="321"/>
      <c r="M30" s="329"/>
      <c r="N30" s="328"/>
      <c r="O30" s="330"/>
      <c r="P30" s="328"/>
      <c r="Q30" s="323"/>
      <c r="S30" s="7"/>
      <c r="T30" s="309"/>
    </row>
    <row r="31" spans="1:21" s="315" customFormat="1" ht="12.75">
      <c r="A31" s="317" t="s">
        <v>124</v>
      </c>
      <c r="B31" s="318" t="str">
        <f>orcam!C85</f>
        <v>ESQUDRIAS</v>
      </c>
      <c r="C31" s="319">
        <f>D31/D54</f>
        <v>5.5249687655472397E-2</v>
      </c>
      <c r="D31" s="318">
        <f>orcam!H97</f>
        <v>27629.75</v>
      </c>
      <c r="E31" s="320">
        <v>0</v>
      </c>
      <c r="F31" s="328">
        <f>E31*D31</f>
        <v>0</v>
      </c>
      <c r="G31" s="329">
        <v>0</v>
      </c>
      <c r="H31" s="328">
        <f>G31*D31</f>
        <v>0</v>
      </c>
      <c r="I31" s="329">
        <v>0.2</v>
      </c>
      <c r="J31" s="328">
        <f>I31*D31</f>
        <v>5525.9500000000007</v>
      </c>
      <c r="K31" s="320">
        <v>0.4</v>
      </c>
      <c r="L31" s="321">
        <f>K31*D31</f>
        <v>11051.900000000001</v>
      </c>
      <c r="M31" s="320">
        <v>0.4</v>
      </c>
      <c r="N31" s="328">
        <f>M31*D31</f>
        <v>11051.900000000001</v>
      </c>
      <c r="O31" s="330">
        <v>0</v>
      </c>
      <c r="P31" s="328">
        <f>O31*D31</f>
        <v>0</v>
      </c>
      <c r="Q31" s="323">
        <f>F31+H31+J31+L31+N31+P31</f>
        <v>27629.750000000004</v>
      </c>
      <c r="S31" s="7"/>
      <c r="T31" s="309"/>
    </row>
    <row r="32" spans="1:21" s="315" customFormat="1" ht="6" customHeight="1">
      <c r="A32" s="317"/>
      <c r="B32" s="318"/>
      <c r="C32" s="319"/>
      <c r="D32" s="318"/>
      <c r="E32" s="320"/>
      <c r="F32" s="328"/>
      <c r="G32" s="329"/>
      <c r="H32" s="328"/>
      <c r="I32" s="331"/>
      <c r="J32" s="331"/>
      <c r="K32" s="332"/>
      <c r="L32" s="331"/>
      <c r="M32" s="332"/>
      <c r="N32" s="331"/>
      <c r="O32" s="330"/>
      <c r="P32" s="328"/>
      <c r="Q32" s="323"/>
      <c r="S32" s="7"/>
      <c r="T32" s="309"/>
    </row>
    <row r="33" spans="1:20" s="315" customFormat="1" ht="12.75">
      <c r="A33" s="327" t="s">
        <v>147</v>
      </c>
      <c r="B33" s="318" t="str">
        <f>orcam!C99</f>
        <v>REVESTIMENTO</v>
      </c>
      <c r="C33" s="319">
        <f>D33/D54</f>
        <v>5.5993915480610647E-2</v>
      </c>
      <c r="D33" s="318">
        <f>orcam!H106</f>
        <v>28001.929999999997</v>
      </c>
      <c r="E33" s="320">
        <v>0</v>
      </c>
      <c r="F33" s="328">
        <f>E33*D33</f>
        <v>0</v>
      </c>
      <c r="G33" s="329">
        <v>0</v>
      </c>
      <c r="H33" s="328">
        <f>G33*D33</f>
        <v>0</v>
      </c>
      <c r="I33" s="329">
        <v>0.1</v>
      </c>
      <c r="J33" s="328">
        <f>I33*D33</f>
        <v>2800.1929999999998</v>
      </c>
      <c r="K33" s="320">
        <v>0.2</v>
      </c>
      <c r="L33" s="321">
        <f>K33*D33</f>
        <v>5600.3859999999995</v>
      </c>
      <c r="M33" s="320">
        <v>0.7</v>
      </c>
      <c r="N33" s="328">
        <f>M33*D33</f>
        <v>19601.350999999995</v>
      </c>
      <c r="O33" s="330">
        <v>0</v>
      </c>
      <c r="P33" s="328">
        <f>O33*D33</f>
        <v>0</v>
      </c>
      <c r="Q33" s="323">
        <f>F33+H33+J33+L33+N33+P33</f>
        <v>28001.929999999993</v>
      </c>
      <c r="S33" s="7"/>
      <c r="T33" s="309"/>
    </row>
    <row r="34" spans="1:20" s="334" customFormat="1" ht="6" customHeight="1">
      <c r="A34" s="333"/>
      <c r="B34" s="321"/>
      <c r="C34" s="319"/>
      <c r="D34" s="321"/>
      <c r="E34" s="320"/>
      <c r="F34" s="328"/>
      <c r="G34" s="329"/>
      <c r="H34" s="328"/>
      <c r="I34" s="325"/>
      <c r="J34" s="325"/>
      <c r="K34" s="324"/>
      <c r="L34" s="325"/>
      <c r="M34" s="324"/>
      <c r="N34" s="325"/>
      <c r="O34" s="330"/>
      <c r="P34" s="328"/>
      <c r="Q34" s="323"/>
      <c r="S34" s="7"/>
      <c r="T34" s="313"/>
    </row>
    <row r="35" spans="1:20" s="315" customFormat="1" ht="11.25" customHeight="1">
      <c r="A35" s="317" t="s">
        <v>164</v>
      </c>
      <c r="B35" s="318" t="str">
        <f>orcam!C108</f>
        <v>PISOS E RODAPES</v>
      </c>
      <c r="C35" s="319">
        <f>D35/D54</f>
        <v>9.653939460351843E-2</v>
      </c>
      <c r="D35" s="318">
        <f>orcam!H116</f>
        <v>48278.270000000004</v>
      </c>
      <c r="E35" s="320">
        <v>0</v>
      </c>
      <c r="F35" s="328">
        <f>E35*D35</f>
        <v>0</v>
      </c>
      <c r="G35" s="329">
        <v>0</v>
      </c>
      <c r="H35" s="328">
        <f>G35*D35</f>
        <v>0</v>
      </c>
      <c r="I35" s="329">
        <v>0.1</v>
      </c>
      <c r="J35" s="328">
        <f>I35*D35</f>
        <v>4827.8270000000002</v>
      </c>
      <c r="K35" s="320">
        <v>0.1</v>
      </c>
      <c r="L35" s="321">
        <f>K35*D35</f>
        <v>4827.8270000000002</v>
      </c>
      <c r="M35" s="329">
        <v>0.5</v>
      </c>
      <c r="N35" s="328">
        <f>M35*D35</f>
        <v>24139.135000000002</v>
      </c>
      <c r="O35" s="330">
        <v>0.3</v>
      </c>
      <c r="P35" s="328">
        <f>O35*D35</f>
        <v>14483.481000000002</v>
      </c>
      <c r="Q35" s="323">
        <f>F35+H35+J35+L35+N35+P35</f>
        <v>48278.270000000004</v>
      </c>
      <c r="S35" s="7"/>
      <c r="T35" s="309"/>
    </row>
    <row r="36" spans="1:20" s="315" customFormat="1" ht="6" customHeight="1">
      <c r="A36" s="317"/>
      <c r="B36" s="318"/>
      <c r="C36" s="319"/>
      <c r="D36" s="318"/>
      <c r="E36" s="320"/>
      <c r="F36" s="328"/>
      <c r="G36" s="329"/>
      <c r="H36" s="328"/>
      <c r="I36" s="325"/>
      <c r="J36" s="325"/>
      <c r="K36" s="324"/>
      <c r="L36" s="325"/>
      <c r="M36" s="324"/>
      <c r="N36" s="325"/>
      <c r="O36" s="326"/>
      <c r="P36" s="328"/>
      <c r="Q36" s="323"/>
      <c r="S36" s="7"/>
      <c r="T36" s="309"/>
    </row>
    <row r="37" spans="1:20" s="315" customFormat="1" ht="12.75">
      <c r="A37" s="327" t="s">
        <v>183</v>
      </c>
      <c r="B37" s="318" t="str">
        <f>orcam!C118</f>
        <v>VIDROS</v>
      </c>
      <c r="C37" s="319">
        <f>D37/D54</f>
        <v>1.8465360551965973E-2</v>
      </c>
      <c r="D37" s="318">
        <f>orcam!H121</f>
        <v>9234.32</v>
      </c>
      <c r="E37" s="320">
        <v>0</v>
      </c>
      <c r="F37" s="328">
        <f>E37*D37</f>
        <v>0</v>
      </c>
      <c r="G37" s="329">
        <v>0</v>
      </c>
      <c r="H37" s="328">
        <f>G37*D37</f>
        <v>0</v>
      </c>
      <c r="I37" s="329">
        <v>0</v>
      </c>
      <c r="J37" s="328">
        <f>I37*D37</f>
        <v>0</v>
      </c>
      <c r="K37" s="320">
        <v>0</v>
      </c>
      <c r="L37" s="321">
        <f>K37*D37</f>
        <v>0</v>
      </c>
      <c r="M37" s="329">
        <v>0.6</v>
      </c>
      <c r="N37" s="328">
        <f>M37*D37</f>
        <v>5540.5919999999996</v>
      </c>
      <c r="O37" s="330">
        <v>0.4</v>
      </c>
      <c r="P37" s="328">
        <f>O37*D37</f>
        <v>3693.7280000000001</v>
      </c>
      <c r="Q37" s="323">
        <f>F37+H37+J37+L37+N37+P37</f>
        <v>9234.32</v>
      </c>
      <c r="S37" s="7"/>
      <c r="T37" s="309"/>
    </row>
    <row r="38" spans="1:20" s="315" customFormat="1" ht="6" customHeight="1">
      <c r="A38" s="317"/>
      <c r="B38" s="318"/>
      <c r="C38" s="319"/>
      <c r="D38" s="318"/>
      <c r="E38" s="320"/>
      <c r="F38" s="328"/>
      <c r="G38" s="329"/>
      <c r="H38" s="328"/>
      <c r="I38" s="328"/>
      <c r="J38" s="328"/>
      <c r="K38" s="320"/>
      <c r="L38" s="321"/>
      <c r="M38" s="324"/>
      <c r="N38" s="325"/>
      <c r="O38" s="326"/>
      <c r="P38" s="325"/>
      <c r="Q38" s="323"/>
      <c r="S38" s="7"/>
      <c r="T38" s="309"/>
    </row>
    <row r="39" spans="1:20" s="315" customFormat="1" ht="13.5" customHeight="1">
      <c r="A39" s="317" t="s">
        <v>192</v>
      </c>
      <c r="B39" s="318" t="str">
        <f>orcam!C123</f>
        <v>PINTURA</v>
      </c>
      <c r="C39" s="319">
        <f>D39/D54</f>
        <v>6.2172038246007505E-2</v>
      </c>
      <c r="D39" s="318">
        <f>orcam!H133</f>
        <v>31091.539999999994</v>
      </c>
      <c r="E39" s="320">
        <v>0</v>
      </c>
      <c r="F39" s="328">
        <f>E39*D39</f>
        <v>0</v>
      </c>
      <c r="G39" s="329">
        <v>0</v>
      </c>
      <c r="H39" s="328">
        <f>G39*D39</f>
        <v>0</v>
      </c>
      <c r="I39" s="329">
        <v>0</v>
      </c>
      <c r="J39" s="328">
        <f>I39*D39</f>
        <v>0</v>
      </c>
      <c r="K39" s="320">
        <v>0.2</v>
      </c>
      <c r="L39" s="321">
        <f>K39*D39</f>
        <v>6218.3079999999991</v>
      </c>
      <c r="M39" s="320">
        <v>0.3</v>
      </c>
      <c r="N39" s="328">
        <f>M39*D39</f>
        <v>9327.4619999999977</v>
      </c>
      <c r="O39" s="330">
        <v>0.5</v>
      </c>
      <c r="P39" s="328">
        <f>O39*D39</f>
        <v>15545.769999999997</v>
      </c>
      <c r="Q39" s="323">
        <f>F39+H39+J39+L39+N39+P39</f>
        <v>31091.539999999994</v>
      </c>
      <c r="S39" s="7"/>
      <c r="T39" s="309"/>
    </row>
    <row r="40" spans="1:20" s="315" customFormat="1" ht="6" customHeight="1">
      <c r="A40" s="317"/>
      <c r="B40" s="318"/>
      <c r="C40" s="319"/>
      <c r="D40" s="318"/>
      <c r="E40" s="320"/>
      <c r="F40" s="328"/>
      <c r="G40" s="329"/>
      <c r="H40" s="328"/>
      <c r="I40" s="328"/>
      <c r="J40" s="328"/>
      <c r="K40" s="324"/>
      <c r="L40" s="325"/>
      <c r="M40" s="324"/>
      <c r="N40" s="325"/>
      <c r="O40" s="326"/>
      <c r="P40" s="325"/>
      <c r="Q40" s="323"/>
      <c r="S40" s="7"/>
      <c r="T40" s="309"/>
    </row>
    <row r="41" spans="1:20" s="315" customFormat="1" ht="12.75">
      <c r="A41" s="327" t="s">
        <v>215</v>
      </c>
      <c r="B41" s="318" t="str">
        <f>orcam!C135</f>
        <v>INSTALAÇÕES ELÉTRICAS</v>
      </c>
      <c r="C41" s="319">
        <f>D41/D54</f>
        <v>0.11081385945856015</v>
      </c>
      <c r="D41" s="318">
        <f>orcam!H197</f>
        <v>55416.76999999999</v>
      </c>
      <c r="E41" s="320">
        <v>0</v>
      </c>
      <c r="F41" s="328">
        <f>E41*D41</f>
        <v>0</v>
      </c>
      <c r="G41" s="329">
        <v>0.05</v>
      </c>
      <c r="H41" s="328">
        <f>G41*D41</f>
        <v>2770.8384999999998</v>
      </c>
      <c r="I41" s="329">
        <v>0.1</v>
      </c>
      <c r="J41" s="328">
        <f>I41*D41</f>
        <v>5541.6769999999997</v>
      </c>
      <c r="K41" s="320">
        <v>0.3</v>
      </c>
      <c r="L41" s="321">
        <f>K41*D41</f>
        <v>16625.030999999995</v>
      </c>
      <c r="M41" s="320">
        <v>0.3</v>
      </c>
      <c r="N41" s="328">
        <f>M41*D41</f>
        <v>16625.030999999995</v>
      </c>
      <c r="O41" s="330">
        <v>0.25</v>
      </c>
      <c r="P41" s="328">
        <f>O41*D41</f>
        <v>13854.192499999997</v>
      </c>
      <c r="Q41" s="323">
        <f>F41+H41+J41+L41+N41+P41</f>
        <v>55416.76999999999</v>
      </c>
      <c r="S41" s="7"/>
      <c r="T41" s="309"/>
    </row>
    <row r="42" spans="1:20" s="315" customFormat="1" ht="6" customHeight="1">
      <c r="A42" s="317"/>
      <c r="B42" s="318"/>
      <c r="C42" s="319"/>
      <c r="D42" s="318"/>
      <c r="E42" s="329"/>
      <c r="F42" s="328"/>
      <c r="G42" s="324"/>
      <c r="H42" s="325"/>
      <c r="I42" s="325"/>
      <c r="J42" s="325"/>
      <c r="K42" s="324"/>
      <c r="L42" s="325"/>
      <c r="M42" s="324"/>
      <c r="N42" s="325"/>
      <c r="O42" s="326"/>
      <c r="P42" s="325"/>
      <c r="Q42" s="323"/>
      <c r="S42" s="7"/>
      <c r="T42" s="309"/>
    </row>
    <row r="43" spans="1:20" s="315" customFormat="1" ht="12.75">
      <c r="A43" s="327" t="s">
        <v>341</v>
      </c>
      <c r="B43" s="318" t="str">
        <f>orcam!C199</f>
        <v>INSTALAÇÃOES DE LÓGICA/TELEFONIA</v>
      </c>
      <c r="C43" s="319">
        <f>D43/D54</f>
        <v>1.4304099591912476E-2</v>
      </c>
      <c r="D43" s="318">
        <f>orcam!H224</f>
        <v>7153.3199999999988</v>
      </c>
      <c r="E43" s="320">
        <v>0</v>
      </c>
      <c r="F43" s="328">
        <f>E43*D43</f>
        <v>0</v>
      </c>
      <c r="G43" s="329">
        <v>0.05</v>
      </c>
      <c r="H43" s="328">
        <f>G43*D43</f>
        <v>357.66599999999994</v>
      </c>
      <c r="I43" s="329">
        <v>0.1</v>
      </c>
      <c r="J43" s="328">
        <f>I43*D43</f>
        <v>715.33199999999988</v>
      </c>
      <c r="K43" s="320">
        <v>0.3</v>
      </c>
      <c r="L43" s="321">
        <f>K43*D43</f>
        <v>2145.9959999999996</v>
      </c>
      <c r="M43" s="329">
        <v>0.3</v>
      </c>
      <c r="N43" s="328">
        <f>M43*D43</f>
        <v>2145.9959999999996</v>
      </c>
      <c r="O43" s="330">
        <v>0.25</v>
      </c>
      <c r="P43" s="328">
        <f>O43*D43</f>
        <v>1788.3299999999997</v>
      </c>
      <c r="Q43" s="323">
        <f>F43+H43+J43+L43+N43+P43</f>
        <v>7153.32</v>
      </c>
      <c r="S43" s="7"/>
      <c r="T43" s="309"/>
    </row>
    <row r="44" spans="1:20" s="315" customFormat="1" ht="6" customHeight="1">
      <c r="A44" s="317"/>
      <c r="B44" s="318"/>
      <c r="C44" s="319"/>
      <c r="D44" s="318"/>
      <c r="E44" s="320"/>
      <c r="F44" s="328"/>
      <c r="G44" s="324"/>
      <c r="H44" s="325"/>
      <c r="I44" s="325"/>
      <c r="J44" s="325"/>
      <c r="K44" s="324"/>
      <c r="L44" s="325"/>
      <c r="M44" s="324"/>
      <c r="N44" s="325"/>
      <c r="O44" s="326"/>
      <c r="P44" s="325"/>
      <c r="Q44" s="323"/>
      <c r="S44" s="7"/>
      <c r="T44" s="309"/>
    </row>
    <row r="45" spans="1:20" s="315" customFormat="1" ht="12.75">
      <c r="A45" s="327" t="s">
        <v>386</v>
      </c>
      <c r="B45" s="318" t="str">
        <f>orcam!C226</f>
        <v>INSTALAÇÃO HIDRÁULICA E SANITÁRIA</v>
      </c>
      <c r="C45" s="319">
        <f>D45/D54</f>
        <v>4.4668686841217005E-2</v>
      </c>
      <c r="D45" s="318">
        <f>orcam!H262</f>
        <v>22338.309999999998</v>
      </c>
      <c r="E45" s="320">
        <v>0</v>
      </c>
      <c r="F45" s="328">
        <f>E45*D45</f>
        <v>0</v>
      </c>
      <c r="G45" s="329">
        <v>0</v>
      </c>
      <c r="H45" s="328">
        <f>G45*D45</f>
        <v>0</v>
      </c>
      <c r="I45" s="329">
        <v>0.15</v>
      </c>
      <c r="J45" s="328">
        <f>I45*D45</f>
        <v>3350.7464999999997</v>
      </c>
      <c r="K45" s="320">
        <v>0.15</v>
      </c>
      <c r="L45" s="321">
        <f>K45*D45</f>
        <v>3350.7464999999997</v>
      </c>
      <c r="M45" s="320">
        <v>0.4</v>
      </c>
      <c r="N45" s="328">
        <f>M45*D45</f>
        <v>8935.3239999999987</v>
      </c>
      <c r="O45" s="330">
        <v>0.3</v>
      </c>
      <c r="P45" s="328">
        <f>O45*D45</f>
        <v>6701.4929999999995</v>
      </c>
      <c r="Q45" s="323">
        <f>F45+H45+J45+L45+N45+P45</f>
        <v>22338.309999999998</v>
      </c>
      <c r="S45" s="7"/>
      <c r="T45" s="309"/>
    </row>
    <row r="46" spans="1:20" s="315" customFormat="1" ht="6" customHeight="1">
      <c r="A46" s="317"/>
      <c r="B46" s="318"/>
      <c r="C46" s="319"/>
      <c r="D46" s="318"/>
      <c r="E46" s="320"/>
      <c r="F46" s="328"/>
      <c r="G46" s="324"/>
      <c r="H46" s="325"/>
      <c r="I46" s="325"/>
      <c r="J46" s="325"/>
      <c r="K46" s="324"/>
      <c r="L46" s="325"/>
      <c r="M46" s="324"/>
      <c r="N46" s="325"/>
      <c r="O46" s="326"/>
      <c r="P46" s="325"/>
      <c r="Q46" s="323"/>
      <c r="S46" s="7"/>
      <c r="T46" s="309"/>
    </row>
    <row r="47" spans="1:20" s="315" customFormat="1" ht="14.25" customHeight="1">
      <c r="A47" s="327" t="s">
        <v>464</v>
      </c>
      <c r="B47" s="335" t="str">
        <f>orcam!C264</f>
        <v>IMPLANTAÇÃO/URBANIZAÇÃO</v>
      </c>
      <c r="C47" s="319">
        <f>D47/D54</f>
        <v>0.11323013032885358</v>
      </c>
      <c r="D47" s="318">
        <f>orcam!H278</f>
        <v>56625.119999999988</v>
      </c>
      <c r="E47" s="320">
        <v>0</v>
      </c>
      <c r="F47" s="328">
        <f>E47*D47</f>
        <v>0</v>
      </c>
      <c r="G47" s="329">
        <v>0</v>
      </c>
      <c r="H47" s="328">
        <f>G47*D47</f>
        <v>0</v>
      </c>
      <c r="I47" s="329">
        <v>0</v>
      </c>
      <c r="J47" s="328">
        <f>I47*D47</f>
        <v>0</v>
      </c>
      <c r="K47" s="320">
        <v>0</v>
      </c>
      <c r="L47" s="321">
        <f>K47*D47</f>
        <v>0</v>
      </c>
      <c r="M47" s="320">
        <v>0.5</v>
      </c>
      <c r="N47" s="328">
        <f>M47*D47</f>
        <v>28312.559999999994</v>
      </c>
      <c r="O47" s="330">
        <v>0.5</v>
      </c>
      <c r="P47" s="328">
        <f>O47*D47</f>
        <v>28312.559999999994</v>
      </c>
      <c r="Q47" s="323">
        <f>F47+H47+J47+L47+N47+P47</f>
        <v>56625.119999999988</v>
      </c>
      <c r="S47" s="7"/>
      <c r="T47" s="309"/>
    </row>
    <row r="48" spans="1:20" s="315" customFormat="1" ht="6" customHeight="1">
      <c r="A48" s="317"/>
      <c r="B48" s="318"/>
      <c r="C48" s="319"/>
      <c r="D48" s="318"/>
      <c r="E48" s="320"/>
      <c r="F48" s="328"/>
      <c r="G48" s="329"/>
      <c r="H48" s="328"/>
      <c r="I48" s="328"/>
      <c r="J48" s="328"/>
      <c r="K48" s="320"/>
      <c r="L48" s="328"/>
      <c r="M48" s="324"/>
      <c r="N48" s="325"/>
      <c r="O48" s="326"/>
      <c r="P48" s="325"/>
      <c r="Q48" s="323"/>
      <c r="S48" s="7"/>
      <c r="T48" s="309"/>
    </row>
    <row r="49" spans="1:20" s="315" customFormat="1" ht="12.75">
      <c r="A49" s="327" t="s">
        <v>480</v>
      </c>
      <c r="B49" s="318" t="str">
        <f>orcam!C280</f>
        <v>SERVIÇOS COMPLEMENTARES</v>
      </c>
      <c r="C49" s="319">
        <f>D49/D54</f>
        <v>2.5707514345452254E-2</v>
      </c>
      <c r="D49" s="318">
        <f>orcam!H300</f>
        <v>12856.04</v>
      </c>
      <c r="E49" s="320">
        <v>0</v>
      </c>
      <c r="F49" s="328">
        <f>E49*D49</f>
        <v>0</v>
      </c>
      <c r="G49" s="329">
        <v>0</v>
      </c>
      <c r="H49" s="328">
        <f>G49*D49</f>
        <v>0</v>
      </c>
      <c r="I49" s="329">
        <v>0</v>
      </c>
      <c r="J49" s="328">
        <f>I49*D49</f>
        <v>0</v>
      </c>
      <c r="K49" s="320">
        <v>0</v>
      </c>
      <c r="L49" s="321">
        <f>K49*D49</f>
        <v>0</v>
      </c>
      <c r="M49" s="320">
        <v>0.5</v>
      </c>
      <c r="N49" s="328">
        <f>M49*D49</f>
        <v>6428.02</v>
      </c>
      <c r="O49" s="330">
        <v>0.5</v>
      </c>
      <c r="P49" s="328">
        <f>O49*D49</f>
        <v>6428.02</v>
      </c>
      <c r="Q49" s="323">
        <f>F49+H49+J49+L49+N49+P49</f>
        <v>12856.04</v>
      </c>
      <c r="S49" s="7"/>
      <c r="T49" s="309"/>
    </row>
    <row r="50" spans="1:20" s="315" customFormat="1" ht="6" customHeight="1">
      <c r="A50" s="317"/>
      <c r="B50" s="318"/>
      <c r="C50" s="319"/>
      <c r="D50" s="318"/>
      <c r="E50" s="320"/>
      <c r="F50" s="328"/>
      <c r="G50" s="329"/>
      <c r="H50" s="328"/>
      <c r="I50" s="328"/>
      <c r="J50" s="328"/>
      <c r="K50" s="320"/>
      <c r="L50" s="321"/>
      <c r="M50" s="324"/>
      <c r="N50" s="325"/>
      <c r="O50" s="326"/>
      <c r="P50" s="325"/>
      <c r="Q50" s="323"/>
      <c r="S50" s="7"/>
      <c r="T50" s="309"/>
    </row>
    <row r="51" spans="1:20" s="315" customFormat="1" ht="12.75">
      <c r="A51" s="327" t="s">
        <v>508</v>
      </c>
      <c r="B51" s="318" t="str">
        <f>orcam!C302</f>
        <v>LIMPEZA FINAL DA OBRA</v>
      </c>
      <c r="C51" s="319">
        <f>D51/D54</f>
        <v>8.0973619085250473E-4</v>
      </c>
      <c r="D51" s="318">
        <f>orcam!H304</f>
        <v>404.94</v>
      </c>
      <c r="E51" s="320">
        <v>0</v>
      </c>
      <c r="F51" s="328">
        <f>E51*D51</f>
        <v>0</v>
      </c>
      <c r="G51" s="329">
        <v>0</v>
      </c>
      <c r="H51" s="328">
        <f>G51*D51</f>
        <v>0</v>
      </c>
      <c r="I51" s="329">
        <v>0</v>
      </c>
      <c r="J51" s="328">
        <f>I51*D51</f>
        <v>0</v>
      </c>
      <c r="K51" s="320">
        <v>0</v>
      </c>
      <c r="L51" s="321">
        <f>K51*D51</f>
        <v>0</v>
      </c>
      <c r="M51" s="329">
        <v>0</v>
      </c>
      <c r="N51" s="328">
        <f>M51*D51</f>
        <v>0</v>
      </c>
      <c r="O51" s="330">
        <v>1</v>
      </c>
      <c r="P51" s="328">
        <f>O51*D51</f>
        <v>404.94</v>
      </c>
      <c r="Q51" s="323">
        <f>F51+H51+J51+L51+N51+P51</f>
        <v>404.94</v>
      </c>
      <c r="S51" s="7"/>
      <c r="T51" s="309"/>
    </row>
    <row r="52" spans="1:20" s="315" customFormat="1" ht="6" customHeight="1">
      <c r="A52" s="317"/>
      <c r="B52" s="318"/>
      <c r="C52" s="319"/>
      <c r="D52" s="318"/>
      <c r="E52" s="320"/>
      <c r="F52" s="328"/>
      <c r="G52" s="329"/>
      <c r="H52" s="328"/>
      <c r="I52" s="328"/>
      <c r="J52" s="328"/>
      <c r="K52" s="328"/>
      <c r="L52" s="328"/>
      <c r="M52" s="329"/>
      <c r="N52" s="328"/>
      <c r="O52" s="330"/>
      <c r="P52" s="328"/>
      <c r="Q52" s="323"/>
      <c r="S52" s="7"/>
      <c r="T52" s="309"/>
    </row>
    <row r="53" spans="1:20" s="315" customFormat="1" ht="6" customHeight="1">
      <c r="A53" s="317"/>
      <c r="B53" s="318"/>
      <c r="C53" s="319"/>
      <c r="D53" s="318"/>
      <c r="E53" s="320"/>
      <c r="F53" s="321"/>
      <c r="G53" s="322"/>
      <c r="H53" s="321"/>
      <c r="I53" s="321"/>
      <c r="J53" s="321"/>
      <c r="K53" s="321"/>
      <c r="L53" s="321"/>
      <c r="M53" s="322"/>
      <c r="N53" s="321"/>
      <c r="O53" s="322"/>
      <c r="P53" s="321"/>
      <c r="Q53" s="323"/>
      <c r="S53" s="7"/>
      <c r="T53" s="309"/>
    </row>
    <row r="54" spans="1:20" s="315" customFormat="1" ht="15" thickBot="1">
      <c r="A54" s="348" t="s">
        <v>529</v>
      </c>
      <c r="B54" s="348"/>
      <c r="C54" s="336">
        <f>SUM(C17:C53)</f>
        <v>1</v>
      </c>
      <c r="D54" s="337">
        <f>SUM(D17:D52)</f>
        <v>500088.79999999993</v>
      </c>
      <c r="E54" s="336">
        <f>F54/D54</f>
        <v>4.0725947871658001E-2</v>
      </c>
      <c r="F54" s="337">
        <f>SUM(F17:F53)</f>
        <v>20366.590400000001</v>
      </c>
      <c r="G54" s="336">
        <f>H54/D54</f>
        <v>3.9803360723135582E-2</v>
      </c>
      <c r="H54" s="337">
        <f>SUM(H17:H53)</f>
        <v>19905.214900000003</v>
      </c>
      <c r="I54" s="336">
        <f>J54/D54</f>
        <v>0.1917078964775856</v>
      </c>
      <c r="J54" s="337">
        <f>SUM(J17:J53)</f>
        <v>95870.97189999999</v>
      </c>
      <c r="K54" s="336">
        <f>L54/D54</f>
        <v>0.24581522501603717</v>
      </c>
      <c r="L54" s="337">
        <f>SUM(L17:L53)</f>
        <v>122929.44089999999</v>
      </c>
      <c r="M54" s="336">
        <f>N54/D54</f>
        <v>0.2798954293717435</v>
      </c>
      <c r="N54" s="337">
        <f>SUM(N17:N53)</f>
        <v>139972.56939999995</v>
      </c>
      <c r="O54" s="336">
        <f>P54/D54</f>
        <v>0.20205214053984014</v>
      </c>
      <c r="P54" s="337">
        <f>SUM(P17:P53)</f>
        <v>101044.0125</v>
      </c>
      <c r="Q54" s="338">
        <f>SUM(Q17:Q51)</f>
        <v>500088.79999999993</v>
      </c>
      <c r="S54" s="7"/>
      <c r="T54" s="309"/>
    </row>
    <row r="55" spans="1:20" s="76" customFormat="1">
      <c r="G55" s="41"/>
      <c r="H55" s="41"/>
      <c r="I55" s="41"/>
      <c r="J55" s="41"/>
      <c r="K55" s="41"/>
      <c r="L55" s="41"/>
      <c r="M55" s="41"/>
      <c r="N55" s="41"/>
      <c r="O55" s="279"/>
      <c r="P55" s="41"/>
      <c r="S55" s="41"/>
      <c r="T55" s="339"/>
    </row>
    <row r="56" spans="1:20" s="76" customFormat="1">
      <c r="G56" s="41"/>
      <c r="H56" s="41"/>
      <c r="I56" s="41"/>
      <c r="J56" s="41"/>
      <c r="K56" s="41"/>
      <c r="L56" s="41"/>
      <c r="M56" s="41"/>
      <c r="N56" s="41"/>
      <c r="O56" s="279"/>
      <c r="P56" s="41"/>
      <c r="S56" s="41"/>
      <c r="T56" s="339"/>
    </row>
    <row r="57" spans="1:20" s="76" customFormat="1">
      <c r="G57" s="41"/>
      <c r="H57" s="41"/>
      <c r="I57" s="41"/>
      <c r="J57" s="41"/>
      <c r="K57" s="41"/>
      <c r="L57" s="41"/>
      <c r="M57" s="41"/>
      <c r="N57" s="41"/>
      <c r="O57" s="279"/>
      <c r="P57" s="41"/>
      <c r="S57" s="41"/>
      <c r="T57" s="339"/>
    </row>
    <row r="58" spans="1:20" s="76" customFormat="1">
      <c r="G58" s="41"/>
      <c r="H58" s="41"/>
      <c r="I58" s="41"/>
      <c r="J58" s="41"/>
      <c r="K58" s="41"/>
      <c r="L58" s="41"/>
      <c r="M58" s="41"/>
      <c r="N58" s="41"/>
      <c r="O58" s="279"/>
      <c r="P58" s="41"/>
      <c r="S58" s="41"/>
      <c r="T58" s="339"/>
    </row>
    <row r="59" spans="1:20" s="76" customFormat="1">
      <c r="G59" s="41"/>
      <c r="H59" s="41"/>
      <c r="I59" s="41"/>
      <c r="J59" s="41"/>
      <c r="K59" s="41"/>
      <c r="L59" s="41"/>
      <c r="M59" s="41"/>
      <c r="N59" s="41"/>
      <c r="O59" s="279"/>
      <c r="P59" s="41"/>
      <c r="S59" s="41"/>
      <c r="T59" s="339"/>
    </row>
    <row r="60" spans="1:20" s="76" customFormat="1">
      <c r="G60" s="41"/>
      <c r="H60" s="41"/>
      <c r="I60" s="41"/>
      <c r="J60" s="41"/>
      <c r="K60" s="41"/>
      <c r="L60" s="41"/>
      <c r="M60" s="41"/>
      <c r="N60" s="41"/>
      <c r="O60" s="279"/>
      <c r="P60" s="41"/>
      <c r="S60" s="41"/>
      <c r="T60" s="339"/>
    </row>
    <row r="61" spans="1:20" s="17" customFormat="1">
      <c r="C61" s="340"/>
      <c r="D61" s="76"/>
      <c r="F61" s="76"/>
      <c r="G61" s="279"/>
      <c r="H61" s="41"/>
      <c r="I61" s="41"/>
      <c r="J61" s="41"/>
      <c r="K61" s="41"/>
      <c r="L61" s="41"/>
      <c r="M61" s="279"/>
      <c r="N61" s="41"/>
      <c r="O61" s="279"/>
      <c r="P61" s="41"/>
      <c r="Q61" s="76"/>
      <c r="S61" s="65"/>
      <c r="T61" s="339"/>
    </row>
    <row r="62" spans="1:20" s="17" customFormat="1">
      <c r="C62" s="340"/>
      <c r="D62" s="76"/>
      <c r="F62" s="76"/>
      <c r="G62" s="279"/>
      <c r="H62" s="41"/>
      <c r="I62" s="41"/>
      <c r="J62" s="41"/>
      <c r="K62" s="41"/>
      <c r="L62" s="41"/>
      <c r="M62" s="279"/>
      <c r="N62" s="41"/>
      <c r="O62" s="279"/>
      <c r="P62" s="41"/>
      <c r="Q62" s="76"/>
      <c r="S62" s="65"/>
      <c r="T62" s="339"/>
    </row>
    <row r="63" spans="1:20" s="17" customFormat="1">
      <c r="C63" s="340"/>
      <c r="D63" s="76"/>
      <c r="F63" s="76"/>
      <c r="G63" s="279"/>
      <c r="H63" s="41"/>
      <c r="I63" s="41"/>
      <c r="J63" s="41"/>
      <c r="K63" s="41"/>
      <c r="L63" s="41"/>
      <c r="M63" s="279"/>
      <c r="N63" s="41"/>
      <c r="O63" s="279"/>
      <c r="P63" s="41"/>
      <c r="Q63" s="76"/>
      <c r="S63" s="65"/>
      <c r="T63" s="339"/>
    </row>
    <row r="64" spans="1:20" s="17" customFormat="1">
      <c r="C64" s="340"/>
      <c r="D64" s="76"/>
      <c r="F64" s="76"/>
      <c r="G64" s="279"/>
      <c r="H64" s="41"/>
      <c r="I64" s="41"/>
      <c r="J64" s="41"/>
      <c r="K64" s="41"/>
      <c r="L64" s="41"/>
      <c r="M64" s="279"/>
      <c r="N64" s="41"/>
      <c r="O64" s="279"/>
      <c r="P64" s="41"/>
      <c r="Q64" s="76"/>
      <c r="S64" s="65"/>
      <c r="T64" s="339"/>
    </row>
    <row r="65" spans="3:20" s="17" customFormat="1">
      <c r="C65" s="340"/>
      <c r="D65" s="76"/>
      <c r="F65" s="76"/>
      <c r="G65" s="279"/>
      <c r="H65" s="41"/>
      <c r="I65" s="41"/>
      <c r="J65" s="41"/>
      <c r="K65" s="41"/>
      <c r="L65" s="41"/>
      <c r="M65" s="279"/>
      <c r="N65" s="41"/>
      <c r="O65" s="279"/>
      <c r="P65" s="41"/>
      <c r="Q65" s="76"/>
      <c r="S65" s="65"/>
      <c r="T65" s="339"/>
    </row>
    <row r="66" spans="3:20" s="17" customFormat="1">
      <c r="C66" s="340"/>
      <c r="D66" s="76"/>
      <c r="F66" s="76"/>
      <c r="G66" s="279"/>
      <c r="H66" s="41"/>
      <c r="I66" s="41"/>
      <c r="J66" s="41"/>
      <c r="K66" s="41"/>
      <c r="L66" s="41"/>
      <c r="M66" s="279"/>
      <c r="N66" s="41"/>
      <c r="O66" s="279"/>
      <c r="P66" s="41"/>
      <c r="Q66" s="76"/>
      <c r="S66" s="65"/>
      <c r="T66" s="339"/>
    </row>
    <row r="67" spans="3:20" s="17" customFormat="1">
      <c r="C67" s="340"/>
      <c r="D67" s="76"/>
      <c r="F67" s="76"/>
      <c r="G67" s="279"/>
      <c r="H67" s="41"/>
      <c r="I67" s="41"/>
      <c r="J67" s="41"/>
      <c r="K67" s="41"/>
      <c r="L67" s="41"/>
      <c r="M67" s="279"/>
      <c r="N67" s="41"/>
      <c r="O67" s="279"/>
      <c r="P67" s="41"/>
      <c r="Q67" s="76"/>
      <c r="S67" s="65"/>
      <c r="T67" s="339"/>
    </row>
    <row r="68" spans="3:20" s="17" customFormat="1">
      <c r="C68" s="340"/>
      <c r="D68" s="76"/>
      <c r="F68" s="76"/>
      <c r="G68" s="279"/>
      <c r="H68" s="41"/>
      <c r="I68" s="41"/>
      <c r="J68" s="41"/>
      <c r="K68" s="41"/>
      <c r="L68" s="41"/>
      <c r="M68" s="279"/>
      <c r="N68" s="41"/>
      <c r="O68" s="279"/>
      <c r="P68" s="41"/>
      <c r="Q68" s="76"/>
      <c r="S68" s="65"/>
      <c r="T68" s="339"/>
    </row>
    <row r="69" spans="3:20" s="17" customFormat="1">
      <c r="C69" s="340"/>
      <c r="D69" s="76"/>
      <c r="F69" s="76"/>
      <c r="G69" s="279"/>
      <c r="H69" s="41"/>
      <c r="I69" s="41"/>
      <c r="J69" s="41"/>
      <c r="K69" s="41"/>
      <c r="L69" s="41"/>
      <c r="M69" s="279"/>
      <c r="N69" s="41"/>
      <c r="O69" s="279"/>
      <c r="P69" s="41"/>
      <c r="Q69" s="76"/>
      <c r="S69" s="65"/>
      <c r="T69" s="339"/>
    </row>
    <row r="70" spans="3:20" s="17" customFormat="1">
      <c r="C70" s="340"/>
      <c r="D70" s="76"/>
      <c r="F70" s="76"/>
      <c r="G70" s="279"/>
      <c r="H70" s="41"/>
      <c r="I70" s="41"/>
      <c r="J70" s="41"/>
      <c r="K70" s="41"/>
      <c r="L70" s="41"/>
      <c r="M70" s="279"/>
      <c r="N70" s="41"/>
      <c r="O70" s="279"/>
      <c r="P70" s="41"/>
      <c r="Q70" s="76"/>
      <c r="S70" s="65"/>
      <c r="T70" s="339"/>
    </row>
    <row r="71" spans="3:20" s="17" customFormat="1">
      <c r="C71" s="340"/>
      <c r="D71" s="76"/>
      <c r="F71" s="76"/>
      <c r="G71" s="279"/>
      <c r="H71" s="41"/>
      <c r="I71" s="41"/>
      <c r="J71" s="41"/>
      <c r="K71" s="41"/>
      <c r="L71" s="41"/>
      <c r="M71" s="279"/>
      <c r="N71" s="41"/>
      <c r="O71" s="279"/>
      <c r="P71" s="41"/>
      <c r="Q71" s="76"/>
      <c r="S71" s="65"/>
      <c r="T71" s="339"/>
    </row>
    <row r="72" spans="3:20" s="17" customFormat="1">
      <c r="C72" s="340"/>
      <c r="D72" s="76"/>
      <c r="F72" s="76"/>
      <c r="G72" s="279"/>
      <c r="H72" s="41"/>
      <c r="I72" s="41"/>
      <c r="J72" s="41"/>
      <c r="K72" s="41"/>
      <c r="L72" s="41"/>
      <c r="M72" s="279"/>
      <c r="N72" s="41"/>
      <c r="O72" s="279"/>
      <c r="P72" s="41"/>
      <c r="Q72" s="76"/>
      <c r="S72" s="65"/>
      <c r="T72" s="339"/>
    </row>
    <row r="73" spans="3:20" s="17" customFormat="1">
      <c r="C73" s="340"/>
      <c r="D73" s="76"/>
      <c r="F73" s="76"/>
      <c r="G73" s="279"/>
      <c r="H73" s="41"/>
      <c r="I73" s="41"/>
      <c r="J73" s="41"/>
      <c r="K73" s="41"/>
      <c r="L73" s="41"/>
      <c r="M73" s="279"/>
      <c r="N73" s="41"/>
      <c r="O73" s="279"/>
      <c r="P73" s="41"/>
      <c r="Q73" s="76"/>
      <c r="S73" s="65"/>
      <c r="T73" s="339"/>
    </row>
    <row r="74" spans="3:20" s="17" customFormat="1">
      <c r="C74" s="340"/>
      <c r="D74" s="76"/>
      <c r="F74" s="76"/>
      <c r="G74" s="279"/>
      <c r="H74" s="41"/>
      <c r="I74" s="41"/>
      <c r="J74" s="41"/>
      <c r="K74" s="41"/>
      <c r="L74" s="41"/>
      <c r="M74" s="279"/>
      <c r="N74" s="41"/>
      <c r="O74" s="279"/>
      <c r="P74" s="41"/>
      <c r="Q74" s="76"/>
      <c r="S74" s="65"/>
      <c r="T74" s="339"/>
    </row>
  </sheetData>
  <mergeCells count="7">
    <mergeCell ref="A54:B54"/>
    <mergeCell ref="C8:P8"/>
    <mergeCell ref="A14:A15"/>
    <mergeCell ref="B14:B15"/>
    <mergeCell ref="D14:D15"/>
    <mergeCell ref="E14:P14"/>
    <mergeCell ref="Q14:Q15"/>
  </mergeCells>
  <pageMargins left="0.55984251968503906" right="0.27992125984252003" top="0.57519685039370105" bottom="0.50511811023622" header="0.27992125984252003" footer="0.209842519685039"/>
  <pageSetup paperSize="0" scale="92" fitToWidth="0" fitToHeight="0" pageOrder="overThenDown" orientation="landscape" horizontalDpi="0" verticalDpi="0" copies="0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r:id="rId4">
            <anchor moveWithCells="1" sizeWithCells="1">
              <from>
                <xdr:col>16</xdr:col>
                <xdr:colOff>0</xdr:colOff>
                <xdr:row>0</xdr:row>
                <xdr:rowOff>142875</xdr:rowOff>
              </from>
              <to>
                <xdr:col>17</xdr:col>
                <xdr:colOff>933450</xdr:colOff>
                <xdr:row>6</xdr:row>
                <xdr:rowOff>47625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9"/>
  <sheetViews>
    <sheetView workbookViewId="0"/>
  </sheetViews>
  <sheetFormatPr defaultRowHeight="14.25"/>
  <cols>
    <col min="1" max="1" width="9" customWidth="1"/>
    <col min="2" max="2" width="45.25" customWidth="1"/>
    <col min="3" max="4" width="9" customWidth="1"/>
    <col min="5" max="5" width="11" customWidth="1"/>
    <col min="6" max="6" width="11.875" customWidth="1"/>
    <col min="7" max="8" width="9" customWidth="1"/>
  </cols>
  <sheetData>
    <row r="1" spans="1:6" ht="31.5">
      <c r="A1" s="349" t="s">
        <v>530</v>
      </c>
      <c r="B1" s="349" t="s">
        <v>531</v>
      </c>
      <c r="C1" s="349" t="s">
        <v>532</v>
      </c>
      <c r="D1" s="349" t="s">
        <v>533</v>
      </c>
      <c r="E1" s="349" t="s">
        <v>534</v>
      </c>
      <c r="F1" s="349" t="s">
        <v>535</v>
      </c>
    </row>
    <row r="2" spans="1:6" ht="31.5">
      <c r="A2" s="350" t="s">
        <v>536</v>
      </c>
      <c r="B2" s="351" t="s">
        <v>24</v>
      </c>
      <c r="C2" s="349" t="s">
        <v>25</v>
      </c>
      <c r="D2" s="352"/>
      <c r="E2" s="353"/>
      <c r="F2" s="353"/>
    </row>
    <row r="3" spans="1:6" ht="45">
      <c r="A3" s="354">
        <v>4417</v>
      </c>
      <c r="B3" s="355" t="s">
        <v>537</v>
      </c>
      <c r="C3" s="354" t="s">
        <v>538</v>
      </c>
      <c r="D3" s="356" t="s">
        <v>539</v>
      </c>
      <c r="E3" s="357">
        <v>4.0999999999999996</v>
      </c>
      <c r="F3" s="357">
        <f t="shared" ref="F3:F9" si="0">TRUNC((D3*E3),2)</f>
        <v>4.0999999999999996</v>
      </c>
    </row>
    <row r="4" spans="1:6" ht="45">
      <c r="A4" s="354">
        <v>4491</v>
      </c>
      <c r="B4" s="355" t="s">
        <v>540</v>
      </c>
      <c r="C4" s="354" t="s">
        <v>538</v>
      </c>
      <c r="D4" s="356" t="s">
        <v>541</v>
      </c>
      <c r="E4" s="357">
        <v>8.14</v>
      </c>
      <c r="F4" s="357">
        <f t="shared" si="0"/>
        <v>32.56</v>
      </c>
    </row>
    <row r="5" spans="1:6" ht="45">
      <c r="A5" s="354">
        <v>4813</v>
      </c>
      <c r="B5" s="355" t="s">
        <v>542</v>
      </c>
      <c r="C5" s="354" t="s">
        <v>543</v>
      </c>
      <c r="D5" s="356" t="s">
        <v>539</v>
      </c>
      <c r="E5" s="357">
        <v>225</v>
      </c>
      <c r="F5" s="357">
        <f t="shared" si="0"/>
        <v>225</v>
      </c>
    </row>
    <row r="6" spans="1:6" ht="30">
      <c r="A6" s="354">
        <v>5075</v>
      </c>
      <c r="B6" s="355" t="s">
        <v>544</v>
      </c>
      <c r="C6" s="354" t="s">
        <v>545</v>
      </c>
      <c r="D6" s="356" t="s">
        <v>546</v>
      </c>
      <c r="E6" s="357">
        <v>18.309999999999999</v>
      </c>
      <c r="F6" s="357">
        <f t="shared" si="0"/>
        <v>2.0099999999999998</v>
      </c>
    </row>
    <row r="7" spans="1:6" ht="30">
      <c r="A7" s="354">
        <v>88262</v>
      </c>
      <c r="B7" s="355" t="s">
        <v>547</v>
      </c>
      <c r="C7" s="354" t="s">
        <v>548</v>
      </c>
      <c r="D7" s="356" t="s">
        <v>539</v>
      </c>
      <c r="E7" s="357">
        <v>17.48</v>
      </c>
      <c r="F7" s="357">
        <f t="shared" si="0"/>
        <v>17.48</v>
      </c>
    </row>
    <row r="8" spans="1:6" ht="30">
      <c r="A8" s="354">
        <v>88316</v>
      </c>
      <c r="B8" s="355" t="s">
        <v>549</v>
      </c>
      <c r="C8" s="354" t="s">
        <v>548</v>
      </c>
      <c r="D8" s="356" t="s">
        <v>550</v>
      </c>
      <c r="E8" s="357">
        <v>14.02</v>
      </c>
      <c r="F8" s="357">
        <f t="shared" si="0"/>
        <v>28.04</v>
      </c>
    </row>
    <row r="9" spans="1:6" ht="60">
      <c r="A9" s="358">
        <v>94962</v>
      </c>
      <c r="B9" s="359" t="s">
        <v>551</v>
      </c>
      <c r="C9" s="358" t="s">
        <v>552</v>
      </c>
      <c r="D9" s="360" t="s">
        <v>553</v>
      </c>
      <c r="E9" s="361">
        <v>296.5</v>
      </c>
      <c r="F9" s="361">
        <f t="shared" si="0"/>
        <v>2.96</v>
      </c>
    </row>
    <row r="10" spans="1:6" ht="15.75">
      <c r="A10" s="530" t="s">
        <v>554</v>
      </c>
      <c r="B10" s="530"/>
      <c r="C10" s="530"/>
      <c r="D10" s="530"/>
      <c r="E10" s="353" t="s">
        <v>522</v>
      </c>
      <c r="F10" s="353">
        <f>SUM(F3:F9)</f>
        <v>312.15000000000003</v>
      </c>
    </row>
    <row r="11" spans="1:6">
      <c r="A11" s="362"/>
      <c r="B11" s="362"/>
      <c r="C11" s="362"/>
      <c r="D11" s="362"/>
      <c r="E11" s="362"/>
      <c r="F11" s="362"/>
    </row>
    <row r="12" spans="1:6" ht="15">
      <c r="A12" s="363" t="s">
        <v>555</v>
      </c>
      <c r="B12" s="364" t="s">
        <v>556</v>
      </c>
      <c r="C12" s="365"/>
      <c r="D12" s="366"/>
      <c r="E12" s="367"/>
      <c r="F12" s="368"/>
    </row>
    <row r="13" spans="1:6">
      <c r="A13" s="369"/>
      <c r="B13" s="370" t="s">
        <v>557</v>
      </c>
      <c r="C13" s="371"/>
      <c r="D13" s="372"/>
      <c r="E13" s="373"/>
      <c r="F13" s="374"/>
    </row>
    <row r="14" spans="1:6" ht="15">
      <c r="A14" s="369"/>
      <c r="B14" s="364" t="s">
        <v>558</v>
      </c>
      <c r="C14" s="371"/>
      <c r="D14" s="372"/>
      <c r="E14" s="373"/>
      <c r="F14" s="375"/>
    </row>
    <row r="15" spans="1:6">
      <c r="A15" s="369"/>
      <c r="B15" s="376" t="s">
        <v>559</v>
      </c>
      <c r="C15" s="371" t="s">
        <v>31</v>
      </c>
      <c r="D15" s="373">
        <v>1</v>
      </c>
      <c r="E15" s="373">
        <v>280</v>
      </c>
      <c r="F15" s="375">
        <f>D15*E15</f>
        <v>280</v>
      </c>
    </row>
    <row r="16" spans="1:6" ht="28.5">
      <c r="A16" s="369"/>
      <c r="B16" s="377" t="s">
        <v>560</v>
      </c>
      <c r="C16" s="371" t="s">
        <v>54</v>
      </c>
      <c r="D16" s="373">
        <v>8</v>
      </c>
      <c r="E16" s="373">
        <v>10</v>
      </c>
      <c r="F16" s="373">
        <f>D16*E16</f>
        <v>80</v>
      </c>
    </row>
    <row r="17" spans="1:6" ht="15">
      <c r="A17" s="369"/>
      <c r="B17" s="364" t="s">
        <v>561</v>
      </c>
      <c r="C17" s="371"/>
      <c r="D17" s="372"/>
      <c r="E17" s="373"/>
      <c r="F17" s="378">
        <f>F15+F16</f>
        <v>360</v>
      </c>
    </row>
    <row r="18" spans="1:6" ht="15">
      <c r="A18" s="369"/>
      <c r="B18" s="364" t="s">
        <v>562</v>
      </c>
      <c r="C18" s="371"/>
      <c r="D18" s="379"/>
      <c r="E18" s="380"/>
      <c r="F18" s="381">
        <f>F17</f>
        <v>360</v>
      </c>
    </row>
    <row r="19" spans="1:6" ht="28.5">
      <c r="A19" s="369"/>
      <c r="B19" s="377" t="s">
        <v>563</v>
      </c>
      <c r="C19" s="382"/>
      <c r="D19" s="383"/>
      <c r="E19" s="36"/>
      <c r="F19" s="36"/>
    </row>
    <row r="20" spans="1:6">
      <c r="A20" s="384"/>
      <c r="B20" s="384"/>
      <c r="C20" s="384"/>
      <c r="D20" s="384"/>
      <c r="E20" s="384"/>
      <c r="F20" s="384"/>
    </row>
    <row r="21" spans="1:6" ht="15">
      <c r="A21" s="369"/>
      <c r="B21" s="385" t="s">
        <v>564</v>
      </c>
      <c r="C21" s="386"/>
      <c r="D21" s="386"/>
      <c r="E21" s="387"/>
      <c r="F21" s="387"/>
    </row>
    <row r="22" spans="1:6">
      <c r="A22" s="369"/>
      <c r="B22" s="388" t="s">
        <v>565</v>
      </c>
      <c r="C22" s="387"/>
      <c r="D22" s="387"/>
      <c r="E22" s="387"/>
      <c r="F22" s="387"/>
    </row>
    <row r="23" spans="1:6">
      <c r="A23" s="369"/>
      <c r="B23" s="387" t="s">
        <v>564</v>
      </c>
      <c r="C23" s="387"/>
      <c r="D23" s="387"/>
      <c r="E23" s="387"/>
      <c r="F23" s="387"/>
    </row>
    <row r="24" spans="1:6">
      <c r="A24" s="369"/>
      <c r="B24" s="387" t="s">
        <v>565</v>
      </c>
      <c r="C24" s="387"/>
      <c r="D24" s="387"/>
      <c r="E24" s="387"/>
      <c r="F24" s="387"/>
    </row>
    <row r="25" spans="1:6">
      <c r="A25" s="369"/>
      <c r="B25" s="387" t="s">
        <v>566</v>
      </c>
      <c r="C25" s="387" t="s">
        <v>19</v>
      </c>
      <c r="D25" s="389">
        <v>1.3</v>
      </c>
      <c r="E25" s="387">
        <v>17.670000000000002</v>
      </c>
      <c r="F25" s="387">
        <f>TRUNC(D25*E25,2)</f>
        <v>22.97</v>
      </c>
    </row>
    <row r="26" spans="1:6">
      <c r="A26" s="369"/>
      <c r="B26" s="387" t="s">
        <v>567</v>
      </c>
      <c r="C26" s="387" t="s">
        <v>19</v>
      </c>
      <c r="D26" s="389">
        <v>13</v>
      </c>
      <c r="E26" s="387">
        <v>14.06</v>
      </c>
      <c r="F26" s="387">
        <f>TRUNC(D26*E26,2)</f>
        <v>182.78</v>
      </c>
    </row>
    <row r="27" spans="1:6">
      <c r="A27" s="369"/>
      <c r="B27" s="386" t="s">
        <v>562</v>
      </c>
      <c r="C27" s="387"/>
      <c r="D27" s="387"/>
      <c r="E27" s="387"/>
      <c r="F27" s="386">
        <f>SUM(F25+F26,2)</f>
        <v>207.75</v>
      </c>
    </row>
    <row r="28" spans="1:6">
      <c r="A28" s="369"/>
      <c r="B28" s="390" t="s">
        <v>568</v>
      </c>
      <c r="C28" s="390"/>
      <c r="D28" s="390"/>
      <c r="E28" s="390"/>
      <c r="F28" s="390"/>
    </row>
    <row r="29" spans="1:6">
      <c r="A29" s="384"/>
      <c r="B29" s="384"/>
      <c r="C29" s="384"/>
      <c r="D29" s="384"/>
      <c r="E29" s="384"/>
      <c r="F29" s="384"/>
    </row>
    <row r="30" spans="1:6" ht="60">
      <c r="A30" s="391" t="s">
        <v>108</v>
      </c>
      <c r="B30" s="364" t="s">
        <v>569</v>
      </c>
      <c r="C30" s="392"/>
      <c r="D30" s="392"/>
      <c r="E30" s="392"/>
      <c r="F30" s="375"/>
    </row>
    <row r="31" spans="1:6" ht="15">
      <c r="A31" s="393"/>
      <c r="B31" s="364" t="s">
        <v>570</v>
      </c>
      <c r="C31" s="392"/>
      <c r="D31" s="392"/>
      <c r="E31" s="392"/>
      <c r="F31" s="375"/>
    </row>
    <row r="32" spans="1:6" ht="15">
      <c r="A32" s="393"/>
      <c r="B32" s="364" t="s">
        <v>571</v>
      </c>
      <c r="C32" s="376"/>
      <c r="D32" s="392"/>
      <c r="E32" s="392"/>
      <c r="F32" s="375"/>
    </row>
    <row r="33" spans="1:6">
      <c r="A33" s="393"/>
      <c r="B33" s="376" t="s">
        <v>572</v>
      </c>
      <c r="C33" s="371" t="s">
        <v>19</v>
      </c>
      <c r="D33" s="394">
        <v>1</v>
      </c>
      <c r="E33" s="392">
        <v>17.579999999999998</v>
      </c>
      <c r="F33" s="375">
        <f>D33*E33</f>
        <v>17.579999999999998</v>
      </c>
    </row>
    <row r="34" spans="1:6">
      <c r="A34" s="393"/>
      <c r="B34" s="376" t="s">
        <v>573</v>
      </c>
      <c r="C34" s="371" t="s">
        <v>19</v>
      </c>
      <c r="D34" s="394">
        <v>1</v>
      </c>
      <c r="E34" s="392">
        <v>14.09</v>
      </c>
      <c r="F34" s="375">
        <f>D34*E34</f>
        <v>14.09</v>
      </c>
    </row>
    <row r="35" spans="1:6" ht="15">
      <c r="A35" s="393"/>
      <c r="B35" s="364" t="s">
        <v>561</v>
      </c>
      <c r="C35" s="392"/>
      <c r="D35" s="392"/>
      <c r="E35" s="392"/>
      <c r="F35" s="381">
        <f>F34+F33</f>
        <v>31.669999999999998</v>
      </c>
    </row>
    <row r="36" spans="1:6" ht="15">
      <c r="A36" s="393"/>
      <c r="B36" s="364" t="s">
        <v>558</v>
      </c>
      <c r="C36" s="392"/>
      <c r="D36" s="392"/>
      <c r="E36" s="392"/>
      <c r="F36" s="375"/>
    </row>
    <row r="37" spans="1:6" ht="28.5">
      <c r="A37" s="393"/>
      <c r="B37" s="376" t="s">
        <v>574</v>
      </c>
      <c r="C37" s="392" t="s">
        <v>28</v>
      </c>
      <c r="D37" s="394">
        <v>0.99</v>
      </c>
      <c r="E37" s="394">
        <v>35</v>
      </c>
      <c r="F37" s="375">
        <f>D37*E37</f>
        <v>34.65</v>
      </c>
    </row>
    <row r="38" spans="1:6" ht="15">
      <c r="A38" s="393"/>
      <c r="B38" s="364" t="s">
        <v>561</v>
      </c>
      <c r="C38" s="392"/>
      <c r="D38" s="394"/>
      <c r="E38" s="392"/>
      <c r="F38" s="381">
        <f>F37</f>
        <v>34.65</v>
      </c>
    </row>
    <row r="39" spans="1:6" ht="15">
      <c r="A39" s="393"/>
      <c r="B39" s="364" t="s">
        <v>562</v>
      </c>
      <c r="C39" s="392"/>
      <c r="D39" s="394"/>
      <c r="E39" s="392"/>
      <c r="F39" s="381">
        <f>F38+F35</f>
        <v>66.319999999999993</v>
      </c>
    </row>
    <row r="40" spans="1:6">
      <c r="A40" s="393"/>
      <c r="B40" s="376"/>
      <c r="C40" s="392"/>
      <c r="D40" s="394"/>
      <c r="E40" s="392"/>
      <c r="F40" s="375"/>
    </row>
    <row r="41" spans="1:6" ht="28.5">
      <c r="A41" s="393"/>
      <c r="B41" s="376" t="s">
        <v>575</v>
      </c>
      <c r="C41" s="392"/>
      <c r="D41" s="394"/>
      <c r="E41" s="392"/>
      <c r="F41" s="375"/>
    </row>
    <row r="42" spans="1:6">
      <c r="A42" s="393"/>
      <c r="B42" s="376" t="s">
        <v>576</v>
      </c>
      <c r="C42" s="392"/>
      <c r="D42" s="394"/>
      <c r="E42" s="392"/>
      <c r="F42" s="375"/>
    </row>
    <row r="43" spans="1:6">
      <c r="A43" s="393"/>
      <c r="B43" s="376" t="s">
        <v>577</v>
      </c>
      <c r="C43" s="392"/>
      <c r="D43" s="394"/>
      <c r="E43" s="392"/>
      <c r="F43" s="375"/>
    </row>
    <row r="44" spans="1:6">
      <c r="A44" s="393"/>
      <c r="B44" s="376" t="s">
        <v>578</v>
      </c>
      <c r="C44" s="392"/>
      <c r="D44" s="394"/>
      <c r="E44" s="392"/>
      <c r="F44" s="375"/>
    </row>
    <row r="45" spans="1:6" ht="15">
      <c r="A45" s="395"/>
      <c r="B45" s="396"/>
      <c r="C45" s="397"/>
      <c r="D45" s="397"/>
      <c r="E45" s="397"/>
      <c r="F45" s="398"/>
    </row>
    <row r="46" spans="1:6" ht="25.5">
      <c r="A46" s="399"/>
      <c r="B46" s="400" t="s">
        <v>579</v>
      </c>
      <c r="C46" s="401"/>
      <c r="D46" s="401"/>
      <c r="E46" s="401"/>
      <c r="F46" s="401"/>
    </row>
    <row r="47" spans="1:6">
      <c r="A47" s="399"/>
      <c r="B47" s="400" t="s">
        <v>580</v>
      </c>
      <c r="C47" s="401"/>
      <c r="D47" s="401"/>
      <c r="E47" s="401"/>
      <c r="F47" s="401"/>
    </row>
    <row r="48" spans="1:6" ht="15">
      <c r="A48" s="399"/>
      <c r="B48" s="364" t="s">
        <v>558</v>
      </c>
      <c r="C48" s="401"/>
      <c r="D48" s="401"/>
      <c r="E48" s="401"/>
      <c r="F48" s="401"/>
    </row>
    <row r="49" spans="1:6">
      <c r="A49" s="399"/>
      <c r="B49" s="401" t="s">
        <v>581</v>
      </c>
      <c r="C49" s="401" t="s">
        <v>28</v>
      </c>
      <c r="D49" s="402">
        <v>18</v>
      </c>
      <c r="E49" s="402">
        <v>26</v>
      </c>
      <c r="F49" s="402">
        <f t="shared" ref="F49:F56" si="1">D49*E49</f>
        <v>468</v>
      </c>
    </row>
    <row r="50" spans="1:6">
      <c r="A50" s="399"/>
      <c r="B50" s="401" t="s">
        <v>582</v>
      </c>
      <c r="C50" s="401" t="s">
        <v>25</v>
      </c>
      <c r="D50" s="402">
        <v>10.4</v>
      </c>
      <c r="E50" s="402">
        <v>138.72999999999999</v>
      </c>
      <c r="F50" s="403">
        <f t="shared" si="1"/>
        <v>1442.7919999999999</v>
      </c>
    </row>
    <row r="51" spans="1:6">
      <c r="A51" s="399"/>
      <c r="B51" s="401" t="s">
        <v>583</v>
      </c>
      <c r="C51" s="401" t="s">
        <v>28</v>
      </c>
      <c r="D51" s="402">
        <v>9</v>
      </c>
      <c r="E51" s="402">
        <v>16.5</v>
      </c>
      <c r="F51" s="403">
        <f t="shared" si="1"/>
        <v>148.5</v>
      </c>
    </row>
    <row r="52" spans="1:6">
      <c r="A52" s="399"/>
      <c r="B52" s="401" t="s">
        <v>584</v>
      </c>
      <c r="C52" s="401" t="s">
        <v>31</v>
      </c>
      <c r="D52" s="402">
        <v>2</v>
      </c>
      <c r="E52" s="402">
        <v>27</v>
      </c>
      <c r="F52" s="403">
        <f t="shared" si="1"/>
        <v>54</v>
      </c>
    </row>
    <row r="53" spans="1:6">
      <c r="A53" s="399"/>
      <c r="B53" s="401" t="s">
        <v>585</v>
      </c>
      <c r="C53" s="401" t="s">
        <v>28</v>
      </c>
      <c r="D53" s="402">
        <v>1</v>
      </c>
      <c r="E53" s="402">
        <v>23.33</v>
      </c>
      <c r="F53" s="403">
        <f t="shared" si="1"/>
        <v>23.33</v>
      </c>
    </row>
    <row r="54" spans="1:6">
      <c r="A54" s="399"/>
      <c r="B54" s="401" t="s">
        <v>586</v>
      </c>
      <c r="C54" s="401" t="s">
        <v>28</v>
      </c>
      <c r="D54" s="402">
        <v>8</v>
      </c>
      <c r="E54" s="402">
        <v>109.66</v>
      </c>
      <c r="F54" s="403">
        <f t="shared" si="1"/>
        <v>877.28</v>
      </c>
    </row>
    <row r="55" spans="1:6">
      <c r="A55" s="399"/>
      <c r="B55" s="401" t="s">
        <v>587</v>
      </c>
      <c r="C55" s="401" t="s">
        <v>31</v>
      </c>
      <c r="D55" s="402">
        <v>1</v>
      </c>
      <c r="E55" s="402">
        <v>85</v>
      </c>
      <c r="F55" s="403">
        <f t="shared" si="1"/>
        <v>85</v>
      </c>
    </row>
    <row r="56" spans="1:6">
      <c r="A56" s="399"/>
      <c r="B56" s="401" t="s">
        <v>588</v>
      </c>
      <c r="C56" s="401" t="s">
        <v>82</v>
      </c>
      <c r="D56" s="402">
        <v>2</v>
      </c>
      <c r="E56" s="402">
        <v>18.05</v>
      </c>
      <c r="F56" s="403">
        <f t="shared" si="1"/>
        <v>36.1</v>
      </c>
    </row>
    <row r="57" spans="1:6">
      <c r="A57" s="399"/>
      <c r="B57" s="404" t="s">
        <v>561</v>
      </c>
      <c r="C57" s="401"/>
      <c r="D57" s="402"/>
      <c r="E57" s="402"/>
      <c r="F57" s="405">
        <f>SUM(F49:F56,2)</f>
        <v>3137.002</v>
      </c>
    </row>
    <row r="58" spans="1:6" ht="15">
      <c r="A58" s="399"/>
      <c r="B58" s="364" t="s">
        <v>571</v>
      </c>
      <c r="C58" s="401"/>
      <c r="D58" s="402"/>
      <c r="E58" s="402"/>
      <c r="F58" s="403">
        <f>D58*E58</f>
        <v>0</v>
      </c>
    </row>
    <row r="59" spans="1:6">
      <c r="A59" s="399"/>
      <c r="B59" s="401" t="s">
        <v>572</v>
      </c>
      <c r="C59" s="401" t="s">
        <v>19</v>
      </c>
      <c r="D59" s="402">
        <v>8</v>
      </c>
      <c r="E59" s="402">
        <v>17.579999999999998</v>
      </c>
      <c r="F59" s="403">
        <f>D59*E59</f>
        <v>140.63999999999999</v>
      </c>
    </row>
    <row r="60" spans="1:6">
      <c r="A60" s="399"/>
      <c r="B60" s="401" t="s">
        <v>589</v>
      </c>
      <c r="C60" s="401" t="s">
        <v>19</v>
      </c>
      <c r="D60" s="402">
        <v>8</v>
      </c>
      <c r="E60" s="402">
        <v>14.06</v>
      </c>
      <c r="F60" s="403">
        <f>D60*E60</f>
        <v>112.48</v>
      </c>
    </row>
    <row r="61" spans="1:6">
      <c r="A61" s="399"/>
      <c r="B61" s="401" t="s">
        <v>566</v>
      </c>
      <c r="C61" s="401" t="s">
        <v>19</v>
      </c>
      <c r="D61" s="402">
        <v>8</v>
      </c>
      <c r="E61" s="402">
        <v>17.670000000000002</v>
      </c>
      <c r="F61" s="403">
        <f>D61*E61</f>
        <v>141.36000000000001</v>
      </c>
    </row>
    <row r="62" spans="1:6">
      <c r="A62" s="399"/>
      <c r="B62" s="401" t="s">
        <v>567</v>
      </c>
      <c r="C62" s="401" t="s">
        <v>19</v>
      </c>
      <c r="D62" s="402">
        <v>8</v>
      </c>
      <c r="E62" s="402">
        <v>14.06</v>
      </c>
      <c r="F62" s="403">
        <f>D62*E62</f>
        <v>112.48</v>
      </c>
    </row>
    <row r="63" spans="1:6">
      <c r="A63" s="399"/>
      <c r="B63" s="404" t="s">
        <v>561</v>
      </c>
      <c r="C63" s="401"/>
      <c r="D63" s="402"/>
      <c r="E63" s="402"/>
      <c r="F63" s="405">
        <f>SUM(F59:F62)</f>
        <v>506.96000000000004</v>
      </c>
    </row>
    <row r="64" spans="1:6" ht="15">
      <c r="A64" s="399"/>
      <c r="B64" s="364" t="s">
        <v>562</v>
      </c>
      <c r="C64" s="401"/>
      <c r="D64" s="401"/>
      <c r="E64" s="402"/>
      <c r="F64" s="405">
        <f>SUM(F57+F63)</f>
        <v>3643.962</v>
      </c>
    </row>
    <row r="65" spans="1:6">
      <c r="A65" s="399"/>
      <c r="B65" s="376" t="s">
        <v>590</v>
      </c>
      <c r="C65" s="401"/>
      <c r="D65" s="401">
        <f>4*2.6</f>
        <v>10.4</v>
      </c>
      <c r="E65" s="402"/>
      <c r="F65" s="406" t="s">
        <v>591</v>
      </c>
    </row>
    <row r="66" spans="1:6">
      <c r="A66" s="399"/>
      <c r="B66" s="388"/>
      <c r="C66" s="407"/>
      <c r="D66" s="408">
        <f>3643.96/10.4</f>
        <v>350.3807692307692</v>
      </c>
      <c r="E66" s="409"/>
      <c r="F66" s="409"/>
    </row>
    <row r="67" spans="1:6">
      <c r="A67" s="410"/>
      <c r="B67" s="384"/>
      <c r="C67" s="384"/>
      <c r="D67" s="384"/>
      <c r="E67" s="384"/>
      <c r="F67" s="411"/>
    </row>
    <row r="68" spans="1:6" ht="30">
      <c r="A68" s="391" t="s">
        <v>178</v>
      </c>
      <c r="B68" s="364" t="s">
        <v>592</v>
      </c>
      <c r="C68" s="412"/>
      <c r="D68" s="412"/>
      <c r="E68" s="412"/>
      <c r="F68" s="381"/>
    </row>
    <row r="69" spans="1:6" ht="15">
      <c r="A69" s="391"/>
      <c r="B69" s="370" t="s">
        <v>593</v>
      </c>
      <c r="C69" s="412"/>
      <c r="D69" s="412"/>
      <c r="E69" s="412"/>
      <c r="F69" s="381"/>
    </row>
    <row r="70" spans="1:6" ht="15">
      <c r="A70" s="391"/>
      <c r="B70" s="364" t="s">
        <v>571</v>
      </c>
      <c r="C70" s="412"/>
      <c r="D70" s="412"/>
      <c r="E70" s="412"/>
      <c r="F70" s="381"/>
    </row>
    <row r="71" spans="1:6" ht="15">
      <c r="A71" s="391"/>
      <c r="B71" s="376" t="s">
        <v>566</v>
      </c>
      <c r="C71" s="392" t="s">
        <v>19</v>
      </c>
      <c r="D71" s="392">
        <v>1.6</v>
      </c>
      <c r="E71" s="392">
        <v>17.670000000000002</v>
      </c>
      <c r="F71" s="375">
        <f>D71*E71</f>
        <v>28.272000000000006</v>
      </c>
    </row>
    <row r="72" spans="1:6" ht="15">
      <c r="A72" s="391"/>
      <c r="B72" s="376" t="s">
        <v>567</v>
      </c>
      <c r="C72" s="392" t="s">
        <v>19</v>
      </c>
      <c r="D72" s="392">
        <v>1.1000000000000001</v>
      </c>
      <c r="E72" s="392">
        <v>14.06</v>
      </c>
      <c r="F72" s="375">
        <f>D72*E72</f>
        <v>15.466000000000001</v>
      </c>
    </row>
    <row r="73" spans="1:6" ht="15">
      <c r="A73" s="391"/>
      <c r="B73" s="364" t="s">
        <v>561</v>
      </c>
      <c r="C73" s="412"/>
      <c r="D73" s="412"/>
      <c r="E73" s="412"/>
      <c r="F73" s="381">
        <f>F72+F71</f>
        <v>43.738000000000007</v>
      </c>
    </row>
    <row r="74" spans="1:6" ht="15">
      <c r="A74" s="391"/>
      <c r="B74" s="364" t="s">
        <v>558</v>
      </c>
      <c r="C74" s="412"/>
      <c r="D74" s="412"/>
      <c r="E74" s="412"/>
      <c r="F74" s="381"/>
    </row>
    <row r="75" spans="1:6" ht="15">
      <c r="A75" s="391"/>
      <c r="B75" s="376" t="s">
        <v>594</v>
      </c>
      <c r="C75" s="392" t="s">
        <v>82</v>
      </c>
      <c r="D75" s="392">
        <v>1.3</v>
      </c>
      <c r="E75" s="392">
        <v>0.64</v>
      </c>
      <c r="F75" s="375">
        <f>D75*E75</f>
        <v>0.83200000000000007</v>
      </c>
    </row>
    <row r="76" spans="1:6" ht="28.5">
      <c r="A76" s="413">
        <v>38135</v>
      </c>
      <c r="B76" s="376" t="s">
        <v>595</v>
      </c>
      <c r="C76" s="392" t="s">
        <v>25</v>
      </c>
      <c r="D76" s="392">
        <v>1.1000000000000001</v>
      </c>
      <c r="E76" s="394">
        <v>64.900000000000006</v>
      </c>
      <c r="F76" s="375">
        <f>D76*E76</f>
        <v>71.390000000000015</v>
      </c>
    </row>
    <row r="77" spans="1:6" ht="57">
      <c r="A77" s="413">
        <v>87301</v>
      </c>
      <c r="B77" s="376" t="s">
        <v>596</v>
      </c>
      <c r="C77" s="412" t="s">
        <v>54</v>
      </c>
      <c r="D77" s="412">
        <v>1.4999999999999999E-2</v>
      </c>
      <c r="E77" s="412">
        <v>468.19</v>
      </c>
      <c r="F77" s="375">
        <f>D77*E77</f>
        <v>7.02285</v>
      </c>
    </row>
    <row r="78" spans="1:6" ht="15">
      <c r="A78" s="391"/>
      <c r="B78" s="364" t="s">
        <v>561</v>
      </c>
      <c r="C78" s="412"/>
      <c r="D78" s="412"/>
      <c r="E78" s="412"/>
      <c r="F78" s="381">
        <f>F77+F76+F75</f>
        <v>79.244850000000014</v>
      </c>
    </row>
    <row r="79" spans="1:6" ht="15">
      <c r="A79" s="391"/>
      <c r="B79" s="364" t="s">
        <v>562</v>
      </c>
      <c r="C79" s="412"/>
      <c r="D79" s="412"/>
      <c r="E79" s="412"/>
      <c r="F79" s="381">
        <f>F78+F73</f>
        <v>122.98285000000001</v>
      </c>
    </row>
    <row r="80" spans="1:6" ht="15">
      <c r="A80" s="391"/>
      <c r="B80" s="376"/>
      <c r="C80" s="412"/>
      <c r="D80" s="412"/>
      <c r="E80" s="412"/>
      <c r="F80" s="381"/>
    </row>
    <row r="81" spans="1:6" ht="15">
      <c r="A81" s="395"/>
      <c r="B81" s="396"/>
      <c r="C81" s="397"/>
      <c r="D81" s="397"/>
      <c r="E81" s="397"/>
      <c r="F81" s="398"/>
    </row>
    <row r="82" spans="1:6" s="255" customFormat="1" ht="38.25">
      <c r="A82" s="414" t="s">
        <v>217</v>
      </c>
      <c r="B82" s="415" t="s">
        <v>219</v>
      </c>
      <c r="C82" s="412">
        <v>1</v>
      </c>
      <c r="D82" s="412"/>
      <c r="E82" s="412"/>
      <c r="F82" s="416"/>
    </row>
    <row r="83" spans="1:6" s="255" customFormat="1">
      <c r="A83" s="369"/>
      <c r="B83" s="370" t="s">
        <v>597</v>
      </c>
      <c r="C83" s="412"/>
      <c r="D83" s="412"/>
      <c r="E83" s="412"/>
      <c r="F83" s="416"/>
    </row>
    <row r="84" spans="1:6" s="255" customFormat="1" ht="15">
      <c r="A84" s="369"/>
      <c r="B84" s="364" t="s">
        <v>571</v>
      </c>
      <c r="C84" s="412"/>
      <c r="D84" s="412"/>
      <c r="E84" s="412"/>
      <c r="F84" s="416"/>
    </row>
    <row r="85" spans="1:6" s="255" customFormat="1">
      <c r="A85" s="369" t="s">
        <v>598</v>
      </c>
      <c r="B85" s="376" t="s">
        <v>599</v>
      </c>
      <c r="C85" s="392" t="s">
        <v>19</v>
      </c>
      <c r="D85" s="392">
        <v>3.5</v>
      </c>
      <c r="E85" s="394">
        <v>18.3</v>
      </c>
      <c r="F85" s="417">
        <f>D85*E85</f>
        <v>64.05</v>
      </c>
    </row>
    <row r="86" spans="1:6" s="255" customFormat="1">
      <c r="A86" s="369" t="s">
        <v>600</v>
      </c>
      <c r="B86" s="376" t="s">
        <v>601</v>
      </c>
      <c r="C86" s="392" t="s">
        <v>19</v>
      </c>
      <c r="D86" s="392">
        <v>1.2</v>
      </c>
      <c r="E86" s="394">
        <v>14</v>
      </c>
      <c r="F86" s="417">
        <f>D86*E86</f>
        <v>16.8</v>
      </c>
    </row>
    <row r="87" spans="1:6" s="255" customFormat="1">
      <c r="A87" s="369" t="s">
        <v>602</v>
      </c>
      <c r="B87" s="376" t="s">
        <v>566</v>
      </c>
      <c r="C87" s="392" t="s">
        <v>19</v>
      </c>
      <c r="D87" s="392">
        <v>0.6</v>
      </c>
      <c r="E87" s="392">
        <v>17.670000000000002</v>
      </c>
      <c r="F87" s="417">
        <f>D87*E87</f>
        <v>10.602</v>
      </c>
    </row>
    <row r="88" spans="1:6" s="255" customFormat="1" ht="15">
      <c r="A88" s="369"/>
      <c r="B88" s="364" t="s">
        <v>561</v>
      </c>
      <c r="C88" s="412"/>
      <c r="D88" s="412"/>
      <c r="E88" s="412"/>
      <c r="F88" s="416">
        <f>SUM(F85:F87)</f>
        <v>91.451999999999998</v>
      </c>
    </row>
    <row r="89" spans="1:6" s="255" customFormat="1" ht="15">
      <c r="A89" s="369"/>
      <c r="B89" s="364" t="s">
        <v>558</v>
      </c>
      <c r="C89" s="412"/>
      <c r="D89" s="412"/>
      <c r="E89" s="412"/>
      <c r="F89" s="416"/>
    </row>
    <row r="90" spans="1:6" s="255" customFormat="1" ht="33.75">
      <c r="A90" s="418" t="s">
        <v>603</v>
      </c>
      <c r="B90" s="34" t="s">
        <v>604</v>
      </c>
      <c r="C90" s="412" t="s">
        <v>31</v>
      </c>
      <c r="D90" s="419">
        <v>1</v>
      </c>
      <c r="E90" s="392">
        <v>286.52999999999997</v>
      </c>
      <c r="F90" s="416">
        <f t="shared" ref="F90:F111" si="2">(E90*D90)</f>
        <v>286.52999999999997</v>
      </c>
    </row>
    <row r="91" spans="1:6" s="255" customFormat="1" ht="33.75">
      <c r="A91" s="418" t="s">
        <v>605</v>
      </c>
      <c r="B91" s="34" t="s">
        <v>606</v>
      </c>
      <c r="C91" s="412" t="s">
        <v>28</v>
      </c>
      <c r="D91" s="412">
        <v>18.55</v>
      </c>
      <c r="E91" s="392">
        <v>52.12</v>
      </c>
      <c r="F91" s="416">
        <f t="shared" si="2"/>
        <v>966.82600000000002</v>
      </c>
    </row>
    <row r="92" spans="1:6" s="255" customFormat="1" ht="33.75">
      <c r="A92" s="418" t="s">
        <v>607</v>
      </c>
      <c r="B92" s="34" t="s">
        <v>608</v>
      </c>
      <c r="C92" s="412" t="s">
        <v>28</v>
      </c>
      <c r="D92" s="412">
        <v>6.25</v>
      </c>
      <c r="E92" s="392">
        <v>35.51</v>
      </c>
      <c r="F92" s="416">
        <f t="shared" si="2"/>
        <v>221.9375</v>
      </c>
    </row>
    <row r="93" spans="1:6" s="255" customFormat="1">
      <c r="A93" s="418" t="s">
        <v>609</v>
      </c>
      <c r="B93" s="34" t="s">
        <v>610</v>
      </c>
      <c r="C93" s="412" t="s">
        <v>31</v>
      </c>
      <c r="D93" s="419">
        <v>1</v>
      </c>
      <c r="E93" s="394">
        <v>780</v>
      </c>
      <c r="F93" s="416">
        <f t="shared" si="2"/>
        <v>780</v>
      </c>
    </row>
    <row r="94" spans="1:6" s="255" customFormat="1" ht="45">
      <c r="A94" s="418">
        <v>100578</v>
      </c>
      <c r="B94" s="34" t="s">
        <v>611</v>
      </c>
      <c r="C94" s="412" t="s">
        <v>612</v>
      </c>
      <c r="D94" s="419">
        <v>1</v>
      </c>
      <c r="E94" s="394">
        <v>352.87</v>
      </c>
      <c r="F94" s="416">
        <f t="shared" si="2"/>
        <v>352.87</v>
      </c>
    </row>
    <row r="95" spans="1:6" s="255" customFormat="1">
      <c r="A95" s="418" t="s">
        <v>613</v>
      </c>
      <c r="B95" s="34" t="s">
        <v>614</v>
      </c>
      <c r="C95" s="412" t="s">
        <v>28</v>
      </c>
      <c r="D95" s="419">
        <v>5.5</v>
      </c>
      <c r="E95" s="392">
        <v>12.84</v>
      </c>
      <c r="F95" s="416">
        <f t="shared" si="2"/>
        <v>70.62</v>
      </c>
    </row>
    <row r="96" spans="1:6" s="255" customFormat="1" ht="33.75">
      <c r="A96" s="418" t="s">
        <v>615</v>
      </c>
      <c r="B96" s="34" t="s">
        <v>616</v>
      </c>
      <c r="C96" s="412" t="s">
        <v>31</v>
      </c>
      <c r="D96" s="419">
        <v>1</v>
      </c>
      <c r="E96" s="392">
        <v>10.74</v>
      </c>
      <c r="F96" s="416">
        <f t="shared" si="2"/>
        <v>10.74</v>
      </c>
    </row>
    <row r="97" spans="1:6" s="255" customFormat="1" ht="22.5">
      <c r="A97" s="418" t="s">
        <v>617</v>
      </c>
      <c r="B97" s="34" t="s">
        <v>618</v>
      </c>
      <c r="C97" s="412" t="s">
        <v>31</v>
      </c>
      <c r="D97" s="419">
        <v>3</v>
      </c>
      <c r="E97" s="392">
        <v>3.87</v>
      </c>
      <c r="F97" s="416">
        <f t="shared" si="2"/>
        <v>11.61</v>
      </c>
    </row>
    <row r="98" spans="1:6" s="255" customFormat="1" ht="22.5">
      <c r="A98" s="418" t="s">
        <v>619</v>
      </c>
      <c r="B98" s="34" t="s">
        <v>620</v>
      </c>
      <c r="C98" s="412" t="s">
        <v>31</v>
      </c>
      <c r="D98" s="419">
        <v>3</v>
      </c>
      <c r="E98" s="392">
        <v>11.08</v>
      </c>
      <c r="F98" s="416">
        <f t="shared" si="2"/>
        <v>33.24</v>
      </c>
    </row>
    <row r="99" spans="1:6" s="255" customFormat="1" ht="22.5">
      <c r="A99" s="418" t="s">
        <v>621</v>
      </c>
      <c r="B99" s="34" t="s">
        <v>622</v>
      </c>
      <c r="C99" s="412" t="s">
        <v>31</v>
      </c>
      <c r="D99" s="419">
        <v>1</v>
      </c>
      <c r="E99" s="392">
        <v>7.9</v>
      </c>
      <c r="F99" s="416">
        <f t="shared" si="2"/>
        <v>7.9</v>
      </c>
    </row>
    <row r="100" spans="1:6" s="255" customFormat="1" ht="22.5">
      <c r="A100" s="418" t="s">
        <v>623</v>
      </c>
      <c r="B100" s="34" t="s">
        <v>624</v>
      </c>
      <c r="C100" s="412" t="s">
        <v>31</v>
      </c>
      <c r="D100" s="419">
        <v>1</v>
      </c>
      <c r="E100" s="392">
        <v>21.07</v>
      </c>
      <c r="F100" s="416">
        <f t="shared" si="2"/>
        <v>21.07</v>
      </c>
    </row>
    <row r="101" spans="1:6" s="255" customFormat="1" ht="22.5">
      <c r="A101" s="418" t="s">
        <v>625</v>
      </c>
      <c r="B101" s="34" t="s">
        <v>626</v>
      </c>
      <c r="C101" s="412" t="s">
        <v>31</v>
      </c>
      <c r="D101" s="419">
        <v>1</v>
      </c>
      <c r="E101" s="392">
        <v>5.21</v>
      </c>
      <c r="F101" s="416">
        <f t="shared" si="2"/>
        <v>5.21</v>
      </c>
    </row>
    <row r="102" spans="1:6" s="255" customFormat="1" ht="33.75">
      <c r="A102" s="418" t="s">
        <v>627</v>
      </c>
      <c r="B102" s="34" t="s">
        <v>628</v>
      </c>
      <c r="C102" s="412" t="s">
        <v>31</v>
      </c>
      <c r="D102" s="419">
        <v>2</v>
      </c>
      <c r="E102" s="392">
        <v>6.7</v>
      </c>
      <c r="F102" s="416">
        <f t="shared" si="2"/>
        <v>13.4</v>
      </c>
    </row>
    <row r="103" spans="1:6" s="255" customFormat="1" ht="33.75">
      <c r="A103" s="418" t="s">
        <v>629</v>
      </c>
      <c r="B103" s="34" t="s">
        <v>630</v>
      </c>
      <c r="C103" s="412" t="s">
        <v>31</v>
      </c>
      <c r="D103" s="419">
        <v>2</v>
      </c>
      <c r="E103" s="392">
        <v>0.9</v>
      </c>
      <c r="F103" s="416">
        <f t="shared" si="2"/>
        <v>1.8</v>
      </c>
    </row>
    <row r="104" spans="1:6" s="255" customFormat="1" ht="22.5">
      <c r="A104" s="418" t="s">
        <v>631</v>
      </c>
      <c r="B104" s="45" t="s">
        <v>632</v>
      </c>
      <c r="C104" s="412" t="s">
        <v>31</v>
      </c>
      <c r="D104" s="419">
        <v>1</v>
      </c>
      <c r="E104" s="392">
        <v>115.38</v>
      </c>
      <c r="F104" s="416">
        <f t="shared" si="2"/>
        <v>115.38</v>
      </c>
    </row>
    <row r="105" spans="1:6" s="255" customFormat="1" ht="22.5">
      <c r="A105" s="418" t="s">
        <v>633</v>
      </c>
      <c r="B105" s="49" t="s">
        <v>310</v>
      </c>
      <c r="C105" s="412" t="s">
        <v>31</v>
      </c>
      <c r="D105" s="419">
        <v>3</v>
      </c>
      <c r="E105" s="392">
        <v>52.36</v>
      </c>
      <c r="F105" s="416">
        <f t="shared" si="2"/>
        <v>157.07999999999998</v>
      </c>
    </row>
    <row r="106" spans="1:6" s="255" customFormat="1" ht="22.5">
      <c r="A106" s="418" t="s">
        <v>634</v>
      </c>
      <c r="B106" s="49" t="s">
        <v>240</v>
      </c>
      <c r="C106" s="412" t="s">
        <v>28</v>
      </c>
      <c r="D106" s="419">
        <f>(3*2.4)+1.5</f>
        <v>8.6999999999999993</v>
      </c>
      <c r="E106" s="392">
        <v>43.37</v>
      </c>
      <c r="F106" s="416">
        <f t="shared" si="2"/>
        <v>377.31899999999996</v>
      </c>
    </row>
    <row r="107" spans="1:6" s="255" customFormat="1" ht="22.5">
      <c r="A107" s="418" t="s">
        <v>635</v>
      </c>
      <c r="B107" s="49" t="s">
        <v>636</v>
      </c>
      <c r="C107" s="412" t="s">
        <v>31</v>
      </c>
      <c r="D107" s="419">
        <v>3</v>
      </c>
      <c r="E107" s="392">
        <v>4.0999999999999996</v>
      </c>
      <c r="F107" s="416">
        <f t="shared" si="2"/>
        <v>12.299999999999999</v>
      </c>
    </row>
    <row r="108" spans="1:6" s="255" customFormat="1" ht="22.5">
      <c r="A108" s="418" t="s">
        <v>637</v>
      </c>
      <c r="B108" s="49" t="s">
        <v>638</v>
      </c>
      <c r="C108" s="412" t="s">
        <v>28</v>
      </c>
      <c r="D108" s="419">
        <v>0.8</v>
      </c>
      <c r="E108" s="392">
        <v>1.36</v>
      </c>
      <c r="F108" s="416">
        <f t="shared" si="2"/>
        <v>1.0880000000000001</v>
      </c>
    </row>
    <row r="109" spans="1:6" s="255" customFormat="1" ht="22.5">
      <c r="A109" s="418" t="s">
        <v>639</v>
      </c>
      <c r="B109" s="49" t="s">
        <v>640</v>
      </c>
      <c r="C109" s="412" t="s">
        <v>31</v>
      </c>
      <c r="D109" s="419">
        <v>1</v>
      </c>
      <c r="E109" s="392">
        <v>284.27999999999997</v>
      </c>
      <c r="F109" s="416">
        <f t="shared" si="2"/>
        <v>284.27999999999997</v>
      </c>
    </row>
    <row r="110" spans="1:6" s="255" customFormat="1" ht="22.5">
      <c r="A110" s="418" t="s">
        <v>641</v>
      </c>
      <c r="B110" s="49" t="s">
        <v>642</v>
      </c>
      <c r="C110" s="412" t="s">
        <v>31</v>
      </c>
      <c r="D110" s="419">
        <v>3</v>
      </c>
      <c r="E110" s="392">
        <v>15.99</v>
      </c>
      <c r="F110" s="416">
        <f t="shared" si="2"/>
        <v>47.97</v>
      </c>
    </row>
    <row r="111" spans="1:6" s="255" customFormat="1" ht="22.5">
      <c r="A111" s="418" t="s">
        <v>643</v>
      </c>
      <c r="B111" s="49" t="s">
        <v>644</v>
      </c>
      <c r="C111" s="412" t="s">
        <v>54</v>
      </c>
      <c r="D111" s="419">
        <v>0.81599999999999995</v>
      </c>
      <c r="E111" s="392">
        <v>382.81</v>
      </c>
      <c r="F111" s="416">
        <f t="shared" si="2"/>
        <v>312.37295999999998</v>
      </c>
    </row>
    <row r="112" spans="1:6" s="255" customFormat="1" ht="15">
      <c r="A112" s="369"/>
      <c r="B112" s="364" t="s">
        <v>561</v>
      </c>
      <c r="C112" s="412"/>
      <c r="D112" s="412"/>
      <c r="E112" s="412"/>
      <c r="F112" s="416">
        <f>SUM(F90:F111)</f>
        <v>4091.5434599999999</v>
      </c>
    </row>
    <row r="113" spans="1:6" s="255" customFormat="1" ht="15">
      <c r="A113" s="369"/>
      <c r="B113" s="364" t="s">
        <v>562</v>
      </c>
      <c r="C113" s="412"/>
      <c r="D113" s="412"/>
      <c r="E113" s="412"/>
      <c r="F113" s="416">
        <f>F112+F88</f>
        <v>4182.9954600000001</v>
      </c>
    </row>
    <row r="114" spans="1:6" s="255" customFormat="1" thickBot="1">
      <c r="A114" s="420"/>
      <c r="B114" s="420"/>
      <c r="C114" s="420"/>
      <c r="D114" s="420"/>
      <c r="E114" s="420"/>
      <c r="F114" s="420"/>
    </row>
    <row r="115" spans="1:6" ht="23.25">
      <c r="A115" s="414" t="s">
        <v>255</v>
      </c>
      <c r="B115" s="421" t="s">
        <v>256</v>
      </c>
      <c r="C115" s="364"/>
      <c r="D115" s="422"/>
      <c r="E115" s="364"/>
      <c r="F115" s="364"/>
    </row>
    <row r="116" spans="1:6" ht="15">
      <c r="A116" s="391"/>
      <c r="B116" s="370" t="s">
        <v>645</v>
      </c>
      <c r="C116" s="364"/>
      <c r="D116" s="422"/>
      <c r="E116" s="364"/>
      <c r="F116" s="364"/>
    </row>
    <row r="117" spans="1:6" ht="15">
      <c r="A117" s="391"/>
      <c r="B117" s="364" t="s">
        <v>571</v>
      </c>
      <c r="C117" s="364"/>
      <c r="D117" s="422"/>
      <c r="E117" s="364"/>
      <c r="F117" s="364"/>
    </row>
    <row r="118" spans="1:6">
      <c r="A118" s="399" t="s">
        <v>598</v>
      </c>
      <c r="B118" s="376" t="s">
        <v>599</v>
      </c>
      <c r="C118" s="392" t="s">
        <v>19</v>
      </c>
      <c r="D118" s="394">
        <v>0.8</v>
      </c>
      <c r="E118" s="394">
        <v>18.3</v>
      </c>
      <c r="F118" s="417">
        <f>D118*E118</f>
        <v>14.64</v>
      </c>
    </row>
    <row r="119" spans="1:6">
      <c r="A119" s="399" t="s">
        <v>600</v>
      </c>
      <c r="B119" s="376" t="s">
        <v>601</v>
      </c>
      <c r="C119" s="392" t="s">
        <v>19</v>
      </c>
      <c r="D119" s="394">
        <v>0.8</v>
      </c>
      <c r="E119" s="394">
        <v>14</v>
      </c>
      <c r="F119" s="417">
        <f>D119*E119</f>
        <v>11.200000000000001</v>
      </c>
    </row>
    <row r="120" spans="1:6" ht="15">
      <c r="A120" s="391"/>
      <c r="B120" s="364" t="s">
        <v>561</v>
      </c>
      <c r="C120" s="364"/>
      <c r="D120" s="422"/>
      <c r="E120" s="364"/>
      <c r="F120" s="423">
        <f>SUM(F118:F119)</f>
        <v>25.840000000000003</v>
      </c>
    </row>
    <row r="121" spans="1:6" ht="15">
      <c r="A121" s="391"/>
      <c r="B121" s="364" t="s">
        <v>558</v>
      </c>
      <c r="C121" s="364"/>
      <c r="D121" s="422"/>
      <c r="E121" s="364"/>
      <c r="F121" s="364"/>
    </row>
    <row r="122" spans="1:6" ht="57">
      <c r="A122" s="414" t="s">
        <v>646</v>
      </c>
      <c r="B122" s="376" t="s">
        <v>647</v>
      </c>
      <c r="C122" s="376" t="s">
        <v>31</v>
      </c>
      <c r="D122" s="424">
        <v>1</v>
      </c>
      <c r="E122" s="376">
        <v>38.26</v>
      </c>
      <c r="F122" s="376">
        <f>(D122*E122)</f>
        <v>38.26</v>
      </c>
    </row>
    <row r="123" spans="1:6" ht="42.75">
      <c r="A123" s="414" t="s">
        <v>648</v>
      </c>
      <c r="B123" s="376" t="s">
        <v>649</v>
      </c>
      <c r="C123" s="376" t="s">
        <v>31</v>
      </c>
      <c r="D123" s="424">
        <v>4</v>
      </c>
      <c r="E123" s="376">
        <v>0.26</v>
      </c>
      <c r="F123" s="376">
        <f>(D123*E123)</f>
        <v>1.04</v>
      </c>
    </row>
    <row r="124" spans="1:6" ht="15">
      <c r="A124" s="391"/>
      <c r="B124" s="364" t="s">
        <v>561</v>
      </c>
      <c r="C124" s="364"/>
      <c r="D124" s="422"/>
      <c r="E124" s="364"/>
      <c r="F124" s="364">
        <f>SUM(F122:F123)</f>
        <v>39.299999999999997</v>
      </c>
    </row>
    <row r="125" spans="1:6" ht="15">
      <c r="A125" s="391"/>
      <c r="B125" s="364" t="s">
        <v>562</v>
      </c>
      <c r="C125" s="364"/>
      <c r="D125" s="422"/>
      <c r="E125" s="422"/>
      <c r="F125" s="423">
        <f>F120+F124</f>
        <v>65.14</v>
      </c>
    </row>
    <row r="126" spans="1:6" ht="15">
      <c r="A126" s="395"/>
      <c r="B126" s="396"/>
      <c r="C126" s="396"/>
      <c r="D126" s="425"/>
      <c r="E126" s="425"/>
      <c r="F126" s="396"/>
    </row>
    <row r="127" spans="1:6" ht="38.25">
      <c r="A127" s="414" t="s">
        <v>275</v>
      </c>
      <c r="B127" s="426" t="s">
        <v>276</v>
      </c>
      <c r="C127" s="412">
        <v>1</v>
      </c>
      <c r="D127" s="412"/>
      <c r="E127" s="412"/>
      <c r="F127" s="416"/>
    </row>
    <row r="128" spans="1:6">
      <c r="A128" s="399"/>
      <c r="B128" s="370" t="s">
        <v>650</v>
      </c>
      <c r="C128" s="412"/>
      <c r="D128" s="412"/>
      <c r="E128" s="412"/>
      <c r="F128" s="416"/>
    </row>
    <row r="129" spans="1:6" ht="15">
      <c r="A129" s="399"/>
      <c r="B129" s="364" t="s">
        <v>571</v>
      </c>
      <c r="C129" s="412"/>
      <c r="D129" s="412"/>
      <c r="E129" s="412"/>
      <c r="F129" s="416"/>
    </row>
    <row r="130" spans="1:6">
      <c r="A130" s="399" t="s">
        <v>598</v>
      </c>
      <c r="B130" s="376" t="s">
        <v>599</v>
      </c>
      <c r="C130" s="392" t="s">
        <v>19</v>
      </c>
      <c r="D130" s="392">
        <v>0.6</v>
      </c>
      <c r="E130" s="394">
        <v>18.3</v>
      </c>
      <c r="F130" s="417">
        <f>D130*E130</f>
        <v>10.98</v>
      </c>
    </row>
    <row r="131" spans="1:6">
      <c r="A131" s="399" t="s">
        <v>600</v>
      </c>
      <c r="B131" s="376" t="s">
        <v>601</v>
      </c>
      <c r="C131" s="392" t="s">
        <v>19</v>
      </c>
      <c r="D131" s="392">
        <v>0.3</v>
      </c>
      <c r="E131" s="394">
        <v>14</v>
      </c>
      <c r="F131" s="417">
        <f>D131*E131</f>
        <v>4.2</v>
      </c>
    </row>
    <row r="132" spans="1:6" ht="15">
      <c r="A132" s="399"/>
      <c r="B132" s="364" t="s">
        <v>561</v>
      </c>
      <c r="C132" s="412"/>
      <c r="D132" s="412"/>
      <c r="E132" s="412"/>
      <c r="F132" s="416">
        <f>SUM(F130:F131)</f>
        <v>15.18</v>
      </c>
    </row>
    <row r="133" spans="1:6" ht="15">
      <c r="A133" s="399"/>
      <c r="B133" s="364" t="s">
        <v>558</v>
      </c>
      <c r="C133" s="412"/>
      <c r="D133" s="412"/>
      <c r="E133" s="412"/>
      <c r="F133" s="416"/>
    </row>
    <row r="134" spans="1:6" ht="57">
      <c r="A134" s="399" t="s">
        <v>651</v>
      </c>
      <c r="B134" s="427" t="s">
        <v>652</v>
      </c>
      <c r="C134" s="412" t="s">
        <v>31</v>
      </c>
      <c r="D134" s="412">
        <v>1</v>
      </c>
      <c r="E134" s="412">
        <v>39.01</v>
      </c>
      <c r="F134" s="417">
        <f>(D134*E134)</f>
        <v>39.01</v>
      </c>
    </row>
    <row r="135" spans="1:6" ht="28.5">
      <c r="A135" s="399" t="s">
        <v>653</v>
      </c>
      <c r="B135" s="427" t="s">
        <v>654</v>
      </c>
      <c r="C135" s="392" t="s">
        <v>31</v>
      </c>
      <c r="D135" s="392">
        <v>2</v>
      </c>
      <c r="E135" s="394">
        <v>13.4</v>
      </c>
      <c r="F135" s="417">
        <f>(D135*E135)</f>
        <v>26.8</v>
      </c>
    </row>
    <row r="136" spans="1:6" ht="28.5">
      <c r="A136" s="399">
        <v>21127</v>
      </c>
      <c r="B136" s="427" t="s">
        <v>655</v>
      </c>
      <c r="C136" s="392" t="s">
        <v>31</v>
      </c>
      <c r="D136" s="392">
        <v>4.2000000000000003E-2</v>
      </c>
      <c r="E136" s="394">
        <v>3.78</v>
      </c>
      <c r="F136" s="417">
        <f>(D136*E136)</f>
        <v>0.15876000000000001</v>
      </c>
    </row>
    <row r="137" spans="1:6" ht="15">
      <c r="A137" s="399"/>
      <c r="B137" s="364" t="s">
        <v>561</v>
      </c>
      <c r="C137" s="412"/>
      <c r="D137" s="412"/>
      <c r="E137" s="412"/>
      <c r="F137" s="416">
        <f>SUM(F134:F136)</f>
        <v>65.968760000000003</v>
      </c>
    </row>
    <row r="138" spans="1:6" ht="15">
      <c r="A138" s="399"/>
      <c r="B138" s="364" t="s">
        <v>562</v>
      </c>
      <c r="C138" s="412"/>
      <c r="D138" s="412"/>
      <c r="E138" s="412"/>
      <c r="F138" s="416">
        <f>F137+F132</f>
        <v>81.14876000000001</v>
      </c>
    </row>
    <row r="139" spans="1:6" thickBot="1">
      <c r="A139" s="420"/>
      <c r="B139" s="420"/>
      <c r="C139" s="420"/>
      <c r="D139" s="420"/>
      <c r="E139" s="420"/>
      <c r="F139" s="420"/>
    </row>
    <row r="140" spans="1:6" ht="25.5">
      <c r="A140" s="414" t="s">
        <v>277</v>
      </c>
      <c r="B140" s="426" t="s">
        <v>656</v>
      </c>
      <c r="C140" s="412">
        <v>1</v>
      </c>
      <c r="D140" s="412"/>
      <c r="E140" s="412"/>
      <c r="F140" s="416"/>
    </row>
    <row r="141" spans="1:6">
      <c r="A141" s="399"/>
      <c r="B141" s="370" t="s">
        <v>593</v>
      </c>
      <c r="C141" s="412"/>
      <c r="D141" s="412"/>
      <c r="E141" s="412"/>
      <c r="F141" s="416"/>
    </row>
    <row r="142" spans="1:6" ht="15">
      <c r="A142" s="399"/>
      <c r="B142" s="364" t="s">
        <v>571</v>
      </c>
      <c r="C142" s="412"/>
      <c r="D142" s="412"/>
      <c r="E142" s="412"/>
      <c r="F142" s="416"/>
    </row>
    <row r="143" spans="1:6">
      <c r="A143" s="399" t="s">
        <v>598</v>
      </c>
      <c r="B143" s="376" t="s">
        <v>599</v>
      </c>
      <c r="C143" s="392" t="s">
        <v>19</v>
      </c>
      <c r="D143" s="392">
        <v>0.6</v>
      </c>
      <c r="E143" s="394">
        <v>18.3</v>
      </c>
      <c r="F143" s="417">
        <f>D143*E143</f>
        <v>10.98</v>
      </c>
    </row>
    <row r="144" spans="1:6">
      <c r="A144" s="399" t="s">
        <v>600</v>
      </c>
      <c r="B144" s="376" t="s">
        <v>601</v>
      </c>
      <c r="C144" s="392" t="s">
        <v>19</v>
      </c>
      <c r="D144" s="392">
        <v>0.9</v>
      </c>
      <c r="E144" s="394">
        <v>14</v>
      </c>
      <c r="F144" s="417">
        <f>D144*E144</f>
        <v>12.6</v>
      </c>
    </row>
    <row r="145" spans="1:6" ht="15">
      <c r="A145" s="399"/>
      <c r="B145" s="364" t="s">
        <v>561</v>
      </c>
      <c r="C145" s="412"/>
      <c r="D145" s="412"/>
      <c r="E145" s="412"/>
      <c r="F145" s="416">
        <f>SUM(F143:F144)</f>
        <v>23.58</v>
      </c>
    </row>
    <row r="146" spans="1:6" ht="15">
      <c r="A146" s="399"/>
      <c r="B146" s="364" t="s">
        <v>558</v>
      </c>
      <c r="C146" s="412"/>
      <c r="D146" s="412"/>
      <c r="E146" s="412"/>
      <c r="F146" s="416"/>
    </row>
    <row r="147" spans="1:6" ht="28.5">
      <c r="A147" s="399" t="s">
        <v>657</v>
      </c>
      <c r="B147" s="427" t="s">
        <v>658</v>
      </c>
      <c r="C147" s="392" t="s">
        <v>31</v>
      </c>
      <c r="D147" s="394">
        <v>2</v>
      </c>
      <c r="E147" s="394">
        <v>41.01</v>
      </c>
      <c r="F147" s="417">
        <f>(D147*E147)</f>
        <v>82.02</v>
      </c>
    </row>
    <row r="148" spans="1:6" ht="28.5">
      <c r="A148" s="399">
        <v>21127</v>
      </c>
      <c r="B148" s="427" t="s">
        <v>655</v>
      </c>
      <c r="C148" s="392" t="s">
        <v>31</v>
      </c>
      <c r="D148" s="392">
        <v>4.2000000000000003E-2</v>
      </c>
      <c r="E148" s="394">
        <v>3.78</v>
      </c>
      <c r="F148" s="417">
        <f>(D148*E148)</f>
        <v>0.15876000000000001</v>
      </c>
    </row>
    <row r="149" spans="1:6" ht="42.75">
      <c r="A149" s="399" t="s">
        <v>648</v>
      </c>
      <c r="B149" s="376" t="s">
        <v>649</v>
      </c>
      <c r="C149" s="376" t="s">
        <v>31</v>
      </c>
      <c r="D149" s="424">
        <v>2</v>
      </c>
      <c r="E149" s="376">
        <v>0.26</v>
      </c>
      <c r="F149" s="376">
        <f>D149*E149</f>
        <v>0.52</v>
      </c>
    </row>
    <row r="150" spans="1:6" ht="15">
      <c r="A150" s="428"/>
      <c r="B150" s="429" t="s">
        <v>561</v>
      </c>
      <c r="C150" s="430"/>
      <c r="D150" s="430"/>
      <c r="E150" s="430"/>
      <c r="F150" s="431">
        <f>SUM(F147:F149)</f>
        <v>82.698759999999993</v>
      </c>
    </row>
    <row r="151" spans="1:6" ht="15">
      <c r="A151" s="399"/>
      <c r="B151" s="364" t="s">
        <v>562</v>
      </c>
      <c r="C151" s="412"/>
      <c r="D151" s="412"/>
      <c r="E151" s="412"/>
      <c r="F151" s="416">
        <f>F150+F145</f>
        <v>106.27875999999999</v>
      </c>
    </row>
    <row r="152" spans="1:6" thickBot="1">
      <c r="A152" s="399"/>
      <c r="B152" s="388"/>
      <c r="C152" s="407"/>
      <c r="D152" s="432"/>
      <c r="E152" s="433"/>
      <c r="F152" s="434"/>
    </row>
    <row r="153" spans="1:6" thickBot="1">
      <c r="A153" s="420"/>
      <c r="B153" s="420"/>
      <c r="C153" s="420"/>
      <c r="D153" s="420"/>
      <c r="E153" s="420"/>
      <c r="F153" s="420"/>
    </row>
    <row r="154" spans="1:6" ht="25.5">
      <c r="A154" s="414" t="s">
        <v>279</v>
      </c>
      <c r="B154" s="426" t="s">
        <v>659</v>
      </c>
      <c r="C154" s="412">
        <v>1</v>
      </c>
      <c r="D154" s="412"/>
      <c r="E154" s="412"/>
      <c r="F154" s="416"/>
    </row>
    <row r="155" spans="1:6">
      <c r="A155" s="399"/>
      <c r="B155" s="370" t="s">
        <v>593</v>
      </c>
      <c r="C155" s="412"/>
      <c r="D155" s="412"/>
      <c r="E155" s="412"/>
      <c r="F155" s="416"/>
    </row>
    <row r="156" spans="1:6" ht="15">
      <c r="A156" s="399"/>
      <c r="B156" s="364" t="s">
        <v>571</v>
      </c>
      <c r="C156" s="412"/>
      <c r="D156" s="412"/>
      <c r="E156" s="412"/>
      <c r="F156" s="416"/>
    </row>
    <row r="157" spans="1:6">
      <c r="A157" s="399" t="s">
        <v>598</v>
      </c>
      <c r="B157" s="376" t="s">
        <v>599</v>
      </c>
      <c r="C157" s="392" t="s">
        <v>19</v>
      </c>
      <c r="D157" s="392">
        <v>0.4</v>
      </c>
      <c r="E157" s="394">
        <v>18.3</v>
      </c>
      <c r="F157" s="417">
        <f>D157*E157</f>
        <v>7.32</v>
      </c>
    </row>
    <row r="158" spans="1:6">
      <c r="A158" s="399" t="s">
        <v>600</v>
      </c>
      <c r="B158" s="376" t="s">
        <v>601</v>
      </c>
      <c r="C158" s="392" t="s">
        <v>19</v>
      </c>
      <c r="D158" s="392">
        <v>0.6</v>
      </c>
      <c r="E158" s="394">
        <v>14</v>
      </c>
      <c r="F158" s="417">
        <f>D158*E158</f>
        <v>8.4</v>
      </c>
    </row>
    <row r="159" spans="1:6" ht="15">
      <c r="A159" s="399"/>
      <c r="B159" s="364" t="s">
        <v>561</v>
      </c>
      <c r="C159" s="412"/>
      <c r="D159" s="412"/>
      <c r="E159" s="412"/>
      <c r="F159" s="416">
        <f>SUM(F157:F158)</f>
        <v>15.72</v>
      </c>
    </row>
    <row r="160" spans="1:6" ht="15">
      <c r="A160" s="399"/>
      <c r="B160" s="364" t="s">
        <v>558</v>
      </c>
      <c r="C160" s="412"/>
      <c r="D160" s="412"/>
      <c r="E160" s="412"/>
      <c r="F160" s="416"/>
    </row>
    <row r="161" spans="1:6" ht="28.5">
      <c r="A161" s="399" t="s">
        <v>657</v>
      </c>
      <c r="B161" s="427" t="s">
        <v>658</v>
      </c>
      <c r="C161" s="392" t="s">
        <v>31</v>
      </c>
      <c r="D161" s="392">
        <v>1</v>
      </c>
      <c r="E161" s="394">
        <v>41.01</v>
      </c>
      <c r="F161" s="417">
        <f>(D161*E161)</f>
        <v>41.01</v>
      </c>
    </row>
    <row r="162" spans="1:6" ht="28.5">
      <c r="A162" s="399">
        <v>21127</v>
      </c>
      <c r="B162" s="427" t="s">
        <v>655</v>
      </c>
      <c r="C162" s="392" t="s">
        <v>31</v>
      </c>
      <c r="D162" s="392">
        <v>4.2000000000000003E-2</v>
      </c>
      <c r="E162" s="394">
        <v>3.78</v>
      </c>
      <c r="F162" s="417">
        <f>(D162*E162)</f>
        <v>0.15876000000000001</v>
      </c>
    </row>
    <row r="163" spans="1:6" ht="42.75">
      <c r="A163" s="399" t="s">
        <v>648</v>
      </c>
      <c r="B163" s="376" t="s">
        <v>649</v>
      </c>
      <c r="C163" s="376" t="s">
        <v>31</v>
      </c>
      <c r="D163" s="424">
        <v>2</v>
      </c>
      <c r="E163" s="376">
        <v>0.26</v>
      </c>
      <c r="F163" s="376">
        <f>D163*E163</f>
        <v>0.52</v>
      </c>
    </row>
    <row r="164" spans="1:6" ht="15">
      <c r="A164" s="428"/>
      <c r="B164" s="429" t="s">
        <v>561</v>
      </c>
      <c r="C164" s="430"/>
      <c r="D164" s="430"/>
      <c r="E164" s="430"/>
      <c r="F164" s="431">
        <f>SUM(F161:F163)</f>
        <v>41.688760000000002</v>
      </c>
    </row>
    <row r="165" spans="1:6" ht="15">
      <c r="A165" s="399"/>
      <c r="B165" s="364" t="s">
        <v>562</v>
      </c>
      <c r="C165" s="412"/>
      <c r="D165" s="412"/>
      <c r="E165" s="412"/>
      <c r="F165" s="416">
        <f>F164+F159</f>
        <v>57.408760000000001</v>
      </c>
    </row>
    <row r="166" spans="1:6" thickBot="1">
      <c r="A166" s="420"/>
      <c r="B166" s="420"/>
      <c r="C166" s="420"/>
      <c r="D166" s="420"/>
      <c r="E166" s="420"/>
      <c r="F166" s="420"/>
    </row>
    <row r="167" spans="1:6" ht="23.25">
      <c r="A167" s="391" t="s">
        <v>287</v>
      </c>
      <c r="B167" s="421" t="s">
        <v>288</v>
      </c>
      <c r="C167" s="376"/>
      <c r="D167" s="376"/>
      <c r="E167" s="364"/>
      <c r="F167" s="364"/>
    </row>
    <row r="168" spans="1:6" ht="15">
      <c r="A168" s="391"/>
      <c r="B168" s="370" t="s">
        <v>645</v>
      </c>
      <c r="C168" s="364"/>
      <c r="D168" s="422"/>
      <c r="E168" s="364"/>
      <c r="F168" s="364"/>
    </row>
    <row r="169" spans="1:6" ht="15">
      <c r="A169" s="391"/>
      <c r="B169" s="364" t="s">
        <v>571</v>
      </c>
      <c r="C169" s="364"/>
      <c r="D169" s="422"/>
      <c r="E169" s="364"/>
      <c r="F169" s="364"/>
    </row>
    <row r="170" spans="1:6" ht="28.5">
      <c r="A170" s="391" t="s">
        <v>598</v>
      </c>
      <c r="B170" s="376" t="s">
        <v>660</v>
      </c>
      <c r="C170" s="376" t="s">
        <v>19</v>
      </c>
      <c r="D170" s="424">
        <v>0.56769999999999998</v>
      </c>
      <c r="E170" s="394">
        <v>18.3</v>
      </c>
      <c r="F170" s="424">
        <f>D170*E170</f>
        <v>10.388909999999999</v>
      </c>
    </row>
    <row r="171" spans="1:6" ht="28.5">
      <c r="A171" s="391" t="s">
        <v>600</v>
      </c>
      <c r="B171" s="376" t="s">
        <v>661</v>
      </c>
      <c r="C171" s="376" t="s">
        <v>19</v>
      </c>
      <c r="D171" s="424">
        <v>0.56769999999999998</v>
      </c>
      <c r="E171" s="394">
        <v>14</v>
      </c>
      <c r="F171" s="424">
        <f>D171*E171</f>
        <v>7.9478</v>
      </c>
    </row>
    <row r="172" spans="1:6" ht="15">
      <c r="A172" s="391"/>
      <c r="B172" s="364" t="s">
        <v>561</v>
      </c>
      <c r="C172" s="364"/>
      <c r="D172" s="422"/>
      <c r="E172" s="364"/>
      <c r="F172" s="422">
        <f>F171+F170</f>
        <v>18.33671</v>
      </c>
    </row>
    <row r="173" spans="1:6" ht="15">
      <c r="A173" s="391"/>
      <c r="B173" s="364" t="s">
        <v>558</v>
      </c>
      <c r="C173" s="364"/>
      <c r="D173" s="422"/>
      <c r="E173" s="364"/>
      <c r="F173" s="364"/>
    </row>
    <row r="174" spans="1:6" ht="15">
      <c r="A174" s="391">
        <v>34714</v>
      </c>
      <c r="B174" s="376" t="s">
        <v>662</v>
      </c>
      <c r="C174" s="376" t="s">
        <v>31</v>
      </c>
      <c r="D174" s="424">
        <v>1</v>
      </c>
      <c r="E174" s="376">
        <v>79.010000000000005</v>
      </c>
      <c r="F174" s="376">
        <f>D174*E174</f>
        <v>79.010000000000005</v>
      </c>
    </row>
    <row r="175" spans="1:6" ht="57">
      <c r="A175" s="391" t="s">
        <v>663</v>
      </c>
      <c r="B175" s="376" t="s">
        <v>664</v>
      </c>
      <c r="C175" s="376" t="s">
        <v>31</v>
      </c>
      <c r="D175" s="424">
        <v>3</v>
      </c>
      <c r="E175" s="376">
        <v>2.14</v>
      </c>
      <c r="F175" s="376">
        <f>D175*E175</f>
        <v>6.42</v>
      </c>
    </row>
    <row r="176" spans="1:6" ht="15">
      <c r="A176" s="391"/>
      <c r="B176" s="364" t="s">
        <v>561</v>
      </c>
      <c r="C176" s="364"/>
      <c r="D176" s="422"/>
      <c r="E176" s="364"/>
      <c r="F176" s="364">
        <f>SUM(F174:F175)</f>
        <v>85.43</v>
      </c>
    </row>
    <row r="177" spans="1:6" ht="15">
      <c r="A177" s="391"/>
      <c r="B177" s="364" t="s">
        <v>562</v>
      </c>
      <c r="C177" s="364"/>
      <c r="D177" s="422"/>
      <c r="E177" s="364"/>
      <c r="F177" s="422">
        <f>F172+F176</f>
        <v>103.76671</v>
      </c>
    </row>
    <row r="178" spans="1:6" ht="15">
      <c r="A178" s="395"/>
      <c r="B178" s="396"/>
      <c r="C178" s="396"/>
      <c r="D178" s="425"/>
      <c r="E178" s="425"/>
      <c r="F178" s="396"/>
    </row>
    <row r="179" spans="1:6" ht="23.25">
      <c r="A179" s="391" t="s">
        <v>305</v>
      </c>
      <c r="B179" s="421" t="s">
        <v>306</v>
      </c>
      <c r="C179" s="376"/>
      <c r="D179" s="376"/>
      <c r="E179" s="364"/>
      <c r="F179" s="364"/>
    </row>
    <row r="180" spans="1:6" ht="15">
      <c r="A180" s="391"/>
      <c r="B180" s="370" t="s">
        <v>645</v>
      </c>
      <c r="C180" s="364"/>
      <c r="D180" s="422"/>
      <c r="E180" s="364"/>
      <c r="F180" s="364"/>
    </row>
    <row r="181" spans="1:6" ht="15">
      <c r="A181" s="391"/>
      <c r="B181" s="364" t="s">
        <v>571</v>
      </c>
      <c r="C181" s="364"/>
      <c r="D181" s="422"/>
      <c r="E181" s="364"/>
      <c r="F181" s="364"/>
    </row>
    <row r="182" spans="1:6" ht="28.5">
      <c r="A182" s="391" t="s">
        <v>598</v>
      </c>
      <c r="B182" s="376" t="s">
        <v>660</v>
      </c>
      <c r="C182" s="376" t="s">
        <v>19</v>
      </c>
      <c r="D182" s="424">
        <v>0.56769999999999998</v>
      </c>
      <c r="E182" s="394">
        <v>18.3</v>
      </c>
      <c r="F182" s="424">
        <f>D182*E182</f>
        <v>10.388909999999999</v>
      </c>
    </row>
    <row r="183" spans="1:6" ht="28.5">
      <c r="A183" s="391" t="s">
        <v>600</v>
      </c>
      <c r="B183" s="376" t="s">
        <v>661</v>
      </c>
      <c r="C183" s="376" t="s">
        <v>19</v>
      </c>
      <c r="D183" s="424">
        <v>0.56769999999999998</v>
      </c>
      <c r="E183" s="394">
        <v>14</v>
      </c>
      <c r="F183" s="424">
        <f>D183*E183</f>
        <v>7.9478</v>
      </c>
    </row>
    <row r="184" spans="1:6" ht="15">
      <c r="A184" s="391"/>
      <c r="B184" s="364" t="s">
        <v>561</v>
      </c>
      <c r="C184" s="364"/>
      <c r="D184" s="422"/>
      <c r="E184" s="364"/>
      <c r="F184" s="422">
        <f>F183+F182</f>
        <v>18.33671</v>
      </c>
    </row>
    <row r="185" spans="1:6" ht="15">
      <c r="A185" s="391"/>
      <c r="B185" s="364" t="s">
        <v>558</v>
      </c>
      <c r="C185" s="364"/>
      <c r="D185" s="422"/>
      <c r="E185" s="364"/>
      <c r="F185" s="364"/>
    </row>
    <row r="186" spans="1:6" ht="28.5">
      <c r="A186" s="391" t="s">
        <v>665</v>
      </c>
      <c r="B186" s="376" t="s">
        <v>666</v>
      </c>
      <c r="C186" s="376" t="s">
        <v>31</v>
      </c>
      <c r="D186" s="424">
        <v>1</v>
      </c>
      <c r="E186" s="376">
        <v>147.62</v>
      </c>
      <c r="F186" s="376">
        <f>D186*E186</f>
        <v>147.62</v>
      </c>
    </row>
    <row r="187" spans="1:6" ht="57">
      <c r="A187" s="391" t="s">
        <v>667</v>
      </c>
      <c r="B187" s="376" t="s">
        <v>668</v>
      </c>
      <c r="C187" s="376" t="s">
        <v>31</v>
      </c>
      <c r="D187" s="424">
        <v>3</v>
      </c>
      <c r="E187" s="424">
        <v>1.2</v>
      </c>
      <c r="F187" s="376">
        <f>D187*E187</f>
        <v>3.5999999999999996</v>
      </c>
    </row>
    <row r="188" spans="1:6" ht="15">
      <c r="A188" s="391"/>
      <c r="B188" s="364" t="s">
        <v>561</v>
      </c>
      <c r="C188" s="364"/>
      <c r="D188" s="422"/>
      <c r="E188" s="364"/>
      <c r="F188" s="364">
        <f>SUM(F186:F187)</f>
        <v>151.22</v>
      </c>
    </row>
    <row r="189" spans="1:6" ht="15">
      <c r="A189" s="391"/>
      <c r="B189" s="364" t="s">
        <v>562</v>
      </c>
      <c r="C189" s="364"/>
      <c r="D189" s="422"/>
      <c r="E189" s="364"/>
      <c r="F189" s="422">
        <f>F184+F188</f>
        <v>169.55671000000001</v>
      </c>
    </row>
    <row r="190" spans="1:6" ht="15">
      <c r="A190" s="395"/>
      <c r="B190" s="396"/>
      <c r="C190" s="396"/>
      <c r="D190" s="425"/>
      <c r="E190" s="425"/>
      <c r="F190" s="396"/>
    </row>
    <row r="191" spans="1:6" ht="33.75">
      <c r="A191" s="414" t="s">
        <v>307</v>
      </c>
      <c r="B191" s="45" t="s">
        <v>308</v>
      </c>
      <c r="C191" s="412">
        <v>1</v>
      </c>
      <c r="D191" s="412"/>
      <c r="E191" s="412"/>
      <c r="F191" s="416"/>
    </row>
    <row r="192" spans="1:6">
      <c r="A192" s="399"/>
      <c r="B192" s="370" t="s">
        <v>650</v>
      </c>
      <c r="C192" s="412"/>
      <c r="D192" s="412"/>
      <c r="E192" s="412"/>
      <c r="F192" s="416"/>
    </row>
    <row r="193" spans="1:6" ht="15">
      <c r="A193" s="399"/>
      <c r="B193" s="364" t="s">
        <v>571</v>
      </c>
      <c r="C193" s="412"/>
      <c r="D193" s="412"/>
      <c r="E193" s="412"/>
      <c r="F193" s="416"/>
    </row>
    <row r="194" spans="1:6">
      <c r="A194" s="399" t="s">
        <v>598</v>
      </c>
      <c r="B194" s="376" t="s">
        <v>599</v>
      </c>
      <c r="C194" s="392" t="s">
        <v>19</v>
      </c>
      <c r="D194" s="392">
        <v>0.3</v>
      </c>
      <c r="E194" s="394">
        <v>18.3</v>
      </c>
      <c r="F194" s="417">
        <f>D194*E194</f>
        <v>5.49</v>
      </c>
    </row>
    <row r="195" spans="1:6">
      <c r="A195" s="399" t="s">
        <v>600</v>
      </c>
      <c r="B195" s="45" t="s">
        <v>661</v>
      </c>
      <c r="C195" s="392" t="s">
        <v>19</v>
      </c>
      <c r="D195" s="392">
        <v>0.15</v>
      </c>
      <c r="E195" s="394">
        <v>14</v>
      </c>
      <c r="F195" s="417">
        <f>D195*E195</f>
        <v>2.1</v>
      </c>
    </row>
    <row r="196" spans="1:6" ht="15">
      <c r="A196" s="399"/>
      <c r="B196" s="364" t="s">
        <v>561</v>
      </c>
      <c r="C196" s="412"/>
      <c r="D196" s="412"/>
      <c r="E196" s="412"/>
      <c r="F196" s="416">
        <f>SUM(F194:F195)</f>
        <v>7.59</v>
      </c>
    </row>
    <row r="197" spans="1:6" ht="15">
      <c r="A197" s="399"/>
      <c r="B197" s="364" t="s">
        <v>558</v>
      </c>
      <c r="C197" s="412"/>
      <c r="D197" s="412"/>
      <c r="E197" s="412"/>
      <c r="F197" s="416"/>
    </row>
    <row r="198" spans="1:6" ht="22.5">
      <c r="A198" s="399" t="s">
        <v>669</v>
      </c>
      <c r="B198" s="45" t="s">
        <v>670</v>
      </c>
      <c r="C198" s="412"/>
      <c r="D198" s="412">
        <v>1</v>
      </c>
      <c r="E198" s="412">
        <v>101.43</v>
      </c>
      <c r="F198" s="416">
        <f>(D198*E198)</f>
        <v>101.43</v>
      </c>
    </row>
    <row r="199" spans="1:6">
      <c r="A199" s="399"/>
      <c r="B199" s="427"/>
      <c r="C199" s="392" t="s">
        <v>31</v>
      </c>
      <c r="D199" s="392"/>
      <c r="E199" s="392"/>
      <c r="F199" s="417">
        <f>(D199*E199)</f>
        <v>0</v>
      </c>
    </row>
    <row r="200" spans="1:6" ht="15">
      <c r="A200" s="399"/>
      <c r="B200" s="364" t="s">
        <v>561</v>
      </c>
      <c r="C200" s="412"/>
      <c r="D200" s="412"/>
      <c r="E200" s="412"/>
      <c r="F200" s="416">
        <f>SUM(F198:F199)</f>
        <v>101.43</v>
      </c>
    </row>
    <row r="201" spans="1:6" ht="15">
      <c r="A201" s="399"/>
      <c r="B201" s="364" t="s">
        <v>562</v>
      </c>
      <c r="C201" s="412"/>
      <c r="D201" s="412"/>
      <c r="E201" s="412"/>
      <c r="F201" s="416">
        <f>F200+F196</f>
        <v>109.02000000000001</v>
      </c>
    </row>
    <row r="202" spans="1:6">
      <c r="A202" s="435"/>
      <c r="B202" s="435"/>
      <c r="C202" s="435"/>
      <c r="D202" s="435"/>
      <c r="E202" s="435"/>
      <c r="F202" s="435"/>
    </row>
    <row r="203" spans="1:6" ht="23.25">
      <c r="A203" s="391" t="s">
        <v>311</v>
      </c>
      <c r="B203" s="421" t="s">
        <v>312</v>
      </c>
      <c r="C203" s="376"/>
      <c r="D203" s="376"/>
      <c r="E203" s="364"/>
      <c r="F203" s="364"/>
    </row>
    <row r="204" spans="1:6" ht="15">
      <c r="A204" s="391"/>
      <c r="B204" s="370" t="s">
        <v>645</v>
      </c>
      <c r="C204" s="364"/>
      <c r="D204" s="422"/>
      <c r="E204" s="364"/>
      <c r="F204" s="364"/>
    </row>
    <row r="205" spans="1:6" ht="15">
      <c r="A205" s="391"/>
      <c r="B205" s="364" t="s">
        <v>571</v>
      </c>
      <c r="C205" s="364"/>
      <c r="D205" s="422"/>
      <c r="E205" s="364"/>
      <c r="F205" s="364"/>
    </row>
    <row r="206" spans="1:6" ht="28.5">
      <c r="A206" s="393" t="s">
        <v>598</v>
      </c>
      <c r="B206" s="376" t="s">
        <v>660</v>
      </c>
      <c r="C206" s="376" t="s">
        <v>19</v>
      </c>
      <c r="D206" s="424">
        <v>0.2</v>
      </c>
      <c r="E206" s="394">
        <v>18.3</v>
      </c>
      <c r="F206" s="424">
        <f>D206*E206</f>
        <v>3.66</v>
      </c>
    </row>
    <row r="207" spans="1:6" ht="28.5">
      <c r="A207" s="393" t="s">
        <v>600</v>
      </c>
      <c r="B207" s="376" t="s">
        <v>661</v>
      </c>
      <c r="C207" s="376" t="s">
        <v>19</v>
      </c>
      <c r="D207" s="424">
        <v>0.2</v>
      </c>
      <c r="E207" s="394">
        <v>14</v>
      </c>
      <c r="F207" s="424">
        <f>D207*E207</f>
        <v>2.8000000000000003</v>
      </c>
    </row>
    <row r="208" spans="1:6" ht="15">
      <c r="A208" s="391"/>
      <c r="B208" s="364" t="s">
        <v>561</v>
      </c>
      <c r="C208" s="364"/>
      <c r="D208" s="422"/>
      <c r="E208" s="364"/>
      <c r="F208" s="422">
        <f>F207+F206</f>
        <v>6.4600000000000009</v>
      </c>
    </row>
    <row r="209" spans="1:6" ht="15">
      <c r="A209" s="391"/>
      <c r="B209" s="364" t="s">
        <v>558</v>
      </c>
      <c r="C209" s="364"/>
      <c r="D209" s="422"/>
      <c r="E209" s="364"/>
      <c r="F209" s="364"/>
    </row>
    <row r="210" spans="1:6" ht="42.75">
      <c r="A210" s="391" t="s">
        <v>619</v>
      </c>
      <c r="B210" s="376" t="s">
        <v>620</v>
      </c>
      <c r="C210" s="376" t="s">
        <v>31</v>
      </c>
      <c r="D210" s="424">
        <v>1</v>
      </c>
      <c r="E210" s="376">
        <v>11.08</v>
      </c>
      <c r="F210" s="376">
        <f>D210*E210</f>
        <v>11.08</v>
      </c>
    </row>
    <row r="211" spans="1:6" ht="15">
      <c r="A211" s="391"/>
      <c r="B211" s="364" t="s">
        <v>561</v>
      </c>
      <c r="C211" s="364"/>
      <c r="D211" s="422"/>
      <c r="E211" s="364"/>
      <c r="F211" s="364">
        <f>SUM(F210:F210)</f>
        <v>11.08</v>
      </c>
    </row>
    <row r="212" spans="1:6" ht="15">
      <c r="A212" s="391"/>
      <c r="B212" s="364" t="s">
        <v>562</v>
      </c>
      <c r="C212" s="364"/>
      <c r="D212" s="422"/>
      <c r="E212" s="364"/>
      <c r="F212" s="422">
        <f>F208+F211</f>
        <v>17.54</v>
      </c>
    </row>
    <row r="213" spans="1:6" ht="15">
      <c r="A213" s="395"/>
      <c r="B213" s="396"/>
      <c r="C213" s="396"/>
      <c r="D213" s="425"/>
      <c r="E213" s="425"/>
      <c r="F213" s="396"/>
    </row>
    <row r="214" spans="1:6" ht="22.5">
      <c r="A214" s="414" t="s">
        <v>343</v>
      </c>
      <c r="B214" s="421" t="s">
        <v>344</v>
      </c>
      <c r="C214" s="365"/>
      <c r="D214" s="436"/>
      <c r="E214" s="437"/>
      <c r="F214" s="368"/>
    </row>
    <row r="215" spans="1:6">
      <c r="A215" s="369"/>
      <c r="B215" s="370" t="s">
        <v>557</v>
      </c>
      <c r="C215" s="371"/>
      <c r="D215" s="438"/>
      <c r="E215" s="439"/>
      <c r="F215" s="374"/>
    </row>
    <row r="216" spans="1:6" ht="15">
      <c r="A216" s="369"/>
      <c r="B216" s="364" t="s">
        <v>571</v>
      </c>
      <c r="C216" s="371"/>
      <c r="D216" s="438"/>
      <c r="E216" s="439"/>
      <c r="F216" s="374"/>
    </row>
    <row r="217" spans="1:6" ht="28.5">
      <c r="A217" s="393" t="s">
        <v>602</v>
      </c>
      <c r="B217" s="376" t="s">
        <v>671</v>
      </c>
      <c r="C217" s="376" t="s">
        <v>19</v>
      </c>
      <c r="D217" s="424">
        <v>0.34739999999999999</v>
      </c>
      <c r="E217" s="424">
        <v>18.3</v>
      </c>
      <c r="F217" s="417">
        <f>(D217*E217)</f>
        <v>6.3574200000000003</v>
      </c>
    </row>
    <row r="218" spans="1:6" ht="28.5">
      <c r="A218" s="393" t="s">
        <v>672</v>
      </c>
      <c r="B218" s="376" t="s">
        <v>549</v>
      </c>
      <c r="C218" s="376" t="s">
        <v>19</v>
      </c>
      <c r="D218" s="424">
        <v>0.2</v>
      </c>
      <c r="E218" s="376">
        <v>14</v>
      </c>
      <c r="F218" s="417">
        <f>(D218*E218)</f>
        <v>2.8000000000000003</v>
      </c>
    </row>
    <row r="219" spans="1:6" ht="15">
      <c r="A219" s="369"/>
      <c r="B219" s="364" t="s">
        <v>561</v>
      </c>
      <c r="C219" s="371"/>
      <c r="D219" s="438"/>
      <c r="E219" s="439"/>
      <c r="F219" s="416">
        <f>F217++F218</f>
        <v>9.1574200000000001</v>
      </c>
    </row>
    <row r="220" spans="1:6" ht="15">
      <c r="A220" s="369"/>
      <c r="B220" s="364" t="s">
        <v>558</v>
      </c>
      <c r="C220" s="371"/>
      <c r="D220" s="438"/>
      <c r="E220" s="439"/>
      <c r="F220" s="417"/>
    </row>
    <row r="221" spans="1:6" ht="28.5">
      <c r="A221" s="369" t="s">
        <v>673</v>
      </c>
      <c r="B221" s="376" t="s">
        <v>674</v>
      </c>
      <c r="C221" s="371" t="s">
        <v>31</v>
      </c>
      <c r="D221" s="438">
        <v>1</v>
      </c>
      <c r="E221" s="439">
        <v>57.52</v>
      </c>
      <c r="F221" s="417">
        <f>(D221*E221)</f>
        <v>57.52</v>
      </c>
    </row>
    <row r="222" spans="1:6" ht="15">
      <c r="A222" s="369"/>
      <c r="B222" s="364" t="s">
        <v>561</v>
      </c>
      <c r="C222" s="371"/>
      <c r="D222" s="438"/>
      <c r="E222" s="439"/>
      <c r="F222" s="423">
        <f>F221</f>
        <v>57.52</v>
      </c>
    </row>
    <row r="223" spans="1:6" ht="15">
      <c r="A223" s="369"/>
      <c r="B223" s="364" t="s">
        <v>562</v>
      </c>
      <c r="C223" s="371"/>
      <c r="D223" s="440"/>
      <c r="E223" s="441"/>
      <c r="F223" s="416">
        <f>F222+F219</f>
        <v>66.677419999999998</v>
      </c>
    </row>
    <row r="224" spans="1:6">
      <c r="E224" s="255"/>
    </row>
    <row r="225" spans="1:6" ht="15">
      <c r="A225" s="395"/>
      <c r="B225" s="396"/>
      <c r="C225" s="396"/>
      <c r="D225" s="425"/>
      <c r="E225" s="425"/>
      <c r="F225" s="396"/>
    </row>
    <row r="226" spans="1:6" ht="23.25">
      <c r="A226" s="391" t="s">
        <v>366</v>
      </c>
      <c r="B226" s="421" t="s">
        <v>367</v>
      </c>
      <c r="C226" s="364"/>
      <c r="D226" s="422"/>
      <c r="E226" s="364"/>
      <c r="F226" s="364"/>
    </row>
    <row r="227" spans="1:6" ht="15">
      <c r="A227" s="391"/>
      <c r="B227" s="370" t="s">
        <v>645</v>
      </c>
      <c r="C227" s="364"/>
      <c r="D227" s="422"/>
      <c r="E227" s="364"/>
      <c r="F227" s="364"/>
    </row>
    <row r="228" spans="1:6" ht="15">
      <c r="A228" s="391"/>
      <c r="B228" s="364" t="s">
        <v>571</v>
      </c>
      <c r="C228" s="364"/>
      <c r="D228" s="422"/>
      <c r="E228" s="364"/>
      <c r="F228" s="364"/>
    </row>
    <row r="229" spans="1:6" ht="28.5">
      <c r="A229" s="393" t="s">
        <v>598</v>
      </c>
      <c r="B229" s="376" t="s">
        <v>660</v>
      </c>
      <c r="C229" s="376" t="s">
        <v>19</v>
      </c>
      <c r="D229" s="424">
        <v>1</v>
      </c>
      <c r="E229" s="392">
        <v>18.3</v>
      </c>
      <c r="F229" s="424">
        <f>D229*E229</f>
        <v>18.3</v>
      </c>
    </row>
    <row r="230" spans="1:6" ht="28.5">
      <c r="A230" s="393" t="s">
        <v>600</v>
      </c>
      <c r="B230" s="376" t="s">
        <v>661</v>
      </c>
      <c r="C230" s="376" t="s">
        <v>19</v>
      </c>
      <c r="D230" s="424">
        <v>0.8</v>
      </c>
      <c r="E230" s="394">
        <v>14</v>
      </c>
      <c r="F230" s="424">
        <f>D230*E230</f>
        <v>11.200000000000001</v>
      </c>
    </row>
    <row r="231" spans="1:6" ht="15">
      <c r="A231" s="391"/>
      <c r="B231" s="364" t="s">
        <v>561</v>
      </c>
      <c r="C231" s="364"/>
      <c r="D231" s="422"/>
      <c r="E231" s="364"/>
      <c r="F231" s="364">
        <f>F230+F229</f>
        <v>29.5</v>
      </c>
    </row>
    <row r="232" spans="1:6" ht="15">
      <c r="A232" s="391"/>
      <c r="B232" s="364" t="s">
        <v>558</v>
      </c>
      <c r="C232" s="364"/>
      <c r="D232" s="422"/>
      <c r="E232" s="364"/>
      <c r="F232" s="364"/>
    </row>
    <row r="233" spans="1:6" ht="42.75">
      <c r="A233" s="393" t="s">
        <v>675</v>
      </c>
      <c r="B233" s="376" t="s">
        <v>676</v>
      </c>
      <c r="C233" s="376" t="s">
        <v>31</v>
      </c>
      <c r="D233" s="424">
        <v>1</v>
      </c>
      <c r="E233" s="424">
        <v>622.92999999999995</v>
      </c>
      <c r="F233" s="424">
        <f>D233*E233</f>
        <v>622.92999999999995</v>
      </c>
    </row>
    <row r="234" spans="1:6" ht="15">
      <c r="A234" s="391"/>
      <c r="B234" s="364" t="s">
        <v>561</v>
      </c>
      <c r="C234" s="364"/>
      <c r="D234" s="422"/>
      <c r="E234" s="364"/>
      <c r="F234" s="422">
        <f>F233</f>
        <v>622.92999999999995</v>
      </c>
    </row>
    <row r="235" spans="1:6" ht="15">
      <c r="A235" s="391"/>
      <c r="B235" s="364" t="s">
        <v>562</v>
      </c>
      <c r="C235" s="364"/>
      <c r="D235" s="422"/>
      <c r="E235" s="364"/>
      <c r="F235" s="442">
        <f>F231+F234</f>
        <v>652.42999999999995</v>
      </c>
    </row>
    <row r="236" spans="1:6" ht="24">
      <c r="A236" s="443">
        <v>44432</v>
      </c>
      <c r="B236" s="444" t="s">
        <v>677</v>
      </c>
      <c r="C236" s="445">
        <v>705.87</v>
      </c>
      <c r="D236" s="446" t="s">
        <v>678</v>
      </c>
      <c r="E236" s="447" t="s">
        <v>679</v>
      </c>
      <c r="F236" s="445" t="s">
        <v>680</v>
      </c>
    </row>
    <row r="237" spans="1:6" ht="24">
      <c r="A237" s="443">
        <v>44432</v>
      </c>
      <c r="B237" s="444" t="s">
        <v>681</v>
      </c>
      <c r="C237" s="445">
        <v>419</v>
      </c>
      <c r="D237" s="446" t="s">
        <v>682</v>
      </c>
      <c r="E237" s="448" t="s">
        <v>683</v>
      </c>
      <c r="F237" s="449" t="s">
        <v>684</v>
      </c>
    </row>
    <row r="238" spans="1:6" ht="24">
      <c r="A238" s="443">
        <v>44432</v>
      </c>
      <c r="B238" s="444" t="s">
        <v>685</v>
      </c>
      <c r="C238" s="445">
        <v>743.91</v>
      </c>
      <c r="D238" s="450" t="s">
        <v>686</v>
      </c>
      <c r="E238" s="451" t="s">
        <v>687</v>
      </c>
      <c r="F238" s="452" t="s">
        <v>688</v>
      </c>
    </row>
    <row r="239" spans="1:6" ht="15">
      <c r="A239" s="391"/>
      <c r="B239" s="364"/>
      <c r="C239" s="422">
        <f>(SUM(C236:C238))/3</f>
        <v>622.92666666666662</v>
      </c>
      <c r="D239" s="422"/>
      <c r="E239" s="364"/>
      <c r="F239" s="422"/>
    </row>
    <row r="240" spans="1:6" ht="15">
      <c r="A240" s="395"/>
      <c r="B240" s="396"/>
      <c r="C240" s="396"/>
      <c r="D240" s="425"/>
      <c r="E240" s="425"/>
      <c r="F240" s="396"/>
    </row>
    <row r="241" spans="1:6" ht="23.25">
      <c r="A241" s="391" t="s">
        <v>368</v>
      </c>
      <c r="B241" s="421" t="s">
        <v>689</v>
      </c>
      <c r="C241" s="364"/>
      <c r="D241" s="422"/>
      <c r="E241" s="364"/>
      <c r="F241" s="364"/>
    </row>
    <row r="242" spans="1:6" ht="15">
      <c r="A242" s="391"/>
      <c r="B242" s="370" t="s">
        <v>645</v>
      </c>
      <c r="C242" s="364"/>
      <c r="D242" s="422"/>
      <c r="E242" s="364"/>
      <c r="F242" s="364"/>
    </row>
    <row r="243" spans="1:6" ht="15">
      <c r="A243" s="391"/>
      <c r="B243" s="364" t="s">
        <v>571</v>
      </c>
      <c r="C243" s="364"/>
      <c r="D243" s="422"/>
      <c r="E243" s="364"/>
      <c r="F243" s="364"/>
    </row>
    <row r="244" spans="1:6" ht="28.5">
      <c r="A244" s="393" t="s">
        <v>598</v>
      </c>
      <c r="B244" s="376" t="s">
        <v>660</v>
      </c>
      <c r="C244" s="376" t="s">
        <v>19</v>
      </c>
      <c r="D244" s="424">
        <v>0.8</v>
      </c>
      <c r="E244" s="394">
        <v>18.3</v>
      </c>
      <c r="F244" s="376">
        <f>D244*E244</f>
        <v>14.64</v>
      </c>
    </row>
    <row r="245" spans="1:6" ht="28.5">
      <c r="A245" s="393" t="s">
        <v>600</v>
      </c>
      <c r="B245" s="376" t="s">
        <v>661</v>
      </c>
      <c r="C245" s="376" t="s">
        <v>19</v>
      </c>
      <c r="D245" s="424">
        <v>0.8</v>
      </c>
      <c r="E245" s="394">
        <v>14</v>
      </c>
      <c r="F245" s="376">
        <f>D245*E245</f>
        <v>11.200000000000001</v>
      </c>
    </row>
    <row r="246" spans="1:6" ht="15">
      <c r="A246" s="391"/>
      <c r="B246" s="364" t="s">
        <v>561</v>
      </c>
      <c r="C246" s="364"/>
      <c r="D246" s="422"/>
      <c r="E246" s="364"/>
      <c r="F246" s="364">
        <f>F245+F244</f>
        <v>25.840000000000003</v>
      </c>
    </row>
    <row r="247" spans="1:6" ht="15">
      <c r="A247" s="391"/>
      <c r="B247" s="364" t="s">
        <v>558</v>
      </c>
      <c r="C247" s="364"/>
      <c r="D247" s="422"/>
      <c r="E247" s="364"/>
      <c r="F247" s="364"/>
    </row>
    <row r="248" spans="1:6" ht="28.5">
      <c r="A248" s="391"/>
      <c r="B248" s="376" t="s">
        <v>690</v>
      </c>
      <c r="C248" s="376" t="s">
        <v>31</v>
      </c>
      <c r="D248" s="424">
        <v>1</v>
      </c>
      <c r="E248" s="376">
        <v>17.13</v>
      </c>
      <c r="F248" s="376">
        <f>D248*E248</f>
        <v>17.13</v>
      </c>
    </row>
    <row r="249" spans="1:6" ht="15">
      <c r="A249" s="391"/>
      <c r="B249" s="364" t="s">
        <v>561</v>
      </c>
      <c r="C249" s="364"/>
      <c r="D249" s="422"/>
      <c r="E249" s="364"/>
      <c r="F249" s="364">
        <f>F246</f>
        <v>25.840000000000003</v>
      </c>
    </row>
    <row r="250" spans="1:6" ht="15">
      <c r="A250" s="391"/>
      <c r="B250" s="364" t="s">
        <v>562</v>
      </c>
      <c r="C250" s="364"/>
      <c r="D250" s="422"/>
      <c r="E250" s="364"/>
      <c r="F250" s="364">
        <f>F246+F249</f>
        <v>51.680000000000007</v>
      </c>
    </row>
    <row r="251" spans="1:6" ht="15">
      <c r="A251" s="391"/>
      <c r="B251" s="376" t="s">
        <v>691</v>
      </c>
      <c r="C251" s="364"/>
      <c r="D251" s="422"/>
      <c r="E251" s="364"/>
      <c r="F251" s="364"/>
    </row>
    <row r="252" spans="1:6" ht="15">
      <c r="A252" s="395"/>
      <c r="B252" s="396"/>
      <c r="C252" s="396"/>
      <c r="D252" s="425"/>
      <c r="E252" s="425"/>
      <c r="F252" s="396"/>
    </row>
    <row r="253" spans="1:6" ht="23.25">
      <c r="A253" s="391" t="s">
        <v>370</v>
      </c>
      <c r="B253" s="421" t="s">
        <v>371</v>
      </c>
      <c r="C253" s="364"/>
      <c r="D253" s="422"/>
      <c r="E253" s="364"/>
      <c r="F253" s="364"/>
    </row>
    <row r="254" spans="1:6" ht="15">
      <c r="A254" s="391"/>
      <c r="B254" s="370" t="s">
        <v>645</v>
      </c>
      <c r="C254" s="364"/>
      <c r="D254" s="422"/>
      <c r="E254" s="364"/>
      <c r="F254" s="364"/>
    </row>
    <row r="255" spans="1:6" ht="15">
      <c r="A255" s="391"/>
      <c r="B255" s="364" t="s">
        <v>571</v>
      </c>
      <c r="C255" s="364"/>
      <c r="D255" s="422"/>
      <c r="E255" s="364"/>
      <c r="F255" s="364"/>
    </row>
    <row r="256" spans="1:6" ht="28.5">
      <c r="A256" s="393" t="s">
        <v>598</v>
      </c>
      <c r="B256" s="376" t="s">
        <v>660</v>
      </c>
      <c r="C256" s="376" t="s">
        <v>19</v>
      </c>
      <c r="D256" s="424">
        <v>0.6</v>
      </c>
      <c r="E256" s="394">
        <v>18.3</v>
      </c>
      <c r="F256" s="376">
        <f>D256*E256</f>
        <v>10.98</v>
      </c>
    </row>
    <row r="257" spans="1:6" ht="28.5">
      <c r="A257" s="393" t="s">
        <v>600</v>
      </c>
      <c r="B257" s="376" t="s">
        <v>661</v>
      </c>
      <c r="C257" s="376" t="s">
        <v>19</v>
      </c>
      <c r="D257" s="424">
        <v>0.6</v>
      </c>
      <c r="E257" s="394">
        <v>14</v>
      </c>
      <c r="F257" s="376">
        <f>D257*E257</f>
        <v>8.4</v>
      </c>
    </row>
    <row r="258" spans="1:6" ht="15">
      <c r="A258" s="391"/>
      <c r="B258" s="364" t="s">
        <v>561</v>
      </c>
      <c r="C258" s="364"/>
      <c r="D258" s="422"/>
      <c r="E258" s="364"/>
      <c r="F258" s="364">
        <f>F256+F257</f>
        <v>19.380000000000003</v>
      </c>
    </row>
    <row r="259" spans="1:6" ht="15">
      <c r="A259" s="391"/>
      <c r="B259" s="364" t="s">
        <v>558</v>
      </c>
      <c r="C259" s="364"/>
      <c r="D259" s="422"/>
      <c r="E259" s="364"/>
      <c r="F259" s="364"/>
    </row>
    <row r="260" spans="1:6" ht="28.5">
      <c r="A260" s="393"/>
      <c r="B260" s="376" t="s">
        <v>692</v>
      </c>
      <c r="C260" s="376" t="s">
        <v>31</v>
      </c>
      <c r="D260" s="424">
        <v>1</v>
      </c>
      <c r="E260" s="376">
        <v>168.31</v>
      </c>
      <c r="F260" s="376">
        <f>D260*E260</f>
        <v>168.31</v>
      </c>
    </row>
    <row r="261" spans="1:6" ht="15">
      <c r="A261" s="393"/>
      <c r="B261" s="364" t="s">
        <v>561</v>
      </c>
      <c r="C261" s="371"/>
      <c r="D261" s="453"/>
      <c r="E261" s="454"/>
      <c r="F261" s="454">
        <f>F260</f>
        <v>168.31</v>
      </c>
    </row>
    <row r="262" spans="1:6" ht="15">
      <c r="A262" s="393"/>
      <c r="B262" s="364" t="s">
        <v>562</v>
      </c>
      <c r="C262" s="371"/>
      <c r="D262" s="453"/>
      <c r="E262" s="454"/>
      <c r="F262" s="455">
        <f>F258+F261</f>
        <v>187.69</v>
      </c>
    </row>
    <row r="263" spans="1:6">
      <c r="A263" s="393"/>
      <c r="B263" s="376" t="s">
        <v>691</v>
      </c>
      <c r="C263" s="371"/>
      <c r="D263" s="453"/>
      <c r="E263" s="454"/>
      <c r="F263" s="454"/>
    </row>
    <row r="264" spans="1:6" ht="15">
      <c r="A264" s="395"/>
      <c r="B264" s="396"/>
      <c r="C264" s="396"/>
      <c r="D264" s="425"/>
      <c r="E264" s="425"/>
      <c r="F264" s="396"/>
    </row>
    <row r="265" spans="1:6" ht="23.25">
      <c r="A265" s="391" t="s">
        <v>372</v>
      </c>
      <c r="B265" s="421" t="s">
        <v>693</v>
      </c>
      <c r="C265" s="364"/>
      <c r="D265" s="422"/>
      <c r="E265" s="364"/>
      <c r="F265" s="364"/>
    </row>
    <row r="266" spans="1:6" ht="15">
      <c r="A266" s="391"/>
      <c r="B266" s="370" t="s">
        <v>645</v>
      </c>
      <c r="C266" s="364"/>
      <c r="D266" s="422"/>
      <c r="E266" s="364"/>
      <c r="F266" s="364"/>
    </row>
    <row r="267" spans="1:6" ht="15">
      <c r="A267" s="391"/>
      <c r="B267" s="364" t="s">
        <v>571</v>
      </c>
      <c r="C267" s="364"/>
      <c r="D267" s="422"/>
      <c r="E267" s="364"/>
      <c r="F267" s="364"/>
    </row>
    <row r="268" spans="1:6" ht="28.5">
      <c r="A268" s="393" t="s">
        <v>598</v>
      </c>
      <c r="B268" s="376" t="s">
        <v>660</v>
      </c>
      <c r="C268" s="376" t="s">
        <v>19</v>
      </c>
      <c r="D268" s="424">
        <v>8.5000000000000006E-2</v>
      </c>
      <c r="E268" s="394">
        <v>18.3</v>
      </c>
      <c r="F268" s="376">
        <f>D268*E268</f>
        <v>1.5555000000000001</v>
      </c>
    </row>
    <row r="269" spans="1:6" ht="28.5">
      <c r="A269" s="393" t="s">
        <v>600</v>
      </c>
      <c r="B269" s="376" t="s">
        <v>661</v>
      </c>
      <c r="C269" s="376" t="s">
        <v>19</v>
      </c>
      <c r="D269" s="424">
        <v>0</v>
      </c>
      <c r="E269" s="394">
        <v>14</v>
      </c>
      <c r="F269" s="376">
        <f>D269*E269</f>
        <v>0</v>
      </c>
    </row>
    <row r="270" spans="1:6" ht="15">
      <c r="A270" s="391"/>
      <c r="B270" s="364" t="s">
        <v>561</v>
      </c>
      <c r="C270" s="364"/>
      <c r="D270" s="422"/>
      <c r="E270" s="364"/>
      <c r="F270" s="364">
        <f>F268+F269</f>
        <v>1.5555000000000001</v>
      </c>
    </row>
    <row r="271" spans="1:6" ht="15">
      <c r="A271" s="391"/>
      <c r="B271" s="364" t="s">
        <v>558</v>
      </c>
      <c r="C271" s="364"/>
      <c r="D271" s="422"/>
      <c r="E271" s="364"/>
      <c r="F271" s="364"/>
    </row>
    <row r="272" spans="1:6" ht="28.5">
      <c r="A272" s="393" t="s">
        <v>694</v>
      </c>
      <c r="B272" s="376" t="s">
        <v>695</v>
      </c>
      <c r="C272" s="376" t="s">
        <v>31</v>
      </c>
      <c r="D272" s="424">
        <v>1</v>
      </c>
      <c r="E272" s="376">
        <v>10.43</v>
      </c>
      <c r="F272" s="376">
        <f>D272*E272</f>
        <v>10.43</v>
      </c>
    </row>
    <row r="273" spans="1:6" ht="15">
      <c r="A273" s="393"/>
      <c r="B273" s="364" t="s">
        <v>561</v>
      </c>
      <c r="C273" s="371"/>
      <c r="D273" s="453"/>
      <c r="E273" s="454"/>
      <c r="F273" s="454">
        <f>F272</f>
        <v>10.43</v>
      </c>
    </row>
    <row r="274" spans="1:6" ht="15">
      <c r="A274" s="393"/>
      <c r="B274" s="364" t="s">
        <v>562</v>
      </c>
      <c r="C274" s="371"/>
      <c r="D274" s="453"/>
      <c r="E274" s="454"/>
      <c r="F274" s="455">
        <f>F270+F273</f>
        <v>11.9855</v>
      </c>
    </row>
    <row r="275" spans="1:6" ht="15">
      <c r="A275" s="395"/>
      <c r="B275" s="396"/>
      <c r="C275" s="396"/>
      <c r="D275" s="425"/>
      <c r="E275" s="425"/>
      <c r="F275" s="396"/>
    </row>
    <row r="276" spans="1:6" ht="23.25">
      <c r="A276" s="391" t="s">
        <v>375</v>
      </c>
      <c r="B276" s="421" t="s">
        <v>696</v>
      </c>
      <c r="C276" s="364"/>
      <c r="D276" s="422"/>
      <c r="E276" s="364"/>
      <c r="F276" s="364"/>
    </row>
    <row r="277" spans="1:6" ht="15">
      <c r="A277" s="391"/>
      <c r="B277" s="370" t="s">
        <v>645</v>
      </c>
      <c r="C277" s="364"/>
      <c r="D277" s="422"/>
      <c r="E277" s="364"/>
      <c r="F277" s="364"/>
    </row>
    <row r="278" spans="1:6" ht="15">
      <c r="A278" s="391"/>
      <c r="B278" s="364" t="s">
        <v>571</v>
      </c>
      <c r="C278" s="364"/>
      <c r="D278" s="422"/>
      <c r="E278" s="364"/>
      <c r="F278" s="364"/>
    </row>
    <row r="279" spans="1:6" ht="28.5">
      <c r="A279" s="393" t="s">
        <v>598</v>
      </c>
      <c r="B279" s="376" t="s">
        <v>660</v>
      </c>
      <c r="C279" s="376" t="s">
        <v>19</v>
      </c>
      <c r="D279" s="424">
        <v>8.5000000000000006E-2</v>
      </c>
      <c r="E279" s="394">
        <v>18.3</v>
      </c>
      <c r="F279" s="376">
        <f>D279*E279</f>
        <v>1.5555000000000001</v>
      </c>
    </row>
    <row r="280" spans="1:6" ht="28.5">
      <c r="A280" s="393" t="s">
        <v>600</v>
      </c>
      <c r="B280" s="376" t="s">
        <v>661</v>
      </c>
      <c r="C280" s="376" t="s">
        <v>19</v>
      </c>
      <c r="D280" s="424">
        <v>0</v>
      </c>
      <c r="E280" s="394">
        <v>14</v>
      </c>
      <c r="F280" s="376">
        <f>D280*E280</f>
        <v>0</v>
      </c>
    </row>
    <row r="281" spans="1:6" ht="15">
      <c r="A281" s="391"/>
      <c r="B281" s="364" t="s">
        <v>561</v>
      </c>
      <c r="C281" s="364"/>
      <c r="D281" s="422"/>
      <c r="E281" s="364"/>
      <c r="F281" s="364">
        <f>F279+F280</f>
        <v>1.5555000000000001</v>
      </c>
    </row>
    <row r="282" spans="1:6" ht="15">
      <c r="A282" s="391"/>
      <c r="B282" s="364" t="s">
        <v>558</v>
      </c>
      <c r="C282" s="364"/>
      <c r="D282" s="422"/>
      <c r="E282" s="364"/>
      <c r="F282" s="364"/>
    </row>
    <row r="283" spans="1:6" ht="28.5">
      <c r="A283" s="393" t="s">
        <v>697</v>
      </c>
      <c r="B283" s="376" t="s">
        <v>698</v>
      </c>
      <c r="C283" s="376" t="s">
        <v>31</v>
      </c>
      <c r="D283" s="424">
        <v>1</v>
      </c>
      <c r="E283" s="376">
        <v>14.48</v>
      </c>
      <c r="F283" s="376">
        <f>D283*E283</f>
        <v>14.48</v>
      </c>
    </row>
    <row r="284" spans="1:6" ht="15">
      <c r="A284" s="393"/>
      <c r="B284" s="364" t="s">
        <v>561</v>
      </c>
      <c r="C284" s="371"/>
      <c r="D284" s="453"/>
      <c r="E284" s="454"/>
      <c r="F284" s="454">
        <f>F283</f>
        <v>14.48</v>
      </c>
    </row>
    <row r="285" spans="1:6" ht="15">
      <c r="A285" s="393"/>
      <c r="B285" s="364" t="s">
        <v>562</v>
      </c>
      <c r="C285" s="371"/>
      <c r="D285" s="453"/>
      <c r="E285" s="454"/>
      <c r="F285" s="455">
        <f>F281+F284</f>
        <v>16.035499999999999</v>
      </c>
    </row>
    <row r="286" spans="1:6" ht="15">
      <c r="A286" s="395"/>
      <c r="B286" s="396"/>
      <c r="C286" s="396"/>
      <c r="D286" s="425"/>
      <c r="E286" s="425"/>
      <c r="F286" s="396"/>
    </row>
    <row r="287" spans="1:6" ht="22.5">
      <c r="A287" s="391" t="s">
        <v>379</v>
      </c>
      <c r="B287" s="421" t="s">
        <v>380</v>
      </c>
      <c r="C287" s="371"/>
      <c r="D287" s="453"/>
      <c r="E287" s="454"/>
      <c r="F287" s="454"/>
    </row>
    <row r="288" spans="1:6">
      <c r="A288" s="393"/>
      <c r="B288" s="370" t="s">
        <v>557</v>
      </c>
      <c r="C288" s="371"/>
      <c r="D288" s="453"/>
      <c r="E288" s="454"/>
      <c r="F288" s="454"/>
    </row>
    <row r="289" spans="1:6" ht="15">
      <c r="A289" s="393"/>
      <c r="B289" s="364" t="s">
        <v>571</v>
      </c>
      <c r="C289" s="371"/>
      <c r="D289" s="453"/>
      <c r="E289" s="454"/>
      <c r="F289" s="454"/>
    </row>
    <row r="290" spans="1:6" ht="28.5">
      <c r="A290" s="393" t="s">
        <v>598</v>
      </c>
      <c r="B290" s="376" t="s">
        <v>660</v>
      </c>
      <c r="C290" s="376" t="s">
        <v>19</v>
      </c>
      <c r="D290" s="424">
        <v>0.15</v>
      </c>
      <c r="E290" s="424">
        <v>18.3</v>
      </c>
      <c r="F290" s="454">
        <f>D290*E290</f>
        <v>2.7450000000000001</v>
      </c>
    </row>
    <row r="291" spans="1:6" ht="15">
      <c r="A291" s="393"/>
      <c r="B291" s="364" t="s">
        <v>561</v>
      </c>
      <c r="C291" s="371"/>
      <c r="D291" s="453"/>
      <c r="E291" s="454"/>
      <c r="F291" s="455">
        <f>(F290)</f>
        <v>2.7450000000000001</v>
      </c>
    </row>
    <row r="292" spans="1:6" ht="15">
      <c r="A292" s="393"/>
      <c r="B292" s="364" t="s">
        <v>558</v>
      </c>
      <c r="C292" s="371"/>
      <c r="D292" s="453"/>
      <c r="E292" s="454"/>
      <c r="F292" s="454"/>
    </row>
    <row r="293" spans="1:6">
      <c r="A293" s="393" t="s">
        <v>699</v>
      </c>
      <c r="B293" s="376" t="s">
        <v>700</v>
      </c>
      <c r="C293" s="371" t="s">
        <v>31</v>
      </c>
      <c r="D293" s="453">
        <v>1</v>
      </c>
      <c r="E293" s="454">
        <v>1.21</v>
      </c>
      <c r="F293" s="454">
        <f>D293*E293</f>
        <v>1.21</v>
      </c>
    </row>
    <row r="294" spans="1:6" ht="15">
      <c r="A294" s="393"/>
      <c r="B294" s="364" t="s">
        <v>561</v>
      </c>
      <c r="C294" s="371"/>
      <c r="D294" s="453"/>
      <c r="E294" s="454"/>
      <c r="F294" s="454">
        <f>F293</f>
        <v>1.21</v>
      </c>
    </row>
    <row r="295" spans="1:6" ht="15">
      <c r="A295" s="393"/>
      <c r="B295" s="364" t="s">
        <v>562</v>
      </c>
      <c r="C295" s="371"/>
      <c r="D295" s="453"/>
      <c r="E295" s="454"/>
      <c r="F295" s="455">
        <f>F294+F291</f>
        <v>3.9550000000000001</v>
      </c>
    </row>
    <row r="296" spans="1:6" ht="15">
      <c r="A296" s="395"/>
      <c r="B296" s="396"/>
      <c r="C296" s="396"/>
      <c r="D296" s="425"/>
      <c r="E296" s="425"/>
      <c r="F296" s="396"/>
    </row>
    <row r="297" spans="1:6" ht="33.75">
      <c r="A297" s="391" t="s">
        <v>384</v>
      </c>
      <c r="B297" s="421" t="s">
        <v>385</v>
      </c>
      <c r="C297" s="371"/>
      <c r="D297" s="453"/>
      <c r="E297" s="454"/>
      <c r="F297" s="454"/>
    </row>
    <row r="298" spans="1:6">
      <c r="A298" s="393"/>
      <c r="B298" s="370" t="s">
        <v>557</v>
      </c>
      <c r="C298" s="371"/>
      <c r="D298" s="453"/>
      <c r="E298" s="454"/>
      <c r="F298" s="454"/>
    </row>
    <row r="299" spans="1:6" ht="15">
      <c r="A299" s="393"/>
      <c r="B299" s="364" t="s">
        <v>571</v>
      </c>
      <c r="C299" s="371"/>
      <c r="D299" s="453"/>
      <c r="E299" s="454"/>
      <c r="F299" s="454"/>
    </row>
    <row r="300" spans="1:6" ht="28.5">
      <c r="A300" s="393" t="s">
        <v>598</v>
      </c>
      <c r="B300" s="376" t="s">
        <v>660</v>
      </c>
      <c r="C300" s="376" t="s">
        <v>19</v>
      </c>
      <c r="D300" s="424">
        <v>0.12</v>
      </c>
      <c r="E300" s="394">
        <v>18.3</v>
      </c>
      <c r="F300" s="454">
        <f>D300*E300</f>
        <v>2.1960000000000002</v>
      </c>
    </row>
    <row r="301" spans="1:6" ht="28.5">
      <c r="A301" s="393" t="s">
        <v>600</v>
      </c>
      <c r="B301" s="376" t="s">
        <v>661</v>
      </c>
      <c r="C301" s="376" t="s">
        <v>19</v>
      </c>
      <c r="D301" s="424">
        <v>0.12</v>
      </c>
      <c r="E301" s="394">
        <v>14</v>
      </c>
      <c r="F301" s="424">
        <f>D301*E301</f>
        <v>1.68</v>
      </c>
    </row>
    <row r="302" spans="1:6" ht="15">
      <c r="A302" s="393"/>
      <c r="B302" s="364" t="s">
        <v>561</v>
      </c>
      <c r="C302" s="371"/>
      <c r="D302" s="453"/>
      <c r="E302" s="454"/>
      <c r="F302" s="455">
        <f>SUM(F300:F301)</f>
        <v>3.8760000000000003</v>
      </c>
    </row>
    <row r="303" spans="1:6" ht="15">
      <c r="A303" s="393"/>
      <c r="B303" s="364" t="s">
        <v>558</v>
      </c>
      <c r="C303" s="371"/>
      <c r="D303" s="453"/>
      <c r="E303" s="454"/>
      <c r="F303" s="454"/>
    </row>
    <row r="304" spans="1:6" ht="57">
      <c r="A304" s="393" t="s">
        <v>701</v>
      </c>
      <c r="B304" s="376" t="s">
        <v>702</v>
      </c>
      <c r="C304" s="371" t="s">
        <v>28</v>
      </c>
      <c r="D304" s="453">
        <v>1</v>
      </c>
      <c r="E304" s="454">
        <v>13.72</v>
      </c>
      <c r="F304" s="454">
        <f>D304*E304</f>
        <v>13.72</v>
      </c>
    </row>
    <row r="305" spans="1:6">
      <c r="A305" s="393"/>
      <c r="B305" s="456"/>
      <c r="C305" s="371"/>
      <c r="D305" s="453"/>
      <c r="E305" s="454"/>
      <c r="F305" s="454">
        <f>F304</f>
        <v>13.72</v>
      </c>
    </row>
    <row r="306" spans="1:6" ht="15">
      <c r="A306" s="393"/>
      <c r="B306" s="364" t="s">
        <v>562</v>
      </c>
      <c r="C306" s="371"/>
      <c r="D306" s="453"/>
      <c r="E306" s="454"/>
      <c r="F306" s="455">
        <f>F305+F302</f>
        <v>17.596</v>
      </c>
    </row>
    <row r="307" spans="1:6" ht="15">
      <c r="A307" s="396"/>
      <c r="B307" s="396"/>
      <c r="C307" s="396"/>
      <c r="D307" s="396"/>
      <c r="E307" s="396"/>
      <c r="F307" s="396"/>
    </row>
    <row r="308" spans="1:6" ht="30">
      <c r="A308" s="457" t="s">
        <v>394</v>
      </c>
      <c r="B308" s="429" t="s">
        <v>703</v>
      </c>
      <c r="C308" s="458"/>
      <c r="D308" s="458"/>
      <c r="E308" s="458"/>
      <c r="F308" s="459"/>
    </row>
    <row r="309" spans="1:6" ht="15">
      <c r="A309" s="460"/>
      <c r="B309" s="429" t="s">
        <v>704</v>
      </c>
      <c r="C309" s="461"/>
      <c r="D309" s="461"/>
      <c r="E309" s="461"/>
      <c r="F309" s="462"/>
    </row>
    <row r="310" spans="1:6" ht="15">
      <c r="A310" s="460"/>
      <c r="B310" s="364" t="s">
        <v>571</v>
      </c>
      <c r="C310" s="461"/>
      <c r="D310" s="461"/>
      <c r="E310" s="461"/>
      <c r="F310" s="462"/>
    </row>
    <row r="311" spans="1:6" ht="25.5">
      <c r="A311" s="295">
        <v>88267</v>
      </c>
      <c r="B311" s="463" t="s">
        <v>705</v>
      </c>
      <c r="C311" s="461" t="s">
        <v>19</v>
      </c>
      <c r="D311" s="461">
        <v>0.39</v>
      </c>
      <c r="E311" s="461">
        <v>17.66</v>
      </c>
      <c r="F311" s="464">
        <f>D311*E311</f>
        <v>6.8874000000000004</v>
      </c>
    </row>
    <row r="312" spans="1:6">
      <c r="A312" s="295">
        <v>88248</v>
      </c>
      <c r="B312" s="463" t="s">
        <v>706</v>
      </c>
      <c r="C312" s="461" t="s">
        <v>19</v>
      </c>
      <c r="D312" s="461">
        <v>0.19</v>
      </c>
      <c r="E312" s="461">
        <v>13.48</v>
      </c>
      <c r="F312" s="464">
        <f>D312*E312</f>
        <v>2.5611999999999999</v>
      </c>
    </row>
    <row r="313" spans="1:6" ht="15">
      <c r="A313" s="465"/>
      <c r="B313" s="466" t="s">
        <v>561</v>
      </c>
      <c r="C313" s="371"/>
      <c r="D313" s="438"/>
      <c r="E313" s="439"/>
      <c r="F313" s="467">
        <f>F311++F312</f>
        <v>9.4486000000000008</v>
      </c>
    </row>
    <row r="314" spans="1:6" ht="25.5">
      <c r="A314" s="460" t="s">
        <v>707</v>
      </c>
      <c r="B314" s="463" t="s">
        <v>703</v>
      </c>
      <c r="C314" s="461" t="s">
        <v>31</v>
      </c>
      <c r="D314" s="461">
        <v>1</v>
      </c>
      <c r="E314" s="461">
        <v>786.06</v>
      </c>
      <c r="F314" s="464">
        <f>D314*E314</f>
        <v>786.06</v>
      </c>
    </row>
    <row r="315" spans="1:6" ht="38.25">
      <c r="A315" s="465">
        <v>4351</v>
      </c>
      <c r="B315" s="463" t="s">
        <v>708</v>
      </c>
      <c r="C315" s="461" t="s">
        <v>31</v>
      </c>
      <c r="D315" s="461">
        <v>2</v>
      </c>
      <c r="E315" s="461">
        <v>11.01</v>
      </c>
      <c r="F315" s="464">
        <f>D315*E315</f>
        <v>22.02</v>
      </c>
    </row>
    <row r="316" spans="1:6">
      <c r="A316" s="295">
        <v>34357</v>
      </c>
      <c r="B316" s="468" t="s">
        <v>709</v>
      </c>
      <c r="C316" s="461" t="s">
        <v>82</v>
      </c>
      <c r="D316" s="461">
        <v>5.0700000000000002E-2</v>
      </c>
      <c r="E316" s="461">
        <v>4.58</v>
      </c>
      <c r="F316" s="464">
        <f>D316*E316</f>
        <v>0.23220600000000002</v>
      </c>
    </row>
    <row r="317" spans="1:6" ht="15">
      <c r="A317" s="469"/>
      <c r="B317" s="466" t="s">
        <v>561</v>
      </c>
      <c r="C317" s="371"/>
      <c r="D317" s="438"/>
      <c r="E317" s="439"/>
      <c r="F317" s="470">
        <f>F314+F316+F315</f>
        <v>808.31220599999995</v>
      </c>
    </row>
    <row r="318" spans="1:6" ht="15">
      <c r="A318" s="471"/>
      <c r="B318" s="472" t="s">
        <v>562</v>
      </c>
      <c r="C318" s="473"/>
      <c r="D318" s="474"/>
      <c r="E318" s="475"/>
      <c r="F318" s="476">
        <f>F317+F313</f>
        <v>817.760806</v>
      </c>
    </row>
    <row r="319" spans="1:6">
      <c r="A319" s="477"/>
      <c r="B319" s="478" t="s">
        <v>710</v>
      </c>
      <c r="C319" s="479"/>
      <c r="D319" s="479"/>
      <c r="E319" s="479"/>
      <c r="F319" s="480"/>
    </row>
    <row r="320" spans="1:6">
      <c r="A320" s="481"/>
      <c r="B320" s="482"/>
      <c r="C320" s="482"/>
      <c r="D320" s="482"/>
      <c r="E320" s="482"/>
      <c r="F320" s="483"/>
    </row>
    <row r="321" spans="1:6" ht="45">
      <c r="A321" s="391" t="s">
        <v>452</v>
      </c>
      <c r="B321" s="364" t="s">
        <v>711</v>
      </c>
      <c r="C321" s="371"/>
      <c r="D321" s="484"/>
      <c r="E321" s="39"/>
      <c r="F321" s="39"/>
    </row>
    <row r="322" spans="1:6">
      <c r="A322" s="393"/>
      <c r="B322" s="370" t="s">
        <v>557</v>
      </c>
      <c r="C322" s="371"/>
      <c r="D322" s="484"/>
      <c r="E322" s="39"/>
      <c r="F322" s="39"/>
    </row>
    <row r="323" spans="1:6" ht="15">
      <c r="A323" s="393"/>
      <c r="B323" s="364" t="s">
        <v>571</v>
      </c>
      <c r="C323" s="371"/>
      <c r="D323" s="484"/>
      <c r="E323" s="39"/>
      <c r="F323" s="39"/>
    </row>
    <row r="324" spans="1:6">
      <c r="A324" s="393"/>
      <c r="B324" s="376" t="s">
        <v>567</v>
      </c>
      <c r="C324" s="371" t="s">
        <v>19</v>
      </c>
      <c r="D324" s="484">
        <v>1</v>
      </c>
      <c r="E324" s="39">
        <v>14</v>
      </c>
      <c r="F324" s="39">
        <f>D324*E324</f>
        <v>14</v>
      </c>
    </row>
    <row r="325" spans="1:6">
      <c r="A325" s="393"/>
      <c r="B325" s="376" t="s">
        <v>566</v>
      </c>
      <c r="C325" s="371" t="s">
        <v>19</v>
      </c>
      <c r="D325" s="484">
        <v>1</v>
      </c>
      <c r="E325" s="39">
        <v>18.3</v>
      </c>
      <c r="F325" s="39">
        <f>D325*E325</f>
        <v>18.3</v>
      </c>
    </row>
    <row r="326" spans="1:6" ht="15">
      <c r="A326" s="393"/>
      <c r="B326" s="364" t="s">
        <v>561</v>
      </c>
      <c r="C326" s="371"/>
      <c r="D326" s="484"/>
      <c r="E326" s="39"/>
      <c r="F326" s="485">
        <f>F324+F325</f>
        <v>32.299999999999997</v>
      </c>
    </row>
    <row r="327" spans="1:6" ht="15">
      <c r="A327" s="393"/>
      <c r="B327" s="364" t="s">
        <v>558</v>
      </c>
      <c r="C327" s="371"/>
      <c r="D327" s="484"/>
      <c r="E327" s="39"/>
      <c r="F327" s="39"/>
    </row>
    <row r="328" spans="1:6">
      <c r="A328" s="393" t="s">
        <v>712</v>
      </c>
      <c r="B328" s="376" t="s">
        <v>713</v>
      </c>
      <c r="C328" s="371" t="s">
        <v>31</v>
      </c>
      <c r="D328" s="484">
        <v>2</v>
      </c>
      <c r="E328" s="39">
        <v>97.84</v>
      </c>
      <c r="F328" s="39">
        <f>D328*E328</f>
        <v>195.68</v>
      </c>
    </row>
    <row r="329" spans="1:6">
      <c r="A329" s="393" t="s">
        <v>714</v>
      </c>
      <c r="B329" s="376" t="s">
        <v>715</v>
      </c>
      <c r="C329" s="371" t="s">
        <v>31</v>
      </c>
      <c r="D329" s="484">
        <v>2</v>
      </c>
      <c r="E329" s="39">
        <v>127.08</v>
      </c>
      <c r="F329" s="39">
        <f>D329*E329</f>
        <v>254.16</v>
      </c>
    </row>
    <row r="330" spans="1:6" ht="15">
      <c r="A330" s="393"/>
      <c r="B330" s="364" t="s">
        <v>561</v>
      </c>
      <c r="C330" s="371"/>
      <c r="D330" s="484"/>
      <c r="E330" s="39"/>
      <c r="F330" s="485">
        <f>F328+F329</f>
        <v>449.84000000000003</v>
      </c>
    </row>
    <row r="331" spans="1:6" ht="15">
      <c r="A331" s="486"/>
      <c r="B331" s="364" t="s">
        <v>562</v>
      </c>
      <c r="C331" s="371"/>
      <c r="D331" s="484"/>
      <c r="E331" s="39"/>
      <c r="F331" s="381">
        <f>F330+F326</f>
        <v>482.14000000000004</v>
      </c>
    </row>
    <row r="332" spans="1:6" thickBot="1">
      <c r="A332" s="486"/>
      <c r="B332" s="376" t="s">
        <v>716</v>
      </c>
      <c r="C332" s="371"/>
      <c r="D332" s="484"/>
      <c r="E332" s="39"/>
      <c r="F332" s="374"/>
    </row>
    <row r="333" spans="1:6" thickBot="1">
      <c r="A333" s="487"/>
      <c r="B333" s="488"/>
      <c r="C333" s="488"/>
      <c r="D333" s="488"/>
      <c r="E333" s="488"/>
      <c r="F333" s="489"/>
    </row>
    <row r="334" spans="1:6" ht="45">
      <c r="A334" s="391" t="s">
        <v>454</v>
      </c>
      <c r="B334" s="364" t="s">
        <v>717</v>
      </c>
      <c r="C334" s="371"/>
      <c r="D334" s="484"/>
      <c r="E334" s="39"/>
      <c r="F334" s="39"/>
    </row>
    <row r="335" spans="1:6">
      <c r="A335" s="393"/>
      <c r="B335" s="370" t="s">
        <v>557</v>
      </c>
      <c r="C335" s="371"/>
      <c r="D335" s="484"/>
      <c r="E335" s="39"/>
      <c r="F335" s="39"/>
    </row>
    <row r="336" spans="1:6" ht="15">
      <c r="A336" s="393"/>
      <c r="B336" s="364" t="s">
        <v>571</v>
      </c>
      <c r="C336" s="371"/>
      <c r="D336" s="484"/>
      <c r="E336" s="39"/>
      <c r="F336" s="39"/>
    </row>
    <row r="337" spans="1:6">
      <c r="A337" s="393"/>
      <c r="B337" s="376" t="s">
        <v>567</v>
      </c>
      <c r="C337" s="371" t="s">
        <v>19</v>
      </c>
      <c r="D337" s="484">
        <v>1</v>
      </c>
      <c r="E337" s="39">
        <v>14</v>
      </c>
      <c r="F337" s="39">
        <f>D337*E337</f>
        <v>14</v>
      </c>
    </row>
    <row r="338" spans="1:6">
      <c r="A338" s="393"/>
      <c r="B338" s="376" t="s">
        <v>566</v>
      </c>
      <c r="C338" s="371" t="s">
        <v>19</v>
      </c>
      <c r="D338" s="484">
        <v>1</v>
      </c>
      <c r="E338" s="39">
        <v>18.3</v>
      </c>
      <c r="F338" s="39">
        <f>D338*E338</f>
        <v>18.3</v>
      </c>
    </row>
    <row r="339" spans="1:6" ht="15">
      <c r="A339" s="393"/>
      <c r="B339" s="364" t="s">
        <v>561</v>
      </c>
      <c r="C339" s="371"/>
      <c r="D339" s="484"/>
      <c r="E339" s="39"/>
      <c r="F339" s="485">
        <f>F337+F338</f>
        <v>32.299999999999997</v>
      </c>
    </row>
    <row r="340" spans="1:6" ht="15">
      <c r="A340" s="393"/>
      <c r="B340" s="364" t="s">
        <v>558</v>
      </c>
      <c r="C340" s="371"/>
      <c r="D340" s="484"/>
      <c r="E340" s="39"/>
      <c r="F340" s="39"/>
    </row>
    <row r="341" spans="1:6">
      <c r="A341" s="393" t="s">
        <v>712</v>
      </c>
      <c r="B341" s="376" t="s">
        <v>718</v>
      </c>
      <c r="C341" s="371" t="s">
        <v>31</v>
      </c>
      <c r="D341" s="484">
        <v>2</v>
      </c>
      <c r="E341" s="39">
        <v>97</v>
      </c>
      <c r="F341" s="39">
        <f>D341*E341</f>
        <v>194</v>
      </c>
    </row>
    <row r="342" spans="1:6" ht="15">
      <c r="A342" s="393"/>
      <c r="B342" s="364" t="s">
        <v>561</v>
      </c>
      <c r="C342" s="371"/>
      <c r="D342" s="484"/>
      <c r="E342" s="39">
        <v>97.84</v>
      </c>
      <c r="F342" s="485">
        <f>F341</f>
        <v>194</v>
      </c>
    </row>
    <row r="343" spans="1:6" ht="15">
      <c r="A343" s="486"/>
      <c r="B343" s="364" t="s">
        <v>562</v>
      </c>
      <c r="C343" s="371"/>
      <c r="D343" s="484"/>
      <c r="E343" s="39"/>
      <c r="F343" s="381">
        <f>F342+F339</f>
        <v>226.3</v>
      </c>
    </row>
    <row r="344" spans="1:6" ht="28.5">
      <c r="A344" s="486"/>
      <c r="B344" s="376" t="s">
        <v>719</v>
      </c>
      <c r="C344" s="371"/>
      <c r="D344" s="484"/>
      <c r="E344" s="39"/>
      <c r="F344" s="374"/>
    </row>
    <row r="345" spans="1:6" ht="15">
      <c r="A345" s="482"/>
      <c r="B345" s="396"/>
      <c r="C345" s="490"/>
      <c r="D345" s="491"/>
      <c r="E345" s="492"/>
      <c r="F345" s="493"/>
    </row>
    <row r="346" spans="1:6" ht="38.25">
      <c r="A346" s="477"/>
      <c r="B346" s="400" t="s">
        <v>720</v>
      </c>
      <c r="C346" s="494" t="s">
        <v>31</v>
      </c>
      <c r="D346" s="479"/>
      <c r="E346" s="479"/>
      <c r="F346" s="480"/>
    </row>
    <row r="347" spans="1:6">
      <c r="A347" s="477"/>
      <c r="B347" s="478" t="s">
        <v>721</v>
      </c>
      <c r="C347" s="479"/>
      <c r="D347" s="479"/>
      <c r="E347" s="479"/>
      <c r="F347" s="480"/>
    </row>
    <row r="348" spans="1:6">
      <c r="A348" s="477"/>
      <c r="B348" s="478" t="s">
        <v>722</v>
      </c>
      <c r="C348" s="479"/>
      <c r="D348" s="479"/>
      <c r="E348" s="479"/>
      <c r="F348" s="480"/>
    </row>
    <row r="349" spans="1:6">
      <c r="A349" s="477"/>
      <c r="B349" s="478" t="s">
        <v>723</v>
      </c>
      <c r="C349" s="371" t="s">
        <v>548</v>
      </c>
      <c r="D349" s="479">
        <v>0.39</v>
      </c>
      <c r="E349" s="479">
        <v>19.920000000000002</v>
      </c>
      <c r="F349" s="480">
        <f>D349*E349</f>
        <v>7.7688000000000006</v>
      </c>
    </row>
    <row r="350" spans="1:6">
      <c r="A350" s="477"/>
      <c r="B350" s="478" t="s">
        <v>724</v>
      </c>
      <c r="C350" s="371" t="s">
        <v>548</v>
      </c>
      <c r="D350" s="479">
        <v>0.19</v>
      </c>
      <c r="E350" s="479">
        <v>15.08</v>
      </c>
      <c r="F350" s="495">
        <f>D350*E350</f>
        <v>2.8652000000000002</v>
      </c>
    </row>
    <row r="351" spans="1:6">
      <c r="A351" s="477"/>
      <c r="B351" s="478" t="s">
        <v>522</v>
      </c>
      <c r="C351" s="371"/>
      <c r="D351" s="479"/>
      <c r="E351" s="479"/>
      <c r="F351" s="495">
        <f>F349+F350</f>
        <v>10.634</v>
      </c>
    </row>
    <row r="352" spans="1:6">
      <c r="A352" s="477"/>
      <c r="B352" s="478" t="s">
        <v>725</v>
      </c>
      <c r="C352" s="371"/>
      <c r="D352" s="479"/>
      <c r="E352" s="479"/>
      <c r="F352" s="480"/>
    </row>
    <row r="353" spans="1:6" ht="33.75">
      <c r="A353" s="477">
        <v>4384</v>
      </c>
      <c r="B353" s="478" t="s">
        <v>726</v>
      </c>
      <c r="C353" s="371" t="s">
        <v>727</v>
      </c>
      <c r="D353" s="496">
        <v>2</v>
      </c>
      <c r="E353" s="479">
        <v>14.85</v>
      </c>
      <c r="F353" s="480">
        <f>D353*E353</f>
        <v>29.7</v>
      </c>
    </row>
    <row r="354" spans="1:6" ht="22.5">
      <c r="A354" s="477"/>
      <c r="B354" s="478" t="s">
        <v>728</v>
      </c>
      <c r="C354" s="371" t="s">
        <v>727</v>
      </c>
      <c r="D354" s="496">
        <v>1</v>
      </c>
      <c r="E354" s="479">
        <v>786.06</v>
      </c>
      <c r="F354" s="480">
        <f>D354*E354</f>
        <v>786.06</v>
      </c>
    </row>
    <row r="355" spans="1:6">
      <c r="A355" s="477">
        <v>34357</v>
      </c>
      <c r="B355" s="478" t="s">
        <v>729</v>
      </c>
      <c r="C355" s="371" t="s">
        <v>545</v>
      </c>
      <c r="D355" s="479">
        <v>5.0700000000000002E-2</v>
      </c>
      <c r="E355" s="479">
        <v>4.58</v>
      </c>
      <c r="F355" s="495">
        <f>D355*E355</f>
        <v>0.23220600000000002</v>
      </c>
    </row>
    <row r="356" spans="1:6">
      <c r="A356" s="477"/>
      <c r="B356" s="478" t="s">
        <v>730</v>
      </c>
      <c r="C356" s="479"/>
      <c r="D356" s="479"/>
      <c r="E356" s="479"/>
      <c r="F356" s="495">
        <f>F353+F354+F355</f>
        <v>815.99220600000001</v>
      </c>
    </row>
    <row r="357" spans="1:6">
      <c r="A357" s="477"/>
      <c r="B357" s="478" t="s">
        <v>731</v>
      </c>
      <c r="C357" s="479"/>
      <c r="D357" s="479"/>
      <c r="E357" s="479"/>
      <c r="F357" s="495">
        <f>F351+F356</f>
        <v>826.62620600000002</v>
      </c>
    </row>
    <row r="358" spans="1:6">
      <c r="A358" s="477"/>
      <c r="B358" s="478" t="s">
        <v>710</v>
      </c>
      <c r="C358" s="479"/>
      <c r="D358" s="479"/>
      <c r="E358" s="479"/>
      <c r="F358" s="480"/>
    </row>
    <row r="359" spans="1:6">
      <c r="A359" s="481"/>
      <c r="B359" s="482"/>
      <c r="C359" s="482"/>
      <c r="D359" s="482"/>
      <c r="E359" s="482"/>
      <c r="F359" s="483"/>
    </row>
    <row r="360" spans="1:6" ht="22.5">
      <c r="A360" s="399"/>
      <c r="B360" s="497" t="s">
        <v>477</v>
      </c>
      <c r="C360" s="407"/>
      <c r="D360" s="408"/>
      <c r="E360" s="409"/>
      <c r="F360" s="409"/>
    </row>
    <row r="361" spans="1:6">
      <c r="A361" s="399"/>
      <c r="B361" s="400" t="s">
        <v>580</v>
      </c>
      <c r="C361" s="407"/>
      <c r="D361" s="408"/>
      <c r="E361" s="409"/>
      <c r="F361" s="409"/>
    </row>
    <row r="362" spans="1:6" ht="22.5">
      <c r="A362" s="33" t="s">
        <v>732</v>
      </c>
      <c r="B362" s="75" t="s">
        <v>733</v>
      </c>
      <c r="C362" s="407" t="s">
        <v>25</v>
      </c>
      <c r="D362" s="408">
        <v>0.375</v>
      </c>
      <c r="E362" s="409">
        <v>519.75</v>
      </c>
      <c r="F362" s="409">
        <f>D362*E362</f>
        <v>194.90625</v>
      </c>
    </row>
    <row r="363" spans="1:6" ht="22.5">
      <c r="A363" s="33" t="s">
        <v>734</v>
      </c>
      <c r="B363" s="75" t="s">
        <v>735</v>
      </c>
      <c r="C363" s="407" t="s">
        <v>28</v>
      </c>
      <c r="D363" s="408">
        <v>1.6</v>
      </c>
      <c r="E363" s="409">
        <v>8.14</v>
      </c>
      <c r="F363" s="409">
        <f>D363*E363</f>
        <v>13.024000000000001</v>
      </c>
    </row>
    <row r="364" spans="1:6" ht="22.5">
      <c r="A364" s="33">
        <v>94974</v>
      </c>
      <c r="B364" s="75" t="s">
        <v>736</v>
      </c>
      <c r="C364" s="407" t="s">
        <v>54</v>
      </c>
      <c r="D364" s="408">
        <v>0.2</v>
      </c>
      <c r="E364" s="409">
        <v>349.58</v>
      </c>
      <c r="F364" s="409">
        <f>D364*E364</f>
        <v>69.915999999999997</v>
      </c>
    </row>
    <row r="365" spans="1:6" ht="15">
      <c r="A365" s="399"/>
      <c r="B365" s="466" t="s">
        <v>561</v>
      </c>
      <c r="C365" s="407"/>
      <c r="D365" s="408"/>
      <c r="E365" s="409"/>
      <c r="F365" s="409">
        <f>F362+F363+F364</f>
        <v>277.84625</v>
      </c>
    </row>
    <row r="366" spans="1:6" ht="15">
      <c r="A366" s="399"/>
      <c r="B366" s="364" t="s">
        <v>571</v>
      </c>
      <c r="C366" s="407"/>
      <c r="D366" s="408"/>
      <c r="E366" s="409"/>
      <c r="F366" s="409"/>
    </row>
    <row r="367" spans="1:6">
      <c r="A367" s="399"/>
      <c r="B367" s="75" t="s">
        <v>737</v>
      </c>
      <c r="C367" s="407" t="s">
        <v>19</v>
      </c>
      <c r="D367" s="408">
        <v>0.5</v>
      </c>
      <c r="E367" s="409">
        <v>18.3</v>
      </c>
      <c r="F367" s="409">
        <f>D367*E367</f>
        <v>9.15</v>
      </c>
    </row>
    <row r="368" spans="1:6">
      <c r="A368" s="399"/>
      <c r="B368" s="75" t="s">
        <v>738</v>
      </c>
      <c r="C368" s="407" t="s">
        <v>19</v>
      </c>
      <c r="D368" s="408">
        <v>1</v>
      </c>
      <c r="E368" s="409">
        <v>14</v>
      </c>
      <c r="F368" s="409">
        <f>D368*E368</f>
        <v>14</v>
      </c>
    </row>
    <row r="369" spans="1:6" ht="15">
      <c r="A369" s="399"/>
      <c r="B369" s="466" t="s">
        <v>561</v>
      </c>
      <c r="C369" s="407"/>
      <c r="D369" s="408"/>
      <c r="E369" s="409"/>
      <c r="F369" s="409">
        <f>F367+F368</f>
        <v>23.15</v>
      </c>
    </row>
    <row r="370" spans="1:6" ht="15">
      <c r="A370" s="399"/>
      <c r="B370" s="472" t="s">
        <v>562</v>
      </c>
      <c r="C370" s="407"/>
      <c r="D370" s="408"/>
      <c r="E370" s="409"/>
      <c r="F370" s="409">
        <f>F369+F365</f>
        <v>300.99624999999997</v>
      </c>
    </row>
    <row r="371" spans="1:6" thickBot="1">
      <c r="A371" s="482"/>
      <c r="B371" s="482"/>
      <c r="C371" s="482"/>
      <c r="D371" s="482"/>
      <c r="E371" s="482"/>
      <c r="F371" s="482"/>
    </row>
    <row r="372" spans="1:6" ht="63.75">
      <c r="A372" s="498" t="s">
        <v>474</v>
      </c>
      <c r="B372" s="499" t="s">
        <v>479</v>
      </c>
      <c r="C372" s="500"/>
      <c r="D372" s="500"/>
      <c r="E372" s="500"/>
      <c r="F372" s="501"/>
    </row>
    <row r="373" spans="1:6">
      <c r="A373" s="502"/>
      <c r="B373" s="388"/>
      <c r="C373" s="388"/>
      <c r="D373" s="388"/>
      <c r="E373" s="388"/>
      <c r="F373" s="503"/>
    </row>
    <row r="374" spans="1:6">
      <c r="A374" s="504">
        <v>88309</v>
      </c>
      <c r="B374" s="505" t="s">
        <v>739</v>
      </c>
      <c r="C374" s="505" t="s">
        <v>548</v>
      </c>
      <c r="D374" s="388">
        <v>0.28999999999999998</v>
      </c>
      <c r="E374" s="388">
        <v>18.3</v>
      </c>
      <c r="F374" s="503">
        <f>D374*E374</f>
        <v>5.3069999999999995</v>
      </c>
    </row>
    <row r="375" spans="1:6">
      <c r="A375" s="504">
        <v>88316</v>
      </c>
      <c r="B375" s="505" t="s">
        <v>740</v>
      </c>
      <c r="C375" s="505" t="s">
        <v>548</v>
      </c>
      <c r="D375" s="388">
        <v>0.28999999999999998</v>
      </c>
      <c r="E375" s="388">
        <v>14</v>
      </c>
      <c r="F375" s="503">
        <f>D375*E375</f>
        <v>4.0599999999999996</v>
      </c>
    </row>
    <row r="376" spans="1:6">
      <c r="A376" s="502"/>
      <c r="B376" s="388" t="s">
        <v>741</v>
      </c>
      <c r="C376" s="388"/>
      <c r="D376" s="388"/>
      <c r="E376" s="388"/>
      <c r="F376" s="503">
        <f>F374+F375</f>
        <v>9.3669999999999991</v>
      </c>
    </row>
    <row r="377" spans="1:6">
      <c r="A377" s="502"/>
      <c r="B377" s="388"/>
      <c r="C377" s="388"/>
      <c r="D377" s="388"/>
      <c r="E377" s="388"/>
      <c r="F377" s="503"/>
    </row>
    <row r="378" spans="1:6" ht="25.5">
      <c r="A378" s="506" t="s">
        <v>742</v>
      </c>
      <c r="B378" s="505" t="s">
        <v>743</v>
      </c>
      <c r="C378" s="388" t="s">
        <v>31</v>
      </c>
      <c r="D378" s="388">
        <v>1</v>
      </c>
      <c r="E378" s="388">
        <v>20.94</v>
      </c>
      <c r="F378" s="503">
        <f>D378*E378</f>
        <v>20.94</v>
      </c>
    </row>
    <row r="379" spans="1:6" ht="25.5">
      <c r="A379" s="504">
        <v>34349</v>
      </c>
      <c r="B379" s="505" t="s">
        <v>744</v>
      </c>
      <c r="C379" s="388" t="s">
        <v>31</v>
      </c>
      <c r="D379" s="388">
        <v>0.5</v>
      </c>
      <c r="E379" s="507">
        <v>25.63</v>
      </c>
      <c r="F379" s="508">
        <f>D379*E379</f>
        <v>12.815</v>
      </c>
    </row>
    <row r="380" spans="1:6" ht="25.5">
      <c r="A380" s="504">
        <v>90437</v>
      </c>
      <c r="B380" s="505" t="s">
        <v>745</v>
      </c>
      <c r="C380" s="388" t="s">
        <v>31</v>
      </c>
      <c r="D380" s="388">
        <v>0.125</v>
      </c>
      <c r="E380" s="507">
        <v>23.71</v>
      </c>
      <c r="F380" s="508">
        <f>D380*E380</f>
        <v>2.9637500000000001</v>
      </c>
    </row>
    <row r="381" spans="1:6" ht="25.5">
      <c r="A381" s="504">
        <v>94974</v>
      </c>
      <c r="B381" s="505" t="s">
        <v>746</v>
      </c>
      <c r="C381" s="388" t="s">
        <v>54</v>
      </c>
      <c r="D381" s="388">
        <v>0.16300000000000001</v>
      </c>
      <c r="E381" s="507">
        <v>349.58</v>
      </c>
      <c r="F381" s="508">
        <f>D381*E381</f>
        <v>56.981540000000003</v>
      </c>
    </row>
    <row r="382" spans="1:6">
      <c r="A382" s="502"/>
      <c r="B382" s="388" t="s">
        <v>747</v>
      </c>
      <c r="C382" s="388"/>
      <c r="D382" s="388"/>
      <c r="E382" s="388"/>
      <c r="F382" s="508">
        <f>F378+F379+F380+F381</f>
        <v>93.700289999999995</v>
      </c>
    </row>
    <row r="383" spans="1:6" thickBot="1">
      <c r="A383" s="509"/>
      <c r="B383" s="510" t="s">
        <v>748</v>
      </c>
      <c r="C383" s="511"/>
      <c r="D383" s="511"/>
      <c r="E383" s="511"/>
      <c r="F383" s="512">
        <f>F376+F382</f>
        <v>103.06729</v>
      </c>
    </row>
    <row r="384" spans="1:6">
      <c r="A384" s="513"/>
      <c r="B384" s="513"/>
      <c r="C384" s="513"/>
      <c r="D384" s="513"/>
      <c r="E384" s="513"/>
      <c r="F384" s="513"/>
    </row>
    <row r="385" spans="1:6" ht="38.25">
      <c r="A385" s="514"/>
      <c r="B385" s="515" t="s">
        <v>749</v>
      </c>
      <c r="C385" s="516"/>
      <c r="D385" s="516"/>
      <c r="E385" s="516"/>
      <c r="F385" s="517"/>
    </row>
    <row r="386" spans="1:6">
      <c r="A386" s="518"/>
      <c r="B386" s="388" t="s">
        <v>557</v>
      </c>
      <c r="C386" s="387"/>
      <c r="D386" s="387"/>
      <c r="E386" s="387"/>
      <c r="F386" s="519"/>
    </row>
    <row r="387" spans="1:6" ht="25.5">
      <c r="A387" s="520"/>
      <c r="B387" s="521" t="s">
        <v>750</v>
      </c>
      <c r="C387" s="388" t="s">
        <v>31</v>
      </c>
      <c r="D387" s="389">
        <v>1</v>
      </c>
      <c r="E387" s="389">
        <v>620</v>
      </c>
      <c r="F387" s="522">
        <f>TRUNC(D387*E387,2)</f>
        <v>620</v>
      </c>
    </row>
    <row r="388" spans="1:6">
      <c r="A388" s="520"/>
      <c r="B388" s="521" t="s">
        <v>751</v>
      </c>
      <c r="C388" s="388" t="s">
        <v>31</v>
      </c>
      <c r="D388" s="389">
        <v>24</v>
      </c>
      <c r="E388" s="387">
        <v>0.98</v>
      </c>
      <c r="F388" s="519">
        <f>TRUNC(D388*E388,2)</f>
        <v>23.52</v>
      </c>
    </row>
    <row r="389" spans="1:6" ht="25.5">
      <c r="A389">
        <v>100747</v>
      </c>
      <c r="B389" s="521" t="s">
        <v>752</v>
      </c>
      <c r="C389" s="388" t="s">
        <v>25</v>
      </c>
      <c r="D389" s="389">
        <v>5.18</v>
      </c>
      <c r="E389" s="389">
        <v>6.84</v>
      </c>
      <c r="F389" s="522">
        <f>TRUNC(D389*E389,2)</f>
        <v>35.43</v>
      </c>
    </row>
    <row r="390" spans="1:6">
      <c r="A390" s="523"/>
      <c r="B390" s="386" t="s">
        <v>753</v>
      </c>
      <c r="C390" s="386"/>
      <c r="D390" s="386"/>
      <c r="E390" s="386"/>
      <c r="F390" s="524">
        <f>F387+F388+F389</f>
        <v>678.94999999999993</v>
      </c>
    </row>
    <row r="391" spans="1:6">
      <c r="A391" s="520"/>
      <c r="B391" s="388" t="s">
        <v>571</v>
      </c>
      <c r="C391" s="387"/>
      <c r="D391" s="387"/>
      <c r="E391" s="387"/>
      <c r="F391" s="519"/>
    </row>
    <row r="392" spans="1:6">
      <c r="A392" s="520"/>
      <c r="B392" s="388" t="s">
        <v>567</v>
      </c>
      <c r="C392" s="388" t="s">
        <v>19</v>
      </c>
      <c r="D392" s="387">
        <v>5</v>
      </c>
      <c r="E392" s="389">
        <v>14</v>
      </c>
      <c r="F392" s="519">
        <f>TRUNC(D392*E392,2)</f>
        <v>70</v>
      </c>
    </row>
    <row r="393" spans="1:6">
      <c r="A393" s="520"/>
      <c r="B393" s="388" t="s">
        <v>566</v>
      </c>
      <c r="C393" s="388" t="s">
        <v>19</v>
      </c>
      <c r="D393" s="387">
        <v>5</v>
      </c>
      <c r="E393" s="389">
        <v>18.3</v>
      </c>
      <c r="F393" s="522">
        <f>TRUNC(D393*E393,2)</f>
        <v>91.5</v>
      </c>
    </row>
    <row r="394" spans="1:6">
      <c r="A394" s="523"/>
      <c r="B394" s="386" t="s">
        <v>753</v>
      </c>
      <c r="C394" s="386"/>
      <c r="D394" s="386"/>
      <c r="E394" s="386"/>
      <c r="F394" s="524">
        <f>F392+F393</f>
        <v>161.5</v>
      </c>
    </row>
    <row r="395" spans="1:6">
      <c r="A395" s="525"/>
      <c r="B395" s="526" t="s">
        <v>754</v>
      </c>
      <c r="C395" s="390"/>
      <c r="D395" s="390"/>
      <c r="E395" s="390"/>
      <c r="F395" s="527">
        <f>F394+F390</f>
        <v>840.44999999999993</v>
      </c>
    </row>
    <row r="396" spans="1:6" ht="25.5">
      <c r="A396" s="520"/>
      <c r="B396" s="528" t="s">
        <v>755</v>
      </c>
      <c r="C396" s="387"/>
      <c r="D396" s="387"/>
      <c r="E396" s="387"/>
      <c r="F396" s="524"/>
    </row>
    <row r="397" spans="1:6" ht="25.5">
      <c r="A397" s="520"/>
      <c r="B397" s="528" t="s">
        <v>756</v>
      </c>
      <c r="C397" s="387"/>
      <c r="D397" s="387"/>
      <c r="E397" s="387"/>
      <c r="F397" s="524"/>
    </row>
    <row r="398" spans="1:6" ht="25.5">
      <c r="A398" s="525"/>
      <c r="B398" s="529" t="s">
        <v>757</v>
      </c>
      <c r="C398" s="390"/>
      <c r="D398" s="390"/>
      <c r="E398" s="390"/>
      <c r="F398" s="527"/>
    </row>
    <row r="399" spans="1:6" thickBot="1">
      <c r="A399" s="487"/>
      <c r="B399" s="488"/>
      <c r="C399" s="488"/>
      <c r="D399" s="488"/>
      <c r="E399" s="488"/>
      <c r="F399" s="489"/>
    </row>
  </sheetData>
  <mergeCells count="1">
    <mergeCell ref="A10:D10"/>
  </mergeCells>
  <pageMargins left="0.511811024" right="0.511811024" top="0.78740157500000008" bottom="0.78740157500000008" header="0.31496062000000008" footer="0.31496062000000008"/>
  <pageSetup paperSize="0" scale="89" fitToWidth="0" fitToHeight="0" orientation="portrait" horizontalDpi="0" verticalDpi="0" copies="0"/>
  <colBreaks count="1" manualBreakCount="1">
    <brk id="6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17"/>
  <sheetViews>
    <sheetView workbookViewId="0"/>
  </sheetViews>
  <sheetFormatPr defaultRowHeight="12.75"/>
  <cols>
    <col min="1" max="1" width="7.75" style="399" customWidth="1"/>
    <col min="2" max="2" width="42.25" style="388" customWidth="1"/>
    <col min="3" max="3" width="7.625" style="407" customWidth="1"/>
    <col min="4" max="4" width="10.875" style="408" customWidth="1"/>
    <col min="5" max="5" width="11.625" style="409" customWidth="1"/>
    <col min="6" max="6" width="13.25" style="409" customWidth="1"/>
    <col min="7" max="7" width="8.5" style="534" customWidth="1"/>
    <col min="8" max="8" width="8.875" style="534" customWidth="1"/>
    <col min="9" max="9" width="9.25" style="316" customWidth="1"/>
    <col min="10" max="257" width="8.5" style="316" customWidth="1"/>
    <col min="258" max="1024" width="8.5" customWidth="1"/>
    <col min="1025" max="1025" width="9" customWidth="1"/>
  </cols>
  <sheetData>
    <row r="1" spans="1:8" s="384" customFormat="1">
      <c r="A1" s="596" t="s">
        <v>758</v>
      </c>
      <c r="B1" s="596"/>
      <c r="C1" s="596"/>
      <c r="D1" s="596"/>
      <c r="E1" s="596"/>
      <c r="F1" s="596"/>
      <c r="G1" s="531"/>
      <c r="H1" s="401"/>
    </row>
    <row r="2" spans="1:8" s="384" customFormat="1">
      <c r="A2" s="597" t="s">
        <v>759</v>
      </c>
      <c r="B2" s="598" t="s">
        <v>760</v>
      </c>
      <c r="C2" s="598" t="s">
        <v>761</v>
      </c>
      <c r="D2" s="599" t="s">
        <v>762</v>
      </c>
      <c r="E2" s="599" t="s">
        <v>763</v>
      </c>
      <c r="F2" s="599" t="s">
        <v>764</v>
      </c>
      <c r="G2" s="531"/>
      <c r="H2" s="401"/>
    </row>
    <row r="3" spans="1:8" s="535" customFormat="1">
      <c r="A3" s="597"/>
      <c r="B3" s="598"/>
      <c r="C3" s="598"/>
      <c r="D3" s="599"/>
      <c r="E3" s="599"/>
      <c r="F3" s="599"/>
      <c r="G3" s="534"/>
      <c r="H3" s="534"/>
    </row>
    <row r="4" spans="1:8" s="535" customFormat="1">
      <c r="A4" s="532"/>
      <c r="B4" s="533"/>
      <c r="C4" s="536"/>
      <c r="D4" s="537"/>
      <c r="E4" s="537"/>
      <c r="F4" s="537"/>
      <c r="G4" s="534"/>
      <c r="H4" s="534"/>
    </row>
    <row r="5" spans="1:8" s="539" customFormat="1" ht="15">
      <c r="A5" s="363" t="s">
        <v>555</v>
      </c>
      <c r="B5" s="364" t="s">
        <v>556</v>
      </c>
      <c r="C5" s="365"/>
      <c r="D5" s="366"/>
      <c r="E5" s="367"/>
      <c r="F5" s="368"/>
      <c r="G5" s="538"/>
      <c r="H5" s="538"/>
    </row>
    <row r="6" spans="1:8" s="538" customFormat="1">
      <c r="A6" s="369"/>
      <c r="B6" s="370" t="s">
        <v>557</v>
      </c>
      <c r="C6" s="371"/>
      <c r="D6" s="372"/>
      <c r="E6" s="373"/>
      <c r="F6" s="374"/>
    </row>
    <row r="7" spans="1:8" s="538" customFormat="1" ht="15">
      <c r="A7" s="369"/>
      <c r="B7" s="364" t="s">
        <v>558</v>
      </c>
      <c r="C7" s="371"/>
      <c r="D7" s="372"/>
      <c r="E7" s="373"/>
      <c r="F7" s="375"/>
    </row>
    <row r="8" spans="1:8" s="538" customFormat="1" ht="14.25">
      <c r="A8" s="369"/>
      <c r="B8" s="376" t="s">
        <v>559</v>
      </c>
      <c r="C8" s="371" t="s">
        <v>31</v>
      </c>
      <c r="D8" s="373">
        <v>1</v>
      </c>
      <c r="E8" s="373">
        <v>270</v>
      </c>
      <c r="F8" s="375">
        <f>D8*E8</f>
        <v>270</v>
      </c>
    </row>
    <row r="9" spans="1:8" s="538" customFormat="1" ht="28.5">
      <c r="A9" s="369"/>
      <c r="B9" s="377" t="s">
        <v>560</v>
      </c>
      <c r="C9" s="371" t="s">
        <v>54</v>
      </c>
      <c r="D9" s="373">
        <v>8</v>
      </c>
      <c r="E9" s="373">
        <v>10</v>
      </c>
      <c r="F9" s="373">
        <f>D9*E9</f>
        <v>80</v>
      </c>
    </row>
    <row r="10" spans="1:8" s="538" customFormat="1" ht="15">
      <c r="A10" s="369"/>
      <c r="B10" s="364" t="s">
        <v>561</v>
      </c>
      <c r="C10" s="371"/>
      <c r="D10" s="372"/>
      <c r="E10" s="373"/>
      <c r="F10" s="378">
        <f>F8+F9</f>
        <v>350</v>
      </c>
    </row>
    <row r="11" spans="1:8" s="538" customFormat="1" ht="15">
      <c r="A11" s="369"/>
      <c r="B11" s="364" t="s">
        <v>562</v>
      </c>
      <c r="C11" s="371"/>
      <c r="D11" s="379"/>
      <c r="E11" s="380"/>
      <c r="F11" s="381">
        <f>F10</f>
        <v>350</v>
      </c>
    </row>
    <row r="12" spans="1:8" s="538" customFormat="1" ht="28.5">
      <c r="A12" s="369"/>
      <c r="B12" s="377" t="s">
        <v>765</v>
      </c>
      <c r="C12" s="382"/>
      <c r="D12" s="383"/>
      <c r="E12" s="36"/>
      <c r="F12" s="36"/>
    </row>
    <row r="13" spans="1:8" s="538" customFormat="1">
      <c r="A13" s="384"/>
      <c r="B13" s="384"/>
      <c r="C13" s="384"/>
      <c r="D13" s="384"/>
      <c r="E13" s="384"/>
      <c r="F13" s="384"/>
    </row>
    <row r="14" spans="1:8" s="538" customFormat="1">
      <c r="A14" s="362"/>
      <c r="B14" s="362"/>
      <c r="C14" s="362"/>
      <c r="D14" s="362"/>
      <c r="E14" s="362"/>
      <c r="F14" s="362"/>
    </row>
    <row r="15" spans="1:8" s="538" customFormat="1" ht="31.5">
      <c r="A15" s="349" t="s">
        <v>530</v>
      </c>
      <c r="B15" s="349" t="s">
        <v>531</v>
      </c>
      <c r="C15" s="349" t="s">
        <v>532</v>
      </c>
      <c r="D15" s="349" t="s">
        <v>533</v>
      </c>
      <c r="E15" s="349" t="s">
        <v>534</v>
      </c>
      <c r="F15" s="349" t="s">
        <v>535</v>
      </c>
    </row>
    <row r="16" spans="1:8" s="538" customFormat="1" ht="31.5">
      <c r="A16" s="350" t="s">
        <v>536</v>
      </c>
      <c r="B16" s="351" t="s">
        <v>24</v>
      </c>
      <c r="C16" s="349" t="s">
        <v>25</v>
      </c>
      <c r="D16" s="352"/>
      <c r="E16" s="353"/>
      <c r="F16" s="353"/>
    </row>
    <row r="17" spans="1:6" s="538" customFormat="1" ht="60">
      <c r="A17" s="354">
        <v>4417</v>
      </c>
      <c r="B17" s="355" t="s">
        <v>537</v>
      </c>
      <c r="C17" s="354" t="s">
        <v>538</v>
      </c>
      <c r="D17" s="356" t="s">
        <v>539</v>
      </c>
      <c r="E17" s="357">
        <v>3.26</v>
      </c>
      <c r="F17" s="357">
        <f t="shared" ref="F17:F23" si="0">TRUNC((D17*E17),2)</f>
        <v>3.26</v>
      </c>
    </row>
    <row r="18" spans="1:6" s="538" customFormat="1" ht="60">
      <c r="A18" s="354">
        <v>4491</v>
      </c>
      <c r="B18" s="355" t="s">
        <v>540</v>
      </c>
      <c r="C18" s="354" t="s">
        <v>538</v>
      </c>
      <c r="D18" s="356" t="s">
        <v>541</v>
      </c>
      <c r="E18" s="357">
        <v>7.99</v>
      </c>
      <c r="F18" s="357">
        <f t="shared" si="0"/>
        <v>31.96</v>
      </c>
    </row>
    <row r="19" spans="1:6" s="538" customFormat="1" ht="45">
      <c r="A19" s="354">
        <v>4813</v>
      </c>
      <c r="B19" s="355" t="s">
        <v>542</v>
      </c>
      <c r="C19" s="354" t="s">
        <v>543</v>
      </c>
      <c r="D19" s="356" t="s">
        <v>539</v>
      </c>
      <c r="E19" s="357">
        <v>225</v>
      </c>
      <c r="F19" s="357">
        <f t="shared" si="0"/>
        <v>225</v>
      </c>
    </row>
    <row r="20" spans="1:6" s="538" customFormat="1" ht="30">
      <c r="A20" s="354">
        <v>5075</v>
      </c>
      <c r="B20" s="355" t="s">
        <v>544</v>
      </c>
      <c r="C20" s="354" t="s">
        <v>545</v>
      </c>
      <c r="D20" s="356" t="s">
        <v>546</v>
      </c>
      <c r="E20" s="357">
        <v>16.02</v>
      </c>
      <c r="F20" s="357">
        <f t="shared" si="0"/>
        <v>1.76</v>
      </c>
    </row>
    <row r="21" spans="1:6" s="538" customFormat="1" ht="30">
      <c r="A21" s="354">
        <v>88262</v>
      </c>
      <c r="B21" s="355" t="s">
        <v>547</v>
      </c>
      <c r="C21" s="354" t="s">
        <v>548</v>
      </c>
      <c r="D21" s="356" t="s">
        <v>539</v>
      </c>
      <c r="E21" s="357">
        <v>17.48</v>
      </c>
      <c r="F21" s="357">
        <f t="shared" si="0"/>
        <v>17.48</v>
      </c>
    </row>
    <row r="22" spans="1:6" s="538" customFormat="1" ht="30">
      <c r="A22" s="354">
        <v>88316</v>
      </c>
      <c r="B22" s="355" t="s">
        <v>549</v>
      </c>
      <c r="C22" s="354" t="s">
        <v>548</v>
      </c>
      <c r="D22" s="356" t="s">
        <v>550</v>
      </c>
      <c r="E22" s="357">
        <v>14.02</v>
      </c>
      <c r="F22" s="357">
        <f t="shared" si="0"/>
        <v>28.04</v>
      </c>
    </row>
    <row r="23" spans="1:6" s="538" customFormat="1" ht="60">
      <c r="A23" s="358">
        <v>94962</v>
      </c>
      <c r="B23" s="359" t="s">
        <v>551</v>
      </c>
      <c r="C23" s="358" t="s">
        <v>552</v>
      </c>
      <c r="D23" s="360" t="s">
        <v>553</v>
      </c>
      <c r="E23" s="361">
        <v>296.02</v>
      </c>
      <c r="F23" s="361">
        <f t="shared" si="0"/>
        <v>2.96</v>
      </c>
    </row>
    <row r="24" spans="1:6" s="538" customFormat="1" ht="23.25" customHeight="1">
      <c r="A24" s="530" t="s">
        <v>554</v>
      </c>
      <c r="B24" s="530"/>
      <c r="C24" s="530"/>
      <c r="D24" s="530"/>
      <c r="E24" s="353" t="s">
        <v>522</v>
      </c>
      <c r="F24" s="353">
        <f>SUM(F17:F23)</f>
        <v>310.46000000000004</v>
      </c>
    </row>
    <row r="25" spans="1:6" s="538" customFormat="1" ht="23.25" customHeight="1">
      <c r="A25" s="362"/>
      <c r="B25" s="362"/>
      <c r="C25" s="362"/>
      <c r="D25" s="362"/>
      <c r="E25" s="362"/>
      <c r="F25" s="362"/>
    </row>
    <row r="26" spans="1:6" s="538" customFormat="1" ht="30.75" customHeight="1">
      <c r="A26" s="358"/>
      <c r="B26" s="540" t="s">
        <v>766</v>
      </c>
      <c r="C26" s="358"/>
      <c r="D26" s="358"/>
      <c r="E26" s="541"/>
      <c r="F26" s="541"/>
    </row>
    <row r="27" spans="1:6" s="538" customFormat="1" ht="23.25" customHeight="1">
      <c r="A27" s="358"/>
      <c r="B27" s="387" t="s">
        <v>767</v>
      </c>
      <c r="C27" s="358"/>
      <c r="D27" s="358"/>
      <c r="E27" s="541"/>
      <c r="F27" s="541"/>
    </row>
    <row r="28" spans="1:6" s="538" customFormat="1" ht="18.75" customHeight="1">
      <c r="A28" s="358"/>
      <c r="B28" s="542" t="s">
        <v>768</v>
      </c>
      <c r="C28" s="543" t="s">
        <v>769</v>
      </c>
      <c r="D28" s="543" t="s">
        <v>770</v>
      </c>
      <c r="E28" s="541" t="s">
        <v>771</v>
      </c>
      <c r="F28" s="541" t="s">
        <v>772</v>
      </c>
    </row>
    <row r="29" spans="1:6" s="538" customFormat="1" ht="18" customHeight="1">
      <c r="A29" s="358"/>
      <c r="B29" s="544" t="s">
        <v>566</v>
      </c>
      <c r="C29" s="358" t="s">
        <v>19</v>
      </c>
      <c r="D29" s="358">
        <v>0.05</v>
      </c>
      <c r="E29" s="545">
        <v>16.78</v>
      </c>
      <c r="F29" s="545">
        <f>D29*E29</f>
        <v>0.83900000000000008</v>
      </c>
    </row>
    <row r="30" spans="1:6" s="538" customFormat="1" ht="15.75" customHeight="1">
      <c r="A30" s="358"/>
      <c r="B30" s="544" t="s">
        <v>567</v>
      </c>
      <c r="C30" s="358" t="s">
        <v>19</v>
      </c>
      <c r="D30" s="358">
        <v>0.5</v>
      </c>
      <c r="E30" s="545">
        <v>13.34</v>
      </c>
      <c r="F30" s="545">
        <f>D30*E30</f>
        <v>6.67</v>
      </c>
    </row>
    <row r="31" spans="1:6" s="538" customFormat="1" ht="16.5" customHeight="1">
      <c r="A31" s="358"/>
      <c r="B31" s="546" t="s">
        <v>562</v>
      </c>
      <c r="C31" s="358"/>
      <c r="D31" s="358"/>
      <c r="E31" s="541"/>
      <c r="F31" s="541">
        <f>F29+F30</f>
        <v>7.5090000000000003</v>
      </c>
    </row>
    <row r="32" spans="1:6" s="538" customFormat="1" ht="23.25" customHeight="1">
      <c r="A32" s="358"/>
      <c r="B32" s="358" t="s">
        <v>773</v>
      </c>
      <c r="C32" s="358"/>
      <c r="D32" s="358"/>
      <c r="E32" s="541"/>
      <c r="F32" s="541"/>
    </row>
    <row r="33" spans="1:6" s="538" customFormat="1">
      <c r="A33" s="362"/>
      <c r="B33" s="362"/>
      <c r="C33" s="362"/>
      <c r="D33" s="362"/>
      <c r="E33" s="362"/>
      <c r="F33" s="362"/>
    </row>
    <row r="34" spans="1:6" s="538" customFormat="1" ht="15">
      <c r="A34" s="363" t="s">
        <v>41</v>
      </c>
      <c r="B34" s="364" t="s">
        <v>774</v>
      </c>
      <c r="C34" s="371"/>
      <c r="D34" s="484"/>
      <c r="E34" s="39"/>
      <c r="F34" s="374"/>
    </row>
    <row r="35" spans="1:6" s="538" customFormat="1">
      <c r="A35" s="369"/>
      <c r="B35" s="370" t="s">
        <v>570</v>
      </c>
      <c r="C35" s="371"/>
      <c r="D35" s="484"/>
      <c r="E35" s="39"/>
      <c r="F35" s="374"/>
    </row>
    <row r="36" spans="1:6" s="538" customFormat="1">
      <c r="A36" s="369"/>
      <c r="B36" s="45" t="s">
        <v>566</v>
      </c>
      <c r="C36" s="371" t="s">
        <v>19</v>
      </c>
      <c r="D36" s="484">
        <v>0.14000000000000001</v>
      </c>
      <c r="E36" s="39">
        <v>16.78</v>
      </c>
      <c r="F36" s="46">
        <f>D36*E36</f>
        <v>2.3492000000000002</v>
      </c>
    </row>
    <row r="37" spans="1:6" s="538" customFormat="1">
      <c r="A37" s="369"/>
      <c r="B37" s="45" t="s">
        <v>567</v>
      </c>
      <c r="C37" s="371" t="s">
        <v>19</v>
      </c>
      <c r="D37" s="484">
        <v>1.4</v>
      </c>
      <c r="E37" s="39">
        <v>13.39</v>
      </c>
      <c r="F37" s="547">
        <f>D37*E37</f>
        <v>18.745999999999999</v>
      </c>
    </row>
    <row r="38" spans="1:6" s="538" customFormat="1" ht="15">
      <c r="A38" s="369"/>
      <c r="B38" s="364" t="s">
        <v>562</v>
      </c>
      <c r="C38" s="371"/>
      <c r="D38" s="484"/>
      <c r="E38" s="39"/>
      <c r="F38" s="406">
        <f>F37+F36</f>
        <v>21.095199999999998</v>
      </c>
    </row>
    <row r="39" spans="1:6" s="538" customFormat="1">
      <c r="A39" s="384"/>
      <c r="B39" s="384"/>
      <c r="C39" s="384"/>
      <c r="D39" s="384"/>
      <c r="E39" s="384"/>
      <c r="F39" s="384"/>
    </row>
    <row r="40" spans="1:6" s="538" customFormat="1" ht="15">
      <c r="A40" s="369"/>
      <c r="B40" s="385" t="s">
        <v>564</v>
      </c>
      <c r="C40" s="386"/>
      <c r="D40" s="386"/>
      <c r="E40" s="387"/>
      <c r="F40" s="387"/>
    </row>
    <row r="41" spans="1:6" s="538" customFormat="1" ht="14.25">
      <c r="A41" s="369"/>
      <c r="B41" s="388" t="s">
        <v>565</v>
      </c>
      <c r="C41" s="387"/>
      <c r="D41" s="387"/>
      <c r="E41" s="387"/>
      <c r="F41" s="387"/>
    </row>
    <row r="42" spans="1:6" s="538" customFormat="1" ht="14.25">
      <c r="A42" s="369"/>
      <c r="B42" s="387" t="s">
        <v>564</v>
      </c>
      <c r="C42" s="387"/>
      <c r="D42" s="387"/>
      <c r="E42" s="387"/>
      <c r="F42" s="387"/>
    </row>
    <row r="43" spans="1:6" s="538" customFormat="1" ht="14.25">
      <c r="A43" s="369"/>
      <c r="B43" s="387" t="s">
        <v>775</v>
      </c>
      <c r="C43" s="387"/>
      <c r="D43" s="387"/>
      <c r="E43" s="387"/>
      <c r="F43" s="387"/>
    </row>
    <row r="44" spans="1:6" s="538" customFormat="1" ht="14.25">
      <c r="A44" s="369"/>
      <c r="B44" s="387" t="s">
        <v>566</v>
      </c>
      <c r="C44" s="387" t="s">
        <v>19</v>
      </c>
      <c r="D44" s="389">
        <v>1.3</v>
      </c>
      <c r="E44" s="387">
        <v>17.670000000000002</v>
      </c>
      <c r="F44" s="387">
        <f>TRUNC(D44*E44,2)</f>
        <v>22.97</v>
      </c>
    </row>
    <row r="45" spans="1:6" s="538" customFormat="1" ht="14.25">
      <c r="A45" s="369"/>
      <c r="B45" s="387" t="s">
        <v>567</v>
      </c>
      <c r="C45" s="387" t="s">
        <v>19</v>
      </c>
      <c r="D45" s="389">
        <v>13</v>
      </c>
      <c r="E45" s="387">
        <v>14.06</v>
      </c>
      <c r="F45" s="387">
        <f>TRUNC(D45*E45,2)</f>
        <v>182.78</v>
      </c>
    </row>
    <row r="46" spans="1:6" s="538" customFormat="1" ht="14.25">
      <c r="A46" s="369"/>
      <c r="B46" s="386" t="s">
        <v>562</v>
      </c>
      <c r="C46" s="387"/>
      <c r="D46" s="387"/>
      <c r="E46" s="387"/>
      <c r="F46" s="386">
        <f>TRUNC(F44+F45,2)</f>
        <v>205.75</v>
      </c>
    </row>
    <row r="47" spans="1:6" s="538" customFormat="1" ht="14.25" customHeight="1">
      <c r="A47" s="369"/>
      <c r="B47" s="390" t="s">
        <v>568</v>
      </c>
      <c r="C47" s="390"/>
      <c r="D47" s="390"/>
      <c r="E47" s="390"/>
      <c r="F47" s="390"/>
    </row>
    <row r="48" spans="1:6" s="538" customFormat="1" ht="14.25" customHeight="1">
      <c r="A48" s="384"/>
      <c r="B48" s="384"/>
      <c r="C48" s="384"/>
      <c r="D48" s="384"/>
      <c r="E48" s="384"/>
      <c r="F48" s="384"/>
    </row>
    <row r="49" spans="1:6" s="538" customFormat="1" ht="32.25" customHeight="1">
      <c r="A49" s="369"/>
      <c r="B49" s="429" t="s">
        <v>776</v>
      </c>
      <c r="C49" s="516"/>
      <c r="D49" s="516"/>
      <c r="E49" s="516"/>
      <c r="F49" s="516"/>
    </row>
    <row r="50" spans="1:6" s="538" customFormat="1" ht="14.25" customHeight="1">
      <c r="A50" s="369"/>
      <c r="B50" s="364" t="s">
        <v>777</v>
      </c>
      <c r="C50" s="387"/>
      <c r="D50" s="387"/>
      <c r="E50" s="387"/>
      <c r="F50" s="387"/>
    </row>
    <row r="51" spans="1:6" s="538" customFormat="1" ht="14.25" customHeight="1">
      <c r="A51" s="369"/>
      <c r="B51" s="387"/>
      <c r="C51" s="387"/>
      <c r="D51" s="387"/>
      <c r="E51" s="387"/>
      <c r="F51" s="387"/>
    </row>
    <row r="52" spans="1:6" s="538" customFormat="1" ht="14.25" customHeight="1">
      <c r="A52" s="369"/>
      <c r="B52" s="364" t="s">
        <v>571</v>
      </c>
      <c r="C52" s="387"/>
      <c r="D52" s="387"/>
      <c r="E52" s="387"/>
      <c r="F52" s="387"/>
    </row>
    <row r="53" spans="1:6" s="538" customFormat="1" ht="14.25" customHeight="1">
      <c r="A53" s="369"/>
      <c r="B53" s="376" t="s">
        <v>566</v>
      </c>
      <c r="C53" s="388" t="s">
        <v>19</v>
      </c>
      <c r="D53" s="387">
        <v>0.05</v>
      </c>
      <c r="E53" s="387">
        <v>17.670000000000002</v>
      </c>
      <c r="F53" s="387">
        <f>D53*E53</f>
        <v>0.88350000000000017</v>
      </c>
    </row>
    <row r="54" spans="1:6" s="538" customFormat="1" ht="14.25" customHeight="1">
      <c r="A54" s="369"/>
      <c r="B54" s="376" t="s">
        <v>567</v>
      </c>
      <c r="C54" s="388" t="s">
        <v>19</v>
      </c>
      <c r="D54" s="389">
        <v>1.5</v>
      </c>
      <c r="E54" s="387">
        <v>14.02</v>
      </c>
      <c r="F54" s="387">
        <f>D54*E54</f>
        <v>21.03</v>
      </c>
    </row>
    <row r="55" spans="1:6" s="538" customFormat="1" ht="14.25" customHeight="1">
      <c r="A55" s="369"/>
      <c r="B55" s="387"/>
      <c r="C55" s="387"/>
      <c r="D55" s="387"/>
      <c r="E55" s="387"/>
      <c r="F55" s="387"/>
    </row>
    <row r="56" spans="1:6" s="538" customFormat="1" ht="14.25" customHeight="1">
      <c r="A56" s="369"/>
      <c r="B56" s="386" t="s">
        <v>561</v>
      </c>
      <c r="C56" s="387"/>
      <c r="D56" s="387"/>
      <c r="E56" s="387"/>
      <c r="F56" s="548">
        <f>F53+F54</f>
        <v>21.913500000000003</v>
      </c>
    </row>
    <row r="57" spans="1:6" s="538" customFormat="1" ht="14.25" customHeight="1">
      <c r="A57" s="369"/>
      <c r="B57" s="27" t="s">
        <v>778</v>
      </c>
      <c r="C57"/>
      <c r="D57"/>
      <c r="E57"/>
      <c r="F57" s="191"/>
    </row>
    <row r="58" spans="1:6" s="538" customFormat="1">
      <c r="A58" s="384"/>
      <c r="B58" s="384"/>
      <c r="C58" s="384"/>
      <c r="D58" s="384"/>
      <c r="E58" s="384"/>
      <c r="F58" s="384"/>
    </row>
    <row r="59" spans="1:6" s="538" customFormat="1">
      <c r="A59" s="401"/>
      <c r="B59" s="404" t="s">
        <v>779</v>
      </c>
      <c r="C59" s="401"/>
      <c r="D59" s="401"/>
      <c r="E59" s="401"/>
      <c r="F59" s="401"/>
    </row>
    <row r="60" spans="1:6" s="538" customFormat="1">
      <c r="A60" s="401"/>
      <c r="B60" s="401" t="s">
        <v>645</v>
      </c>
      <c r="C60" s="401"/>
      <c r="D60" s="401"/>
      <c r="E60" s="401"/>
      <c r="F60" s="401"/>
    </row>
    <row r="61" spans="1:6" s="538" customFormat="1" ht="15">
      <c r="A61" s="401"/>
      <c r="B61" s="364" t="s">
        <v>571</v>
      </c>
      <c r="C61" s="401"/>
      <c r="D61" s="401"/>
      <c r="E61" s="401"/>
      <c r="F61" s="401"/>
    </row>
    <row r="62" spans="1:6" s="538" customFormat="1" ht="14.25">
      <c r="A62" s="401"/>
      <c r="B62" s="376" t="s">
        <v>567</v>
      </c>
      <c r="C62" s="388" t="s">
        <v>19</v>
      </c>
      <c r="D62" s="389">
        <v>1</v>
      </c>
      <c r="E62" s="387">
        <v>13.34</v>
      </c>
      <c r="F62" s="387">
        <f>D62*E62</f>
        <v>13.34</v>
      </c>
    </row>
    <row r="63" spans="1:6" s="538" customFormat="1">
      <c r="A63" s="401"/>
      <c r="B63" s="386" t="s">
        <v>561</v>
      </c>
      <c r="C63" s="401"/>
      <c r="D63" s="401"/>
      <c r="E63" s="401"/>
      <c r="F63" s="404">
        <v>13.34</v>
      </c>
    </row>
    <row r="64" spans="1:6" s="538" customFormat="1">
      <c r="A64" s="384"/>
      <c r="B64" s="384"/>
      <c r="C64" s="384"/>
      <c r="D64" s="384"/>
      <c r="E64" s="384"/>
      <c r="F64" s="384"/>
    </row>
    <row r="65" spans="1:18" s="538" customFormat="1">
      <c r="A65" s="401"/>
      <c r="B65" s="401"/>
      <c r="C65" s="401"/>
      <c r="D65" s="401"/>
      <c r="E65" s="401"/>
      <c r="F65" s="401"/>
    </row>
    <row r="66" spans="1:18" s="549" customFormat="1" ht="60">
      <c r="A66" s="391" t="s">
        <v>108</v>
      </c>
      <c r="B66" s="364" t="s">
        <v>569</v>
      </c>
      <c r="C66" s="392"/>
      <c r="D66" s="392"/>
      <c r="E66" s="392"/>
      <c r="F66" s="375"/>
      <c r="G66" s="538"/>
      <c r="H66" s="538"/>
      <c r="I66" s="549">
        <f>1961/219.66</f>
        <v>8.9274333060183917</v>
      </c>
      <c r="L66" s="549">
        <f>11/1.2</f>
        <v>9.1666666666666679</v>
      </c>
      <c r="O66" s="549">
        <f>10*12.4+10*6</f>
        <v>184</v>
      </c>
    </row>
    <row r="67" spans="1:18" s="549" customFormat="1" ht="15">
      <c r="A67" s="393"/>
      <c r="B67" s="364" t="s">
        <v>570</v>
      </c>
      <c r="C67" s="392"/>
      <c r="D67" s="392"/>
      <c r="E67" s="392"/>
      <c r="F67" s="375"/>
      <c r="G67" s="538"/>
      <c r="H67" s="538"/>
      <c r="I67" s="550"/>
      <c r="K67" s="550"/>
    </row>
    <row r="68" spans="1:18" s="549" customFormat="1" ht="15">
      <c r="A68" s="393"/>
      <c r="B68" s="364" t="s">
        <v>571</v>
      </c>
      <c r="C68" s="376"/>
      <c r="D68" s="392"/>
      <c r="E68" s="392"/>
      <c r="F68" s="375"/>
      <c r="G68" s="538"/>
      <c r="H68" s="538"/>
    </row>
    <row r="69" spans="1:18" s="549" customFormat="1" ht="14.25">
      <c r="A69" s="393"/>
      <c r="B69" s="376" t="s">
        <v>572</v>
      </c>
      <c r="C69" s="371" t="s">
        <v>19</v>
      </c>
      <c r="D69" s="394">
        <v>1</v>
      </c>
      <c r="E69" s="392">
        <v>17.579999999999998</v>
      </c>
      <c r="F69" s="375">
        <f>D69*E69</f>
        <v>17.579999999999998</v>
      </c>
      <c r="G69" s="551"/>
      <c r="H69" s="538"/>
      <c r="I69" s="550">
        <f>I68*127%</f>
        <v>0</v>
      </c>
    </row>
    <row r="70" spans="1:18" s="549" customFormat="1" ht="14.25">
      <c r="A70" s="393"/>
      <c r="B70" s="376" t="s">
        <v>573</v>
      </c>
      <c r="C70" s="371" t="s">
        <v>19</v>
      </c>
      <c r="D70" s="394">
        <v>1</v>
      </c>
      <c r="E70" s="392">
        <v>14.09</v>
      </c>
      <c r="F70" s="375">
        <f>D70*E70</f>
        <v>14.09</v>
      </c>
      <c r="G70" s="538"/>
      <c r="H70" s="538"/>
      <c r="I70" s="550"/>
      <c r="R70" s="549">
        <f>184/211.6</f>
        <v>0.86956521739130432</v>
      </c>
    </row>
    <row r="71" spans="1:18" s="549" customFormat="1" ht="15">
      <c r="A71" s="393"/>
      <c r="B71" s="364" t="s">
        <v>561</v>
      </c>
      <c r="C71" s="392"/>
      <c r="D71" s="392"/>
      <c r="E71" s="392"/>
      <c r="F71" s="381">
        <f>F70+F69</f>
        <v>31.669999999999998</v>
      </c>
      <c r="G71" s="538"/>
      <c r="H71" s="6">
        <f>(12*20+2*9)*31.67</f>
        <v>8170.8600000000006</v>
      </c>
      <c r="I71" s="552" t="s">
        <v>780</v>
      </c>
      <c r="J71" s="552"/>
      <c r="K71" s="552"/>
    </row>
    <row r="72" spans="1:18" s="549" customFormat="1" ht="15">
      <c r="A72" s="393"/>
      <c r="B72" s="364" t="s">
        <v>558</v>
      </c>
      <c r="C72" s="392"/>
      <c r="D72" s="392"/>
      <c r="E72" s="392"/>
      <c r="F72" s="375"/>
      <c r="G72" s="538"/>
      <c r="H72" s="6">
        <f>190/6</f>
        <v>31.666666666666668</v>
      </c>
      <c r="I72" s="41">
        <f>H71*0.4</f>
        <v>3268.3440000000005</v>
      </c>
      <c r="J72" s="41">
        <f>I72*127%</f>
        <v>4150.7968800000008</v>
      </c>
      <c r="K72" s="41">
        <f>J72+I72</f>
        <v>7419.1408800000008</v>
      </c>
    </row>
    <row r="73" spans="1:18" s="553" customFormat="1" ht="28.5">
      <c r="A73" s="393"/>
      <c r="B73" s="376" t="s">
        <v>574</v>
      </c>
      <c r="C73" s="392" t="s">
        <v>28</v>
      </c>
      <c r="D73" s="394">
        <v>0.99</v>
      </c>
      <c r="E73" s="392">
        <v>31.67</v>
      </c>
      <c r="F73" s="375">
        <f>D73*E73</f>
        <v>31.353300000000001</v>
      </c>
      <c r="G73" s="538"/>
      <c r="H73" s="6"/>
      <c r="I73" s="41">
        <f>H71+K72</f>
        <v>15590.000880000001</v>
      </c>
      <c r="J73" s="41"/>
      <c r="K73" s="41"/>
      <c r="O73" s="553">
        <f>148/163.2</f>
        <v>0.90686274509803932</v>
      </c>
    </row>
    <row r="74" spans="1:18" s="553" customFormat="1" ht="15">
      <c r="A74" s="393"/>
      <c r="B74" s="364" t="s">
        <v>561</v>
      </c>
      <c r="C74" s="392"/>
      <c r="D74" s="394"/>
      <c r="E74" s="392"/>
      <c r="F74" s="381">
        <f>F73</f>
        <v>31.353300000000001</v>
      </c>
      <c r="G74" s="538"/>
      <c r="H74" s="6"/>
      <c r="I74" s="41"/>
      <c r="J74" s="44"/>
      <c r="K74" s="41"/>
    </row>
    <row r="75" spans="1:18" s="553" customFormat="1" ht="15">
      <c r="A75" s="393"/>
      <c r="B75" s="364" t="s">
        <v>562</v>
      </c>
      <c r="C75" s="392"/>
      <c r="D75" s="394"/>
      <c r="E75" s="392"/>
      <c r="F75" s="381">
        <f>F74+F71</f>
        <v>63.023299999999999</v>
      </c>
      <c r="G75" s="538"/>
      <c r="H75" s="554">
        <v>70.97</v>
      </c>
      <c r="I75" s="41"/>
      <c r="J75" s="44"/>
      <c r="K75" s="41"/>
    </row>
    <row r="76" spans="1:18" s="553" customFormat="1" ht="14.25">
      <c r="A76" s="393"/>
      <c r="B76" s="376"/>
      <c r="C76" s="392"/>
      <c r="D76" s="394"/>
      <c r="E76" s="392"/>
      <c r="F76" s="375"/>
      <c r="G76" s="538"/>
      <c r="H76" s="538"/>
    </row>
    <row r="77" spans="1:18" s="553" customFormat="1" ht="28.5">
      <c r="A77" s="393"/>
      <c r="B77" s="376" t="s">
        <v>781</v>
      </c>
      <c r="C77" s="392"/>
      <c r="D77" s="394"/>
      <c r="E77" s="392"/>
      <c r="F77" s="375"/>
      <c r="G77" s="538"/>
      <c r="H77" s="538"/>
      <c r="K77" s="553">
        <v>163.19999999999999</v>
      </c>
      <c r="M77" s="553">
        <v>148</v>
      </c>
    </row>
    <row r="78" spans="1:18" s="553" customFormat="1" ht="14.25">
      <c r="A78" s="393"/>
      <c r="B78" s="376" t="s">
        <v>576</v>
      </c>
      <c r="C78" s="392"/>
      <c r="D78" s="394"/>
      <c r="E78" s="392"/>
      <c r="F78" s="375"/>
      <c r="G78" s="538"/>
      <c r="H78" s="538"/>
      <c r="K78" s="553">
        <v>1</v>
      </c>
    </row>
    <row r="79" spans="1:18" s="553" customFormat="1" ht="14.25">
      <c r="A79" s="393"/>
      <c r="B79" s="376" t="s">
        <v>577</v>
      </c>
      <c r="C79" s="392"/>
      <c r="D79" s="394"/>
      <c r="E79" s="392"/>
      <c r="F79" s="375"/>
      <c r="G79" s="538"/>
      <c r="H79" s="538"/>
    </row>
    <row r="80" spans="1:18" s="553" customFormat="1" ht="14.25">
      <c r="A80" s="393"/>
      <c r="B80" s="376" t="s">
        <v>578</v>
      </c>
      <c r="C80" s="392"/>
      <c r="D80" s="394"/>
      <c r="E80" s="392"/>
      <c r="F80" s="375"/>
      <c r="G80" s="538"/>
      <c r="H80" s="538"/>
    </row>
    <row r="81" spans="1:11" s="553" customFormat="1" ht="15">
      <c r="A81" s="395"/>
      <c r="B81" s="396"/>
      <c r="C81" s="397"/>
      <c r="D81" s="397"/>
      <c r="E81" s="397"/>
      <c r="F81" s="398"/>
      <c r="G81" s="538"/>
      <c r="H81" s="538"/>
    </row>
    <row r="82" spans="1:11" s="553" customFormat="1" ht="60" hidden="1">
      <c r="A82" s="555" t="s">
        <v>140</v>
      </c>
      <c r="B82" s="385" t="s">
        <v>782</v>
      </c>
      <c r="C82" s="556"/>
      <c r="D82" s="556"/>
      <c r="E82" s="556"/>
      <c r="F82" s="557"/>
      <c r="G82" s="538"/>
      <c r="H82" s="538"/>
    </row>
    <row r="83" spans="1:11" s="553" customFormat="1" ht="15" hidden="1">
      <c r="A83" s="558"/>
      <c r="B83" s="385" t="s">
        <v>570</v>
      </c>
      <c r="C83" s="556"/>
      <c r="D83" s="556"/>
      <c r="E83" s="556"/>
      <c r="F83" s="557"/>
      <c r="G83" s="538"/>
      <c r="H83" s="538"/>
    </row>
    <row r="84" spans="1:11" s="553" customFormat="1" ht="15" hidden="1">
      <c r="A84" s="558"/>
      <c r="B84" s="385" t="s">
        <v>571</v>
      </c>
      <c r="C84" s="559"/>
      <c r="D84" s="556"/>
      <c r="E84" s="556"/>
      <c r="F84" s="557"/>
      <c r="G84" s="538"/>
      <c r="H84" s="538"/>
    </row>
    <row r="85" spans="1:11" s="553" customFormat="1" ht="14.25" hidden="1">
      <c r="A85" s="558"/>
      <c r="B85" s="559" t="s">
        <v>572</v>
      </c>
      <c r="C85" s="371" t="s">
        <v>19</v>
      </c>
      <c r="D85" s="560">
        <v>60</v>
      </c>
      <c r="E85" s="556">
        <v>8.93</v>
      </c>
      <c r="F85" s="557">
        <f>D85*E85</f>
        <v>535.79999999999995</v>
      </c>
      <c r="G85" s="538"/>
      <c r="H85" s="538"/>
    </row>
    <row r="86" spans="1:11" s="553" customFormat="1" ht="14.25" hidden="1">
      <c r="A86" s="558"/>
      <c r="B86" s="559" t="s">
        <v>573</v>
      </c>
      <c r="C86" s="371" t="s">
        <v>19</v>
      </c>
      <c r="D86" s="560">
        <v>60</v>
      </c>
      <c r="E86" s="556">
        <v>5.95</v>
      </c>
      <c r="F86" s="557">
        <f>D86*E86</f>
        <v>357</v>
      </c>
      <c r="G86" s="538"/>
      <c r="H86" s="538"/>
    </row>
    <row r="87" spans="1:11" s="553" customFormat="1" ht="15" hidden="1">
      <c r="A87" s="558"/>
      <c r="B87" s="385" t="s">
        <v>561</v>
      </c>
      <c r="C87" s="556"/>
      <c r="D87" s="556"/>
      <c r="E87" s="556"/>
      <c r="F87" s="561">
        <f>F86+F85</f>
        <v>892.8</v>
      </c>
      <c r="G87" s="538"/>
      <c r="H87" s="538"/>
      <c r="K87" s="553">
        <f>E85+E86</f>
        <v>14.879999999999999</v>
      </c>
    </row>
    <row r="88" spans="1:11" s="553" customFormat="1" ht="15" hidden="1">
      <c r="A88" s="558"/>
      <c r="B88" s="385" t="s">
        <v>558</v>
      </c>
      <c r="C88" s="556"/>
      <c r="D88" s="556"/>
      <c r="E88" s="556"/>
      <c r="F88" s="557"/>
      <c r="G88" s="538"/>
      <c r="H88" s="538"/>
    </row>
    <row r="89" spans="1:11" s="553" customFormat="1" ht="14.25" hidden="1">
      <c r="A89" s="562"/>
      <c r="B89" s="559" t="s">
        <v>783</v>
      </c>
      <c r="C89" s="556" t="s">
        <v>25</v>
      </c>
      <c r="D89" s="560">
        <v>23.2</v>
      </c>
      <c r="E89" s="556">
        <v>59.22</v>
      </c>
      <c r="F89" s="557">
        <f>D89*E89</f>
        <v>1373.904</v>
      </c>
      <c r="G89" s="538"/>
      <c r="H89" s="538"/>
    </row>
    <row r="90" spans="1:11" s="553" customFormat="1" ht="14.25" hidden="1">
      <c r="A90" s="562"/>
      <c r="B90" s="559" t="s">
        <v>784</v>
      </c>
      <c r="C90" s="556" t="s">
        <v>28</v>
      </c>
      <c r="D90" s="560">
        <v>30</v>
      </c>
      <c r="E90" s="556">
        <v>17.5</v>
      </c>
      <c r="F90" s="557">
        <f>D90*E90</f>
        <v>525</v>
      </c>
      <c r="G90" s="538"/>
      <c r="H90" s="538"/>
    </row>
    <row r="91" spans="1:11" s="553" customFormat="1" ht="14.25" hidden="1">
      <c r="A91" s="562"/>
      <c r="B91" s="559" t="s">
        <v>785</v>
      </c>
      <c r="C91" s="556" t="s">
        <v>31</v>
      </c>
      <c r="D91" s="560">
        <v>12</v>
      </c>
      <c r="E91" s="556">
        <v>4.9000000000000004</v>
      </c>
      <c r="F91" s="557">
        <f>D91*E91</f>
        <v>58.800000000000004</v>
      </c>
      <c r="G91" s="538"/>
      <c r="H91" s="538"/>
      <c r="I91" s="563">
        <f>F94*0.4</f>
        <v>878.26559999999995</v>
      </c>
      <c r="K91" s="563">
        <f>I91/K87</f>
        <v>59.023225806451613</v>
      </c>
    </row>
    <row r="92" spans="1:11" s="553" customFormat="1" ht="14.25" hidden="1">
      <c r="A92" s="562"/>
      <c r="B92" s="559" t="s">
        <v>786</v>
      </c>
      <c r="C92" s="556" t="s">
        <v>28</v>
      </c>
      <c r="D92" s="560">
        <v>12</v>
      </c>
      <c r="E92" s="556">
        <v>19.829999999999998</v>
      </c>
      <c r="F92" s="557">
        <f>D92*E92</f>
        <v>237.95999999999998</v>
      </c>
      <c r="G92" s="538"/>
      <c r="H92" s="538"/>
    </row>
    <row r="93" spans="1:11" s="553" customFormat="1" ht="14.25" hidden="1">
      <c r="A93" s="562"/>
      <c r="B93" s="559"/>
      <c r="C93" s="556"/>
      <c r="D93" s="560"/>
      <c r="E93" s="556"/>
      <c r="F93" s="557"/>
      <c r="G93" s="538"/>
      <c r="H93" s="538"/>
    </row>
    <row r="94" spans="1:11" s="553" customFormat="1" ht="15" hidden="1">
      <c r="A94" s="562"/>
      <c r="B94" s="385" t="s">
        <v>561</v>
      </c>
      <c r="C94" s="556"/>
      <c r="D94" s="560"/>
      <c r="E94" s="556"/>
      <c r="F94" s="561">
        <f>F89+F90+F91+F92</f>
        <v>2195.6639999999998</v>
      </c>
      <c r="G94" s="538"/>
      <c r="H94" s="538"/>
    </row>
    <row r="95" spans="1:11" s="553" customFormat="1" ht="15" hidden="1">
      <c r="A95" s="562"/>
      <c r="B95" s="385" t="s">
        <v>562</v>
      </c>
      <c r="C95" s="556"/>
      <c r="D95" s="560"/>
      <c r="E95" s="556"/>
      <c r="F95" s="561">
        <f>F94+F87</f>
        <v>3088.4639999999999</v>
      </c>
      <c r="G95" s="538"/>
      <c r="H95" s="538"/>
    </row>
    <row r="96" spans="1:11" s="553" customFormat="1" ht="15" hidden="1">
      <c r="A96" s="562"/>
      <c r="B96" s="385" t="s">
        <v>787</v>
      </c>
      <c r="C96" s="556"/>
      <c r="D96" s="560"/>
      <c r="E96" s="556"/>
      <c r="F96" s="561">
        <f>F95/D89</f>
        <v>133.12344827586207</v>
      </c>
      <c r="G96" s="538"/>
      <c r="H96" s="538"/>
    </row>
    <row r="97" spans="1:9" s="553" customFormat="1" ht="14.25" hidden="1">
      <c r="A97" s="562"/>
      <c r="B97" s="559" t="s">
        <v>788</v>
      </c>
      <c r="C97" s="556"/>
      <c r="D97" s="560"/>
      <c r="E97" s="556"/>
      <c r="F97" s="557"/>
      <c r="G97" s="538"/>
      <c r="H97" s="538"/>
    </row>
    <row r="98" spans="1:9" s="553" customFormat="1" ht="14.25" hidden="1">
      <c r="A98" s="562"/>
      <c r="B98" s="559" t="s">
        <v>789</v>
      </c>
      <c r="C98" s="556"/>
      <c r="D98" s="560"/>
      <c r="E98" s="556"/>
      <c r="F98" s="557"/>
      <c r="G98" s="538"/>
      <c r="H98" s="538"/>
    </row>
    <row r="99" spans="1:9" s="553" customFormat="1" ht="14.25" hidden="1">
      <c r="A99" s="562"/>
      <c r="B99" s="559" t="s">
        <v>790</v>
      </c>
      <c r="C99" s="556"/>
      <c r="D99" s="560"/>
      <c r="E99" s="556"/>
      <c r="F99" s="557"/>
      <c r="G99" s="538"/>
      <c r="H99" s="538"/>
    </row>
    <row r="100" spans="1:9" s="553" customFormat="1" ht="14.25" hidden="1">
      <c r="A100" s="562"/>
      <c r="B100" s="559" t="s">
        <v>791</v>
      </c>
      <c r="C100" s="556"/>
      <c r="D100" s="560"/>
      <c r="E100" s="556"/>
      <c r="F100" s="557"/>
      <c r="G100" s="538"/>
      <c r="H100" s="538"/>
    </row>
    <row r="101" spans="1:9" s="553" customFormat="1" ht="14.25" hidden="1">
      <c r="A101" s="562"/>
      <c r="B101" s="559" t="s">
        <v>792</v>
      </c>
      <c r="C101" s="556"/>
      <c r="D101" s="560"/>
      <c r="E101" s="556"/>
      <c r="F101" s="557"/>
      <c r="G101" s="538"/>
      <c r="H101" s="538"/>
    </row>
    <row r="102" spans="1:9" s="553" customFormat="1" ht="14.25" hidden="1">
      <c r="A102" s="562"/>
      <c r="B102" s="564" t="s">
        <v>793</v>
      </c>
      <c r="C102" s="556"/>
      <c r="D102" s="560"/>
      <c r="E102" s="556"/>
      <c r="F102" s="557"/>
      <c r="G102" s="538"/>
      <c r="H102" s="538"/>
    </row>
    <row r="103" spans="1:9" s="553" customFormat="1" ht="14.25" hidden="1">
      <c r="A103" s="562"/>
      <c r="B103" s="559" t="s">
        <v>794</v>
      </c>
      <c r="C103" s="556"/>
      <c r="D103" s="560"/>
      <c r="E103" s="556"/>
      <c r="F103" s="557"/>
      <c r="G103" s="538"/>
      <c r="H103" s="538"/>
    </row>
    <row r="104" spans="1:9" s="567" customFormat="1" ht="15" hidden="1">
      <c r="A104" s="395"/>
      <c r="B104" s="396"/>
      <c r="C104" s="397"/>
      <c r="D104" s="397"/>
      <c r="E104" s="397"/>
      <c r="F104" s="398"/>
      <c r="G104" s="565"/>
      <c r="H104" s="566"/>
    </row>
    <row r="105" spans="1:9" s="568" customFormat="1" ht="30">
      <c r="A105" s="391" t="s">
        <v>795</v>
      </c>
      <c r="B105" s="364" t="s">
        <v>592</v>
      </c>
      <c r="C105" s="412"/>
      <c r="D105" s="412"/>
      <c r="E105" s="412"/>
      <c r="F105" s="381"/>
      <c r="G105" s="565"/>
      <c r="H105" s="566"/>
      <c r="I105" s="568">
        <f>186.6/187.85</f>
        <v>0.99334575459142938</v>
      </c>
    </row>
    <row r="106" spans="1:9" s="568" customFormat="1" ht="15">
      <c r="A106" s="391"/>
      <c r="B106" s="370" t="s">
        <v>593</v>
      </c>
      <c r="C106" s="412"/>
      <c r="D106" s="412"/>
      <c r="E106" s="412"/>
      <c r="F106" s="381"/>
      <c r="G106" s="565"/>
      <c r="H106" s="566"/>
    </row>
    <row r="107" spans="1:9" s="568" customFormat="1" ht="15">
      <c r="A107" s="391"/>
      <c r="B107" s="364" t="s">
        <v>571</v>
      </c>
      <c r="C107" s="412"/>
      <c r="D107" s="412"/>
      <c r="E107" s="412"/>
      <c r="F107" s="381"/>
      <c r="G107" s="565"/>
      <c r="H107" s="566"/>
    </row>
    <row r="108" spans="1:9" s="568" customFormat="1" ht="15">
      <c r="A108" s="391"/>
      <c r="B108" s="376" t="s">
        <v>566</v>
      </c>
      <c r="C108" s="392" t="s">
        <v>19</v>
      </c>
      <c r="D108" s="392">
        <v>1.6</v>
      </c>
      <c r="E108" s="392">
        <v>17.670000000000002</v>
      </c>
      <c r="F108" s="375">
        <f>D108*E108</f>
        <v>28.272000000000006</v>
      </c>
      <c r="G108" s="565"/>
      <c r="H108" s="566"/>
    </row>
    <row r="109" spans="1:9" s="568" customFormat="1" ht="15">
      <c r="A109" s="391"/>
      <c r="B109" s="376" t="s">
        <v>567</v>
      </c>
      <c r="C109" s="392" t="s">
        <v>19</v>
      </c>
      <c r="D109" s="392">
        <v>1.1000000000000001</v>
      </c>
      <c r="E109" s="392">
        <v>14.02</v>
      </c>
      <c r="F109" s="375">
        <f>D109*E109</f>
        <v>15.422000000000001</v>
      </c>
      <c r="G109" s="565"/>
      <c r="H109" s="566"/>
    </row>
    <row r="110" spans="1:9" s="568" customFormat="1" ht="15">
      <c r="A110" s="391"/>
      <c r="B110" s="364" t="s">
        <v>561</v>
      </c>
      <c r="C110" s="412"/>
      <c r="D110" s="412"/>
      <c r="E110" s="412"/>
      <c r="F110" s="381">
        <f>F109+F108</f>
        <v>43.694000000000003</v>
      </c>
      <c r="G110" s="565"/>
      <c r="H110" s="566"/>
    </row>
    <row r="111" spans="1:9" s="568" customFormat="1" ht="15">
      <c r="A111" s="391"/>
      <c r="B111" s="364" t="s">
        <v>558</v>
      </c>
      <c r="C111" s="412"/>
      <c r="D111" s="412"/>
      <c r="E111" s="412"/>
      <c r="F111" s="381"/>
      <c r="G111" s="565"/>
      <c r="H111" s="566"/>
    </row>
    <row r="112" spans="1:9" s="568" customFormat="1" ht="15">
      <c r="A112" s="391"/>
      <c r="B112" s="376" t="s">
        <v>594</v>
      </c>
      <c r="C112" s="392" t="s">
        <v>82</v>
      </c>
      <c r="D112" s="392">
        <v>1.3</v>
      </c>
      <c r="E112" s="394">
        <v>0.6</v>
      </c>
      <c r="F112" s="375">
        <f>D112*E112</f>
        <v>0.78</v>
      </c>
      <c r="G112" s="565"/>
      <c r="H112" s="566"/>
    </row>
    <row r="113" spans="1:12" s="568" customFormat="1" ht="28.5">
      <c r="A113" s="391"/>
      <c r="B113" s="376" t="s">
        <v>595</v>
      </c>
      <c r="C113" s="392" t="s">
        <v>25</v>
      </c>
      <c r="D113" s="392">
        <v>1.1000000000000001</v>
      </c>
      <c r="E113" s="394">
        <v>72</v>
      </c>
      <c r="F113" s="375">
        <f>D113*E113</f>
        <v>79.2</v>
      </c>
      <c r="G113" s="565"/>
      <c r="H113" s="566"/>
    </row>
    <row r="114" spans="1:12" s="568" customFormat="1" ht="42.75">
      <c r="A114" s="391"/>
      <c r="B114" s="376" t="s">
        <v>796</v>
      </c>
      <c r="C114" s="412" t="s">
        <v>54</v>
      </c>
      <c r="D114" s="412">
        <v>1.4999999999999999E-2</v>
      </c>
      <c r="E114" s="412">
        <v>263.25</v>
      </c>
      <c r="F114" s="375">
        <f>D114*E114</f>
        <v>3.94875</v>
      </c>
      <c r="G114" s="565"/>
      <c r="H114" s="566"/>
    </row>
    <row r="115" spans="1:12" s="568" customFormat="1" ht="15">
      <c r="A115" s="391"/>
      <c r="B115" s="364" t="s">
        <v>561</v>
      </c>
      <c r="C115" s="412"/>
      <c r="D115" s="412"/>
      <c r="E115" s="412"/>
      <c r="F115" s="381">
        <f>F114+F113+F112</f>
        <v>83.928750000000008</v>
      </c>
      <c r="G115" s="565"/>
      <c r="H115" s="566"/>
    </row>
    <row r="116" spans="1:12" s="568" customFormat="1" ht="15">
      <c r="A116" s="391"/>
      <c r="B116" s="364" t="s">
        <v>562</v>
      </c>
      <c r="C116" s="412"/>
      <c r="D116" s="412"/>
      <c r="E116" s="412"/>
      <c r="F116" s="381">
        <f>F115+F110</f>
        <v>127.62275000000001</v>
      </c>
      <c r="G116" s="565"/>
      <c r="H116" s="566"/>
    </row>
    <row r="117" spans="1:12" s="568" customFormat="1" ht="28.5">
      <c r="A117" s="391"/>
      <c r="B117" s="376" t="s">
        <v>797</v>
      </c>
      <c r="C117" s="412"/>
      <c r="D117" s="412"/>
      <c r="E117" s="412"/>
      <c r="F117" s="381"/>
      <c r="G117" s="565"/>
      <c r="H117" s="566"/>
    </row>
    <row r="118" spans="1:12" s="549" customFormat="1" ht="15">
      <c r="A118" s="395"/>
      <c r="B118" s="396"/>
      <c r="C118" s="397"/>
      <c r="D118" s="397"/>
      <c r="E118" s="397"/>
      <c r="F118" s="398"/>
      <c r="G118" s="538"/>
      <c r="H118" s="538"/>
      <c r="L118" s="569"/>
    </row>
    <row r="119" spans="1:12" s="549" customFormat="1" ht="45">
      <c r="A119" s="391" t="s">
        <v>211</v>
      </c>
      <c r="B119" s="364" t="s">
        <v>798</v>
      </c>
      <c r="C119" s="412"/>
      <c r="D119" s="419"/>
      <c r="E119" s="412"/>
      <c r="F119" s="381"/>
      <c r="G119" s="538"/>
      <c r="H119" s="538"/>
    </row>
    <row r="120" spans="1:12" s="549" customFormat="1" ht="15">
      <c r="A120" s="391"/>
      <c r="B120" s="370" t="s">
        <v>593</v>
      </c>
      <c r="C120" s="412"/>
      <c r="D120" s="419"/>
      <c r="E120" s="412"/>
      <c r="F120" s="381"/>
      <c r="G120" s="538"/>
      <c r="H120" s="538"/>
    </row>
    <row r="121" spans="1:12" s="549" customFormat="1" ht="15">
      <c r="A121" s="391"/>
      <c r="B121" s="364" t="s">
        <v>571</v>
      </c>
      <c r="C121" s="412"/>
      <c r="D121" s="419"/>
      <c r="E121" s="412"/>
      <c r="F121" s="381"/>
      <c r="G121" s="538"/>
      <c r="H121" s="538"/>
    </row>
    <row r="122" spans="1:12" s="549" customFormat="1" ht="14.25">
      <c r="A122" s="393"/>
      <c r="B122" s="376" t="s">
        <v>799</v>
      </c>
      <c r="C122" s="392" t="s">
        <v>19</v>
      </c>
      <c r="D122" s="394">
        <v>0.04</v>
      </c>
      <c r="E122" s="392">
        <v>9.23</v>
      </c>
      <c r="F122" s="375">
        <f>D122*E122</f>
        <v>0.36920000000000003</v>
      </c>
      <c r="G122" s="538"/>
      <c r="H122" s="538"/>
    </row>
    <row r="123" spans="1:12" s="549" customFormat="1" ht="14.25">
      <c r="A123" s="393"/>
      <c r="B123" s="376" t="s">
        <v>800</v>
      </c>
      <c r="C123" s="392" t="s">
        <v>19</v>
      </c>
      <c r="D123" s="394">
        <v>0.08</v>
      </c>
      <c r="E123" s="392">
        <v>12.27</v>
      </c>
      <c r="F123" s="375">
        <f>D123*E123</f>
        <v>0.98160000000000003</v>
      </c>
      <c r="G123" s="538"/>
      <c r="H123" s="538"/>
    </row>
    <row r="124" spans="1:12" s="549" customFormat="1" ht="15">
      <c r="A124" s="393"/>
      <c r="B124" s="364" t="s">
        <v>561</v>
      </c>
      <c r="C124" s="392"/>
      <c r="D124" s="394"/>
      <c r="E124" s="392"/>
      <c r="F124" s="381">
        <f>F123+F122</f>
        <v>1.3508</v>
      </c>
      <c r="G124" s="538"/>
      <c r="H124" s="538"/>
    </row>
    <row r="125" spans="1:12" s="549" customFormat="1" ht="15">
      <c r="A125" s="393"/>
      <c r="B125" s="364" t="s">
        <v>558</v>
      </c>
      <c r="C125" s="392"/>
      <c r="D125" s="394"/>
      <c r="E125" s="392"/>
      <c r="F125" s="375"/>
      <c r="G125" s="538"/>
      <c r="H125" s="538"/>
    </row>
    <row r="126" spans="1:12" s="549" customFormat="1" ht="14.25">
      <c r="A126" s="393"/>
      <c r="B126" s="376" t="s">
        <v>801</v>
      </c>
      <c r="C126" s="392" t="s">
        <v>802</v>
      </c>
      <c r="D126" s="394">
        <v>0.01</v>
      </c>
      <c r="E126" s="392">
        <v>5.39</v>
      </c>
      <c r="F126" s="375">
        <v>0.05</v>
      </c>
      <c r="G126" s="538"/>
      <c r="H126" s="538"/>
    </row>
    <row r="127" spans="1:12" s="549" customFormat="1" ht="14.25">
      <c r="A127" s="393"/>
      <c r="B127" s="376" t="s">
        <v>803</v>
      </c>
      <c r="C127" s="392" t="s">
        <v>31</v>
      </c>
      <c r="D127" s="394">
        <v>0.25</v>
      </c>
      <c r="E127" s="392">
        <v>2.17</v>
      </c>
      <c r="F127" s="375">
        <v>0.54</v>
      </c>
      <c r="G127" s="538"/>
      <c r="H127" s="538"/>
    </row>
    <row r="128" spans="1:12" s="549" customFormat="1" ht="14.25">
      <c r="A128" s="393"/>
      <c r="B128" s="376" t="s">
        <v>804</v>
      </c>
      <c r="C128" s="392" t="s">
        <v>802</v>
      </c>
      <c r="D128" s="394">
        <v>0.12</v>
      </c>
      <c r="E128" s="392">
        <v>18.670000000000002</v>
      </c>
      <c r="F128" s="375">
        <v>2.2400000000000002</v>
      </c>
      <c r="G128" s="538"/>
      <c r="H128" s="538"/>
    </row>
    <row r="129" spans="1:12" s="549" customFormat="1" ht="15">
      <c r="A129" s="391"/>
      <c r="B129" s="364" t="s">
        <v>561</v>
      </c>
      <c r="C129" s="412"/>
      <c r="D129" s="419"/>
      <c r="E129" s="412"/>
      <c r="F129" s="381">
        <f>F128+F127+F126</f>
        <v>2.83</v>
      </c>
      <c r="G129" s="538"/>
      <c r="H129" s="538"/>
    </row>
    <row r="130" spans="1:12" s="549" customFormat="1" ht="15">
      <c r="A130" s="391"/>
      <c r="B130" s="364" t="s">
        <v>562</v>
      </c>
      <c r="C130" s="412"/>
      <c r="D130" s="419"/>
      <c r="E130" s="412"/>
      <c r="F130" s="381">
        <f>F124+F129</f>
        <v>4.1807999999999996</v>
      </c>
      <c r="G130" s="538"/>
      <c r="H130" s="538"/>
    </row>
    <row r="131" spans="1:12" s="549" customFormat="1" ht="15">
      <c r="A131" s="395"/>
      <c r="B131" s="396"/>
      <c r="C131" s="397"/>
      <c r="D131" s="397"/>
      <c r="E131" s="397"/>
      <c r="F131" s="398"/>
      <c r="G131" s="538"/>
      <c r="H131" s="538"/>
      <c r="L131" s="569"/>
    </row>
    <row r="132" spans="1:12" s="549" customFormat="1" ht="45">
      <c r="A132" s="391" t="s">
        <v>213</v>
      </c>
      <c r="B132" s="364" t="s">
        <v>805</v>
      </c>
      <c r="C132" s="412"/>
      <c r="D132" s="419"/>
      <c r="E132" s="412"/>
      <c r="F132" s="381"/>
      <c r="G132" s="538"/>
      <c r="H132" s="538"/>
    </row>
    <row r="133" spans="1:12" s="549" customFormat="1" ht="15">
      <c r="A133" s="391"/>
      <c r="B133" s="370" t="s">
        <v>593</v>
      </c>
      <c r="C133" s="412"/>
      <c r="D133" s="419"/>
      <c r="E133" s="412"/>
      <c r="F133" s="381"/>
      <c r="G133" s="538"/>
      <c r="H133" s="538"/>
    </row>
    <row r="134" spans="1:12" s="549" customFormat="1" ht="15">
      <c r="A134" s="391"/>
      <c r="B134" s="364" t="s">
        <v>571</v>
      </c>
      <c r="C134" s="412"/>
      <c r="D134" s="419"/>
      <c r="E134" s="412"/>
      <c r="F134" s="381"/>
      <c r="G134" s="538"/>
      <c r="H134" s="538"/>
    </row>
    <row r="135" spans="1:12" s="549" customFormat="1" ht="14.25">
      <c r="A135" s="393"/>
      <c r="B135" s="376" t="s">
        <v>799</v>
      </c>
      <c r="C135" s="392" t="s">
        <v>19</v>
      </c>
      <c r="D135" s="394">
        <v>7.0000000000000007E-2</v>
      </c>
      <c r="E135" s="392">
        <v>9.23</v>
      </c>
      <c r="F135" s="375">
        <f>D135*E135</f>
        <v>0.64610000000000012</v>
      </c>
      <c r="G135" s="538"/>
      <c r="H135" s="538"/>
    </row>
    <row r="136" spans="1:12" s="549" customFormat="1" ht="14.25">
      <c r="A136" s="393"/>
      <c r="B136" s="376" t="s">
        <v>800</v>
      </c>
      <c r="C136" s="392" t="s">
        <v>19</v>
      </c>
      <c r="D136" s="394">
        <v>0.13</v>
      </c>
      <c r="E136" s="392">
        <v>12.27</v>
      </c>
      <c r="F136" s="375">
        <f>D136*E136</f>
        <v>1.5951</v>
      </c>
      <c r="G136" s="538"/>
      <c r="H136" s="538"/>
    </row>
    <row r="137" spans="1:12" s="549" customFormat="1" ht="15">
      <c r="A137" s="393"/>
      <c r="B137" s="364" t="s">
        <v>561</v>
      </c>
      <c r="C137" s="392"/>
      <c r="D137" s="394"/>
      <c r="E137" s="392"/>
      <c r="F137" s="381">
        <f>F136+F135</f>
        <v>2.2412000000000001</v>
      </c>
      <c r="G137" s="538"/>
      <c r="H137" s="538"/>
    </row>
    <row r="138" spans="1:12" s="549" customFormat="1" ht="15">
      <c r="A138" s="393"/>
      <c r="B138" s="364" t="s">
        <v>558</v>
      </c>
      <c r="C138" s="392"/>
      <c r="D138" s="394"/>
      <c r="E138" s="392"/>
      <c r="F138" s="375"/>
      <c r="G138" s="538"/>
      <c r="H138" s="538"/>
    </row>
    <row r="139" spans="1:12" s="549" customFormat="1" ht="14.25">
      <c r="A139" s="393"/>
      <c r="B139" s="376" t="s">
        <v>801</v>
      </c>
      <c r="C139" s="392" t="s">
        <v>802</v>
      </c>
      <c r="D139" s="394">
        <v>0.03</v>
      </c>
      <c r="E139" s="392">
        <v>5.39</v>
      </c>
      <c r="F139" s="375">
        <f>D139*E139</f>
        <v>0.16169999999999998</v>
      </c>
      <c r="G139" s="538"/>
      <c r="H139" s="538"/>
    </row>
    <row r="140" spans="1:12" s="549" customFormat="1" ht="14.25">
      <c r="A140" s="393"/>
      <c r="B140" s="376" t="s">
        <v>803</v>
      </c>
      <c r="C140" s="392" t="s">
        <v>31</v>
      </c>
      <c r="D140" s="394">
        <v>0.25</v>
      </c>
      <c r="E140" s="392">
        <v>2.17</v>
      </c>
      <c r="F140" s="375">
        <f>D140*E140</f>
        <v>0.54249999999999998</v>
      </c>
      <c r="G140" s="538"/>
      <c r="H140" s="538"/>
    </row>
    <row r="141" spans="1:12" s="549" customFormat="1" ht="14.25">
      <c r="A141" s="393"/>
      <c r="B141" s="376" t="s">
        <v>806</v>
      </c>
      <c r="C141" s="392" t="s">
        <v>802</v>
      </c>
      <c r="D141" s="394">
        <v>0.16</v>
      </c>
      <c r="E141" s="392">
        <v>14.51</v>
      </c>
      <c r="F141" s="375">
        <f>D141*E141</f>
        <v>2.3216000000000001</v>
      </c>
      <c r="G141" s="538"/>
      <c r="H141" s="538"/>
    </row>
    <row r="142" spans="1:12" s="549" customFormat="1" ht="15">
      <c r="A142" s="391"/>
      <c r="B142" s="364" t="s">
        <v>561</v>
      </c>
      <c r="C142" s="412"/>
      <c r="D142" s="419"/>
      <c r="E142" s="412"/>
      <c r="F142" s="381">
        <f>F141+F140+F139</f>
        <v>3.0258000000000003</v>
      </c>
      <c r="G142" s="538"/>
      <c r="H142" s="538"/>
    </row>
    <row r="143" spans="1:12" s="549" customFormat="1" ht="15">
      <c r="A143" s="391"/>
      <c r="B143" s="364" t="s">
        <v>562</v>
      </c>
      <c r="C143" s="412"/>
      <c r="D143" s="419"/>
      <c r="E143" s="412"/>
      <c r="F143" s="381">
        <f>F137+F142</f>
        <v>5.2670000000000003</v>
      </c>
      <c r="G143" s="538"/>
      <c r="H143" s="538"/>
    </row>
    <row r="144" spans="1:12" s="539" customFormat="1" ht="15">
      <c r="A144" s="395"/>
      <c r="B144" s="396"/>
      <c r="C144" s="396"/>
      <c r="D144" s="396"/>
      <c r="E144" s="396"/>
      <c r="F144" s="396"/>
      <c r="G144" s="538"/>
      <c r="H144" s="538"/>
    </row>
    <row r="145" spans="1:8" s="534" customFormat="1" ht="51.75" customHeight="1">
      <c r="A145" s="391" t="s">
        <v>448</v>
      </c>
      <c r="B145" s="364" t="s">
        <v>717</v>
      </c>
      <c r="C145" s="371"/>
      <c r="D145" s="484"/>
      <c r="E145" s="39"/>
      <c r="F145" s="39"/>
    </row>
    <row r="146" spans="1:8" s="534" customFormat="1" ht="19.5" customHeight="1">
      <c r="A146" s="393"/>
      <c r="B146" s="370" t="s">
        <v>557</v>
      </c>
      <c r="C146" s="371"/>
      <c r="D146" s="484"/>
      <c r="E146" s="39"/>
      <c r="F146" s="39"/>
    </row>
    <row r="147" spans="1:8" s="534" customFormat="1" ht="19.5" customHeight="1">
      <c r="A147" s="393"/>
      <c r="B147" s="364" t="s">
        <v>571</v>
      </c>
      <c r="C147" s="371"/>
      <c r="D147" s="484"/>
      <c r="E147" s="39"/>
      <c r="F147" s="39"/>
    </row>
    <row r="148" spans="1:8" s="534" customFormat="1" ht="19.5" customHeight="1">
      <c r="A148" s="393"/>
      <c r="B148" s="376" t="s">
        <v>567</v>
      </c>
      <c r="C148" s="371" t="s">
        <v>19</v>
      </c>
      <c r="D148" s="484">
        <v>1</v>
      </c>
      <c r="E148" s="39">
        <v>9.1199999999999992</v>
      </c>
      <c r="F148" s="39">
        <f>D148*E148</f>
        <v>9.1199999999999992</v>
      </c>
    </row>
    <row r="149" spans="1:8" s="534" customFormat="1" ht="19.5" customHeight="1">
      <c r="A149" s="393"/>
      <c r="B149" s="376" t="s">
        <v>566</v>
      </c>
      <c r="C149" s="371" t="s">
        <v>19</v>
      </c>
      <c r="D149" s="484">
        <v>1</v>
      </c>
      <c r="E149" s="39">
        <v>12.27</v>
      </c>
      <c r="F149" s="39">
        <f>D149*E149</f>
        <v>12.27</v>
      </c>
    </row>
    <row r="150" spans="1:8" s="534" customFormat="1" ht="19.5" customHeight="1">
      <c r="A150" s="393"/>
      <c r="B150" s="364" t="s">
        <v>561</v>
      </c>
      <c r="C150" s="371"/>
      <c r="D150" s="484"/>
      <c r="E150" s="39"/>
      <c r="F150" s="485">
        <f>F148+F149</f>
        <v>21.39</v>
      </c>
    </row>
    <row r="151" spans="1:8" s="534" customFormat="1" ht="19.5" customHeight="1">
      <c r="A151" s="393"/>
      <c r="B151" s="364" t="s">
        <v>558</v>
      </c>
      <c r="C151" s="371"/>
      <c r="D151" s="484"/>
      <c r="E151" s="39"/>
      <c r="F151" s="39"/>
    </row>
    <row r="152" spans="1:8" s="534" customFormat="1" ht="19.5" customHeight="1">
      <c r="A152" s="393" t="s">
        <v>712</v>
      </c>
      <c r="B152" s="376" t="s">
        <v>718</v>
      </c>
      <c r="C152" s="371" t="s">
        <v>31</v>
      </c>
      <c r="D152" s="484">
        <v>2</v>
      </c>
      <c r="E152" s="39">
        <v>121.99</v>
      </c>
      <c r="F152" s="39">
        <f>D152*E152</f>
        <v>243.98</v>
      </c>
    </row>
    <row r="153" spans="1:8" s="534" customFormat="1" ht="19.5" customHeight="1">
      <c r="A153" s="393"/>
      <c r="B153" s="364" t="s">
        <v>561</v>
      </c>
      <c r="C153" s="371"/>
      <c r="D153" s="484"/>
      <c r="E153" s="39"/>
      <c r="F153" s="485">
        <f>F152</f>
        <v>243.98</v>
      </c>
    </row>
    <row r="154" spans="1:8" s="534" customFormat="1" ht="15">
      <c r="A154" s="486"/>
      <c r="B154" s="364" t="s">
        <v>562</v>
      </c>
      <c r="C154" s="371"/>
      <c r="D154" s="484"/>
      <c r="E154" s="39"/>
      <c r="F154" s="381">
        <f>F153+F150</f>
        <v>265.37</v>
      </c>
    </row>
    <row r="155" spans="1:8" s="534" customFormat="1" ht="28.5">
      <c r="A155" s="486"/>
      <c r="B155" s="376" t="s">
        <v>719</v>
      </c>
      <c r="C155" s="371"/>
      <c r="D155" s="484"/>
      <c r="E155" s="39"/>
      <c r="F155" s="374"/>
    </row>
    <row r="156" spans="1:8" s="535" customFormat="1" ht="15">
      <c r="A156" s="482"/>
      <c r="B156" s="396"/>
      <c r="C156" s="490"/>
      <c r="D156" s="491"/>
      <c r="E156" s="492"/>
      <c r="F156" s="493"/>
      <c r="G156" s="534"/>
      <c r="H156" s="534"/>
    </row>
    <row r="157" spans="1:8" s="65" customFormat="1" ht="60">
      <c r="A157" s="391" t="s">
        <v>450</v>
      </c>
      <c r="B157" s="364" t="s">
        <v>711</v>
      </c>
      <c r="C157" s="371"/>
      <c r="D157" s="484"/>
      <c r="E157" s="39"/>
      <c r="F157" s="39"/>
      <c r="G157" s="534"/>
      <c r="H157" s="534"/>
    </row>
    <row r="158" spans="1:8" s="65" customFormat="1" ht="14.25">
      <c r="A158" s="393"/>
      <c r="B158" s="370" t="s">
        <v>557</v>
      </c>
      <c r="C158" s="371"/>
      <c r="D158" s="484"/>
      <c r="E158" s="39"/>
      <c r="F158" s="39"/>
      <c r="G158" s="534"/>
      <c r="H158" s="534"/>
    </row>
    <row r="159" spans="1:8" s="65" customFormat="1" ht="15">
      <c r="A159" s="393"/>
      <c r="B159" s="364" t="s">
        <v>571</v>
      </c>
      <c r="C159" s="371"/>
      <c r="D159" s="484"/>
      <c r="E159" s="39"/>
      <c r="F159" s="39"/>
      <c r="G159" s="534"/>
      <c r="H159" s="534"/>
    </row>
    <row r="160" spans="1:8" s="65" customFormat="1" ht="14.25">
      <c r="A160" s="393"/>
      <c r="B160" s="376" t="s">
        <v>567</v>
      </c>
      <c r="C160" s="371" t="s">
        <v>19</v>
      </c>
      <c r="D160" s="484">
        <v>1</v>
      </c>
      <c r="E160" s="39">
        <v>14.02</v>
      </c>
      <c r="F160" s="39">
        <f>D160*E160</f>
        <v>14.02</v>
      </c>
      <c r="G160" s="534"/>
      <c r="H160" s="534"/>
    </row>
    <row r="161" spans="1:8" s="65" customFormat="1" ht="14.25">
      <c r="A161" s="393"/>
      <c r="B161" s="376" t="s">
        <v>566</v>
      </c>
      <c r="C161" s="371" t="s">
        <v>19</v>
      </c>
      <c r="D161" s="484">
        <v>1</v>
      </c>
      <c r="E161" s="39">
        <v>17.670000000000002</v>
      </c>
      <c r="F161" s="39">
        <f>D161*E161</f>
        <v>17.670000000000002</v>
      </c>
      <c r="G161" s="534"/>
      <c r="H161" s="534"/>
    </row>
    <row r="162" spans="1:8" s="65" customFormat="1" ht="15">
      <c r="A162" s="393"/>
      <c r="B162" s="364" t="s">
        <v>561</v>
      </c>
      <c r="C162" s="371"/>
      <c r="D162" s="484"/>
      <c r="E162" s="39"/>
      <c r="F162" s="485">
        <f>F160+F161</f>
        <v>31.69</v>
      </c>
      <c r="G162" s="534"/>
      <c r="H162" s="534"/>
    </row>
    <row r="163" spans="1:8" s="65" customFormat="1" ht="15">
      <c r="A163" s="393"/>
      <c r="B163" s="364" t="s">
        <v>558</v>
      </c>
      <c r="C163" s="371"/>
      <c r="D163" s="484"/>
      <c r="E163" s="39"/>
      <c r="F163" s="39"/>
      <c r="G163" s="534"/>
      <c r="H163" s="534"/>
    </row>
    <row r="164" spans="1:8" s="65" customFormat="1" ht="14.25">
      <c r="A164" s="393" t="s">
        <v>712</v>
      </c>
      <c r="B164" s="376" t="s">
        <v>713</v>
      </c>
      <c r="C164" s="371" t="s">
        <v>31</v>
      </c>
      <c r="D164" s="484">
        <v>2</v>
      </c>
      <c r="E164" s="39">
        <v>121.99</v>
      </c>
      <c r="F164" s="39">
        <f>D164*E164</f>
        <v>243.98</v>
      </c>
      <c r="G164" s="534"/>
      <c r="H164" s="534"/>
    </row>
    <row r="165" spans="1:8" s="65" customFormat="1" ht="14.25">
      <c r="A165" s="393" t="s">
        <v>714</v>
      </c>
      <c r="B165" s="376" t="s">
        <v>715</v>
      </c>
      <c r="C165" s="371" t="s">
        <v>31</v>
      </c>
      <c r="D165" s="484">
        <v>2</v>
      </c>
      <c r="E165" s="39">
        <v>158.44</v>
      </c>
      <c r="F165" s="39">
        <f>D165*E165</f>
        <v>316.88</v>
      </c>
      <c r="G165" s="534"/>
      <c r="H165" s="534"/>
    </row>
    <row r="166" spans="1:8" s="65" customFormat="1" ht="15">
      <c r="A166" s="393"/>
      <c r="B166" s="364" t="s">
        <v>561</v>
      </c>
      <c r="C166" s="371"/>
      <c r="D166" s="484"/>
      <c r="E166" s="39"/>
      <c r="F166" s="485">
        <f>F164+F165</f>
        <v>560.86</v>
      </c>
      <c r="G166" s="534"/>
      <c r="H166" s="534"/>
    </row>
    <row r="167" spans="1:8" s="65" customFormat="1" ht="15">
      <c r="A167" s="486"/>
      <c r="B167" s="364" t="s">
        <v>562</v>
      </c>
      <c r="C167" s="371"/>
      <c r="D167" s="484"/>
      <c r="E167" s="39"/>
      <c r="F167" s="381">
        <f>F166+F162</f>
        <v>592.55000000000007</v>
      </c>
      <c r="G167" s="534"/>
      <c r="H167" s="534"/>
    </row>
    <row r="168" spans="1:8" s="65" customFormat="1" ht="14.25" thickBot="1">
      <c r="A168" s="486"/>
      <c r="B168" s="376" t="s">
        <v>716</v>
      </c>
      <c r="C168" s="371"/>
      <c r="D168" s="484"/>
      <c r="E168" s="39"/>
      <c r="F168" s="374"/>
      <c r="G168" s="534"/>
      <c r="H168" s="534"/>
    </row>
    <row r="169" spans="1:8" s="534" customFormat="1">
      <c r="A169" s="487"/>
      <c r="B169" s="488"/>
      <c r="C169" s="488"/>
      <c r="D169" s="488"/>
      <c r="E169" s="488"/>
      <c r="F169" s="489"/>
    </row>
    <row r="170" spans="1:8" s="534" customFormat="1" ht="63.75">
      <c r="A170" s="498" t="s">
        <v>510</v>
      </c>
      <c r="B170" s="499" t="s">
        <v>479</v>
      </c>
      <c r="C170" s="500"/>
      <c r="D170" s="500"/>
      <c r="E170" s="500"/>
      <c r="F170" s="501"/>
    </row>
    <row r="171" spans="1:8" s="534" customFormat="1">
      <c r="A171" s="502"/>
      <c r="B171" s="388"/>
      <c r="C171" s="388"/>
      <c r="D171" s="388"/>
      <c r="E171" s="388"/>
      <c r="F171" s="503"/>
    </row>
    <row r="172" spans="1:8" s="534" customFormat="1">
      <c r="A172" s="504">
        <v>88309</v>
      </c>
      <c r="B172" s="505" t="s">
        <v>739</v>
      </c>
      <c r="C172" s="505" t="s">
        <v>548</v>
      </c>
      <c r="D172" s="388">
        <v>0.28999999999999998</v>
      </c>
      <c r="E172" s="388">
        <v>17.670000000000002</v>
      </c>
      <c r="F172" s="503">
        <f>D172*E172</f>
        <v>5.1242999999999999</v>
      </c>
    </row>
    <row r="173" spans="1:8" s="534" customFormat="1">
      <c r="A173" s="504">
        <v>88316</v>
      </c>
      <c r="B173" s="505" t="s">
        <v>740</v>
      </c>
      <c r="C173" s="505" t="s">
        <v>548</v>
      </c>
      <c r="D173" s="388">
        <v>0.28999999999999998</v>
      </c>
      <c r="E173" s="388">
        <v>14.02</v>
      </c>
      <c r="F173" s="503">
        <f>D173*E173</f>
        <v>4.0657999999999994</v>
      </c>
    </row>
    <row r="174" spans="1:8" s="534" customFormat="1">
      <c r="A174" s="502"/>
      <c r="B174" s="388" t="s">
        <v>741</v>
      </c>
      <c r="C174" s="388"/>
      <c r="D174" s="388"/>
      <c r="E174" s="388"/>
      <c r="F174" s="503">
        <f>F172+F173</f>
        <v>9.1900999999999993</v>
      </c>
    </row>
    <row r="175" spans="1:8" s="534" customFormat="1">
      <c r="A175" s="502"/>
      <c r="B175" s="388"/>
      <c r="C175" s="388"/>
      <c r="D175" s="388"/>
      <c r="E175" s="388"/>
      <c r="F175" s="503"/>
    </row>
    <row r="176" spans="1:8" s="534" customFormat="1" ht="25.5">
      <c r="A176" s="506" t="s">
        <v>742</v>
      </c>
      <c r="B176" s="505" t="s">
        <v>743</v>
      </c>
      <c r="C176" s="388" t="s">
        <v>31</v>
      </c>
      <c r="D176" s="388">
        <v>1</v>
      </c>
      <c r="E176" s="388">
        <v>19.579999999999998</v>
      </c>
      <c r="F176" s="503">
        <f>D176*E176</f>
        <v>19.579999999999998</v>
      </c>
    </row>
    <row r="177" spans="1:12" s="534" customFormat="1" ht="25.5">
      <c r="A177" s="504">
        <v>34349</v>
      </c>
      <c r="B177" s="505" t="s">
        <v>744</v>
      </c>
      <c r="C177" s="388" t="s">
        <v>31</v>
      </c>
      <c r="D177" s="388">
        <v>0.5</v>
      </c>
      <c r="E177" s="507">
        <v>23.97</v>
      </c>
      <c r="F177" s="503">
        <f>D177*E177</f>
        <v>11.984999999999999</v>
      </c>
    </row>
    <row r="178" spans="1:12" s="534" customFormat="1" ht="25.5">
      <c r="A178" s="504">
        <v>90437</v>
      </c>
      <c r="B178" s="505" t="s">
        <v>745</v>
      </c>
      <c r="C178" s="388" t="s">
        <v>31</v>
      </c>
      <c r="D178" s="388">
        <v>0.125</v>
      </c>
      <c r="E178" s="507">
        <v>23.71</v>
      </c>
      <c r="F178" s="503">
        <f>D178*E178</f>
        <v>2.9637500000000001</v>
      </c>
    </row>
    <row r="179" spans="1:12" s="534" customFormat="1" ht="25.5">
      <c r="A179" s="504">
        <v>94974</v>
      </c>
      <c r="B179" s="505" t="s">
        <v>746</v>
      </c>
      <c r="C179" s="388" t="s">
        <v>54</v>
      </c>
      <c r="D179" s="388">
        <v>0.16300000000000001</v>
      </c>
      <c r="E179" s="507">
        <v>377.74</v>
      </c>
      <c r="F179" s="503">
        <f>D179*E179</f>
        <v>61.571620000000003</v>
      </c>
    </row>
    <row r="180" spans="1:12" s="534" customFormat="1">
      <c r="A180" s="502"/>
      <c r="B180" s="388" t="s">
        <v>747</v>
      </c>
      <c r="C180" s="388"/>
      <c r="D180" s="388"/>
      <c r="E180" s="388"/>
      <c r="F180" s="503">
        <f>F176+F177+F178+F179</f>
        <v>96.100369999999998</v>
      </c>
    </row>
    <row r="181" spans="1:12" s="534" customFormat="1">
      <c r="A181" s="509"/>
      <c r="B181" s="510" t="s">
        <v>748</v>
      </c>
      <c r="C181" s="511"/>
      <c r="D181" s="511"/>
      <c r="E181" s="511"/>
      <c r="F181" s="570">
        <f>F174+F180</f>
        <v>105.29047</v>
      </c>
    </row>
    <row r="182" spans="1:12" s="534" customFormat="1">
      <c r="A182" s="513"/>
      <c r="B182" s="513"/>
      <c r="C182" s="513"/>
      <c r="D182" s="513"/>
      <c r="E182" s="513"/>
      <c r="F182" s="513"/>
    </row>
    <row r="183" spans="1:12" s="535" customFormat="1" ht="15">
      <c r="A183" s="482"/>
      <c r="B183" s="396"/>
      <c r="C183" s="490"/>
      <c r="D183" s="491"/>
      <c r="E183" s="492"/>
      <c r="F183" s="493"/>
      <c r="G183" s="534"/>
      <c r="H183" s="534"/>
    </row>
    <row r="184" spans="1:12" s="65" customFormat="1" ht="63.75">
      <c r="A184" s="571" t="s">
        <v>807</v>
      </c>
      <c r="B184" s="400" t="s">
        <v>808</v>
      </c>
      <c r="C184" s="371"/>
      <c r="D184" s="484"/>
      <c r="E184" s="39"/>
      <c r="F184" s="374"/>
      <c r="G184" s="534"/>
      <c r="H184" s="534"/>
    </row>
    <row r="185" spans="1:12" s="65" customFormat="1">
      <c r="A185" s="486"/>
      <c r="B185" s="370" t="s">
        <v>570</v>
      </c>
      <c r="C185" s="371"/>
      <c r="D185" s="484"/>
      <c r="E185" s="39"/>
      <c r="F185" s="374"/>
      <c r="G185" s="534"/>
      <c r="H185" s="534"/>
    </row>
    <row r="186" spans="1:12" s="65" customFormat="1" ht="15">
      <c r="A186" s="486"/>
      <c r="B186" s="364" t="s">
        <v>571</v>
      </c>
      <c r="C186" s="371"/>
      <c r="D186" s="484"/>
      <c r="E186" s="39"/>
      <c r="F186" s="374"/>
      <c r="G186" s="534"/>
      <c r="H186" s="534"/>
    </row>
    <row r="187" spans="1:12" s="65" customFormat="1">
      <c r="A187" s="486"/>
      <c r="B187" s="45" t="s">
        <v>567</v>
      </c>
      <c r="C187" s="371" t="s">
        <v>19</v>
      </c>
      <c r="D187" s="484">
        <v>44</v>
      </c>
      <c r="E187" s="39">
        <v>14.02</v>
      </c>
      <c r="F187" s="375">
        <f>D187*E187</f>
        <v>616.88</v>
      </c>
      <c r="G187" s="534"/>
      <c r="H187" s="534"/>
    </row>
    <row r="188" spans="1:12" s="65" customFormat="1">
      <c r="A188" s="486"/>
      <c r="B188" s="45" t="s">
        <v>809</v>
      </c>
      <c r="C188" s="371" t="s">
        <v>19</v>
      </c>
      <c r="D188" s="484">
        <v>44</v>
      </c>
      <c r="E188" s="39">
        <v>18.239999999999998</v>
      </c>
      <c r="F188" s="375">
        <f>D188*E188</f>
        <v>802.56</v>
      </c>
      <c r="G188" s="534"/>
      <c r="H188" s="534"/>
    </row>
    <row r="189" spans="1:12" s="65" customFormat="1">
      <c r="A189" s="486"/>
      <c r="B189" s="45" t="s">
        <v>800</v>
      </c>
      <c r="C189" s="371" t="s">
        <v>19</v>
      </c>
      <c r="D189" s="484">
        <v>18</v>
      </c>
      <c r="E189" s="39">
        <v>18.68</v>
      </c>
      <c r="F189" s="375">
        <f>D189*E189</f>
        <v>336.24</v>
      </c>
      <c r="G189" s="534"/>
      <c r="H189" s="534"/>
    </row>
    <row r="190" spans="1:12" s="65" customFormat="1">
      <c r="A190" s="486"/>
      <c r="B190" s="45" t="s">
        <v>589</v>
      </c>
      <c r="C190" s="371" t="s">
        <v>19</v>
      </c>
      <c r="D190" s="484">
        <v>18</v>
      </c>
      <c r="E190" s="39">
        <v>14.83</v>
      </c>
      <c r="F190" s="375">
        <f>D190*E190</f>
        <v>266.94</v>
      </c>
      <c r="G190" s="534"/>
      <c r="H190" s="534"/>
    </row>
    <row r="191" spans="1:12" s="65" customFormat="1" ht="15">
      <c r="A191" s="486"/>
      <c r="B191" s="364" t="s">
        <v>561</v>
      </c>
      <c r="C191" s="371"/>
      <c r="D191" s="484"/>
      <c r="E191" s="39"/>
      <c r="F191" s="381">
        <f>F187+F188+F189+F190</f>
        <v>2022.6200000000001</v>
      </c>
      <c r="G191" s="534"/>
      <c r="H191" s="534"/>
      <c r="L191" s="572"/>
    </row>
    <row r="192" spans="1:12" s="65" customFormat="1" ht="15">
      <c r="A192" s="486"/>
      <c r="B192" s="364" t="s">
        <v>558</v>
      </c>
      <c r="C192" s="371"/>
      <c r="D192" s="484"/>
      <c r="E192" s="39"/>
      <c r="F192" s="375">
        <f t="shared" ref="F192:F200" si="1">D192*E192</f>
        <v>0</v>
      </c>
      <c r="G192" s="534"/>
      <c r="H192" s="534"/>
    </row>
    <row r="193" spans="1:14" s="65" customFormat="1" ht="22.5">
      <c r="A193" s="33">
        <v>94213</v>
      </c>
      <c r="B193" s="75" t="s">
        <v>117</v>
      </c>
      <c r="C193" s="371" t="s">
        <v>25</v>
      </c>
      <c r="D193" s="573">
        <v>13.8</v>
      </c>
      <c r="E193" s="574">
        <v>81.010000000000005</v>
      </c>
      <c r="F193" s="375">
        <f t="shared" si="1"/>
        <v>1117.9380000000001</v>
      </c>
      <c r="G193" s="534"/>
      <c r="H193" s="534"/>
    </row>
    <row r="194" spans="1:14" s="65" customFormat="1" ht="45">
      <c r="A194" s="33">
        <v>96116</v>
      </c>
      <c r="B194" s="75" t="s">
        <v>123</v>
      </c>
      <c r="C194" s="50" t="s">
        <v>25</v>
      </c>
      <c r="D194" s="573">
        <v>13.8</v>
      </c>
      <c r="E194" s="574">
        <v>52</v>
      </c>
      <c r="F194" s="375">
        <f t="shared" si="1"/>
        <v>717.6</v>
      </c>
      <c r="G194" s="534"/>
      <c r="H194" s="534"/>
    </row>
    <row r="195" spans="1:14" s="65" customFormat="1" ht="22.5">
      <c r="A195" s="486"/>
      <c r="B195" s="75" t="s">
        <v>810</v>
      </c>
      <c r="C195" s="371" t="s">
        <v>82</v>
      </c>
      <c r="D195" s="573">
        <v>216</v>
      </c>
      <c r="E195" s="574">
        <v>5.89</v>
      </c>
      <c r="F195" s="375">
        <f t="shared" si="1"/>
        <v>1272.24</v>
      </c>
      <c r="G195" s="105">
        <f>(3.5+3.5+4+4)*0.6*24</f>
        <v>216</v>
      </c>
      <c r="H195" s="534"/>
    </row>
    <row r="196" spans="1:14" s="65" customFormat="1">
      <c r="A196" s="486"/>
      <c r="B196" s="75" t="s">
        <v>811</v>
      </c>
      <c r="C196" s="371" t="s">
        <v>28</v>
      </c>
      <c r="D196" s="573">
        <v>24.4</v>
      </c>
      <c r="E196" s="574">
        <v>11.12</v>
      </c>
      <c r="F196" s="375">
        <f t="shared" si="1"/>
        <v>271.32799999999997</v>
      </c>
      <c r="G196" s="534">
        <f>3.5+3.5+3.5+3.5+4+4+0.6+0.6+0.6+0.6</f>
        <v>24.400000000000006</v>
      </c>
      <c r="H196" s="534"/>
    </row>
    <row r="197" spans="1:14" s="65" customFormat="1">
      <c r="A197" s="486"/>
      <c r="B197" s="75" t="s">
        <v>812</v>
      </c>
      <c r="C197" s="371" t="s">
        <v>25</v>
      </c>
      <c r="D197" s="573">
        <v>13.2</v>
      </c>
      <c r="E197" s="574">
        <v>18.64</v>
      </c>
      <c r="F197" s="375">
        <f t="shared" si="1"/>
        <v>246.048</v>
      </c>
      <c r="G197" s="534">
        <f>(3.5+3.5+4)*0.6*2</f>
        <v>13.2</v>
      </c>
      <c r="H197" s="534"/>
    </row>
    <row r="198" spans="1:14" s="65" customFormat="1" ht="22.5">
      <c r="A198" s="486"/>
      <c r="B198" s="75" t="s">
        <v>813</v>
      </c>
      <c r="C198" s="371" t="s">
        <v>31</v>
      </c>
      <c r="D198" s="573">
        <v>1</v>
      </c>
      <c r="E198" s="574">
        <v>600</v>
      </c>
      <c r="F198" s="375">
        <f t="shared" si="1"/>
        <v>600</v>
      </c>
      <c r="G198" s="534"/>
      <c r="H198" s="534"/>
      <c r="J198" s="65">
        <f>6379.23/13.8</f>
        <v>462.26304347826084</v>
      </c>
      <c r="M198" s="65">
        <f>471*13.8</f>
        <v>6499.8</v>
      </c>
    </row>
    <row r="199" spans="1:14" s="65" customFormat="1">
      <c r="A199" s="486"/>
      <c r="B199" s="75" t="s">
        <v>814</v>
      </c>
      <c r="C199" s="371" t="s">
        <v>28</v>
      </c>
      <c r="D199" s="573">
        <v>6</v>
      </c>
      <c r="E199" s="574">
        <v>16.760000000000002</v>
      </c>
      <c r="F199" s="375">
        <f t="shared" si="1"/>
        <v>100.56</v>
      </c>
      <c r="G199" s="534"/>
      <c r="H199" s="534"/>
    </row>
    <row r="200" spans="1:14" s="65" customFormat="1">
      <c r="A200" s="486"/>
      <c r="B200" s="45" t="s">
        <v>815</v>
      </c>
      <c r="C200" s="371" t="s">
        <v>31</v>
      </c>
      <c r="D200" s="573">
        <v>2</v>
      </c>
      <c r="E200" s="574">
        <v>15.45</v>
      </c>
      <c r="F200" s="375">
        <f t="shared" si="1"/>
        <v>30.9</v>
      </c>
      <c r="G200" s="534"/>
      <c r="H200" s="534"/>
      <c r="J200" s="572"/>
    </row>
    <row r="201" spans="1:14" s="65" customFormat="1" ht="15">
      <c r="A201" s="486"/>
      <c r="B201" s="364" t="s">
        <v>561</v>
      </c>
      <c r="C201" s="371"/>
      <c r="D201" s="573"/>
      <c r="E201" s="574"/>
      <c r="F201" s="381">
        <f>F199+F200+F198+F197+F196+F195+F194+F193</f>
        <v>4356.6139999999996</v>
      </c>
      <c r="G201" s="534"/>
      <c r="H201" s="534"/>
      <c r="N201" s="572"/>
    </row>
    <row r="202" spans="1:14" s="65" customFormat="1" ht="15">
      <c r="A202" s="486"/>
      <c r="B202" s="364" t="s">
        <v>562</v>
      </c>
      <c r="C202" s="371"/>
      <c r="D202" s="573"/>
      <c r="E202" s="574"/>
      <c r="F202" s="381">
        <f>F191+F201</f>
        <v>6379.2339999999995</v>
      </c>
      <c r="G202" s="534"/>
      <c r="H202" s="575"/>
    </row>
    <row r="203" spans="1:14" s="65" customFormat="1" ht="15">
      <c r="A203" s="486"/>
      <c r="B203" s="364" t="s">
        <v>816</v>
      </c>
      <c r="C203" s="371"/>
      <c r="D203" s="484"/>
      <c r="E203" s="39"/>
      <c r="F203" s="381">
        <v>462.26</v>
      </c>
      <c r="G203" s="534"/>
      <c r="H203" s="534"/>
      <c r="I203" s="572"/>
    </row>
    <row r="204" spans="1:14" s="65" customFormat="1">
      <c r="A204" s="486"/>
      <c r="B204" s="45" t="s">
        <v>817</v>
      </c>
      <c r="C204" s="371"/>
      <c r="D204" s="484"/>
      <c r="E204" s="39"/>
      <c r="F204" s="374"/>
      <c r="G204" s="534"/>
      <c r="H204" s="534"/>
      <c r="I204" s="572">
        <f>F202/D193</f>
        <v>462.26333333333326</v>
      </c>
    </row>
    <row r="205" spans="1:14" s="65" customFormat="1">
      <c r="A205" s="486"/>
      <c r="B205" s="45" t="s">
        <v>818</v>
      </c>
      <c r="C205" s="371">
        <f>66.7/6</f>
        <v>11.116666666666667</v>
      </c>
      <c r="D205" s="484"/>
      <c r="E205" s="39"/>
      <c r="F205" s="374"/>
      <c r="G205" s="534"/>
      <c r="H205" s="534"/>
      <c r="I205" s="572"/>
    </row>
    <row r="206" spans="1:14" s="65" customFormat="1">
      <c r="A206" s="576"/>
      <c r="B206" s="49"/>
      <c r="C206" s="473"/>
      <c r="D206" s="577"/>
      <c r="E206" s="578"/>
      <c r="F206" s="579"/>
      <c r="G206" s="534"/>
      <c r="H206" s="534"/>
    </row>
    <row r="207" spans="1:14" s="65" customFormat="1" ht="18" customHeight="1">
      <c r="A207" s="482"/>
      <c r="B207" s="396"/>
      <c r="C207" s="490"/>
      <c r="D207" s="491"/>
      <c r="E207" s="492"/>
      <c r="F207" s="493"/>
      <c r="G207" s="534"/>
      <c r="H207" s="534"/>
      <c r="I207" s="572"/>
      <c r="M207" s="572"/>
    </row>
    <row r="208" spans="1:14" s="65" customFormat="1" ht="15" hidden="1">
      <c r="A208" s="580"/>
      <c r="B208" s="581"/>
      <c r="C208" s="582"/>
      <c r="D208" s="583"/>
      <c r="E208" s="584"/>
      <c r="F208" s="585"/>
      <c r="G208" s="534"/>
      <c r="H208" s="534"/>
    </row>
    <row r="209" spans="1:8" s="65" customFormat="1" ht="15" hidden="1">
      <c r="A209" s="586"/>
      <c r="B209" s="587"/>
      <c r="C209" s="588"/>
      <c r="D209" s="589"/>
      <c r="E209" s="590"/>
      <c r="F209" s="591"/>
      <c r="G209" s="534"/>
      <c r="H209" s="534"/>
    </row>
    <row r="210" spans="1:8" s="65" customFormat="1" ht="15" hidden="1">
      <c r="A210" s="586"/>
      <c r="B210" s="587"/>
      <c r="C210" s="588"/>
      <c r="D210" s="589"/>
      <c r="E210" s="590"/>
      <c r="F210" s="591"/>
      <c r="G210" s="534"/>
      <c r="H210" s="534"/>
    </row>
    <row r="211" spans="1:8" s="65" customFormat="1" ht="15" hidden="1">
      <c r="A211" s="586"/>
      <c r="B211" s="587"/>
      <c r="C211" s="588"/>
      <c r="D211" s="589"/>
      <c r="E211" s="590"/>
      <c r="F211" s="591"/>
      <c r="G211" s="534"/>
      <c r="H211" s="534"/>
    </row>
    <row r="212" spans="1:8" s="65" customFormat="1" ht="15" hidden="1">
      <c r="A212" s="586"/>
      <c r="B212" s="587"/>
      <c r="C212" s="588"/>
      <c r="D212" s="589"/>
      <c r="E212" s="590"/>
      <c r="F212" s="591"/>
      <c r="G212" s="534"/>
      <c r="H212" s="534"/>
    </row>
    <row r="213" spans="1:8" s="65" customFormat="1" ht="15" hidden="1">
      <c r="A213" s="586"/>
      <c r="B213" s="587"/>
      <c r="C213" s="588"/>
      <c r="D213" s="589"/>
      <c r="E213" s="590"/>
      <c r="F213" s="591"/>
      <c r="G213" s="534"/>
      <c r="H213" s="534"/>
    </row>
    <row r="214" spans="1:8" s="65" customFormat="1" ht="15" hidden="1">
      <c r="A214" s="586"/>
      <c r="B214" s="587"/>
      <c r="C214" s="588"/>
      <c r="D214" s="589"/>
      <c r="E214" s="590"/>
      <c r="F214" s="591"/>
      <c r="G214" s="534"/>
      <c r="H214" s="534"/>
    </row>
    <row r="215" spans="1:8" s="65" customFormat="1" ht="15" hidden="1">
      <c r="A215" s="586"/>
      <c r="B215" s="587"/>
      <c r="C215" s="588"/>
      <c r="D215" s="589"/>
      <c r="E215" s="590"/>
      <c r="F215" s="591"/>
      <c r="G215" s="534"/>
      <c r="H215" s="534"/>
    </row>
    <row r="216" spans="1:8" s="65" customFormat="1" ht="15" hidden="1">
      <c r="A216" s="586"/>
      <c r="B216" s="587"/>
      <c r="C216" s="588"/>
      <c r="D216" s="589"/>
      <c r="E216" s="590"/>
      <c r="F216" s="591"/>
      <c r="G216" s="534"/>
      <c r="H216" s="534"/>
    </row>
    <row r="217" spans="1:8" s="65" customFormat="1" ht="15" hidden="1">
      <c r="A217" s="586"/>
      <c r="B217" s="385"/>
      <c r="C217" s="371"/>
      <c r="D217" s="484"/>
      <c r="E217" s="39"/>
      <c r="F217" s="591"/>
      <c r="G217" s="534"/>
      <c r="H217" s="534"/>
    </row>
    <row r="218" spans="1:8" ht="22.5">
      <c r="A218" s="391" t="s">
        <v>114</v>
      </c>
      <c r="B218" s="497" t="s">
        <v>819</v>
      </c>
      <c r="C218" s="392"/>
      <c r="D218" s="392"/>
      <c r="E218" s="392"/>
      <c r="F218" s="375"/>
    </row>
    <row r="219" spans="1:8" ht="15">
      <c r="A219" s="393"/>
      <c r="B219" s="364" t="s">
        <v>820</v>
      </c>
      <c r="C219" s="392"/>
      <c r="D219" s="392"/>
      <c r="E219" s="392"/>
      <c r="F219" s="375"/>
    </row>
    <row r="220" spans="1:8" ht="15">
      <c r="A220" s="393"/>
      <c r="B220" s="364" t="s">
        <v>571</v>
      </c>
      <c r="C220" s="376"/>
      <c r="D220" s="392"/>
      <c r="E220" s="392"/>
      <c r="F220" s="375"/>
    </row>
    <row r="221" spans="1:8" ht="14.25">
      <c r="A221" s="393"/>
      <c r="B221" s="376" t="s">
        <v>572</v>
      </c>
      <c r="C221" s="371" t="s">
        <v>19</v>
      </c>
      <c r="D221" s="394">
        <v>3</v>
      </c>
      <c r="E221" s="392">
        <v>11.6</v>
      </c>
      <c r="F221" s="375">
        <f>D221*E221</f>
        <v>34.799999999999997</v>
      </c>
    </row>
    <row r="222" spans="1:8" ht="14.25">
      <c r="A222" s="393"/>
      <c r="B222" s="376" t="s">
        <v>573</v>
      </c>
      <c r="C222" s="371" t="s">
        <v>19</v>
      </c>
      <c r="D222" s="394">
        <v>3</v>
      </c>
      <c r="E222" s="392">
        <v>9.1199999999999992</v>
      </c>
      <c r="F222" s="375">
        <f>D222*E222</f>
        <v>27.36</v>
      </c>
    </row>
    <row r="223" spans="1:8" ht="15">
      <c r="A223" s="393"/>
      <c r="B223" s="364" t="s">
        <v>561</v>
      </c>
      <c r="C223" s="392"/>
      <c r="D223" s="392"/>
      <c r="E223" s="392"/>
      <c r="F223" s="381">
        <f>F222+F221</f>
        <v>62.16</v>
      </c>
    </row>
    <row r="224" spans="1:8" ht="15">
      <c r="A224" s="393"/>
      <c r="B224" s="364" t="s">
        <v>558</v>
      </c>
      <c r="C224" s="392"/>
      <c r="D224" s="392"/>
      <c r="E224" s="392"/>
      <c r="F224" s="375"/>
    </row>
    <row r="225" spans="1:10" ht="28.5">
      <c r="A225" s="393"/>
      <c r="B225" s="376" t="s">
        <v>821</v>
      </c>
      <c r="C225" s="371" t="s">
        <v>28</v>
      </c>
      <c r="D225" s="394">
        <v>0.24</v>
      </c>
      <c r="E225" s="392">
        <v>67.83</v>
      </c>
      <c r="F225" s="375">
        <f>D225*E225</f>
        <v>16.279199999999999</v>
      </c>
      <c r="J225" s="316">
        <f>40/166.34</f>
        <v>0.24047132379463748</v>
      </c>
    </row>
    <row r="226" spans="1:10" ht="15">
      <c r="A226" s="393"/>
      <c r="B226" s="364" t="s">
        <v>561</v>
      </c>
      <c r="C226" s="392"/>
      <c r="D226" s="394"/>
      <c r="E226" s="392"/>
      <c r="F226" s="381">
        <f>F225</f>
        <v>16.279199999999999</v>
      </c>
    </row>
    <row r="227" spans="1:10" ht="15">
      <c r="A227" s="393"/>
      <c r="B227" s="364" t="s">
        <v>562</v>
      </c>
      <c r="C227" s="392"/>
      <c r="D227" s="394"/>
      <c r="E227" s="392"/>
      <c r="F227" s="381">
        <f>F226+F223</f>
        <v>78.4392</v>
      </c>
    </row>
    <row r="228" spans="1:10" ht="14.25">
      <c r="A228" s="393"/>
      <c r="B228" s="376"/>
      <c r="C228" s="392"/>
      <c r="D228" s="394"/>
      <c r="E228" s="392"/>
      <c r="F228" s="375"/>
    </row>
    <row r="229" spans="1:10" ht="28.5">
      <c r="A229" s="393"/>
      <c r="B229" s="376" t="s">
        <v>822</v>
      </c>
      <c r="C229" s="392"/>
      <c r="D229" s="394"/>
      <c r="E229" s="392"/>
      <c r="F229" s="375"/>
    </row>
    <row r="230" spans="1:10" ht="14.25">
      <c r="A230" s="393"/>
      <c r="B230" s="376" t="s">
        <v>823</v>
      </c>
      <c r="C230" s="392"/>
      <c r="D230" s="394"/>
      <c r="E230" s="392"/>
      <c r="F230" s="375"/>
      <c r="G230" s="316">
        <f>5*4*2</f>
        <v>40</v>
      </c>
      <c r="H230" s="534" t="s">
        <v>824</v>
      </c>
    </row>
    <row r="231" spans="1:10" ht="14.25">
      <c r="A231" s="393"/>
      <c r="B231" s="376" t="s">
        <v>825</v>
      </c>
      <c r="C231" s="392"/>
      <c r="D231" s="394"/>
      <c r="E231" s="392"/>
      <c r="F231" s="375"/>
    </row>
    <row r="232" spans="1:10" ht="14.25">
      <c r="A232" s="393"/>
      <c r="B232" s="376" t="s">
        <v>826</v>
      </c>
      <c r="C232" s="392"/>
      <c r="D232" s="394"/>
      <c r="E232" s="392"/>
      <c r="F232" s="375"/>
    </row>
    <row r="233" spans="1:10" ht="14.25">
      <c r="A233" s="482"/>
      <c r="B233" s="482"/>
      <c r="C233" s="482"/>
      <c r="D233" s="482"/>
      <c r="E233" s="482"/>
      <c r="F233" s="482"/>
    </row>
    <row r="234" spans="1:10" ht="22.5">
      <c r="A234" s="391" t="s">
        <v>116</v>
      </c>
      <c r="B234" s="497" t="s">
        <v>827</v>
      </c>
      <c r="C234" s="392"/>
      <c r="D234" s="392"/>
      <c r="E234" s="392"/>
      <c r="F234" s="375"/>
    </row>
    <row r="235" spans="1:10" ht="15">
      <c r="A235" s="393"/>
      <c r="B235" s="364" t="s">
        <v>820</v>
      </c>
      <c r="C235" s="392"/>
      <c r="D235" s="392"/>
      <c r="E235" s="392"/>
      <c r="F235" s="375"/>
    </row>
    <row r="236" spans="1:10" ht="15">
      <c r="A236" s="393"/>
      <c r="B236" s="364" t="s">
        <v>571</v>
      </c>
      <c r="C236" s="376"/>
      <c r="D236" s="392"/>
      <c r="E236" s="392"/>
      <c r="F236" s="375"/>
    </row>
    <row r="237" spans="1:10" ht="14.25">
      <c r="A237" s="393"/>
      <c r="B237" s="376" t="s">
        <v>572</v>
      </c>
      <c r="C237" s="371" t="s">
        <v>19</v>
      </c>
      <c r="D237" s="394">
        <v>3</v>
      </c>
      <c r="E237" s="392">
        <v>11.6</v>
      </c>
      <c r="F237" s="375">
        <f>D237*E237</f>
        <v>34.799999999999997</v>
      </c>
    </row>
    <row r="238" spans="1:10" ht="14.25">
      <c r="A238" s="393"/>
      <c r="B238" s="376" t="s">
        <v>573</v>
      </c>
      <c r="C238" s="371" t="s">
        <v>19</v>
      </c>
      <c r="D238" s="394">
        <v>3</v>
      </c>
      <c r="E238" s="392">
        <v>9.1199999999999992</v>
      </c>
      <c r="F238" s="375">
        <f>D238*E238</f>
        <v>27.36</v>
      </c>
    </row>
    <row r="239" spans="1:10" ht="15">
      <c r="A239" s="393"/>
      <c r="B239" s="364" t="s">
        <v>561</v>
      </c>
      <c r="C239" s="392"/>
      <c r="D239" s="392"/>
      <c r="E239" s="392"/>
      <c r="F239" s="381">
        <f>F238+F237</f>
        <v>62.16</v>
      </c>
    </row>
    <row r="240" spans="1:10" ht="15">
      <c r="A240" s="393"/>
      <c r="B240" s="364" t="s">
        <v>558</v>
      </c>
      <c r="C240" s="392"/>
      <c r="D240" s="392"/>
      <c r="E240" s="392"/>
      <c r="F240" s="375"/>
    </row>
    <row r="241" spans="1:10" ht="28.5">
      <c r="A241" s="393"/>
      <c r="B241" s="376" t="s">
        <v>828</v>
      </c>
      <c r="C241" s="371" t="s">
        <v>28</v>
      </c>
      <c r="D241" s="394">
        <v>0.25</v>
      </c>
      <c r="E241" s="392">
        <v>56.83</v>
      </c>
      <c r="F241" s="375">
        <f>D241*E241</f>
        <v>14.2075</v>
      </c>
    </row>
    <row r="242" spans="1:10" ht="15">
      <c r="A242" s="393"/>
      <c r="B242" s="364" t="s">
        <v>561</v>
      </c>
      <c r="C242" s="392"/>
      <c r="D242" s="394"/>
      <c r="E242" s="392"/>
      <c r="F242" s="381">
        <f>F241</f>
        <v>14.2075</v>
      </c>
    </row>
    <row r="243" spans="1:10" ht="15">
      <c r="A243" s="393"/>
      <c r="B243" s="364" t="s">
        <v>562</v>
      </c>
      <c r="C243" s="392"/>
      <c r="D243" s="394"/>
      <c r="E243" s="392"/>
      <c r="F243" s="381">
        <f>F242+F239</f>
        <v>76.367499999999993</v>
      </c>
    </row>
    <row r="244" spans="1:10" ht="14.25">
      <c r="A244" s="393"/>
      <c r="B244" s="376"/>
      <c r="C244" s="392"/>
      <c r="D244" s="394"/>
      <c r="E244" s="392"/>
      <c r="F244" s="375"/>
    </row>
    <row r="245" spans="1:10" ht="28.5">
      <c r="A245" s="393"/>
      <c r="B245" s="376" t="s">
        <v>829</v>
      </c>
      <c r="C245" s="392"/>
      <c r="D245" s="394"/>
      <c r="E245" s="392"/>
      <c r="F245" s="375"/>
      <c r="J245" s="316">
        <f>341/6</f>
        <v>56.833333333333336</v>
      </c>
    </row>
    <row r="246" spans="1:10" ht="14.25">
      <c r="A246" s="393"/>
      <c r="B246" s="376" t="s">
        <v>830</v>
      </c>
      <c r="C246" s="392"/>
      <c r="D246" s="394"/>
      <c r="E246" s="392"/>
      <c r="F246" s="375"/>
      <c r="G246" s="534">
        <f>6.5*4+4*4</f>
        <v>42</v>
      </c>
    </row>
    <row r="247" spans="1:10" ht="14.25">
      <c r="A247" s="393"/>
      <c r="B247" s="376" t="s">
        <v>831</v>
      </c>
      <c r="C247" s="392"/>
      <c r="D247" s="394"/>
      <c r="E247" s="392"/>
      <c r="F247" s="375"/>
    </row>
    <row r="248" spans="1:10" ht="14.25">
      <c r="A248" s="393"/>
      <c r="B248" s="376" t="s">
        <v>832</v>
      </c>
      <c r="C248" s="392"/>
      <c r="D248" s="394"/>
      <c r="E248" s="392"/>
      <c r="F248" s="375"/>
      <c r="I248" s="316">
        <f>42/166.34</f>
        <v>0.25249488998436936</v>
      </c>
    </row>
    <row r="249" spans="1:10" ht="14.25">
      <c r="A249" s="482"/>
      <c r="B249" s="482"/>
      <c r="C249" s="482"/>
      <c r="D249" s="482"/>
      <c r="E249" s="482"/>
      <c r="F249" s="482"/>
    </row>
    <row r="250" spans="1:10" ht="45">
      <c r="B250" s="364" t="s">
        <v>833</v>
      </c>
    </row>
    <row r="251" spans="1:10" ht="14.25">
      <c r="B251" s="388" t="s">
        <v>834</v>
      </c>
      <c r="C251" s="407" t="s">
        <v>25</v>
      </c>
      <c r="D251" s="408">
        <v>1</v>
      </c>
      <c r="E251" s="409">
        <v>244.7</v>
      </c>
      <c r="F251" s="375">
        <f>D251*E251</f>
        <v>244.7</v>
      </c>
      <c r="G251" s="534" t="s">
        <v>835</v>
      </c>
    </row>
    <row r="252" spans="1:10" ht="25.5">
      <c r="B252" s="521" t="s">
        <v>836</v>
      </c>
      <c r="C252" s="407" t="s">
        <v>519</v>
      </c>
      <c r="D252" s="408">
        <v>20</v>
      </c>
      <c r="E252" s="409">
        <f>E251*D252%</f>
        <v>48.94</v>
      </c>
      <c r="F252" s="375">
        <f>E252</f>
        <v>48.94</v>
      </c>
    </row>
    <row r="253" spans="1:10" ht="15">
      <c r="B253" s="364" t="s">
        <v>561</v>
      </c>
      <c r="C253" s="392"/>
      <c r="D253" s="394"/>
      <c r="E253" s="392"/>
      <c r="F253" s="381">
        <f>F251+F252</f>
        <v>293.64</v>
      </c>
    </row>
    <row r="254" spans="1:10" ht="15">
      <c r="B254" s="364" t="s">
        <v>562</v>
      </c>
      <c r="C254" s="392"/>
      <c r="D254" s="394"/>
      <c r="E254" s="392"/>
      <c r="F254" s="381">
        <f>F253+F250</f>
        <v>293.64</v>
      </c>
    </row>
    <row r="255" spans="1:10" ht="14.25" thickBot="1">
      <c r="A255" s="482"/>
      <c r="B255" s="482"/>
      <c r="C255" s="482"/>
      <c r="D255" s="482"/>
      <c r="E255" s="482"/>
      <c r="F255" s="482"/>
    </row>
    <row r="256" spans="1:10" ht="15">
      <c r="A256" s="592"/>
      <c r="B256" s="593"/>
      <c r="C256" s="593"/>
      <c r="D256" s="593"/>
      <c r="E256" s="593"/>
      <c r="F256" s="594"/>
    </row>
    <row r="257" spans="1:6" ht="38.25">
      <c r="A257" s="514"/>
      <c r="B257" s="515" t="s">
        <v>749</v>
      </c>
      <c r="C257" s="516"/>
      <c r="D257" s="516"/>
      <c r="E257" s="516"/>
      <c r="F257" s="517"/>
    </row>
    <row r="258" spans="1:6" ht="14.25">
      <c r="A258" s="518"/>
      <c r="B258" s="388" t="s">
        <v>557</v>
      </c>
      <c r="C258" s="387"/>
      <c r="D258" s="387"/>
      <c r="E258" s="387"/>
      <c r="F258" s="519"/>
    </row>
    <row r="259" spans="1:6" ht="25.5">
      <c r="A259" s="520"/>
      <c r="B259" s="521" t="s">
        <v>750</v>
      </c>
      <c r="C259" s="388" t="s">
        <v>31</v>
      </c>
      <c r="D259" s="389">
        <v>1</v>
      </c>
      <c r="E259" s="389">
        <v>620</v>
      </c>
      <c r="F259" s="522">
        <f>TRUNC(D259*E259,2)</f>
        <v>620</v>
      </c>
    </row>
    <row r="260" spans="1:6" ht="14.25">
      <c r="A260" s="520"/>
      <c r="B260" s="521" t="s">
        <v>751</v>
      </c>
      <c r="C260" s="388" t="s">
        <v>31</v>
      </c>
      <c r="D260" s="389">
        <v>24</v>
      </c>
      <c r="E260" s="387">
        <v>0.98</v>
      </c>
      <c r="F260" s="519">
        <f>TRUNC(D260*E260,2)</f>
        <v>23.52</v>
      </c>
    </row>
    <row r="261" spans="1:6" ht="25.5">
      <c r="A261">
        <v>100747</v>
      </c>
      <c r="B261" s="521" t="s">
        <v>752</v>
      </c>
      <c r="C261" s="388" t="s">
        <v>25</v>
      </c>
      <c r="D261" s="389">
        <v>5.18</v>
      </c>
      <c r="E261" s="389">
        <v>35</v>
      </c>
      <c r="F261" s="522">
        <f>TRUNC(D261*E261,2)</f>
        <v>181.3</v>
      </c>
    </row>
    <row r="262" spans="1:6" ht="14.25">
      <c r="A262" s="523"/>
      <c r="B262" s="386" t="s">
        <v>753</v>
      </c>
      <c r="C262" s="386"/>
      <c r="D262" s="386"/>
      <c r="E262" s="386"/>
      <c r="F262" s="524">
        <f>F259+F260+F261</f>
        <v>824.81999999999994</v>
      </c>
    </row>
    <row r="263" spans="1:6" ht="14.25">
      <c r="A263" s="520"/>
      <c r="B263" s="388" t="s">
        <v>571</v>
      </c>
      <c r="C263" s="387"/>
      <c r="D263" s="387"/>
      <c r="E263" s="387"/>
      <c r="F263" s="519"/>
    </row>
    <row r="264" spans="1:6" ht="14.25">
      <c r="A264" s="520"/>
      <c r="B264" s="388" t="s">
        <v>567</v>
      </c>
      <c r="C264" s="388" t="s">
        <v>19</v>
      </c>
      <c r="D264" s="387">
        <v>5</v>
      </c>
      <c r="E264" s="389">
        <v>15.91</v>
      </c>
      <c r="F264" s="519">
        <f>TRUNC(D264*E264,2)</f>
        <v>79.55</v>
      </c>
    </row>
    <row r="265" spans="1:6" ht="14.25">
      <c r="A265" s="520"/>
      <c r="B265" s="388" t="s">
        <v>566</v>
      </c>
      <c r="C265" s="388" t="s">
        <v>19</v>
      </c>
      <c r="D265" s="387">
        <v>5</v>
      </c>
      <c r="E265" s="389">
        <v>19.809999999999999</v>
      </c>
      <c r="F265" s="522">
        <f>TRUNC(D265*E265,2)</f>
        <v>99.05</v>
      </c>
    </row>
    <row r="266" spans="1:6" ht="14.25">
      <c r="A266" s="523"/>
      <c r="B266" s="386" t="s">
        <v>753</v>
      </c>
      <c r="C266" s="386"/>
      <c r="D266" s="386"/>
      <c r="E266" s="386"/>
      <c r="F266" s="524">
        <f>F264+F265</f>
        <v>178.6</v>
      </c>
    </row>
    <row r="267" spans="1:6" ht="14.25">
      <c r="A267" s="525"/>
      <c r="B267" s="526" t="s">
        <v>754</v>
      </c>
      <c r="C267" s="390"/>
      <c r="D267" s="390"/>
      <c r="E267" s="390"/>
      <c r="F267" s="527">
        <f>F266+F262</f>
        <v>1003.42</v>
      </c>
    </row>
    <row r="268" spans="1:6" ht="38.25">
      <c r="A268" s="520"/>
      <c r="B268" s="528" t="s">
        <v>755</v>
      </c>
      <c r="C268" s="387"/>
      <c r="D268" s="387"/>
      <c r="E268" s="387"/>
      <c r="F268" s="524"/>
    </row>
    <row r="269" spans="1:6" ht="38.25">
      <c r="A269" s="520"/>
      <c r="B269" s="528" t="s">
        <v>756</v>
      </c>
      <c r="C269" s="387"/>
      <c r="D269" s="387"/>
      <c r="E269" s="387"/>
      <c r="F269" s="524"/>
    </row>
    <row r="270" spans="1:6" ht="25.5">
      <c r="A270" s="525"/>
      <c r="B270" s="529" t="s">
        <v>757</v>
      </c>
      <c r="C270" s="390"/>
      <c r="D270" s="390"/>
      <c r="E270" s="390"/>
      <c r="F270" s="527"/>
    </row>
    <row r="271" spans="1:6" ht="14.25" thickBot="1">
      <c r="A271" s="487"/>
      <c r="B271" s="488"/>
      <c r="C271" s="488"/>
      <c r="D271" s="488"/>
      <c r="E271" s="488"/>
      <c r="F271" s="489"/>
    </row>
    <row r="272" spans="1:6" ht="25.5">
      <c r="B272" s="400" t="s">
        <v>579</v>
      </c>
      <c r="C272" s="401"/>
      <c r="D272" s="401"/>
      <c r="E272" s="401"/>
      <c r="F272" s="401"/>
    </row>
    <row r="273" spans="2:6" ht="14.25">
      <c r="B273" s="400" t="s">
        <v>580</v>
      </c>
      <c r="C273" s="401"/>
      <c r="D273" s="401"/>
      <c r="E273" s="401"/>
      <c r="F273" s="401"/>
    </row>
    <row r="274" spans="2:6" ht="15">
      <c r="B274" s="364" t="s">
        <v>558</v>
      </c>
      <c r="C274" s="401"/>
      <c r="D274" s="401"/>
      <c r="E274" s="401"/>
      <c r="F274" s="401"/>
    </row>
    <row r="275" spans="2:6" ht="14.25">
      <c r="B275" s="401" t="s">
        <v>581</v>
      </c>
      <c r="C275" s="401" t="s">
        <v>28</v>
      </c>
      <c r="D275" s="402">
        <v>18</v>
      </c>
      <c r="E275" s="402">
        <v>23</v>
      </c>
      <c r="F275" s="402">
        <f t="shared" ref="F275:F282" si="2">D275*E275</f>
        <v>414</v>
      </c>
    </row>
    <row r="276" spans="2:6" ht="14.25">
      <c r="B276" s="401" t="s">
        <v>582</v>
      </c>
      <c r="C276" s="401" t="s">
        <v>25</v>
      </c>
      <c r="D276" s="402">
        <v>10.4</v>
      </c>
      <c r="E276" s="402">
        <v>134.72999999999999</v>
      </c>
      <c r="F276" s="403">
        <f t="shared" si="2"/>
        <v>1401.192</v>
      </c>
    </row>
    <row r="277" spans="2:6" ht="14.25">
      <c r="B277" s="401" t="s">
        <v>583</v>
      </c>
      <c r="C277" s="401" t="s">
        <v>28</v>
      </c>
      <c r="D277" s="402">
        <v>9</v>
      </c>
      <c r="E277" s="402">
        <v>14.5</v>
      </c>
      <c r="F277" s="403">
        <f t="shared" si="2"/>
        <v>130.5</v>
      </c>
    </row>
    <row r="278" spans="2:6" ht="14.25">
      <c r="B278" s="401" t="s">
        <v>584</v>
      </c>
      <c r="C278" s="401" t="s">
        <v>31</v>
      </c>
      <c r="D278" s="402">
        <v>2</v>
      </c>
      <c r="E278" s="402">
        <v>23</v>
      </c>
      <c r="F278" s="403">
        <f t="shared" si="2"/>
        <v>46</v>
      </c>
    </row>
    <row r="279" spans="2:6" ht="14.25">
      <c r="B279" s="401" t="s">
        <v>585</v>
      </c>
      <c r="C279" s="401" t="s">
        <v>28</v>
      </c>
      <c r="D279" s="402">
        <v>1</v>
      </c>
      <c r="E279" s="402">
        <v>19.329999999999998</v>
      </c>
      <c r="F279" s="403">
        <f t="shared" si="2"/>
        <v>19.329999999999998</v>
      </c>
    </row>
    <row r="280" spans="2:6" ht="14.25">
      <c r="B280" s="401" t="s">
        <v>586</v>
      </c>
      <c r="C280" s="401" t="s">
        <v>28</v>
      </c>
      <c r="D280" s="402">
        <v>8</v>
      </c>
      <c r="E280" s="402">
        <v>91.66</v>
      </c>
      <c r="F280" s="403">
        <f t="shared" si="2"/>
        <v>733.28</v>
      </c>
    </row>
    <row r="281" spans="2:6" ht="14.25">
      <c r="B281" s="401" t="s">
        <v>587</v>
      </c>
      <c r="C281" s="401" t="s">
        <v>31</v>
      </c>
      <c r="D281" s="402">
        <v>1</v>
      </c>
      <c r="E281" s="402">
        <v>75</v>
      </c>
      <c r="F281" s="403">
        <f t="shared" si="2"/>
        <v>75</v>
      </c>
    </row>
    <row r="282" spans="2:6" ht="14.25">
      <c r="B282" s="401" t="s">
        <v>837</v>
      </c>
      <c r="C282" s="401" t="s">
        <v>82</v>
      </c>
      <c r="D282" s="402">
        <v>2</v>
      </c>
      <c r="E282" s="402">
        <v>18.05</v>
      </c>
      <c r="F282" s="403">
        <f t="shared" si="2"/>
        <v>36.1</v>
      </c>
    </row>
    <row r="283" spans="2:6" ht="14.25">
      <c r="B283" s="404" t="s">
        <v>561</v>
      </c>
      <c r="C283" s="401"/>
      <c r="D283" s="402"/>
      <c r="E283" s="402"/>
      <c r="F283" s="405">
        <f>SUM(F275:F282,2)</f>
        <v>2857.4019999999996</v>
      </c>
    </row>
    <row r="284" spans="2:6" ht="15">
      <c r="B284" s="364" t="s">
        <v>571</v>
      </c>
      <c r="C284" s="401"/>
      <c r="D284" s="402"/>
      <c r="E284" s="402"/>
      <c r="F284" s="403">
        <f>D284*E284</f>
        <v>0</v>
      </c>
    </row>
    <row r="285" spans="2:6" ht="14.25">
      <c r="B285" s="401" t="s">
        <v>572</v>
      </c>
      <c r="C285" s="401" t="s">
        <v>19</v>
      </c>
      <c r="D285" s="402">
        <v>8</v>
      </c>
      <c r="E285" s="402">
        <v>17.579999999999998</v>
      </c>
      <c r="F285" s="403">
        <f>D285*E285</f>
        <v>140.63999999999999</v>
      </c>
    </row>
    <row r="286" spans="2:6" ht="14.25">
      <c r="B286" s="401" t="s">
        <v>589</v>
      </c>
      <c r="C286" s="401" t="s">
        <v>19</v>
      </c>
      <c r="D286" s="402">
        <v>8</v>
      </c>
      <c r="E286" s="402">
        <v>14.09</v>
      </c>
      <c r="F286" s="403">
        <f>D286*E286</f>
        <v>112.72</v>
      </c>
    </row>
    <row r="287" spans="2:6" ht="14.25">
      <c r="B287" s="401" t="s">
        <v>566</v>
      </c>
      <c r="C287" s="401" t="s">
        <v>19</v>
      </c>
      <c r="D287" s="402">
        <v>8</v>
      </c>
      <c r="E287" s="402">
        <v>17.670000000000002</v>
      </c>
      <c r="F287" s="403">
        <f>D287*E287</f>
        <v>141.36000000000001</v>
      </c>
    </row>
    <row r="288" spans="2:6" ht="14.25">
      <c r="B288" s="401" t="s">
        <v>567</v>
      </c>
      <c r="C288" s="401" t="s">
        <v>19</v>
      </c>
      <c r="D288" s="402">
        <v>8</v>
      </c>
      <c r="E288" s="402">
        <v>14.02</v>
      </c>
      <c r="F288" s="403">
        <f>D288*E288</f>
        <v>112.16</v>
      </c>
    </row>
    <row r="289" spans="1:6" ht="14.25">
      <c r="B289" s="404" t="s">
        <v>561</v>
      </c>
      <c r="C289" s="401"/>
      <c r="D289" s="402"/>
      <c r="E289" s="402"/>
      <c r="F289" s="405">
        <f>SUM(F285:F288)</f>
        <v>506.88</v>
      </c>
    </row>
    <row r="290" spans="1:6" ht="15">
      <c r="B290" s="364" t="s">
        <v>562</v>
      </c>
      <c r="C290" s="401"/>
      <c r="D290" s="401"/>
      <c r="E290" s="402"/>
      <c r="F290" s="405">
        <f>SUM(F283+F289)</f>
        <v>3364.2819999999997</v>
      </c>
    </row>
    <row r="291" spans="1:6" ht="14.25">
      <c r="B291" s="376" t="s">
        <v>590</v>
      </c>
      <c r="C291" s="401"/>
      <c r="D291" s="401"/>
      <c r="E291" s="402"/>
      <c r="F291" s="405" t="s">
        <v>838</v>
      </c>
    </row>
    <row r="292" spans="1:6" ht="14.25"/>
    <row r="293" spans="1:6" ht="14.25">
      <c r="A293" s="410"/>
      <c r="B293" s="384"/>
      <c r="C293" s="384"/>
      <c r="D293" s="384"/>
      <c r="E293" s="384"/>
      <c r="F293" s="411"/>
    </row>
    <row r="294" spans="1:6" ht="30">
      <c r="A294" s="595" t="s">
        <v>251</v>
      </c>
      <c r="B294" s="429" t="s">
        <v>703</v>
      </c>
      <c r="C294" s="458"/>
      <c r="D294" s="458"/>
      <c r="E294" s="458"/>
      <c r="F294" s="459"/>
    </row>
    <row r="295" spans="1:6" ht="15">
      <c r="A295" s="460"/>
      <c r="B295" s="429" t="s">
        <v>704</v>
      </c>
      <c r="C295" s="461"/>
      <c r="D295" s="461"/>
      <c r="E295" s="461"/>
      <c r="F295" s="462"/>
    </row>
    <row r="296" spans="1:6" ht="15">
      <c r="A296" s="460"/>
      <c r="B296" s="364" t="s">
        <v>571</v>
      </c>
      <c r="C296" s="461"/>
      <c r="D296" s="461"/>
      <c r="E296" s="461"/>
      <c r="F296" s="462"/>
    </row>
    <row r="297" spans="1:6" ht="25.5">
      <c r="A297" s="295">
        <v>88267</v>
      </c>
      <c r="B297" s="463" t="s">
        <v>705</v>
      </c>
      <c r="C297" s="461" t="s">
        <v>19</v>
      </c>
      <c r="D297" s="461">
        <v>0.39</v>
      </c>
      <c r="E297" s="461">
        <v>17.66</v>
      </c>
      <c r="F297" s="464">
        <f>D297*E297</f>
        <v>6.8874000000000004</v>
      </c>
    </row>
    <row r="298" spans="1:6" ht="25.5">
      <c r="A298" s="295">
        <v>88248</v>
      </c>
      <c r="B298" s="463" t="s">
        <v>706</v>
      </c>
      <c r="C298" s="461" t="s">
        <v>19</v>
      </c>
      <c r="D298" s="461">
        <v>0.19</v>
      </c>
      <c r="E298" s="461">
        <v>13.48</v>
      </c>
      <c r="F298" s="464">
        <f>D298*E298</f>
        <v>2.5611999999999999</v>
      </c>
    </row>
    <row r="299" spans="1:6" ht="15">
      <c r="A299" s="465"/>
      <c r="B299" s="466" t="s">
        <v>561</v>
      </c>
      <c r="C299" s="371"/>
      <c r="D299" s="438"/>
      <c r="E299" s="439"/>
      <c r="F299" s="467">
        <f>F297++F298</f>
        <v>9.4486000000000008</v>
      </c>
    </row>
    <row r="300" spans="1:6" ht="25.5">
      <c r="A300" s="460" t="s">
        <v>839</v>
      </c>
      <c r="B300" s="463" t="s">
        <v>703</v>
      </c>
      <c r="C300" s="461" t="s">
        <v>31</v>
      </c>
      <c r="D300" s="461">
        <v>1</v>
      </c>
      <c r="E300" s="461">
        <v>809.9</v>
      </c>
      <c r="F300" s="464">
        <f>D300*E300</f>
        <v>809.9</v>
      </c>
    </row>
    <row r="301" spans="1:6" ht="38.25">
      <c r="A301" s="465">
        <v>4351</v>
      </c>
      <c r="B301" s="463" t="s">
        <v>708</v>
      </c>
      <c r="C301" s="461" t="s">
        <v>31</v>
      </c>
      <c r="D301" s="461">
        <v>2</v>
      </c>
      <c r="E301" s="461">
        <v>8.5500000000000007</v>
      </c>
      <c r="F301" s="464">
        <f>D301*E301</f>
        <v>17.100000000000001</v>
      </c>
    </row>
    <row r="302" spans="1:6" ht="14.25">
      <c r="A302" s="295">
        <v>34357</v>
      </c>
      <c r="B302" s="468" t="s">
        <v>709</v>
      </c>
      <c r="C302" s="461" t="s">
        <v>82</v>
      </c>
      <c r="D302" s="461">
        <v>5.0700000000000002E-2</v>
      </c>
      <c r="E302" s="461">
        <v>4.6900000000000004</v>
      </c>
      <c r="F302" s="464">
        <f>D302*E302</f>
        <v>0.23778300000000002</v>
      </c>
    </row>
    <row r="303" spans="1:6" ht="15">
      <c r="A303" s="469"/>
      <c r="B303" s="466" t="s">
        <v>561</v>
      </c>
      <c r="C303" s="371"/>
      <c r="D303" s="438"/>
      <c r="E303" s="439"/>
      <c r="F303" s="470">
        <f>F300+F302+F301</f>
        <v>827.23778300000004</v>
      </c>
    </row>
    <row r="304" spans="1:6" ht="15">
      <c r="A304" s="471"/>
      <c r="B304" s="472" t="s">
        <v>562</v>
      </c>
      <c r="C304" s="473"/>
      <c r="D304" s="474"/>
      <c r="E304" s="475"/>
      <c r="F304" s="476">
        <f>F303+F299</f>
        <v>836.68638300000009</v>
      </c>
    </row>
    <row r="305" spans="1:11" ht="14.25">
      <c r="A305" s="477"/>
      <c r="B305" s="478" t="s">
        <v>710</v>
      </c>
      <c r="C305" s="479"/>
      <c r="D305" s="479"/>
      <c r="E305" s="479"/>
      <c r="F305" s="480"/>
    </row>
    <row r="306" spans="1:11" ht="14.25">
      <c r="A306" s="481"/>
      <c r="B306" s="482"/>
      <c r="C306" s="482"/>
      <c r="D306" s="482"/>
      <c r="E306" s="482"/>
      <c r="F306" s="483"/>
    </row>
    <row r="307" spans="1:11" ht="22.5">
      <c r="B307" s="497" t="s">
        <v>477</v>
      </c>
    </row>
    <row r="308" spans="1:11" ht="14.25">
      <c r="B308" s="400" t="s">
        <v>580</v>
      </c>
    </row>
    <row r="309" spans="1:11" ht="22.5">
      <c r="A309" s="33" t="s">
        <v>732</v>
      </c>
      <c r="B309" s="75" t="s">
        <v>733</v>
      </c>
      <c r="C309" s="407" t="s">
        <v>25</v>
      </c>
      <c r="D309" s="408">
        <v>0.375</v>
      </c>
      <c r="E309" s="409">
        <v>519.75</v>
      </c>
      <c r="F309" s="409">
        <f>D309*E309</f>
        <v>194.90625</v>
      </c>
      <c r="J309" s="316">
        <v>519.75</v>
      </c>
      <c r="K309" s="316">
        <f>0.5*0.75</f>
        <v>0.375</v>
      </c>
    </row>
    <row r="310" spans="1:11" ht="22.5">
      <c r="A310" s="33" t="s">
        <v>734</v>
      </c>
      <c r="B310" s="75" t="s">
        <v>735</v>
      </c>
      <c r="C310" s="407" t="s">
        <v>28</v>
      </c>
      <c r="D310" s="408">
        <v>1.6</v>
      </c>
      <c r="E310" s="409">
        <v>7.23</v>
      </c>
      <c r="F310" s="409">
        <f>D310*E310</f>
        <v>11.568000000000001</v>
      </c>
    </row>
    <row r="311" spans="1:11" ht="22.5">
      <c r="A311" s="33">
        <v>94974</v>
      </c>
      <c r="B311" s="75" t="s">
        <v>736</v>
      </c>
      <c r="C311" s="407" t="s">
        <v>54</v>
      </c>
      <c r="D311" s="408">
        <v>0.2</v>
      </c>
      <c r="E311" s="409">
        <v>380.5</v>
      </c>
      <c r="F311" s="409">
        <f>D311*E311</f>
        <v>76.100000000000009</v>
      </c>
    </row>
    <row r="312" spans="1:11" ht="15">
      <c r="B312" s="466" t="s">
        <v>561</v>
      </c>
      <c r="F312" s="409">
        <f>F309+F310+F311</f>
        <v>282.57425000000001</v>
      </c>
    </row>
    <row r="313" spans="1:11" ht="15">
      <c r="B313" s="364" t="s">
        <v>571</v>
      </c>
    </row>
    <row r="314" spans="1:11" ht="14.25">
      <c r="B314" s="75" t="s">
        <v>737</v>
      </c>
      <c r="C314" s="407" t="s">
        <v>19</v>
      </c>
      <c r="D314" s="408">
        <v>0.5</v>
      </c>
      <c r="E314" s="409">
        <v>17.670000000000002</v>
      </c>
      <c r="F314" s="409">
        <f>D314*E314</f>
        <v>8.8350000000000009</v>
      </c>
    </row>
    <row r="315" spans="1:11" ht="14.25">
      <c r="B315" s="75" t="s">
        <v>738</v>
      </c>
      <c r="C315" s="407" t="s">
        <v>19</v>
      </c>
      <c r="D315" s="408">
        <v>1</v>
      </c>
      <c r="E315" s="409">
        <v>14.02</v>
      </c>
      <c r="F315" s="409">
        <f>D315*E315</f>
        <v>14.02</v>
      </c>
      <c r="J315" s="316">
        <f>0.5*0.75</f>
        <v>0.375</v>
      </c>
    </row>
    <row r="316" spans="1:11" ht="15">
      <c r="B316" s="466" t="s">
        <v>561</v>
      </c>
      <c r="F316" s="409">
        <f>F314+F315</f>
        <v>22.855</v>
      </c>
    </row>
    <row r="317" spans="1:11" ht="15">
      <c r="B317" s="472" t="s">
        <v>562</v>
      </c>
      <c r="F317" s="409">
        <f>F316+F312</f>
        <v>305.42925000000002</v>
      </c>
    </row>
  </sheetData>
  <mergeCells count="8">
    <mergeCell ref="A24:D24"/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15748031496096" right="0.39370078740157505" top="1.015354330708661" bottom="0.88543307086614198" header="0.72007874015748008" footer="0.59015748031496096"/>
  <pageSetup paperSize="0" scale="61" fitToWidth="0" fitToHeight="0" pageOrder="overThenDown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3"/>
  <sheetViews>
    <sheetView workbookViewId="0"/>
  </sheetViews>
  <sheetFormatPr defaultRowHeight="14.25"/>
  <cols>
    <col min="1" max="1" width="9" customWidth="1"/>
    <col min="2" max="2" width="32.5" customWidth="1"/>
    <col min="3" max="4" width="9" customWidth="1"/>
    <col min="5" max="5" width="9" style="255" customWidth="1"/>
    <col min="6" max="6" width="9" customWidth="1"/>
  </cols>
  <sheetData>
    <row r="2" spans="1:6" ht="15">
      <c r="A2" s="613" t="s">
        <v>840</v>
      </c>
      <c r="B2" s="613"/>
      <c r="C2" s="613"/>
      <c r="D2" s="613"/>
      <c r="E2" s="613"/>
      <c r="F2" s="613"/>
    </row>
    <row r="3" spans="1:6" ht="15">
      <c r="A3" s="600"/>
      <c r="B3" s="600"/>
      <c r="C3" s="600"/>
      <c r="D3" s="600"/>
      <c r="E3" s="600"/>
      <c r="F3" s="600"/>
    </row>
    <row r="4" spans="1:6" ht="15">
      <c r="A4" s="613" t="s">
        <v>216</v>
      </c>
      <c r="B4" s="613"/>
      <c r="C4" s="613"/>
      <c r="D4" s="613"/>
      <c r="E4" s="613"/>
      <c r="F4" s="613"/>
    </row>
    <row r="5" spans="1:6" ht="15">
      <c r="A5" s="600"/>
      <c r="B5" s="600"/>
      <c r="C5" s="600"/>
      <c r="D5" s="600"/>
      <c r="E5" s="600"/>
      <c r="F5" s="600"/>
    </row>
    <row r="6" spans="1:6" thickBot="1">
      <c r="A6" s="420"/>
      <c r="B6" s="420"/>
      <c r="C6" s="420"/>
      <c r="D6" s="420"/>
      <c r="E6" s="420"/>
      <c r="F6" s="420"/>
    </row>
    <row r="7" spans="1:6" ht="70.5" customHeight="1">
      <c r="A7" s="414" t="s">
        <v>217</v>
      </c>
      <c r="B7" s="426" t="s">
        <v>219</v>
      </c>
      <c r="C7" s="412">
        <v>1</v>
      </c>
      <c r="D7" s="412"/>
      <c r="E7" s="412"/>
      <c r="F7" s="416"/>
    </row>
    <row r="8" spans="1:6">
      <c r="A8" s="399"/>
      <c r="B8" s="370" t="s">
        <v>597</v>
      </c>
      <c r="C8" s="412"/>
      <c r="D8" s="412"/>
      <c r="E8" s="412"/>
      <c r="F8" s="416"/>
    </row>
    <row r="9" spans="1:6" ht="15">
      <c r="A9" s="399"/>
      <c r="B9" s="364" t="s">
        <v>571</v>
      </c>
      <c r="C9" s="412"/>
      <c r="D9" s="412"/>
      <c r="E9" s="412"/>
      <c r="F9" s="416"/>
    </row>
    <row r="10" spans="1:6">
      <c r="A10" s="399" t="s">
        <v>598</v>
      </c>
      <c r="B10" s="376" t="s">
        <v>599</v>
      </c>
      <c r="C10" s="392" t="s">
        <v>19</v>
      </c>
      <c r="D10" s="392">
        <v>3.5</v>
      </c>
      <c r="E10" s="392">
        <v>18.3</v>
      </c>
      <c r="F10" s="417">
        <f>D10*E10</f>
        <v>64.05</v>
      </c>
    </row>
    <row r="11" spans="1:6">
      <c r="A11" s="399" t="s">
        <v>600</v>
      </c>
      <c r="B11" s="376" t="s">
        <v>601</v>
      </c>
      <c r="C11" s="392" t="s">
        <v>19</v>
      </c>
      <c r="D11" s="392">
        <v>1.2</v>
      </c>
      <c r="E11" s="394">
        <v>14</v>
      </c>
      <c r="F11" s="417">
        <f>D11*E11</f>
        <v>16.8</v>
      </c>
    </row>
    <row r="12" spans="1:6">
      <c r="A12" s="399" t="s">
        <v>602</v>
      </c>
      <c r="B12" s="376" t="s">
        <v>566</v>
      </c>
      <c r="C12" s="392" t="s">
        <v>19</v>
      </c>
      <c r="D12" s="392">
        <v>0.6</v>
      </c>
      <c r="E12" s="392">
        <v>17.670000000000002</v>
      </c>
      <c r="F12" s="417">
        <f>D12*E12</f>
        <v>10.602</v>
      </c>
    </row>
    <row r="13" spans="1:6" ht="15">
      <c r="A13" s="399"/>
      <c r="B13" s="364" t="s">
        <v>561</v>
      </c>
      <c r="C13" s="412"/>
      <c r="D13" s="412"/>
      <c r="E13" s="412"/>
      <c r="F13" s="416">
        <f>SUM(F10:F12)</f>
        <v>91.451999999999998</v>
      </c>
    </row>
    <row r="14" spans="1:6" ht="15">
      <c r="A14" s="399"/>
      <c r="B14" s="364" t="s">
        <v>558</v>
      </c>
      <c r="C14" s="412"/>
      <c r="D14" s="412"/>
      <c r="E14" s="412"/>
      <c r="F14" s="416"/>
    </row>
    <row r="15" spans="1:6" ht="54.75" customHeight="1">
      <c r="A15" s="418" t="s">
        <v>603</v>
      </c>
      <c r="B15" s="34" t="s">
        <v>604</v>
      </c>
      <c r="C15" s="412" t="s">
        <v>31</v>
      </c>
      <c r="D15" s="412">
        <v>1</v>
      </c>
      <c r="E15" s="392">
        <v>267.39999999999998</v>
      </c>
      <c r="F15" s="416">
        <f t="shared" ref="F15:F36" si="0">(E15*D15)</f>
        <v>267.39999999999998</v>
      </c>
    </row>
    <row r="16" spans="1:6" ht="39" customHeight="1">
      <c r="A16" s="418" t="s">
        <v>605</v>
      </c>
      <c r="B16" s="34" t="s">
        <v>606</v>
      </c>
      <c r="C16" s="412" t="s">
        <v>28</v>
      </c>
      <c r="D16" s="412">
        <v>18.55</v>
      </c>
      <c r="E16" s="392">
        <v>47.71</v>
      </c>
      <c r="F16" s="416">
        <f t="shared" si="0"/>
        <v>885.02050000000008</v>
      </c>
    </row>
    <row r="17" spans="1:6" ht="37.5" customHeight="1">
      <c r="A17" s="418" t="s">
        <v>607</v>
      </c>
      <c r="B17" s="34" t="s">
        <v>608</v>
      </c>
      <c r="C17" s="412" t="s">
        <v>28</v>
      </c>
      <c r="D17" s="412">
        <v>6.25</v>
      </c>
      <c r="E17" s="392">
        <v>32.51</v>
      </c>
      <c r="F17" s="416">
        <f t="shared" si="0"/>
        <v>203.1875</v>
      </c>
    </row>
    <row r="18" spans="1:6" ht="27" customHeight="1">
      <c r="A18" s="418" t="s">
        <v>609</v>
      </c>
      <c r="B18" s="34" t="s">
        <v>610</v>
      </c>
      <c r="C18" s="412" t="s">
        <v>31</v>
      </c>
      <c r="D18" s="412">
        <v>1</v>
      </c>
      <c r="E18" s="394">
        <v>783</v>
      </c>
      <c r="F18" s="416">
        <f t="shared" si="0"/>
        <v>783</v>
      </c>
    </row>
    <row r="19" spans="1:6" ht="57" customHeight="1">
      <c r="A19" s="418">
        <v>100578</v>
      </c>
      <c r="B19" s="34" t="s">
        <v>611</v>
      </c>
      <c r="C19" s="412" t="s">
        <v>612</v>
      </c>
      <c r="D19" s="412">
        <v>1</v>
      </c>
      <c r="E19" s="394">
        <v>314.13</v>
      </c>
      <c r="F19" s="416">
        <f t="shared" si="0"/>
        <v>314.13</v>
      </c>
    </row>
    <row r="20" spans="1:6" ht="30" customHeight="1">
      <c r="A20" s="418" t="s">
        <v>613</v>
      </c>
      <c r="B20" s="34" t="s">
        <v>614</v>
      </c>
      <c r="C20" s="412" t="s">
        <v>28</v>
      </c>
      <c r="D20" s="412">
        <v>5.5</v>
      </c>
      <c r="E20" s="392">
        <v>10.7</v>
      </c>
      <c r="F20" s="416">
        <f t="shared" si="0"/>
        <v>58.849999999999994</v>
      </c>
    </row>
    <row r="21" spans="1:6" ht="60" customHeight="1">
      <c r="A21" s="418" t="s">
        <v>615</v>
      </c>
      <c r="B21" s="34" t="s">
        <v>616</v>
      </c>
      <c r="C21" s="412" t="s">
        <v>31</v>
      </c>
      <c r="D21" s="412">
        <v>1</v>
      </c>
      <c r="E21" s="392">
        <v>10.31</v>
      </c>
      <c r="F21" s="416">
        <f t="shared" si="0"/>
        <v>10.31</v>
      </c>
    </row>
    <row r="22" spans="1:6" ht="33.75" customHeight="1">
      <c r="A22" s="418" t="s">
        <v>617</v>
      </c>
      <c r="B22" s="34" t="s">
        <v>618</v>
      </c>
      <c r="C22" s="412" t="s">
        <v>31</v>
      </c>
      <c r="D22" s="412">
        <v>3</v>
      </c>
      <c r="E22" s="392">
        <v>3.4</v>
      </c>
      <c r="F22" s="416">
        <f t="shared" si="0"/>
        <v>10.199999999999999</v>
      </c>
    </row>
    <row r="23" spans="1:6" ht="24.75" customHeight="1">
      <c r="A23" s="418" t="s">
        <v>619</v>
      </c>
      <c r="B23" s="34" t="s">
        <v>620</v>
      </c>
      <c r="C23" s="412" t="s">
        <v>31</v>
      </c>
      <c r="D23" s="412">
        <v>3</v>
      </c>
      <c r="E23" s="392">
        <v>11.06</v>
      </c>
      <c r="F23" s="416">
        <f t="shared" si="0"/>
        <v>33.18</v>
      </c>
    </row>
    <row r="24" spans="1:6" ht="23.25" customHeight="1">
      <c r="A24" s="418" t="s">
        <v>621</v>
      </c>
      <c r="B24" s="34" t="s">
        <v>622</v>
      </c>
      <c r="C24" s="412" t="s">
        <v>31</v>
      </c>
      <c r="D24" s="412">
        <v>1</v>
      </c>
      <c r="E24" s="392">
        <v>7.88</v>
      </c>
      <c r="F24" s="416">
        <f t="shared" si="0"/>
        <v>7.88</v>
      </c>
    </row>
    <row r="25" spans="1:6" ht="39.75" customHeight="1">
      <c r="A25" s="418" t="s">
        <v>623</v>
      </c>
      <c r="B25" s="34" t="s">
        <v>624</v>
      </c>
      <c r="C25" s="412" t="s">
        <v>31</v>
      </c>
      <c r="D25" s="412">
        <v>1</v>
      </c>
      <c r="E25" s="392">
        <v>17.329999999999998</v>
      </c>
      <c r="F25" s="416">
        <f t="shared" si="0"/>
        <v>17.329999999999998</v>
      </c>
    </row>
    <row r="26" spans="1:6" ht="36" customHeight="1">
      <c r="A26" s="418" t="s">
        <v>625</v>
      </c>
      <c r="B26" s="34" t="s">
        <v>626</v>
      </c>
      <c r="C26" s="412" t="s">
        <v>31</v>
      </c>
      <c r="D26" s="412">
        <v>1</v>
      </c>
      <c r="E26" s="392">
        <v>4.18</v>
      </c>
      <c r="F26" s="416">
        <f t="shared" si="0"/>
        <v>4.18</v>
      </c>
    </row>
    <row r="27" spans="1:6" ht="39" customHeight="1">
      <c r="A27" s="418" t="s">
        <v>627</v>
      </c>
      <c r="B27" s="34" t="s">
        <v>628</v>
      </c>
      <c r="C27" s="412" t="s">
        <v>31</v>
      </c>
      <c r="D27" s="412">
        <v>2</v>
      </c>
      <c r="E27" s="392">
        <v>5.2</v>
      </c>
      <c r="F27" s="416">
        <f t="shared" si="0"/>
        <v>10.4</v>
      </c>
    </row>
    <row r="28" spans="1:6" ht="48.75" customHeight="1">
      <c r="A28" s="418" t="s">
        <v>629</v>
      </c>
      <c r="B28" s="34" t="s">
        <v>630</v>
      </c>
      <c r="C28" s="412" t="s">
        <v>31</v>
      </c>
      <c r="D28" s="412">
        <v>2</v>
      </c>
      <c r="E28" s="392">
        <v>0.65</v>
      </c>
      <c r="F28" s="416">
        <f t="shared" si="0"/>
        <v>1.3</v>
      </c>
    </row>
    <row r="29" spans="1:6" ht="28.5" customHeight="1">
      <c r="A29" s="418" t="s">
        <v>631</v>
      </c>
      <c r="B29" s="45" t="s">
        <v>632</v>
      </c>
      <c r="C29" s="412" t="s">
        <v>31</v>
      </c>
      <c r="D29" s="412">
        <v>1</v>
      </c>
      <c r="E29" s="392">
        <v>95.14</v>
      </c>
      <c r="F29" s="416">
        <f t="shared" si="0"/>
        <v>95.14</v>
      </c>
    </row>
    <row r="30" spans="1:6" ht="31.5" customHeight="1">
      <c r="A30" s="418" t="s">
        <v>633</v>
      </c>
      <c r="B30" s="49" t="s">
        <v>310</v>
      </c>
      <c r="C30" s="412" t="s">
        <v>31</v>
      </c>
      <c r="D30" s="412">
        <v>3</v>
      </c>
      <c r="E30" s="392">
        <v>48.76</v>
      </c>
      <c r="F30" s="416">
        <f t="shared" si="0"/>
        <v>146.28</v>
      </c>
    </row>
    <row r="31" spans="1:6" ht="33" customHeight="1">
      <c r="A31" s="418" t="s">
        <v>634</v>
      </c>
      <c r="B31" s="49" t="s">
        <v>240</v>
      </c>
      <c r="C31" s="412" t="s">
        <v>28</v>
      </c>
      <c r="D31" s="412">
        <f>(3*2.4)+1.5</f>
        <v>8.6999999999999993</v>
      </c>
      <c r="E31" s="392">
        <v>36.869999999999997</v>
      </c>
      <c r="F31" s="416">
        <f t="shared" si="0"/>
        <v>320.76899999999995</v>
      </c>
    </row>
    <row r="32" spans="1:6" ht="36.75" customHeight="1">
      <c r="A32" s="418" t="s">
        <v>635</v>
      </c>
      <c r="B32" s="49" t="s">
        <v>636</v>
      </c>
      <c r="C32" s="412" t="s">
        <v>31</v>
      </c>
      <c r="D32" s="412">
        <v>3</v>
      </c>
      <c r="E32" s="392">
        <v>3.85</v>
      </c>
      <c r="F32" s="416">
        <f t="shared" si="0"/>
        <v>11.55</v>
      </c>
    </row>
    <row r="33" spans="1:6" ht="28.5" customHeight="1">
      <c r="A33" s="418" t="s">
        <v>637</v>
      </c>
      <c r="B33" s="49" t="s">
        <v>638</v>
      </c>
      <c r="C33" s="412" t="s">
        <v>28</v>
      </c>
      <c r="D33" s="412">
        <v>0.8</v>
      </c>
      <c r="E33" s="392">
        <v>1.36</v>
      </c>
      <c r="F33" s="416">
        <f t="shared" si="0"/>
        <v>1.0880000000000001</v>
      </c>
    </row>
    <row r="34" spans="1:6" ht="40.5" customHeight="1">
      <c r="A34" s="418" t="s">
        <v>639</v>
      </c>
      <c r="B34" s="49" t="s">
        <v>640</v>
      </c>
      <c r="C34" s="412" t="s">
        <v>31</v>
      </c>
      <c r="D34" s="412">
        <v>1</v>
      </c>
      <c r="E34" s="392">
        <v>269.99</v>
      </c>
      <c r="F34" s="416">
        <f t="shared" si="0"/>
        <v>269.99</v>
      </c>
    </row>
    <row r="35" spans="1:6" ht="36.75" customHeight="1">
      <c r="A35" s="418" t="s">
        <v>641</v>
      </c>
      <c r="B35" s="49" t="s">
        <v>642</v>
      </c>
      <c r="C35" s="412" t="s">
        <v>31</v>
      </c>
      <c r="D35" s="412">
        <v>3</v>
      </c>
      <c r="E35" s="392">
        <v>15.76</v>
      </c>
      <c r="F35" s="416">
        <f t="shared" si="0"/>
        <v>47.28</v>
      </c>
    </row>
    <row r="36" spans="1:6" ht="37.5" customHeight="1">
      <c r="A36" s="418" t="s">
        <v>643</v>
      </c>
      <c r="B36" s="49" t="s">
        <v>644</v>
      </c>
      <c r="C36" s="412" t="s">
        <v>54</v>
      </c>
      <c r="D36" s="412">
        <v>0.81599999999999995</v>
      </c>
      <c r="E36" s="392">
        <v>413.09</v>
      </c>
      <c r="F36" s="416">
        <f t="shared" si="0"/>
        <v>337.08143999999993</v>
      </c>
    </row>
    <row r="37" spans="1:6" ht="15">
      <c r="A37" s="399"/>
      <c r="B37" s="364" t="s">
        <v>561</v>
      </c>
      <c r="C37" s="412"/>
      <c r="D37" s="412"/>
      <c r="E37" s="412"/>
      <c r="F37" s="416">
        <f>SUM(F15:F36)</f>
        <v>3835.5464400000005</v>
      </c>
    </row>
    <row r="38" spans="1:6" ht="15">
      <c r="A38" s="399"/>
      <c r="B38" s="364" t="s">
        <v>562</v>
      </c>
      <c r="C38" s="412"/>
      <c r="D38" s="412"/>
      <c r="E38" s="412"/>
      <c r="F38" s="416">
        <f>F37+F13</f>
        <v>3926.9984400000003</v>
      </c>
    </row>
    <row r="39" spans="1:6" thickBot="1">
      <c r="A39" s="420"/>
      <c r="B39" s="420"/>
      <c r="C39" s="420"/>
      <c r="D39" s="420"/>
      <c r="E39" s="420"/>
      <c r="F39" s="420"/>
    </row>
    <row r="40" spans="1:6" ht="37.5" customHeight="1">
      <c r="A40" s="414" t="s">
        <v>275</v>
      </c>
      <c r="B40" s="426" t="s">
        <v>276</v>
      </c>
      <c r="C40" s="412">
        <v>1</v>
      </c>
      <c r="D40" s="412"/>
      <c r="E40" s="412"/>
      <c r="F40" s="416"/>
    </row>
    <row r="41" spans="1:6">
      <c r="A41" s="399"/>
      <c r="B41" s="370" t="s">
        <v>650</v>
      </c>
      <c r="C41" s="412"/>
      <c r="D41" s="412"/>
      <c r="E41" s="412"/>
      <c r="F41" s="416"/>
    </row>
    <row r="42" spans="1:6" ht="15">
      <c r="A42" s="399"/>
      <c r="B42" s="364" t="s">
        <v>571</v>
      </c>
      <c r="C42" s="412"/>
      <c r="D42" s="412"/>
      <c r="E42" s="412"/>
      <c r="F42" s="416"/>
    </row>
    <row r="43" spans="1:6">
      <c r="A43" s="399" t="s">
        <v>598</v>
      </c>
      <c r="B43" s="376" t="s">
        <v>599</v>
      </c>
      <c r="C43" s="392" t="s">
        <v>19</v>
      </c>
      <c r="D43" s="392">
        <v>0.6</v>
      </c>
      <c r="E43" s="392">
        <v>18.3</v>
      </c>
      <c r="F43" s="417">
        <f>D43*E43</f>
        <v>10.98</v>
      </c>
    </row>
    <row r="44" spans="1:6">
      <c r="A44" s="399" t="s">
        <v>600</v>
      </c>
      <c r="B44" s="376" t="s">
        <v>601</v>
      </c>
      <c r="C44" s="392" t="s">
        <v>19</v>
      </c>
      <c r="D44" s="392">
        <v>0.3</v>
      </c>
      <c r="E44" s="394">
        <v>14</v>
      </c>
      <c r="F44" s="417">
        <f>D44*E44</f>
        <v>4.2</v>
      </c>
    </row>
    <row r="45" spans="1:6" ht="15">
      <c r="A45" s="399"/>
      <c r="B45" s="364" t="s">
        <v>561</v>
      </c>
      <c r="C45" s="412"/>
      <c r="D45" s="412"/>
      <c r="E45" s="412"/>
      <c r="F45" s="416">
        <f>SUM(F43:F44)</f>
        <v>15.18</v>
      </c>
    </row>
    <row r="46" spans="1:6" ht="15">
      <c r="A46" s="399"/>
      <c r="B46" s="364" t="s">
        <v>558</v>
      </c>
      <c r="C46" s="412"/>
      <c r="D46" s="412"/>
      <c r="E46" s="412"/>
      <c r="F46" s="416"/>
    </row>
    <row r="47" spans="1:6" ht="73.5" customHeight="1">
      <c r="A47" s="399" t="s">
        <v>651</v>
      </c>
      <c r="B47" s="427" t="s">
        <v>652</v>
      </c>
      <c r="C47" s="412" t="s">
        <v>31</v>
      </c>
      <c r="D47" s="412">
        <v>1</v>
      </c>
      <c r="E47" s="412">
        <v>31.81</v>
      </c>
      <c r="F47" s="417">
        <f>(D47*E47)</f>
        <v>31.81</v>
      </c>
    </row>
    <row r="48" spans="1:6" ht="33" customHeight="1">
      <c r="A48" s="399" t="s">
        <v>653</v>
      </c>
      <c r="B48" s="427" t="s">
        <v>654</v>
      </c>
      <c r="C48" s="392" t="s">
        <v>31</v>
      </c>
      <c r="D48" s="392">
        <v>2</v>
      </c>
      <c r="E48" s="392">
        <v>13.8</v>
      </c>
      <c r="F48" s="417">
        <f>(D48*E48)</f>
        <v>27.6</v>
      </c>
    </row>
    <row r="49" spans="1:6" ht="45.75" customHeight="1">
      <c r="A49" s="399">
        <v>21127</v>
      </c>
      <c r="B49" s="427" t="s">
        <v>655</v>
      </c>
      <c r="C49" s="392" t="s">
        <v>31</v>
      </c>
      <c r="D49" s="392">
        <v>4.2000000000000003E-2</v>
      </c>
      <c r="E49" s="394">
        <v>3.78</v>
      </c>
      <c r="F49" s="417">
        <f>(D49*E49)</f>
        <v>0.15876000000000001</v>
      </c>
    </row>
    <row r="50" spans="1:6" ht="15">
      <c r="A50" s="399"/>
      <c r="B50" s="364" t="s">
        <v>561</v>
      </c>
      <c r="C50" s="412"/>
      <c r="D50" s="412"/>
      <c r="E50" s="412"/>
      <c r="F50" s="416">
        <f>SUM(F47:F49)</f>
        <v>59.568759999999997</v>
      </c>
    </row>
    <row r="51" spans="1:6" ht="15">
      <c r="A51" s="399"/>
      <c r="B51" s="364" t="s">
        <v>562</v>
      </c>
      <c r="C51" s="412"/>
      <c r="D51" s="412"/>
      <c r="E51" s="412"/>
      <c r="F51" s="416">
        <f>F50+F45</f>
        <v>74.748760000000004</v>
      </c>
    </row>
    <row r="52" spans="1:6" thickBot="1">
      <c r="A52" s="420"/>
      <c r="B52" s="420"/>
      <c r="C52" s="420"/>
      <c r="D52" s="420"/>
      <c r="E52" s="420"/>
      <c r="F52" s="420"/>
    </row>
    <row r="53" spans="1:6" ht="42.75" customHeight="1">
      <c r="A53" s="414" t="s">
        <v>277</v>
      </c>
      <c r="B53" s="426" t="s">
        <v>656</v>
      </c>
      <c r="C53" s="412">
        <v>1</v>
      </c>
      <c r="D53" s="412"/>
      <c r="E53" s="412"/>
      <c r="F53" s="416"/>
    </row>
    <row r="54" spans="1:6">
      <c r="A54" s="399"/>
      <c r="B54" s="370" t="s">
        <v>593</v>
      </c>
      <c r="C54" s="412"/>
      <c r="D54" s="412"/>
      <c r="E54" s="412"/>
      <c r="F54" s="416"/>
    </row>
    <row r="55" spans="1:6" ht="15">
      <c r="A55" s="399"/>
      <c r="B55" s="364" t="s">
        <v>571</v>
      </c>
      <c r="C55" s="412"/>
      <c r="D55" s="412"/>
      <c r="E55" s="412"/>
      <c r="F55" s="416"/>
    </row>
    <row r="56" spans="1:6">
      <c r="A56" s="399" t="s">
        <v>598</v>
      </c>
      <c r="B56" s="376" t="s">
        <v>599</v>
      </c>
      <c r="C56" s="392" t="s">
        <v>19</v>
      </c>
      <c r="D56" s="392">
        <v>0.6</v>
      </c>
      <c r="E56" s="392">
        <v>18.3</v>
      </c>
      <c r="F56" s="417">
        <f>D56*E56</f>
        <v>10.98</v>
      </c>
    </row>
    <row r="57" spans="1:6" ht="22.5" customHeight="1">
      <c r="A57" s="399" t="s">
        <v>600</v>
      </c>
      <c r="B57" s="376" t="s">
        <v>601</v>
      </c>
      <c r="C57" s="392" t="s">
        <v>19</v>
      </c>
      <c r="D57" s="392">
        <v>0.9</v>
      </c>
      <c r="E57" s="394">
        <v>14</v>
      </c>
      <c r="F57" s="417">
        <f>D57*E57</f>
        <v>12.6</v>
      </c>
    </row>
    <row r="58" spans="1:6" ht="15">
      <c r="A58" s="399"/>
      <c r="B58" s="364" t="s">
        <v>561</v>
      </c>
      <c r="C58" s="412"/>
      <c r="D58" s="412"/>
      <c r="E58" s="412"/>
      <c r="F58" s="416">
        <f>SUM(F56:F57)</f>
        <v>23.58</v>
      </c>
    </row>
    <row r="59" spans="1:6" ht="15">
      <c r="A59" s="399"/>
      <c r="B59" s="364" t="s">
        <v>558</v>
      </c>
      <c r="C59" s="412"/>
      <c r="D59" s="412"/>
      <c r="E59" s="412"/>
      <c r="F59" s="416"/>
    </row>
    <row r="60" spans="1:6" ht="43.5" customHeight="1">
      <c r="A60" s="399" t="s">
        <v>657</v>
      </c>
      <c r="B60" s="427" t="s">
        <v>658</v>
      </c>
      <c r="C60" s="392" t="s">
        <v>31</v>
      </c>
      <c r="D60" s="392">
        <v>2</v>
      </c>
      <c r="E60" s="394">
        <v>42.24</v>
      </c>
      <c r="F60" s="417">
        <f>(D60*E60)</f>
        <v>84.48</v>
      </c>
    </row>
    <row r="61" spans="1:6" ht="47.25" customHeight="1">
      <c r="A61" s="399">
        <v>21127</v>
      </c>
      <c r="B61" s="427" t="s">
        <v>655</v>
      </c>
      <c r="C61" s="392" t="s">
        <v>31</v>
      </c>
      <c r="D61" s="392">
        <v>4.2000000000000003E-2</v>
      </c>
      <c r="E61" s="394">
        <v>3.78</v>
      </c>
      <c r="F61" s="417">
        <f>(D61*E61)</f>
        <v>0.15876000000000001</v>
      </c>
    </row>
    <row r="62" spans="1:6" ht="72" customHeight="1">
      <c r="A62" s="399" t="s">
        <v>648</v>
      </c>
      <c r="B62" s="376" t="s">
        <v>649</v>
      </c>
      <c r="C62" s="376" t="s">
        <v>31</v>
      </c>
      <c r="D62" s="424">
        <v>2</v>
      </c>
      <c r="E62" s="376">
        <v>0.22</v>
      </c>
      <c r="F62" s="376">
        <f>D62*E62</f>
        <v>0.44</v>
      </c>
    </row>
    <row r="63" spans="1:6" ht="15">
      <c r="A63" s="428"/>
      <c r="B63" s="429" t="s">
        <v>561</v>
      </c>
      <c r="C63" s="430"/>
      <c r="D63" s="430"/>
      <c r="E63" s="430"/>
      <c r="F63" s="431">
        <f>SUM(F60:F62)</f>
        <v>85.078760000000003</v>
      </c>
    </row>
    <row r="64" spans="1:6" ht="15">
      <c r="A64" s="399"/>
      <c r="B64" s="364" t="s">
        <v>562</v>
      </c>
      <c r="C64" s="412"/>
      <c r="D64" s="412"/>
      <c r="E64" s="412"/>
      <c r="F64" s="416">
        <f>F63+F58</f>
        <v>108.65876</v>
      </c>
    </row>
    <row r="65" spans="1:6" thickBot="1">
      <c r="A65" s="399"/>
      <c r="B65" s="388"/>
      <c r="C65" s="407"/>
      <c r="D65" s="432"/>
      <c r="E65" s="433"/>
      <c r="F65" s="434"/>
    </row>
    <row r="66" spans="1:6" thickBot="1">
      <c r="A66" s="420"/>
      <c r="B66" s="420"/>
      <c r="C66" s="420"/>
      <c r="D66" s="420"/>
      <c r="E66" s="420"/>
      <c r="F66" s="420"/>
    </row>
    <row r="67" spans="1:6" ht="43.5" customHeight="1">
      <c r="A67" s="414"/>
      <c r="B67" s="49" t="s">
        <v>841</v>
      </c>
      <c r="C67" s="412">
        <v>1</v>
      </c>
      <c r="D67" s="412"/>
      <c r="E67" s="412"/>
      <c r="F67" s="416"/>
    </row>
    <row r="68" spans="1:6">
      <c r="A68" s="399"/>
      <c r="B68" s="370" t="s">
        <v>842</v>
      </c>
      <c r="C68" s="412"/>
      <c r="D68" s="412"/>
      <c r="E68" s="412"/>
      <c r="F68" s="416"/>
    </row>
    <row r="69" spans="1:6" ht="15">
      <c r="A69" s="399"/>
      <c r="B69" s="364" t="s">
        <v>571</v>
      </c>
      <c r="C69" s="412"/>
      <c r="D69" s="412"/>
      <c r="E69" s="412"/>
      <c r="F69" s="416"/>
    </row>
    <row r="70" spans="1:6">
      <c r="A70" s="399" t="s">
        <v>598</v>
      </c>
      <c r="B70" s="376" t="s">
        <v>599</v>
      </c>
      <c r="C70" s="392" t="s">
        <v>19</v>
      </c>
      <c r="D70" s="392">
        <v>1.5</v>
      </c>
      <c r="E70" s="392">
        <v>18.850000000000001</v>
      </c>
      <c r="F70" s="417">
        <f>D70*E70</f>
        <v>28.275000000000002</v>
      </c>
    </row>
    <row r="71" spans="1:6">
      <c r="A71" s="399" t="s">
        <v>600</v>
      </c>
      <c r="B71" s="376" t="s">
        <v>601</v>
      </c>
      <c r="C71" s="392" t="s">
        <v>19</v>
      </c>
      <c r="D71" s="392">
        <v>1.5</v>
      </c>
      <c r="E71" s="392">
        <v>14.74</v>
      </c>
      <c r="F71" s="417">
        <f>D71*E71</f>
        <v>22.11</v>
      </c>
    </row>
    <row r="72" spans="1:6">
      <c r="A72" s="399" t="s">
        <v>602</v>
      </c>
      <c r="B72" s="376" t="s">
        <v>566</v>
      </c>
      <c r="C72" s="392" t="s">
        <v>19</v>
      </c>
      <c r="D72" s="392">
        <v>4</v>
      </c>
      <c r="E72" s="392">
        <v>18.18</v>
      </c>
      <c r="F72" s="417">
        <f>D72*E72</f>
        <v>72.72</v>
      </c>
    </row>
    <row r="73" spans="1:6" ht="27.75" customHeight="1">
      <c r="A73" s="369" t="s">
        <v>843</v>
      </c>
      <c r="B73" s="376" t="s">
        <v>844</v>
      </c>
      <c r="C73" s="392" t="s">
        <v>19</v>
      </c>
      <c r="D73" s="392">
        <v>2</v>
      </c>
      <c r="E73" s="392">
        <v>14.74</v>
      </c>
      <c r="F73" s="417">
        <f>D73*E73</f>
        <v>29.48</v>
      </c>
    </row>
    <row r="74" spans="1:6" ht="15">
      <c r="A74" s="399"/>
      <c r="B74" s="364" t="s">
        <v>561</v>
      </c>
      <c r="C74" s="412"/>
      <c r="D74" s="412"/>
      <c r="E74" s="412"/>
      <c r="F74" s="416">
        <f>SUM(F70:F73)</f>
        <v>152.58500000000001</v>
      </c>
    </row>
    <row r="75" spans="1:6" ht="15">
      <c r="A75" s="399"/>
      <c r="B75" s="364" t="s">
        <v>558</v>
      </c>
      <c r="C75" s="412"/>
      <c r="D75" s="412"/>
      <c r="E75" s="412"/>
      <c r="F75" s="416"/>
    </row>
    <row r="76" spans="1:6" ht="36" customHeight="1">
      <c r="A76" s="33">
        <v>5050</v>
      </c>
      <c r="B76" s="49" t="s">
        <v>845</v>
      </c>
      <c r="C76" s="412" t="s">
        <v>31</v>
      </c>
      <c r="D76" s="412">
        <v>1</v>
      </c>
      <c r="E76" s="392">
        <v>379.83</v>
      </c>
      <c r="F76" s="416">
        <f>(E76*D76)</f>
        <v>379.83</v>
      </c>
    </row>
    <row r="77" spans="1:6" ht="25.5" customHeight="1">
      <c r="A77" s="33">
        <v>2512</v>
      </c>
      <c r="B77" s="49" t="s">
        <v>846</v>
      </c>
      <c r="C77" s="412" t="s">
        <v>31</v>
      </c>
      <c r="D77" s="412">
        <v>2</v>
      </c>
      <c r="E77" s="392">
        <v>17.420000000000002</v>
      </c>
      <c r="F77" s="416">
        <f>(E77*D77)</f>
        <v>34.840000000000003</v>
      </c>
    </row>
    <row r="78" spans="1:6" ht="36.75" customHeight="1">
      <c r="A78" s="33">
        <v>83399</v>
      </c>
      <c r="B78" s="45" t="s">
        <v>847</v>
      </c>
      <c r="C78" s="412" t="s">
        <v>31</v>
      </c>
      <c r="D78" s="412">
        <v>1</v>
      </c>
      <c r="E78" s="392">
        <v>27.11</v>
      </c>
      <c r="F78" s="416">
        <f>(E78*D78)</f>
        <v>27.11</v>
      </c>
    </row>
    <row r="79" spans="1:6" ht="38.25" customHeight="1">
      <c r="A79" s="33">
        <v>38785</v>
      </c>
      <c r="B79" s="45" t="s">
        <v>848</v>
      </c>
      <c r="C79" s="412" t="s">
        <v>31</v>
      </c>
      <c r="D79" s="412">
        <v>2</v>
      </c>
      <c r="E79" s="392">
        <v>77.430000000000007</v>
      </c>
      <c r="F79" s="416">
        <f>(E79*D79)</f>
        <v>154.86000000000001</v>
      </c>
    </row>
    <row r="80" spans="1:6" ht="79.5" customHeight="1">
      <c r="A80" s="33" t="s">
        <v>849</v>
      </c>
      <c r="B80" s="49" t="s">
        <v>850</v>
      </c>
      <c r="C80" s="412" t="s">
        <v>31</v>
      </c>
      <c r="D80" s="412">
        <v>1</v>
      </c>
      <c r="E80" s="392">
        <v>132.52000000000001</v>
      </c>
      <c r="F80" s="416">
        <f>(E80*D80)</f>
        <v>132.52000000000001</v>
      </c>
    </row>
    <row r="81" spans="1:6" ht="15">
      <c r="A81" s="399"/>
      <c r="B81" s="364" t="s">
        <v>561</v>
      </c>
      <c r="C81" s="412"/>
      <c r="D81" s="412"/>
      <c r="E81" s="412"/>
      <c r="F81" s="416">
        <f>SUM(F76:F80)</f>
        <v>729.16</v>
      </c>
    </row>
    <row r="82" spans="1:6" ht="15">
      <c r="A82" s="399"/>
      <c r="B82" s="364" t="s">
        <v>562</v>
      </c>
      <c r="C82" s="412"/>
      <c r="D82" s="412"/>
      <c r="E82" s="412"/>
      <c r="F82" s="416">
        <f>F81+F74</f>
        <v>881.745</v>
      </c>
    </row>
    <row r="83" spans="1:6">
      <c r="A83" s="601"/>
      <c r="B83" s="435"/>
      <c r="C83" s="490"/>
      <c r="D83" s="602"/>
      <c r="E83" s="602"/>
      <c r="F83" s="603"/>
    </row>
    <row r="84" spans="1:6" ht="39" customHeight="1">
      <c r="A84" s="414"/>
      <c r="B84" s="49" t="s">
        <v>851</v>
      </c>
      <c r="C84" s="412">
        <v>1</v>
      </c>
      <c r="D84" s="412"/>
      <c r="E84" s="412"/>
      <c r="F84" s="416"/>
    </row>
    <row r="85" spans="1:6">
      <c r="A85" s="399"/>
      <c r="B85" s="370" t="s">
        <v>650</v>
      </c>
      <c r="C85" s="412"/>
      <c r="D85" s="412"/>
      <c r="E85" s="412"/>
      <c r="F85" s="416"/>
    </row>
    <row r="86" spans="1:6" ht="15">
      <c r="A86" s="399"/>
      <c r="B86" s="364" t="s">
        <v>571</v>
      </c>
      <c r="C86" s="412"/>
      <c r="D86" s="412"/>
      <c r="E86" s="412"/>
      <c r="F86" s="416"/>
    </row>
    <row r="87" spans="1:6">
      <c r="A87" s="399" t="s">
        <v>852</v>
      </c>
      <c r="B87" s="376" t="s">
        <v>599</v>
      </c>
      <c r="C87" s="392" t="s">
        <v>19</v>
      </c>
      <c r="D87" s="392">
        <v>0.60000000000000009</v>
      </c>
      <c r="E87" s="392">
        <v>18.850000000000001</v>
      </c>
      <c r="F87" s="417">
        <f>D87*E87</f>
        <v>11.310000000000002</v>
      </c>
    </row>
    <row r="88" spans="1:6" ht="17.25" customHeight="1">
      <c r="A88" s="399" t="s">
        <v>853</v>
      </c>
      <c r="B88" s="376" t="s">
        <v>601</v>
      </c>
      <c r="C88" s="392" t="s">
        <v>19</v>
      </c>
      <c r="D88" s="392">
        <v>0.60000000000000009</v>
      </c>
      <c r="E88" s="392">
        <v>14.74</v>
      </c>
      <c r="F88" s="417">
        <f>D88*E88</f>
        <v>8.8440000000000012</v>
      </c>
    </row>
    <row r="89" spans="1:6">
      <c r="A89" s="399" t="s">
        <v>854</v>
      </c>
      <c r="B89" s="376" t="s">
        <v>566</v>
      </c>
      <c r="C89" s="392" t="s">
        <v>19</v>
      </c>
      <c r="D89" s="392">
        <v>3.5</v>
      </c>
      <c r="E89" s="392">
        <v>18.18</v>
      </c>
      <c r="F89" s="417">
        <f>D89*E89</f>
        <v>63.629999999999995</v>
      </c>
    </row>
    <row r="90" spans="1:6" ht="22.5" customHeight="1">
      <c r="A90" s="369" t="s">
        <v>843</v>
      </c>
      <c r="B90" s="376" t="s">
        <v>844</v>
      </c>
      <c r="C90" s="392" t="s">
        <v>19</v>
      </c>
      <c r="D90" s="392">
        <v>3.5</v>
      </c>
      <c r="E90" s="392">
        <v>14.74</v>
      </c>
      <c r="F90" s="417">
        <f>D90*E90</f>
        <v>51.59</v>
      </c>
    </row>
    <row r="91" spans="1:6" ht="15">
      <c r="A91" s="399"/>
      <c r="B91" s="364" t="s">
        <v>561</v>
      </c>
      <c r="C91" s="412"/>
      <c r="D91" s="412"/>
      <c r="E91" s="412"/>
      <c r="F91" s="416">
        <f>SUM(F87:F90)</f>
        <v>135.374</v>
      </c>
    </row>
    <row r="92" spans="1:6" ht="15">
      <c r="A92" s="399"/>
      <c r="B92" s="364" t="s">
        <v>558</v>
      </c>
      <c r="C92" s="412"/>
      <c r="D92" s="412"/>
      <c r="E92" s="412"/>
      <c r="F92" s="416"/>
    </row>
    <row r="93" spans="1:6" ht="18" customHeight="1">
      <c r="A93" s="418"/>
      <c r="B93" s="34" t="s">
        <v>855</v>
      </c>
      <c r="C93" s="412" t="s">
        <v>31</v>
      </c>
      <c r="D93" s="412">
        <v>1</v>
      </c>
      <c r="E93" s="392">
        <v>242.22</v>
      </c>
      <c r="F93" s="416">
        <f>(E93*D93)</f>
        <v>242.22</v>
      </c>
    </row>
    <row r="94" spans="1:6" ht="36" customHeight="1">
      <c r="A94" s="33">
        <v>91939</v>
      </c>
      <c r="B94" s="49" t="s">
        <v>324</v>
      </c>
      <c r="C94" s="412" t="s">
        <v>31</v>
      </c>
      <c r="D94" s="412">
        <v>1</v>
      </c>
      <c r="E94" s="392">
        <v>18.670000000000002</v>
      </c>
      <c r="F94" s="416">
        <f>(E94*D94)</f>
        <v>18.670000000000002</v>
      </c>
    </row>
    <row r="95" spans="1:6" ht="15">
      <c r="A95" s="399"/>
      <c r="B95" s="364" t="s">
        <v>561</v>
      </c>
      <c r="C95" s="412"/>
      <c r="D95" s="412"/>
      <c r="E95" s="412"/>
      <c r="F95" s="416">
        <f>SUM(F93:F94)</f>
        <v>260.89</v>
      </c>
    </row>
    <row r="96" spans="1:6" ht="15">
      <c r="A96" s="399"/>
      <c r="B96" s="364" t="s">
        <v>562</v>
      </c>
      <c r="C96" s="412"/>
      <c r="D96" s="412"/>
      <c r="E96" s="412"/>
      <c r="F96" s="416">
        <f>F95+F91</f>
        <v>396.26400000000001</v>
      </c>
    </row>
    <row r="97" spans="1:6" thickBot="1">
      <c r="A97" s="601"/>
      <c r="B97" s="435"/>
      <c r="C97" s="490"/>
      <c r="D97" s="602"/>
      <c r="E97" s="602"/>
      <c r="F97" s="603"/>
    </row>
    <row r="98" spans="1:6" thickBot="1">
      <c r="A98" s="420"/>
      <c r="B98" s="420"/>
      <c r="C98" s="420"/>
      <c r="D98" s="420"/>
      <c r="E98" s="420"/>
      <c r="F98" s="420"/>
    </row>
    <row r="99" spans="1:6" ht="30" customHeight="1">
      <c r="A99" s="414" t="s">
        <v>279</v>
      </c>
      <c r="B99" s="426" t="s">
        <v>659</v>
      </c>
      <c r="C99" s="412">
        <v>1</v>
      </c>
      <c r="D99" s="412"/>
      <c r="E99" s="412"/>
      <c r="F99" s="416"/>
    </row>
    <row r="100" spans="1:6">
      <c r="A100" s="399"/>
      <c r="B100" s="370" t="s">
        <v>593</v>
      </c>
      <c r="C100" s="412"/>
      <c r="D100" s="412"/>
      <c r="E100" s="412"/>
      <c r="F100" s="416"/>
    </row>
    <row r="101" spans="1:6" ht="15">
      <c r="A101" s="399"/>
      <c r="B101" s="364" t="s">
        <v>571</v>
      </c>
      <c r="C101" s="412"/>
      <c r="D101" s="412"/>
      <c r="E101" s="412"/>
      <c r="F101" s="416"/>
    </row>
    <row r="102" spans="1:6">
      <c r="A102" s="399" t="s">
        <v>598</v>
      </c>
      <c r="B102" s="376" t="s">
        <v>599</v>
      </c>
      <c r="C102" s="392" t="s">
        <v>19</v>
      </c>
      <c r="D102" s="392">
        <v>0.4</v>
      </c>
      <c r="E102" s="392">
        <v>18.3</v>
      </c>
      <c r="F102" s="417">
        <f>D102*E102</f>
        <v>7.32</v>
      </c>
    </row>
    <row r="103" spans="1:6" ht="17.25" customHeight="1">
      <c r="A103" s="399" t="s">
        <v>600</v>
      </c>
      <c r="B103" s="376" t="s">
        <v>601</v>
      </c>
      <c r="C103" s="392" t="s">
        <v>19</v>
      </c>
      <c r="D103" s="392">
        <v>0.6</v>
      </c>
      <c r="E103" s="394">
        <v>14</v>
      </c>
      <c r="F103" s="417">
        <f>D103*E103</f>
        <v>8.4</v>
      </c>
    </row>
    <row r="104" spans="1:6" ht="15">
      <c r="A104" s="399"/>
      <c r="B104" s="364" t="s">
        <v>561</v>
      </c>
      <c r="C104" s="412"/>
      <c r="D104" s="412"/>
      <c r="E104" s="412"/>
      <c r="F104" s="416">
        <f>SUM(F102:F103)</f>
        <v>15.72</v>
      </c>
    </row>
    <row r="105" spans="1:6" ht="15">
      <c r="A105" s="399"/>
      <c r="B105" s="364" t="s">
        <v>558</v>
      </c>
      <c r="C105" s="412"/>
      <c r="D105" s="412"/>
      <c r="E105" s="412"/>
      <c r="F105" s="416"/>
    </row>
    <row r="106" spans="1:6" ht="43.5" customHeight="1">
      <c r="A106" s="399" t="s">
        <v>657</v>
      </c>
      <c r="B106" s="427" t="s">
        <v>658</v>
      </c>
      <c r="C106" s="392" t="s">
        <v>31</v>
      </c>
      <c r="D106" s="392">
        <v>1</v>
      </c>
      <c r="E106" s="394">
        <v>42.24</v>
      </c>
      <c r="F106" s="417">
        <f>(D106*E106)</f>
        <v>42.24</v>
      </c>
    </row>
    <row r="107" spans="1:6" ht="45" customHeight="1">
      <c r="A107" s="399">
        <v>21127</v>
      </c>
      <c r="B107" s="427" t="s">
        <v>655</v>
      </c>
      <c r="C107" s="392" t="s">
        <v>31</v>
      </c>
      <c r="D107" s="392">
        <v>4.2000000000000003E-2</v>
      </c>
      <c r="E107" s="394">
        <v>3.78</v>
      </c>
      <c r="F107" s="417">
        <f>(D107*E107)</f>
        <v>0.15876000000000001</v>
      </c>
    </row>
    <row r="108" spans="1:6" ht="72" customHeight="1">
      <c r="A108" s="399" t="s">
        <v>648</v>
      </c>
      <c r="B108" s="376" t="s">
        <v>649</v>
      </c>
      <c r="C108" s="376" t="s">
        <v>31</v>
      </c>
      <c r="D108" s="424">
        <v>2</v>
      </c>
      <c r="E108" s="376">
        <v>0.22</v>
      </c>
      <c r="F108" s="376">
        <f>D108*E108</f>
        <v>0.44</v>
      </c>
    </row>
    <row r="109" spans="1:6" ht="15">
      <c r="A109" s="428"/>
      <c r="B109" s="429" t="s">
        <v>561</v>
      </c>
      <c r="C109" s="430"/>
      <c r="D109" s="430"/>
      <c r="E109" s="430"/>
      <c r="F109" s="431">
        <f>SUM(F106:F108)</f>
        <v>42.838760000000001</v>
      </c>
    </row>
    <row r="110" spans="1:6" ht="15">
      <c r="A110" s="399"/>
      <c r="B110" s="364" t="s">
        <v>562</v>
      </c>
      <c r="C110" s="412"/>
      <c r="D110" s="412"/>
      <c r="E110" s="412"/>
      <c r="F110" s="416">
        <f>F109+F104</f>
        <v>58.558759999999999</v>
      </c>
    </row>
    <row r="111" spans="1:6" thickBot="1">
      <c r="A111" s="420"/>
      <c r="B111" s="420"/>
      <c r="C111" s="420"/>
      <c r="D111" s="420"/>
      <c r="E111" s="420"/>
      <c r="F111" s="420"/>
    </row>
    <row r="112" spans="1:6" ht="40.5" customHeight="1">
      <c r="A112" s="414" t="s">
        <v>307</v>
      </c>
      <c r="B112" s="45" t="s">
        <v>308</v>
      </c>
      <c r="C112" s="412">
        <v>1</v>
      </c>
      <c r="D112" s="412"/>
      <c r="E112" s="412"/>
      <c r="F112" s="416"/>
    </row>
    <row r="113" spans="1:6">
      <c r="A113" s="399"/>
      <c r="B113" s="370" t="s">
        <v>650</v>
      </c>
      <c r="C113" s="412"/>
      <c r="D113" s="412"/>
      <c r="E113" s="412"/>
      <c r="F113" s="416"/>
    </row>
    <row r="114" spans="1:6" ht="15">
      <c r="A114" s="399"/>
      <c r="B114" s="364" t="s">
        <v>571</v>
      </c>
      <c r="C114" s="412"/>
      <c r="D114" s="412"/>
      <c r="E114" s="412"/>
      <c r="F114" s="416"/>
    </row>
    <row r="115" spans="1:6">
      <c r="A115" s="399" t="s">
        <v>598</v>
      </c>
      <c r="B115" s="376" t="s">
        <v>599</v>
      </c>
      <c r="C115" s="392" t="s">
        <v>19</v>
      </c>
      <c r="D115" s="392">
        <v>0.3</v>
      </c>
      <c r="E115" s="392">
        <v>18.3</v>
      </c>
      <c r="F115" s="417">
        <f>D115*E115</f>
        <v>5.49</v>
      </c>
    </row>
    <row r="116" spans="1:6" ht="28.5" customHeight="1">
      <c r="A116" s="399" t="s">
        <v>600</v>
      </c>
      <c r="B116" s="45" t="s">
        <v>661</v>
      </c>
      <c r="C116" s="392" t="s">
        <v>19</v>
      </c>
      <c r="D116" s="392">
        <v>0.15</v>
      </c>
      <c r="E116" s="394">
        <v>14</v>
      </c>
      <c r="F116" s="417">
        <f>D116*E116</f>
        <v>2.1</v>
      </c>
    </row>
    <row r="117" spans="1:6" ht="15">
      <c r="A117" s="399"/>
      <c r="B117" s="364" t="s">
        <v>561</v>
      </c>
      <c r="C117" s="412"/>
      <c r="D117" s="412"/>
      <c r="E117" s="412"/>
      <c r="F117" s="416">
        <f>SUM(F115:F116)</f>
        <v>7.59</v>
      </c>
    </row>
    <row r="118" spans="1:6" ht="15">
      <c r="A118" s="399"/>
      <c r="B118" s="364" t="s">
        <v>558</v>
      </c>
      <c r="C118" s="412"/>
      <c r="D118" s="412"/>
      <c r="E118" s="412"/>
      <c r="F118" s="416"/>
    </row>
    <row r="119" spans="1:6" ht="39.75" customHeight="1">
      <c r="A119" s="399" t="s">
        <v>669</v>
      </c>
      <c r="B119" s="45" t="s">
        <v>670</v>
      </c>
      <c r="C119" s="412"/>
      <c r="D119" s="412">
        <v>1</v>
      </c>
      <c r="E119" s="412">
        <v>76.650000000000006</v>
      </c>
      <c r="F119" s="416">
        <f>(D119*E119)</f>
        <v>76.650000000000006</v>
      </c>
    </row>
    <row r="120" spans="1:6">
      <c r="A120" s="399"/>
      <c r="B120" s="427"/>
      <c r="C120" s="392" t="s">
        <v>31</v>
      </c>
      <c r="D120" s="392">
        <v>0</v>
      </c>
      <c r="E120" s="392">
        <v>0</v>
      </c>
      <c r="F120" s="417">
        <f>(D120*E120)</f>
        <v>0</v>
      </c>
    </row>
    <row r="121" spans="1:6" ht="15">
      <c r="A121" s="399"/>
      <c r="B121" s="364" t="s">
        <v>561</v>
      </c>
      <c r="C121" s="412"/>
      <c r="D121" s="412"/>
      <c r="E121" s="412"/>
      <c r="F121" s="416">
        <f>SUM(F119:F120)</f>
        <v>76.650000000000006</v>
      </c>
    </row>
    <row r="122" spans="1:6" ht="15">
      <c r="A122" s="399"/>
      <c r="B122" s="364" t="s">
        <v>562</v>
      </c>
      <c r="C122" s="412"/>
      <c r="D122" s="412"/>
      <c r="E122" s="412"/>
      <c r="F122" s="416">
        <f>F121+F117</f>
        <v>84.240000000000009</v>
      </c>
    </row>
    <row r="123" spans="1:6">
      <c r="A123" s="435"/>
      <c r="B123" s="435"/>
      <c r="C123" s="435"/>
      <c r="D123" s="435"/>
      <c r="E123" s="435"/>
      <c r="F123" s="435"/>
    </row>
    <row r="124" spans="1:6" ht="39.75" customHeight="1">
      <c r="A124" s="604"/>
      <c r="B124" s="421" t="s">
        <v>856</v>
      </c>
      <c r="C124" s="605">
        <v>1</v>
      </c>
      <c r="D124" s="605"/>
      <c r="E124" s="412"/>
      <c r="F124" s="606"/>
    </row>
    <row r="125" spans="1:6">
      <c r="A125" s="607"/>
      <c r="B125" s="608" t="s">
        <v>650</v>
      </c>
      <c r="C125" s="605"/>
      <c r="D125" s="605"/>
      <c r="E125" s="412"/>
      <c r="F125" s="606"/>
    </row>
    <row r="126" spans="1:6" ht="15">
      <c r="A126" s="607"/>
      <c r="B126" s="587" t="s">
        <v>571</v>
      </c>
      <c r="C126" s="605"/>
      <c r="D126" s="605"/>
      <c r="E126" s="412"/>
      <c r="F126" s="606"/>
    </row>
    <row r="127" spans="1:6">
      <c r="A127" s="399" t="s">
        <v>598</v>
      </c>
      <c r="B127" s="427" t="s">
        <v>599</v>
      </c>
      <c r="C127" s="556" t="s">
        <v>19</v>
      </c>
      <c r="D127" s="556">
        <v>0.60000000000000009</v>
      </c>
      <c r="E127" s="417">
        <v>14.49</v>
      </c>
      <c r="F127" s="609">
        <f>(D127*E127)</f>
        <v>8.6940000000000008</v>
      </c>
    </row>
    <row r="128" spans="1:6" ht="21.75" customHeight="1">
      <c r="A128" s="399" t="s">
        <v>600</v>
      </c>
      <c r="B128" s="427" t="s">
        <v>601</v>
      </c>
      <c r="C128" s="556" t="s">
        <v>19</v>
      </c>
      <c r="D128" s="556">
        <v>0.60000000000000009</v>
      </c>
      <c r="E128" s="417">
        <v>14.46</v>
      </c>
      <c r="F128" s="609">
        <f>(D128*E128)</f>
        <v>8.6760000000000019</v>
      </c>
    </row>
    <row r="129" spans="1:6" ht="15">
      <c r="A129" s="607"/>
      <c r="B129" s="587" t="s">
        <v>561</v>
      </c>
      <c r="C129" s="605"/>
      <c r="D129" s="605"/>
      <c r="E129" s="412"/>
      <c r="F129" s="606">
        <f>SUM(F127:F128)</f>
        <v>17.370000000000005</v>
      </c>
    </row>
    <row r="130" spans="1:6" ht="15">
      <c r="A130" s="607"/>
      <c r="B130" s="587" t="s">
        <v>558</v>
      </c>
      <c r="C130" s="605"/>
      <c r="D130" s="605"/>
      <c r="E130" s="412"/>
      <c r="F130" s="606"/>
    </row>
    <row r="131" spans="1:6" ht="29.25" customHeight="1">
      <c r="A131" s="607" t="s">
        <v>857</v>
      </c>
      <c r="B131" s="610" t="s">
        <v>858</v>
      </c>
      <c r="C131" s="605"/>
      <c r="D131" s="605">
        <v>1</v>
      </c>
      <c r="E131" s="412">
        <v>394.66</v>
      </c>
      <c r="F131" s="606">
        <f>(D131*E131)</f>
        <v>394.66</v>
      </c>
    </row>
    <row r="132" spans="1:6">
      <c r="A132" s="607"/>
      <c r="B132" s="427"/>
      <c r="C132" s="556" t="s">
        <v>31</v>
      </c>
      <c r="D132" s="556">
        <v>0</v>
      </c>
      <c r="E132" s="392">
        <v>0</v>
      </c>
      <c r="F132" s="609">
        <f>(D132*E132)</f>
        <v>0</v>
      </c>
    </row>
    <row r="133" spans="1:6" ht="15">
      <c r="A133" s="607"/>
      <c r="B133" s="587" t="s">
        <v>561</v>
      </c>
      <c r="C133" s="605"/>
      <c r="D133" s="605"/>
      <c r="E133" s="412"/>
      <c r="F133" s="606">
        <f>SUM(F131:F132)</f>
        <v>394.66</v>
      </c>
    </row>
    <row r="134" spans="1:6" ht="15">
      <c r="A134" s="607"/>
      <c r="B134" s="587" t="s">
        <v>562</v>
      </c>
      <c r="C134" s="605"/>
      <c r="D134" s="605"/>
      <c r="E134" s="412"/>
      <c r="F134" s="606">
        <f>F133+F129</f>
        <v>412.03000000000003</v>
      </c>
    </row>
    <row r="135" spans="1:6">
      <c r="A135" s="435"/>
      <c r="B135" s="435"/>
      <c r="C135" s="435"/>
      <c r="D135" s="435"/>
      <c r="E135" s="435"/>
      <c r="F135" s="435"/>
    </row>
    <row r="136" spans="1:6" ht="42" customHeight="1">
      <c r="A136" s="414"/>
      <c r="B136" s="421" t="s">
        <v>344</v>
      </c>
      <c r="C136" s="365"/>
      <c r="D136" s="436"/>
      <c r="E136" s="437"/>
      <c r="F136" s="368"/>
    </row>
    <row r="137" spans="1:6">
      <c r="A137" s="369"/>
      <c r="B137" s="370" t="s">
        <v>557</v>
      </c>
      <c r="C137" s="371"/>
      <c r="D137" s="438"/>
      <c r="E137" s="439"/>
      <c r="F137" s="374"/>
    </row>
    <row r="138" spans="1:6" ht="15">
      <c r="A138" s="369"/>
      <c r="B138" s="364" t="s">
        <v>571</v>
      </c>
      <c r="C138" s="371"/>
      <c r="D138" s="438"/>
      <c r="E138" s="439"/>
      <c r="F138" s="374"/>
    </row>
    <row r="139" spans="1:6" ht="33" customHeight="1">
      <c r="A139" s="393" t="s">
        <v>602</v>
      </c>
      <c r="B139" s="376" t="s">
        <v>671</v>
      </c>
      <c r="C139" s="376" t="s">
        <v>19</v>
      </c>
      <c r="D139" s="424">
        <v>0.34739999999999999</v>
      </c>
      <c r="E139" s="376">
        <v>16.78</v>
      </c>
      <c r="F139" s="417">
        <f>(D139*E139)</f>
        <v>5.8293720000000002</v>
      </c>
    </row>
    <row r="140" spans="1:6" ht="33.75" customHeight="1">
      <c r="A140" s="393" t="s">
        <v>672</v>
      </c>
      <c r="B140" s="376" t="s">
        <v>549</v>
      </c>
      <c r="C140" s="376" t="s">
        <v>19</v>
      </c>
      <c r="D140" s="424">
        <v>0.2</v>
      </c>
      <c r="E140" s="376">
        <v>13.34</v>
      </c>
      <c r="F140" s="417">
        <f>(D140*E140)</f>
        <v>2.6680000000000001</v>
      </c>
    </row>
    <row r="141" spans="1:6" ht="15">
      <c r="A141" s="369"/>
      <c r="B141" s="364" t="s">
        <v>561</v>
      </c>
      <c r="C141" s="371"/>
      <c r="D141" s="438"/>
      <c r="E141" s="439"/>
      <c r="F141" s="416">
        <f>F139++F140</f>
        <v>8.4973720000000004</v>
      </c>
    </row>
    <row r="142" spans="1:6" ht="15">
      <c r="A142" s="369"/>
      <c r="B142" s="364" t="s">
        <v>558</v>
      </c>
      <c r="C142" s="371"/>
      <c r="D142" s="438"/>
      <c r="E142" s="439"/>
      <c r="F142" s="417"/>
    </row>
    <row r="143" spans="1:6" ht="41.25" customHeight="1">
      <c r="A143" s="369" t="s">
        <v>673</v>
      </c>
      <c r="B143" s="376" t="s">
        <v>674</v>
      </c>
      <c r="C143" s="371" t="s">
        <v>31</v>
      </c>
      <c r="D143" s="438">
        <v>1</v>
      </c>
      <c r="E143" s="439">
        <v>52.48</v>
      </c>
      <c r="F143" s="417">
        <f>(D143*E143)</f>
        <v>52.48</v>
      </c>
    </row>
    <row r="144" spans="1:6" ht="15">
      <c r="A144" s="369"/>
      <c r="B144" s="364" t="s">
        <v>561</v>
      </c>
      <c r="C144" s="371"/>
      <c r="D144" s="438"/>
      <c r="E144" s="439"/>
      <c r="F144" s="423">
        <f>F143</f>
        <v>52.48</v>
      </c>
    </row>
    <row r="145" spans="1:6" ht="15">
      <c r="A145" s="369"/>
      <c r="B145" s="364" t="s">
        <v>562</v>
      </c>
      <c r="C145" s="371"/>
      <c r="D145" s="440"/>
      <c r="E145" s="441"/>
      <c r="F145" s="416">
        <f>F144+F141</f>
        <v>60.977371999999995</v>
      </c>
    </row>
    <row r="147" spans="1:6">
      <c r="A147" s="435"/>
      <c r="B147" s="435"/>
      <c r="C147" s="435"/>
      <c r="D147" s="435"/>
      <c r="E147" s="435"/>
      <c r="F147" s="435"/>
    </row>
    <row r="148" spans="1:6" ht="41.25" customHeight="1">
      <c r="A148" s="414" t="s">
        <v>255</v>
      </c>
      <c r="B148" s="421" t="s">
        <v>256</v>
      </c>
      <c r="C148" s="364"/>
      <c r="D148" s="422"/>
      <c r="E148" s="364"/>
      <c r="F148" s="364"/>
    </row>
    <row r="149" spans="1:6" ht="15">
      <c r="A149" s="391"/>
      <c r="B149" s="370" t="s">
        <v>645</v>
      </c>
      <c r="C149" s="364"/>
      <c r="D149" s="422"/>
      <c r="E149" s="364"/>
      <c r="F149" s="364"/>
    </row>
    <row r="150" spans="1:6" ht="15">
      <c r="A150" s="391"/>
      <c r="B150" s="364" t="s">
        <v>571</v>
      </c>
      <c r="C150" s="364"/>
      <c r="D150" s="422"/>
      <c r="E150" s="364"/>
      <c r="F150" s="364"/>
    </row>
    <row r="151" spans="1:6">
      <c r="A151" s="399" t="s">
        <v>598</v>
      </c>
      <c r="B151" s="376" t="s">
        <v>599</v>
      </c>
      <c r="C151" s="392" t="s">
        <v>19</v>
      </c>
      <c r="D151" s="392">
        <v>0.8</v>
      </c>
      <c r="E151" s="392">
        <v>18.3</v>
      </c>
      <c r="F151" s="417">
        <f>D151*E151</f>
        <v>14.64</v>
      </c>
    </row>
    <row r="152" spans="1:6">
      <c r="A152" s="399" t="s">
        <v>600</v>
      </c>
      <c r="B152" s="376" t="s">
        <v>601</v>
      </c>
      <c r="C152" s="392" t="s">
        <v>19</v>
      </c>
      <c r="D152" s="392">
        <v>0.8</v>
      </c>
      <c r="E152" s="394">
        <v>14</v>
      </c>
      <c r="F152" s="417">
        <f>D152*E152</f>
        <v>11.200000000000001</v>
      </c>
    </row>
    <row r="153" spans="1:6" ht="15">
      <c r="A153" s="391"/>
      <c r="B153" s="364" t="s">
        <v>561</v>
      </c>
      <c r="C153" s="364"/>
      <c r="D153" s="422"/>
      <c r="E153" s="364"/>
      <c r="F153" s="423">
        <f>SUM(F151:F152)</f>
        <v>25.840000000000003</v>
      </c>
    </row>
    <row r="154" spans="1:6" ht="15">
      <c r="A154" s="391"/>
      <c r="B154" s="364" t="s">
        <v>558</v>
      </c>
      <c r="C154" s="364"/>
      <c r="D154" s="422"/>
      <c r="E154" s="364"/>
      <c r="F154" s="364"/>
    </row>
    <row r="155" spans="1:6" ht="60" customHeight="1">
      <c r="A155" s="414" t="s">
        <v>646</v>
      </c>
      <c r="B155" s="376" t="s">
        <v>647</v>
      </c>
      <c r="C155" s="376" t="s">
        <v>31</v>
      </c>
      <c r="D155" s="424">
        <v>1</v>
      </c>
      <c r="E155" s="376">
        <v>38.270000000000003</v>
      </c>
      <c r="F155" s="376">
        <f>(D155*E155)</f>
        <v>38.270000000000003</v>
      </c>
    </row>
    <row r="156" spans="1:6" ht="75.75" customHeight="1">
      <c r="A156" s="414" t="s">
        <v>648</v>
      </c>
      <c r="B156" s="376" t="s">
        <v>649</v>
      </c>
      <c r="C156" s="376" t="s">
        <v>31</v>
      </c>
      <c r="D156" s="424">
        <v>4</v>
      </c>
      <c r="E156" s="376">
        <v>0.22</v>
      </c>
      <c r="F156" s="376">
        <f>(D156*E156)</f>
        <v>0.88</v>
      </c>
    </row>
    <row r="157" spans="1:6" ht="15">
      <c r="A157" s="391"/>
      <c r="B157" s="364" t="s">
        <v>561</v>
      </c>
      <c r="C157" s="364"/>
      <c r="D157" s="422"/>
      <c r="E157" s="364"/>
      <c r="F157" s="364">
        <f>SUM(F155:F156)</f>
        <v>39.150000000000006</v>
      </c>
    </row>
    <row r="158" spans="1:6" ht="15">
      <c r="A158" s="391"/>
      <c r="B158" s="364" t="s">
        <v>562</v>
      </c>
      <c r="C158" s="364"/>
      <c r="D158" s="422"/>
      <c r="E158" s="422"/>
      <c r="F158" s="423">
        <f>F153+F157</f>
        <v>64.990000000000009</v>
      </c>
    </row>
    <row r="159" spans="1:6" ht="15">
      <c r="A159" s="395"/>
      <c r="B159" s="396"/>
      <c r="C159" s="396"/>
      <c r="D159" s="425"/>
      <c r="E159" s="425"/>
      <c r="F159" s="396"/>
    </row>
    <row r="160" spans="1:6" ht="44.25" customHeight="1">
      <c r="A160" s="391" t="s">
        <v>287</v>
      </c>
      <c r="B160" s="421" t="s">
        <v>288</v>
      </c>
      <c r="C160" s="376"/>
      <c r="D160" s="376"/>
      <c r="E160" s="364"/>
      <c r="F160" s="364"/>
    </row>
    <row r="161" spans="1:6" ht="15">
      <c r="A161" s="391"/>
      <c r="B161" s="370" t="s">
        <v>645</v>
      </c>
      <c r="C161" s="364"/>
      <c r="D161" s="422"/>
      <c r="E161" s="364"/>
      <c r="F161" s="364"/>
    </row>
    <row r="162" spans="1:6" ht="19.5" customHeight="1">
      <c r="A162" s="391"/>
      <c r="B162" s="364" t="s">
        <v>571</v>
      </c>
      <c r="C162" s="364"/>
      <c r="D162" s="422"/>
      <c r="E162" s="364"/>
      <c r="F162" s="364"/>
    </row>
    <row r="163" spans="1:6" ht="35.25" customHeight="1">
      <c r="A163" s="391" t="s">
        <v>598</v>
      </c>
      <c r="B163" s="376" t="s">
        <v>660</v>
      </c>
      <c r="C163" s="376" t="s">
        <v>19</v>
      </c>
      <c r="D163" s="424">
        <v>0.56769999999999998</v>
      </c>
      <c r="E163" s="392">
        <v>18.3</v>
      </c>
      <c r="F163" s="424">
        <f>D163*E163</f>
        <v>10.388909999999999</v>
      </c>
    </row>
    <row r="164" spans="1:6" ht="31.5" customHeight="1">
      <c r="A164" s="391" t="s">
        <v>600</v>
      </c>
      <c r="B164" s="376" t="s">
        <v>661</v>
      </c>
      <c r="C164" s="376" t="s">
        <v>19</v>
      </c>
      <c r="D164" s="424">
        <v>0.56769999999999998</v>
      </c>
      <c r="E164" s="394">
        <v>14</v>
      </c>
      <c r="F164" s="424">
        <f>D164*E164</f>
        <v>7.9478</v>
      </c>
    </row>
    <row r="165" spans="1:6" ht="15">
      <c r="A165" s="391"/>
      <c r="B165" s="364" t="s">
        <v>561</v>
      </c>
      <c r="C165" s="364"/>
      <c r="D165" s="422"/>
      <c r="E165" s="364"/>
      <c r="F165" s="422">
        <f>F164+F163</f>
        <v>18.33671</v>
      </c>
    </row>
    <row r="166" spans="1:6" ht="15">
      <c r="A166" s="391"/>
      <c r="B166" s="364" t="s">
        <v>558</v>
      </c>
      <c r="C166" s="364"/>
      <c r="D166" s="422"/>
      <c r="E166" s="364"/>
      <c r="F166" s="364"/>
    </row>
    <row r="167" spans="1:6" ht="33" customHeight="1">
      <c r="A167" s="391">
        <v>34714</v>
      </c>
      <c r="B167" s="376" t="s">
        <v>662</v>
      </c>
      <c r="C167" s="376" t="s">
        <v>31</v>
      </c>
      <c r="D167" s="424">
        <v>1</v>
      </c>
      <c r="E167" s="376">
        <v>65.150000000000006</v>
      </c>
      <c r="F167" s="376">
        <f>D167*E167</f>
        <v>65.150000000000006</v>
      </c>
    </row>
    <row r="168" spans="1:6" ht="62.25" customHeight="1">
      <c r="A168" s="391" t="s">
        <v>663</v>
      </c>
      <c r="B168" s="376" t="s">
        <v>664</v>
      </c>
      <c r="C168" s="376" t="s">
        <v>31</v>
      </c>
      <c r="D168" s="424">
        <v>3</v>
      </c>
      <c r="E168" s="376">
        <v>2.13</v>
      </c>
      <c r="F168" s="376">
        <f>D168*E168</f>
        <v>6.39</v>
      </c>
    </row>
    <row r="169" spans="1:6" ht="15">
      <c r="A169" s="391"/>
      <c r="B169" s="364" t="s">
        <v>561</v>
      </c>
      <c r="C169" s="364"/>
      <c r="D169" s="422"/>
      <c r="E169" s="364"/>
      <c r="F169" s="364">
        <f>SUM(F167:F168)</f>
        <v>71.540000000000006</v>
      </c>
    </row>
    <row r="170" spans="1:6" ht="15">
      <c r="A170" s="391"/>
      <c r="B170" s="364" t="s">
        <v>562</v>
      </c>
      <c r="C170" s="364"/>
      <c r="D170" s="422"/>
      <c r="E170" s="364"/>
      <c r="F170" s="422">
        <f>F165+F169</f>
        <v>89.876710000000003</v>
      </c>
    </row>
    <row r="171" spans="1:6" ht="15">
      <c r="A171" s="395"/>
      <c r="B171" s="396"/>
      <c r="C171" s="396"/>
      <c r="D171" s="425"/>
      <c r="E171" s="425"/>
      <c r="F171" s="396"/>
    </row>
    <row r="172" spans="1:6" ht="38.25" customHeight="1">
      <c r="A172" s="391" t="s">
        <v>305</v>
      </c>
      <c r="B172" s="421" t="s">
        <v>306</v>
      </c>
      <c r="C172" s="376"/>
      <c r="D172" s="376"/>
      <c r="E172" s="364"/>
      <c r="F172" s="364"/>
    </row>
    <row r="173" spans="1:6" ht="15">
      <c r="A173" s="391"/>
      <c r="B173" s="370" t="s">
        <v>645</v>
      </c>
      <c r="C173" s="364"/>
      <c r="D173" s="422"/>
      <c r="E173" s="364"/>
      <c r="F173" s="364"/>
    </row>
    <row r="174" spans="1:6" ht="15">
      <c r="A174" s="391"/>
      <c r="B174" s="364" t="s">
        <v>571</v>
      </c>
      <c r="C174" s="364"/>
      <c r="D174" s="422"/>
      <c r="E174" s="364"/>
      <c r="F174" s="364"/>
    </row>
    <row r="175" spans="1:6" ht="27" customHeight="1">
      <c r="A175" s="391" t="s">
        <v>598</v>
      </c>
      <c r="B175" s="376" t="s">
        <v>660</v>
      </c>
      <c r="C175" s="376" t="s">
        <v>19</v>
      </c>
      <c r="D175" s="424">
        <v>0.56769999999999998</v>
      </c>
      <c r="E175" s="392">
        <v>18.3</v>
      </c>
      <c r="F175" s="424">
        <f>D175*E175</f>
        <v>10.388909999999999</v>
      </c>
    </row>
    <row r="176" spans="1:6" ht="30.75" customHeight="1">
      <c r="A176" s="391" t="s">
        <v>600</v>
      </c>
      <c r="B176" s="376" t="s">
        <v>661</v>
      </c>
      <c r="C176" s="376" t="s">
        <v>19</v>
      </c>
      <c r="D176" s="424">
        <v>0.56769999999999998</v>
      </c>
      <c r="E176" s="394">
        <v>14</v>
      </c>
      <c r="F176" s="424">
        <f>D176*E176</f>
        <v>7.9478</v>
      </c>
    </row>
    <row r="177" spans="1:6" ht="15">
      <c r="A177" s="391"/>
      <c r="B177" s="364" t="s">
        <v>561</v>
      </c>
      <c r="C177" s="364"/>
      <c r="D177" s="422"/>
      <c r="E177" s="364"/>
      <c r="F177" s="422">
        <f>F176+F175</f>
        <v>18.33671</v>
      </c>
    </row>
    <row r="178" spans="1:6" ht="15">
      <c r="A178" s="391"/>
      <c r="B178" s="364" t="s">
        <v>558</v>
      </c>
      <c r="C178" s="364"/>
      <c r="D178" s="422"/>
      <c r="E178" s="364"/>
      <c r="F178" s="364"/>
    </row>
    <row r="179" spans="1:6" ht="41.25" customHeight="1">
      <c r="A179" s="391" t="s">
        <v>665</v>
      </c>
      <c r="B179" s="376" t="s">
        <v>666</v>
      </c>
      <c r="C179" s="376" t="s">
        <v>31</v>
      </c>
      <c r="D179" s="424">
        <v>1</v>
      </c>
      <c r="E179" s="376">
        <v>121.73</v>
      </c>
      <c r="F179" s="376">
        <f>D179*E179</f>
        <v>121.73</v>
      </c>
    </row>
    <row r="180" spans="1:6" ht="45" customHeight="1">
      <c r="A180" s="391" t="s">
        <v>667</v>
      </c>
      <c r="B180" s="376" t="s">
        <v>668</v>
      </c>
      <c r="C180" s="376" t="s">
        <v>31</v>
      </c>
      <c r="D180" s="424">
        <v>3</v>
      </c>
      <c r="E180" s="376">
        <v>1.2</v>
      </c>
      <c r="F180" s="376">
        <f>D180*E180</f>
        <v>3.5999999999999996</v>
      </c>
    </row>
    <row r="181" spans="1:6" ht="15">
      <c r="A181" s="391"/>
      <c r="B181" s="364" t="s">
        <v>561</v>
      </c>
      <c r="C181" s="364"/>
      <c r="D181" s="422"/>
      <c r="E181" s="364"/>
      <c r="F181" s="364">
        <f>SUM(F179:F180)</f>
        <v>125.33</v>
      </c>
    </row>
    <row r="182" spans="1:6" ht="15">
      <c r="A182" s="391"/>
      <c r="B182" s="364" t="s">
        <v>562</v>
      </c>
      <c r="C182" s="364"/>
      <c r="D182" s="422"/>
      <c r="E182" s="364"/>
      <c r="F182" s="422">
        <f>F177+F181</f>
        <v>143.66670999999999</v>
      </c>
    </row>
    <row r="183" spans="1:6" ht="15">
      <c r="A183" s="395"/>
      <c r="B183" s="396"/>
      <c r="C183" s="396"/>
      <c r="D183" s="425"/>
      <c r="E183" s="425"/>
      <c r="F183" s="396"/>
    </row>
    <row r="184" spans="1:6" ht="39" customHeight="1">
      <c r="A184" s="391" t="s">
        <v>311</v>
      </c>
      <c r="B184" s="421" t="s">
        <v>312</v>
      </c>
      <c r="C184" s="376"/>
      <c r="D184" s="376"/>
      <c r="E184" s="364"/>
      <c r="F184" s="364"/>
    </row>
    <row r="185" spans="1:6" ht="15">
      <c r="A185" s="391"/>
      <c r="B185" s="370" t="s">
        <v>645</v>
      </c>
      <c r="C185" s="364"/>
      <c r="D185" s="422"/>
      <c r="E185" s="364"/>
      <c r="F185" s="364"/>
    </row>
    <row r="186" spans="1:6" ht="22.5" customHeight="1">
      <c r="A186" s="391"/>
      <c r="B186" s="364" t="s">
        <v>571</v>
      </c>
      <c r="C186" s="364"/>
      <c r="D186" s="422"/>
      <c r="E186" s="364"/>
      <c r="F186" s="364"/>
    </row>
    <row r="187" spans="1:6" ht="33.75" customHeight="1">
      <c r="A187" s="393" t="s">
        <v>598</v>
      </c>
      <c r="B187" s="376" t="s">
        <v>660</v>
      </c>
      <c r="C187" s="376" t="s">
        <v>19</v>
      </c>
      <c r="D187" s="424">
        <v>0.2</v>
      </c>
      <c r="E187" s="392">
        <v>18.3</v>
      </c>
      <c r="F187" s="424">
        <f>D187*E187</f>
        <v>3.66</v>
      </c>
    </row>
    <row r="188" spans="1:6" ht="33" customHeight="1">
      <c r="A188" s="393" t="s">
        <v>600</v>
      </c>
      <c r="B188" s="376" t="s">
        <v>661</v>
      </c>
      <c r="C188" s="376" t="s">
        <v>19</v>
      </c>
      <c r="D188" s="424">
        <v>0.2</v>
      </c>
      <c r="E188" s="394">
        <v>14</v>
      </c>
      <c r="F188" s="424">
        <f>D188*E188</f>
        <v>2.8000000000000003</v>
      </c>
    </row>
    <row r="189" spans="1:6" ht="15">
      <c r="A189" s="391"/>
      <c r="B189" s="364" t="s">
        <v>561</v>
      </c>
      <c r="C189" s="364"/>
      <c r="D189" s="422"/>
      <c r="E189" s="364"/>
      <c r="F189" s="422">
        <f>F188+F187</f>
        <v>6.4600000000000009</v>
      </c>
    </row>
    <row r="190" spans="1:6" ht="15">
      <c r="A190" s="391"/>
      <c r="B190" s="364" t="s">
        <v>558</v>
      </c>
      <c r="C190" s="364"/>
      <c r="D190" s="422"/>
      <c r="E190" s="364"/>
      <c r="F190" s="364"/>
    </row>
    <row r="191" spans="1:6" ht="45" customHeight="1">
      <c r="A191" s="391" t="s">
        <v>619</v>
      </c>
      <c r="B191" s="376" t="s">
        <v>620</v>
      </c>
      <c r="C191" s="376" t="s">
        <v>31</v>
      </c>
      <c r="D191" s="424">
        <v>1</v>
      </c>
      <c r="E191" s="376">
        <v>11.06</v>
      </c>
      <c r="F191" s="376">
        <f>D191*E191</f>
        <v>11.06</v>
      </c>
    </row>
    <row r="192" spans="1:6" ht="15">
      <c r="A192" s="391"/>
      <c r="B192" s="364" t="s">
        <v>561</v>
      </c>
      <c r="C192" s="364"/>
      <c r="D192" s="422"/>
      <c r="E192" s="364"/>
      <c r="F192" s="364">
        <f>SUM(F191:F191)</f>
        <v>11.06</v>
      </c>
    </row>
    <row r="193" spans="1:6" ht="15">
      <c r="A193" s="391"/>
      <c r="B193" s="364" t="s">
        <v>562</v>
      </c>
      <c r="C193" s="364"/>
      <c r="D193" s="422"/>
      <c r="E193" s="364"/>
      <c r="F193" s="422">
        <f>F189+F192</f>
        <v>17.520000000000003</v>
      </c>
    </row>
    <row r="194" spans="1:6" ht="15">
      <c r="A194" s="395"/>
      <c r="B194" s="396"/>
      <c r="C194" s="396"/>
      <c r="D194" s="425"/>
      <c r="E194" s="425"/>
      <c r="F194" s="396"/>
    </row>
    <row r="195" spans="1:6" ht="71.25" customHeight="1">
      <c r="A195" s="391"/>
      <c r="B195" s="376" t="s">
        <v>859</v>
      </c>
      <c r="C195" s="376"/>
      <c r="D195" s="376"/>
      <c r="E195" s="364"/>
      <c r="F195" s="364"/>
    </row>
    <row r="196" spans="1:6" ht="15">
      <c r="A196" s="391"/>
      <c r="B196" s="370" t="s">
        <v>645</v>
      </c>
      <c r="C196" s="364"/>
      <c r="D196" s="422"/>
      <c r="E196" s="364"/>
      <c r="F196" s="364"/>
    </row>
    <row r="197" spans="1:6" ht="15">
      <c r="A197" s="391"/>
      <c r="B197" s="364" t="s">
        <v>571</v>
      </c>
      <c r="C197" s="364"/>
      <c r="D197" s="422"/>
      <c r="E197" s="364"/>
      <c r="F197" s="364"/>
    </row>
    <row r="198" spans="1:6" ht="31.5" customHeight="1">
      <c r="A198" s="393" t="s">
        <v>602</v>
      </c>
      <c r="B198" s="376" t="s">
        <v>671</v>
      </c>
      <c r="C198" s="376" t="s">
        <v>19</v>
      </c>
      <c r="D198" s="424">
        <v>0.34739999999999999</v>
      </c>
      <c r="E198" s="376">
        <v>16.78</v>
      </c>
      <c r="F198" s="424">
        <f>D198*E198</f>
        <v>5.8293720000000002</v>
      </c>
    </row>
    <row r="199" spans="1:6" ht="37.5" customHeight="1">
      <c r="A199" s="393" t="s">
        <v>672</v>
      </c>
      <c r="B199" s="376" t="s">
        <v>549</v>
      </c>
      <c r="C199" s="376" t="s">
        <v>19</v>
      </c>
      <c r="D199" s="424">
        <v>0.34739999999999999</v>
      </c>
      <c r="E199" s="376">
        <v>13.34</v>
      </c>
      <c r="F199" s="424">
        <f>D199*E199</f>
        <v>4.6343160000000001</v>
      </c>
    </row>
    <row r="200" spans="1:6" ht="60.75" customHeight="1">
      <c r="A200" s="393" t="s">
        <v>860</v>
      </c>
      <c r="B200" s="376" t="s">
        <v>861</v>
      </c>
      <c r="C200" s="376" t="s">
        <v>54</v>
      </c>
      <c r="D200" s="424">
        <v>1.41E-2</v>
      </c>
      <c r="E200" s="376">
        <v>145.88</v>
      </c>
      <c r="F200" s="424">
        <f>D200*E200</f>
        <v>2.056908</v>
      </c>
    </row>
    <row r="201" spans="1:6" ht="15">
      <c r="A201" s="393"/>
      <c r="B201" s="364" t="s">
        <v>561</v>
      </c>
      <c r="C201" s="364"/>
      <c r="D201" s="422"/>
      <c r="E201" s="364"/>
      <c r="F201" s="422">
        <f>SUM(F198:F200)</f>
        <v>12.520596000000001</v>
      </c>
    </row>
    <row r="202" spans="1:6" ht="15">
      <c r="A202" s="393"/>
      <c r="B202" s="364" t="s">
        <v>558</v>
      </c>
      <c r="C202" s="364"/>
      <c r="D202" s="422"/>
      <c r="E202" s="364"/>
      <c r="F202" s="364"/>
    </row>
    <row r="203" spans="1:6" ht="56.25" customHeight="1">
      <c r="A203" s="393" t="s">
        <v>619</v>
      </c>
      <c r="B203" s="376" t="s">
        <v>862</v>
      </c>
      <c r="C203" s="376" t="s">
        <v>31</v>
      </c>
      <c r="D203" s="424">
        <v>1</v>
      </c>
      <c r="E203" s="376">
        <v>254.11</v>
      </c>
      <c r="F203" s="376">
        <f>D203*E203</f>
        <v>254.11</v>
      </c>
    </row>
    <row r="204" spans="1:6" ht="15">
      <c r="A204" s="391"/>
      <c r="B204" s="364" t="s">
        <v>561</v>
      </c>
      <c r="C204" s="364"/>
      <c r="D204" s="422"/>
      <c r="E204" s="364"/>
      <c r="F204" s="364">
        <f>SUM(F203:F203)</f>
        <v>254.11</v>
      </c>
    </row>
    <row r="205" spans="1:6" ht="15">
      <c r="A205" s="391"/>
      <c r="B205" s="364" t="s">
        <v>562</v>
      </c>
      <c r="C205" s="364"/>
      <c r="D205" s="422"/>
      <c r="E205" s="364"/>
      <c r="F205" s="422">
        <f>F201+F204</f>
        <v>266.63059600000003</v>
      </c>
    </row>
    <row r="206" spans="1:6">
      <c r="A206" s="435"/>
      <c r="B206" s="435"/>
      <c r="C206" s="435"/>
      <c r="D206" s="435"/>
      <c r="E206" s="435"/>
      <c r="F206" s="435"/>
    </row>
    <row r="207" spans="1:6" ht="15">
      <c r="A207" s="600"/>
      <c r="B207" s="611"/>
      <c r="C207" s="611"/>
      <c r="D207" s="612"/>
      <c r="E207" s="611"/>
      <c r="F207" s="612"/>
    </row>
    <row r="208" spans="1:6" ht="15">
      <c r="A208" s="614" t="s">
        <v>863</v>
      </c>
      <c r="B208" s="614"/>
      <c r="C208" s="614"/>
      <c r="D208" s="614"/>
      <c r="E208" s="614"/>
      <c r="F208" s="614"/>
    </row>
    <row r="209" spans="1:6">
      <c r="A209" s="435"/>
      <c r="B209" s="435"/>
      <c r="C209" s="435"/>
      <c r="D209" s="435"/>
      <c r="E209" s="435"/>
      <c r="F209" s="435"/>
    </row>
    <row r="210" spans="1:6" ht="41.25" customHeight="1">
      <c r="A210" s="414" t="s">
        <v>343</v>
      </c>
      <c r="B210" s="421" t="s">
        <v>344</v>
      </c>
      <c r="C210" s="365"/>
      <c r="D210" s="436"/>
      <c r="E210" s="437"/>
      <c r="F210" s="368"/>
    </row>
    <row r="211" spans="1:6">
      <c r="A211" s="369"/>
      <c r="B211" s="370" t="s">
        <v>557</v>
      </c>
      <c r="C211" s="371"/>
      <c r="D211" s="438"/>
      <c r="E211" s="439"/>
      <c r="F211" s="374"/>
    </row>
    <row r="212" spans="1:6" ht="21.75" customHeight="1">
      <c r="A212" s="369"/>
      <c r="B212" s="364" t="s">
        <v>571</v>
      </c>
      <c r="C212" s="371"/>
      <c r="D212" s="438"/>
      <c r="E212" s="439"/>
      <c r="F212" s="374"/>
    </row>
    <row r="213" spans="1:6" ht="30" customHeight="1">
      <c r="A213" s="393" t="s">
        <v>602</v>
      </c>
      <c r="B213" s="376" t="s">
        <v>671</v>
      </c>
      <c r="C213" s="376" t="s">
        <v>19</v>
      </c>
      <c r="D213" s="424">
        <v>0.34739999999999999</v>
      </c>
      <c r="E213" s="376">
        <v>17.670000000000002</v>
      </c>
      <c r="F213" s="417">
        <f>(D213*E213)</f>
        <v>6.1385580000000006</v>
      </c>
    </row>
    <row r="214" spans="1:6" ht="35.25" customHeight="1">
      <c r="A214" s="393" t="s">
        <v>672</v>
      </c>
      <c r="B214" s="376" t="s">
        <v>549</v>
      </c>
      <c r="C214" s="376" t="s">
        <v>19</v>
      </c>
      <c r="D214" s="424">
        <v>0.2</v>
      </c>
      <c r="E214" s="376">
        <v>14.02</v>
      </c>
      <c r="F214" s="417">
        <f>(D214*E214)</f>
        <v>2.8040000000000003</v>
      </c>
    </row>
    <row r="215" spans="1:6" ht="15">
      <c r="A215" s="369"/>
      <c r="B215" s="364" t="s">
        <v>561</v>
      </c>
      <c r="C215" s="371"/>
      <c r="D215" s="438"/>
      <c r="E215" s="439"/>
      <c r="F215" s="416">
        <f>F213++F214</f>
        <v>8.9425580000000018</v>
      </c>
    </row>
    <row r="216" spans="1:6" ht="15">
      <c r="A216" s="369"/>
      <c r="B216" s="364" t="s">
        <v>558</v>
      </c>
      <c r="C216" s="371"/>
      <c r="D216" s="438"/>
      <c r="E216" s="439"/>
      <c r="F216" s="417"/>
    </row>
    <row r="217" spans="1:6" ht="45.75" customHeight="1">
      <c r="A217" s="369" t="s">
        <v>673</v>
      </c>
      <c r="B217" s="376" t="s">
        <v>674</v>
      </c>
      <c r="C217" s="371" t="s">
        <v>31</v>
      </c>
      <c r="D217" s="438">
        <v>1</v>
      </c>
      <c r="E217" s="439">
        <v>57.53</v>
      </c>
      <c r="F217" s="417">
        <f>(D217*E217)</f>
        <v>57.53</v>
      </c>
    </row>
    <row r="218" spans="1:6" ht="15">
      <c r="A218" s="369"/>
      <c r="B218" s="364" t="s">
        <v>561</v>
      </c>
      <c r="C218" s="371"/>
      <c r="D218" s="438"/>
      <c r="E218" s="439"/>
      <c r="F218" s="423">
        <f>F217</f>
        <v>57.53</v>
      </c>
    </row>
    <row r="219" spans="1:6" ht="21.75" customHeight="1">
      <c r="A219" s="369"/>
      <c r="B219" s="364" t="s">
        <v>562</v>
      </c>
      <c r="C219" s="371"/>
      <c r="D219" s="440"/>
      <c r="E219" s="441"/>
      <c r="F219" s="416">
        <f>F218+F215</f>
        <v>66.472558000000006</v>
      </c>
    </row>
    <row r="221" spans="1:6" ht="15">
      <c r="A221" s="395"/>
      <c r="B221" s="396"/>
      <c r="C221" s="396"/>
      <c r="D221" s="425"/>
      <c r="E221" s="425"/>
      <c r="F221" s="396"/>
    </row>
    <row r="222" spans="1:6" ht="40.5" customHeight="1">
      <c r="A222" s="391" t="s">
        <v>368</v>
      </c>
      <c r="B222" s="421" t="s">
        <v>689</v>
      </c>
      <c r="C222" s="364"/>
      <c r="D222" s="422"/>
      <c r="E222" s="364"/>
      <c r="F222" s="364"/>
    </row>
    <row r="223" spans="1:6" ht="15">
      <c r="A223" s="391"/>
      <c r="B223" s="370" t="s">
        <v>645</v>
      </c>
      <c r="C223" s="364"/>
      <c r="D223" s="422"/>
      <c r="E223" s="364"/>
      <c r="F223" s="364"/>
    </row>
    <row r="224" spans="1:6" ht="15">
      <c r="A224" s="391"/>
      <c r="B224" s="364" t="s">
        <v>571</v>
      </c>
      <c r="C224" s="364"/>
      <c r="D224" s="422"/>
      <c r="E224" s="364"/>
      <c r="F224" s="364"/>
    </row>
    <row r="225" spans="1:6" ht="32.25" customHeight="1">
      <c r="A225" s="393" t="s">
        <v>598</v>
      </c>
      <c r="B225" s="376" t="s">
        <v>660</v>
      </c>
      <c r="C225" s="376" t="s">
        <v>19</v>
      </c>
      <c r="D225" s="424">
        <v>0.8</v>
      </c>
      <c r="E225" s="392">
        <v>18.3</v>
      </c>
      <c r="F225" s="376">
        <f>D225*E225</f>
        <v>14.64</v>
      </c>
    </row>
    <row r="226" spans="1:6" ht="28.5" customHeight="1">
      <c r="A226" s="393" t="s">
        <v>600</v>
      </c>
      <c r="B226" s="376" t="s">
        <v>661</v>
      </c>
      <c r="C226" s="376" t="s">
        <v>19</v>
      </c>
      <c r="D226" s="424">
        <v>0.8</v>
      </c>
      <c r="E226" s="394">
        <v>14</v>
      </c>
      <c r="F226" s="376">
        <f>D226*E226</f>
        <v>11.200000000000001</v>
      </c>
    </row>
    <row r="227" spans="1:6" ht="15">
      <c r="A227" s="391"/>
      <c r="B227" s="364" t="s">
        <v>561</v>
      </c>
      <c r="C227" s="364"/>
      <c r="D227" s="422"/>
      <c r="E227" s="364"/>
      <c r="F227" s="364">
        <f>F226+F225</f>
        <v>25.840000000000003</v>
      </c>
    </row>
    <row r="228" spans="1:6" ht="15">
      <c r="A228" s="391"/>
      <c r="B228" s="364" t="s">
        <v>558</v>
      </c>
      <c r="C228" s="364"/>
      <c r="D228" s="422"/>
      <c r="E228" s="364"/>
      <c r="F228" s="364"/>
    </row>
    <row r="229" spans="1:6" ht="45.75" customHeight="1">
      <c r="A229" s="391"/>
      <c r="B229" s="376" t="s">
        <v>690</v>
      </c>
      <c r="C229" s="376" t="s">
        <v>31</v>
      </c>
      <c r="D229" s="424">
        <v>1</v>
      </c>
      <c r="E229" s="376">
        <v>17.13</v>
      </c>
      <c r="F229" s="376">
        <f>D229*E229</f>
        <v>17.13</v>
      </c>
    </row>
    <row r="230" spans="1:6" ht="15">
      <c r="A230" s="391"/>
      <c r="B230" s="364" t="s">
        <v>561</v>
      </c>
      <c r="C230" s="364"/>
      <c r="D230" s="422"/>
      <c r="E230" s="364"/>
      <c r="F230" s="364">
        <f>F227</f>
        <v>25.840000000000003</v>
      </c>
    </row>
    <row r="231" spans="1:6" ht="15">
      <c r="A231" s="391"/>
      <c r="B231" s="364" t="s">
        <v>562</v>
      </c>
      <c r="C231" s="364"/>
      <c r="D231" s="422"/>
      <c r="E231" s="364"/>
      <c r="F231" s="364">
        <f>F227+F230</f>
        <v>51.680000000000007</v>
      </c>
    </row>
    <row r="232" spans="1:6" ht="33" customHeight="1">
      <c r="A232" s="391"/>
      <c r="B232" s="376" t="s">
        <v>691</v>
      </c>
      <c r="C232" s="364"/>
      <c r="D232" s="422"/>
      <c r="E232" s="364"/>
      <c r="F232" s="364"/>
    </row>
    <row r="233" spans="1:6" ht="15">
      <c r="A233" s="395"/>
      <c r="B233" s="396"/>
      <c r="C233" s="396"/>
      <c r="D233" s="425"/>
      <c r="E233" s="425"/>
      <c r="F233" s="396"/>
    </row>
    <row r="234" spans="1:6" ht="39.75" customHeight="1">
      <c r="A234" s="391" t="s">
        <v>370</v>
      </c>
      <c r="B234" s="421" t="s">
        <v>371</v>
      </c>
      <c r="C234" s="364"/>
      <c r="D234" s="422"/>
      <c r="E234" s="364"/>
      <c r="F234" s="364"/>
    </row>
    <row r="235" spans="1:6" ht="15">
      <c r="A235" s="391"/>
      <c r="B235" s="370" t="s">
        <v>645</v>
      </c>
      <c r="C235" s="364"/>
      <c r="D235" s="422"/>
      <c r="E235" s="364"/>
      <c r="F235" s="364"/>
    </row>
    <row r="236" spans="1:6" ht="15">
      <c r="A236" s="391"/>
      <c r="B236" s="364" t="s">
        <v>571</v>
      </c>
      <c r="C236" s="364"/>
      <c r="D236" s="422"/>
      <c r="E236" s="364"/>
      <c r="F236" s="364"/>
    </row>
    <row r="237" spans="1:6" ht="33.75" customHeight="1">
      <c r="A237" s="393" t="s">
        <v>598</v>
      </c>
      <c r="B237" s="376" t="s">
        <v>660</v>
      </c>
      <c r="C237" s="376" t="s">
        <v>19</v>
      </c>
      <c r="D237" s="424">
        <v>0.6</v>
      </c>
      <c r="E237" s="392">
        <v>18.3</v>
      </c>
      <c r="F237" s="376">
        <f>D237*E237</f>
        <v>10.98</v>
      </c>
    </row>
    <row r="238" spans="1:6" ht="35.25" customHeight="1">
      <c r="A238" s="393" t="s">
        <v>600</v>
      </c>
      <c r="B238" s="376" t="s">
        <v>661</v>
      </c>
      <c r="C238" s="376" t="s">
        <v>19</v>
      </c>
      <c r="D238" s="424">
        <v>0.6</v>
      </c>
      <c r="E238" s="394">
        <v>14</v>
      </c>
      <c r="F238" s="376">
        <f>D238*E238</f>
        <v>8.4</v>
      </c>
    </row>
    <row r="239" spans="1:6" ht="15">
      <c r="A239" s="391"/>
      <c r="B239" s="364" t="s">
        <v>561</v>
      </c>
      <c r="C239" s="364"/>
      <c r="D239" s="422"/>
      <c r="E239" s="364"/>
      <c r="F239" s="364">
        <f>F237+F238</f>
        <v>19.380000000000003</v>
      </c>
    </row>
    <row r="240" spans="1:6" ht="15">
      <c r="A240" s="391"/>
      <c r="B240" s="364" t="s">
        <v>558</v>
      </c>
      <c r="C240" s="364"/>
      <c r="D240" s="422"/>
      <c r="E240" s="364"/>
      <c r="F240" s="364"/>
    </row>
    <row r="241" spans="1:6" ht="42" customHeight="1">
      <c r="A241" s="393"/>
      <c r="B241" s="376" t="s">
        <v>692</v>
      </c>
      <c r="C241" s="376" t="s">
        <v>31</v>
      </c>
      <c r="D241" s="424">
        <v>1</v>
      </c>
      <c r="E241" s="376">
        <v>168.31</v>
      </c>
      <c r="F241" s="376">
        <f>D241*E241</f>
        <v>168.31</v>
      </c>
    </row>
    <row r="242" spans="1:6" ht="15">
      <c r="A242" s="393"/>
      <c r="B242" s="364" t="s">
        <v>561</v>
      </c>
      <c r="C242" s="371"/>
      <c r="D242" s="453"/>
      <c r="E242" s="454"/>
      <c r="F242" s="454">
        <f>F241</f>
        <v>168.31</v>
      </c>
    </row>
    <row r="243" spans="1:6" ht="15">
      <c r="A243" s="393"/>
      <c r="B243" s="364" t="s">
        <v>562</v>
      </c>
      <c r="C243" s="371"/>
      <c r="D243" s="453"/>
      <c r="E243" s="454"/>
      <c r="F243" s="455">
        <f>F239+F242</f>
        <v>187.69</v>
      </c>
    </row>
    <row r="244" spans="1:6" ht="27" customHeight="1">
      <c r="A244" s="393"/>
      <c r="B244" s="376" t="s">
        <v>691</v>
      </c>
      <c r="C244" s="371"/>
      <c r="D244" s="453"/>
      <c r="E244" s="454"/>
      <c r="F244" s="454"/>
    </row>
    <row r="245" spans="1:6" ht="15">
      <c r="A245" s="395"/>
      <c r="B245" s="396"/>
      <c r="C245" s="396"/>
      <c r="D245" s="425"/>
      <c r="E245" s="425"/>
      <c r="F245" s="396"/>
    </row>
    <row r="246" spans="1:6" ht="30" customHeight="1">
      <c r="A246" s="391" t="s">
        <v>372</v>
      </c>
      <c r="B246" s="421" t="s">
        <v>693</v>
      </c>
      <c r="C246" s="364"/>
      <c r="D246" s="422"/>
      <c r="E246" s="364"/>
      <c r="F246" s="364"/>
    </row>
    <row r="247" spans="1:6" ht="15">
      <c r="A247" s="391"/>
      <c r="B247" s="370" t="s">
        <v>645</v>
      </c>
      <c r="C247" s="364"/>
      <c r="D247" s="422"/>
      <c r="E247" s="364"/>
      <c r="F247" s="364"/>
    </row>
    <row r="248" spans="1:6" ht="19.5" customHeight="1">
      <c r="A248" s="391"/>
      <c r="B248" s="364" t="s">
        <v>571</v>
      </c>
      <c r="C248" s="364"/>
      <c r="D248" s="422"/>
      <c r="E248" s="364"/>
      <c r="F248" s="364"/>
    </row>
    <row r="249" spans="1:6" ht="30.75" customHeight="1">
      <c r="A249" s="393" t="s">
        <v>598</v>
      </c>
      <c r="B249" s="376" t="s">
        <v>660</v>
      </c>
      <c r="C249" s="376" t="s">
        <v>19</v>
      </c>
      <c r="D249" s="424">
        <v>8.5000000000000006E-2</v>
      </c>
      <c r="E249" s="392">
        <v>18.3</v>
      </c>
      <c r="F249" s="376">
        <f>D249*E249</f>
        <v>1.5555000000000001</v>
      </c>
    </row>
    <row r="250" spans="1:6" ht="34.5" customHeight="1">
      <c r="A250" s="393" t="s">
        <v>600</v>
      </c>
      <c r="B250" s="376" t="s">
        <v>661</v>
      </c>
      <c r="C250" s="376" t="s">
        <v>19</v>
      </c>
      <c r="D250" s="424">
        <v>0</v>
      </c>
      <c r="E250" s="394">
        <v>14</v>
      </c>
      <c r="F250" s="376">
        <f>D250*E250</f>
        <v>0</v>
      </c>
    </row>
    <row r="251" spans="1:6" ht="15">
      <c r="A251" s="391"/>
      <c r="B251" s="364" t="s">
        <v>561</v>
      </c>
      <c r="C251" s="364"/>
      <c r="D251" s="422"/>
      <c r="E251" s="364"/>
      <c r="F251" s="364">
        <f>F249+F250</f>
        <v>1.5555000000000001</v>
      </c>
    </row>
    <row r="252" spans="1:6" ht="15">
      <c r="A252" s="391"/>
      <c r="B252" s="364" t="s">
        <v>558</v>
      </c>
      <c r="C252" s="364"/>
      <c r="D252" s="422"/>
      <c r="E252" s="364"/>
      <c r="F252" s="364"/>
    </row>
    <row r="253" spans="1:6" ht="26.25" customHeight="1">
      <c r="A253" s="393" t="s">
        <v>694</v>
      </c>
      <c r="B253" s="376" t="s">
        <v>695</v>
      </c>
      <c r="C253" s="376" t="s">
        <v>31</v>
      </c>
      <c r="D253" s="424">
        <v>1</v>
      </c>
      <c r="E253" s="376">
        <v>9.4700000000000006</v>
      </c>
      <c r="F253" s="376">
        <f>D253*E253</f>
        <v>9.4700000000000006</v>
      </c>
    </row>
    <row r="254" spans="1:6" ht="15">
      <c r="A254" s="393"/>
      <c r="B254" s="364" t="s">
        <v>561</v>
      </c>
      <c r="C254" s="371"/>
      <c r="D254" s="453"/>
      <c r="E254" s="454"/>
      <c r="F254" s="454">
        <f>F253</f>
        <v>9.4700000000000006</v>
      </c>
    </row>
    <row r="255" spans="1:6" ht="15" customHeight="1">
      <c r="A255" s="393"/>
      <c r="B255" s="364" t="s">
        <v>562</v>
      </c>
      <c r="C255" s="371"/>
      <c r="D255" s="453"/>
      <c r="E255" s="454"/>
      <c r="F255" s="455">
        <f>F251+F254</f>
        <v>11.025500000000001</v>
      </c>
    </row>
    <row r="256" spans="1:6" ht="15">
      <c r="A256" s="395"/>
      <c r="B256" s="396"/>
      <c r="C256" s="396"/>
      <c r="D256" s="425"/>
      <c r="E256" s="425"/>
      <c r="F256" s="396"/>
    </row>
    <row r="257" spans="1:6" ht="25.5" customHeight="1">
      <c r="A257" s="391" t="s">
        <v>375</v>
      </c>
      <c r="B257" s="421" t="s">
        <v>696</v>
      </c>
      <c r="C257" s="364"/>
      <c r="D257" s="422"/>
      <c r="E257" s="364"/>
      <c r="F257" s="364"/>
    </row>
    <row r="258" spans="1:6" ht="15">
      <c r="A258" s="391"/>
      <c r="B258" s="370" t="s">
        <v>645</v>
      </c>
      <c r="C258" s="364"/>
      <c r="D258" s="422"/>
      <c r="E258" s="364"/>
      <c r="F258" s="364"/>
    </row>
    <row r="259" spans="1:6" ht="15">
      <c r="A259" s="391"/>
      <c r="B259" s="364" t="s">
        <v>571</v>
      </c>
      <c r="C259" s="364"/>
      <c r="D259" s="422"/>
      <c r="E259" s="364"/>
      <c r="F259" s="364"/>
    </row>
    <row r="260" spans="1:6" ht="35.25" customHeight="1">
      <c r="A260" s="393" t="s">
        <v>598</v>
      </c>
      <c r="B260" s="376" t="s">
        <v>660</v>
      </c>
      <c r="C260" s="376" t="s">
        <v>19</v>
      </c>
      <c r="D260" s="424">
        <v>8.5000000000000006E-2</v>
      </c>
      <c r="E260" s="392">
        <v>18.3</v>
      </c>
      <c r="F260" s="376">
        <f>D260*E260</f>
        <v>1.5555000000000001</v>
      </c>
    </row>
    <row r="261" spans="1:6" ht="27" customHeight="1">
      <c r="A261" s="393" t="s">
        <v>600</v>
      </c>
      <c r="B261" s="376" t="s">
        <v>661</v>
      </c>
      <c r="C261" s="376" t="s">
        <v>19</v>
      </c>
      <c r="D261" s="424">
        <v>0</v>
      </c>
      <c r="E261" s="394">
        <v>14</v>
      </c>
      <c r="F261" s="376">
        <f>D261*E261</f>
        <v>0</v>
      </c>
    </row>
    <row r="262" spans="1:6" ht="15">
      <c r="A262" s="391"/>
      <c r="B262" s="364" t="s">
        <v>561</v>
      </c>
      <c r="C262" s="364"/>
      <c r="D262" s="422"/>
      <c r="E262" s="364"/>
      <c r="F262" s="364">
        <f>F260+F261</f>
        <v>1.5555000000000001</v>
      </c>
    </row>
    <row r="263" spans="1:6" ht="15">
      <c r="A263" s="391"/>
      <c r="B263" s="364" t="s">
        <v>558</v>
      </c>
      <c r="C263" s="364"/>
      <c r="D263" s="422"/>
      <c r="E263" s="364"/>
      <c r="F263" s="364"/>
    </row>
    <row r="264" spans="1:6" ht="27.75" customHeight="1">
      <c r="A264" s="393" t="s">
        <v>697</v>
      </c>
      <c r="B264" s="376" t="s">
        <v>698</v>
      </c>
      <c r="C264" s="376" t="s">
        <v>31</v>
      </c>
      <c r="D264" s="424">
        <v>1</v>
      </c>
      <c r="E264" s="376">
        <v>13.15</v>
      </c>
      <c r="F264" s="376">
        <f>D264*E264</f>
        <v>13.15</v>
      </c>
    </row>
    <row r="265" spans="1:6" ht="15">
      <c r="A265" s="393"/>
      <c r="B265" s="364" t="s">
        <v>561</v>
      </c>
      <c r="C265" s="371"/>
      <c r="D265" s="453"/>
      <c r="E265" s="454"/>
      <c r="F265" s="454">
        <f>F264</f>
        <v>13.15</v>
      </c>
    </row>
    <row r="266" spans="1:6" ht="15">
      <c r="A266" s="393"/>
      <c r="B266" s="364" t="s">
        <v>562</v>
      </c>
      <c r="C266" s="371"/>
      <c r="D266" s="453"/>
      <c r="E266" s="454"/>
      <c r="F266" s="455">
        <f>F262+F265</f>
        <v>14.705500000000001</v>
      </c>
    </row>
    <row r="267" spans="1:6" ht="15">
      <c r="A267" s="395"/>
      <c r="B267" s="396"/>
      <c r="C267" s="396"/>
      <c r="D267" s="425"/>
      <c r="E267" s="425"/>
      <c r="F267" s="396"/>
    </row>
    <row r="268" spans="1:6" ht="24" customHeight="1">
      <c r="A268" s="391" t="s">
        <v>379</v>
      </c>
      <c r="B268" s="421" t="s">
        <v>380</v>
      </c>
      <c r="C268" s="371"/>
      <c r="D268" s="453"/>
      <c r="E268" s="454"/>
      <c r="F268" s="454"/>
    </row>
    <row r="269" spans="1:6">
      <c r="A269" s="393"/>
      <c r="B269" s="370" t="s">
        <v>557</v>
      </c>
      <c r="C269" s="371"/>
      <c r="D269" s="453"/>
      <c r="E269" s="454"/>
      <c r="F269" s="454"/>
    </row>
    <row r="270" spans="1:6" ht="18.75" customHeight="1">
      <c r="A270" s="393"/>
      <c r="B270" s="364" t="s">
        <v>571</v>
      </c>
      <c r="C270" s="371"/>
      <c r="D270" s="453"/>
      <c r="E270" s="454"/>
      <c r="F270" s="454"/>
    </row>
    <row r="271" spans="1:6" ht="29.25" customHeight="1">
      <c r="A271" s="393" t="s">
        <v>598</v>
      </c>
      <c r="B271" s="376" t="s">
        <v>660</v>
      </c>
      <c r="C271" s="376" t="s">
        <v>19</v>
      </c>
      <c r="D271" s="424">
        <v>0.15</v>
      </c>
      <c r="E271" s="376">
        <v>18.3</v>
      </c>
      <c r="F271" s="454">
        <f>D271*E271</f>
        <v>2.7450000000000001</v>
      </c>
    </row>
    <row r="272" spans="1:6" ht="15">
      <c r="A272" s="393"/>
      <c r="B272" s="364" t="s">
        <v>561</v>
      </c>
      <c r="C272" s="371"/>
      <c r="D272" s="453"/>
      <c r="E272" s="454"/>
      <c r="F272" s="455">
        <f>(F271)</f>
        <v>2.7450000000000001</v>
      </c>
    </row>
    <row r="273" spans="1:6" ht="15">
      <c r="A273" s="393"/>
      <c r="B273" s="364" t="s">
        <v>558</v>
      </c>
      <c r="C273" s="371"/>
      <c r="D273" s="453"/>
      <c r="E273" s="454"/>
      <c r="F273" s="454"/>
    </row>
    <row r="274" spans="1:6" ht="30.75" customHeight="1">
      <c r="A274" s="393" t="s">
        <v>699</v>
      </c>
      <c r="B274" s="376" t="s">
        <v>700</v>
      </c>
      <c r="C274" s="371" t="s">
        <v>31</v>
      </c>
      <c r="D274" s="453">
        <v>1</v>
      </c>
      <c r="E274" s="454">
        <v>1.0900000000000001</v>
      </c>
      <c r="F274" s="454">
        <f>D274*E274</f>
        <v>1.0900000000000001</v>
      </c>
    </row>
    <row r="275" spans="1:6" ht="15">
      <c r="A275" s="393"/>
      <c r="B275" s="364" t="s">
        <v>561</v>
      </c>
      <c r="C275" s="371"/>
      <c r="D275" s="453"/>
      <c r="E275" s="454"/>
      <c r="F275" s="454">
        <f>F274</f>
        <v>1.0900000000000001</v>
      </c>
    </row>
    <row r="276" spans="1:6" ht="17.25" customHeight="1">
      <c r="A276" s="393"/>
      <c r="B276" s="364" t="s">
        <v>562</v>
      </c>
      <c r="C276" s="371"/>
      <c r="D276" s="453"/>
      <c r="E276" s="454"/>
      <c r="F276" s="455">
        <f>F275+F272</f>
        <v>3.835</v>
      </c>
    </row>
    <row r="277" spans="1:6" ht="15">
      <c r="A277" s="395"/>
      <c r="B277" s="396"/>
      <c r="C277" s="396"/>
      <c r="D277" s="425"/>
      <c r="E277" s="425"/>
      <c r="F277" s="396"/>
    </row>
    <row r="278" spans="1:6" ht="38.25" customHeight="1">
      <c r="A278" s="391" t="s">
        <v>366</v>
      </c>
      <c r="B278" s="421" t="s">
        <v>367</v>
      </c>
      <c r="C278" s="364"/>
      <c r="D278" s="422"/>
      <c r="E278" s="364"/>
      <c r="F278" s="364"/>
    </row>
    <row r="279" spans="1:6" ht="15">
      <c r="A279" s="391"/>
      <c r="B279" s="370" t="s">
        <v>645</v>
      </c>
      <c r="C279" s="364"/>
      <c r="D279" s="422"/>
      <c r="E279" s="364"/>
      <c r="F279" s="364"/>
    </row>
    <row r="280" spans="1:6" ht="22.5" customHeight="1">
      <c r="A280" s="391"/>
      <c r="B280" s="364" t="s">
        <v>571</v>
      </c>
      <c r="C280" s="364"/>
      <c r="D280" s="422"/>
      <c r="E280" s="364"/>
      <c r="F280" s="364"/>
    </row>
    <row r="281" spans="1:6" ht="28.5" customHeight="1">
      <c r="A281" s="393" t="s">
        <v>598</v>
      </c>
      <c r="B281" s="376" t="s">
        <v>660</v>
      </c>
      <c r="C281" s="376" t="s">
        <v>19</v>
      </c>
      <c r="D281" s="424">
        <v>1</v>
      </c>
      <c r="E281" s="392">
        <v>18.3</v>
      </c>
      <c r="F281" s="424">
        <f>D281*E281</f>
        <v>18.3</v>
      </c>
    </row>
    <row r="282" spans="1:6" ht="34.5" customHeight="1">
      <c r="A282" s="393" t="s">
        <v>600</v>
      </c>
      <c r="B282" s="376" t="s">
        <v>661</v>
      </c>
      <c r="C282" s="376" t="s">
        <v>19</v>
      </c>
      <c r="D282" s="424">
        <v>0.8</v>
      </c>
      <c r="E282" s="394">
        <v>14</v>
      </c>
      <c r="F282" s="424">
        <f>D282*E282</f>
        <v>11.200000000000001</v>
      </c>
    </row>
    <row r="283" spans="1:6" ht="15">
      <c r="A283" s="391"/>
      <c r="B283" s="364" t="s">
        <v>561</v>
      </c>
      <c r="C283" s="364"/>
      <c r="D283" s="422"/>
      <c r="E283" s="364"/>
      <c r="F283" s="364">
        <f>F282+F281</f>
        <v>29.5</v>
      </c>
    </row>
    <row r="284" spans="1:6" ht="15">
      <c r="A284" s="391"/>
      <c r="B284" s="364" t="s">
        <v>558</v>
      </c>
      <c r="C284" s="364"/>
      <c r="D284" s="422"/>
      <c r="E284" s="364"/>
      <c r="F284" s="364"/>
    </row>
    <row r="285" spans="1:6" ht="42" customHeight="1">
      <c r="A285" s="393" t="s">
        <v>675</v>
      </c>
      <c r="B285" s="376" t="s">
        <v>676</v>
      </c>
      <c r="C285" s="376" t="s">
        <v>31</v>
      </c>
      <c r="D285" s="424">
        <v>1</v>
      </c>
      <c r="E285" s="424">
        <v>622.92999999999995</v>
      </c>
      <c r="F285" s="424">
        <f>D285*E285</f>
        <v>622.92999999999995</v>
      </c>
    </row>
    <row r="286" spans="1:6" ht="15">
      <c r="A286" s="391"/>
      <c r="B286" s="364" t="s">
        <v>561</v>
      </c>
      <c r="C286" s="364"/>
      <c r="D286" s="422"/>
      <c r="E286" s="364"/>
      <c r="F286" s="422">
        <f>F285</f>
        <v>622.92999999999995</v>
      </c>
    </row>
    <row r="287" spans="1:6" ht="15">
      <c r="A287" s="391"/>
      <c r="B287" s="364" t="s">
        <v>562</v>
      </c>
      <c r="C287" s="364"/>
      <c r="D287" s="422"/>
      <c r="E287" s="364"/>
      <c r="F287" s="442">
        <f>F283+F286</f>
        <v>652.42999999999995</v>
      </c>
    </row>
    <row r="288" spans="1:6" ht="24">
      <c r="A288" s="443">
        <v>44368</v>
      </c>
      <c r="B288" s="444" t="s">
        <v>677</v>
      </c>
      <c r="C288" s="445">
        <v>705.87</v>
      </c>
      <c r="D288" s="446" t="s">
        <v>678</v>
      </c>
      <c r="E288" s="447" t="s">
        <v>679</v>
      </c>
      <c r="F288" s="445" t="s">
        <v>680</v>
      </c>
    </row>
    <row r="289" spans="1:6" ht="24">
      <c r="A289" s="443">
        <v>44368</v>
      </c>
      <c r="B289" s="444" t="s">
        <v>681</v>
      </c>
      <c r="C289" s="445">
        <v>419</v>
      </c>
      <c r="D289" s="446" t="s">
        <v>682</v>
      </c>
      <c r="E289" s="448" t="s">
        <v>683</v>
      </c>
      <c r="F289" s="449" t="s">
        <v>684</v>
      </c>
    </row>
    <row r="290" spans="1:6" ht="24">
      <c r="A290" s="443">
        <v>44368</v>
      </c>
      <c r="B290" s="444" t="s">
        <v>685</v>
      </c>
      <c r="C290" s="445">
        <v>743.91</v>
      </c>
      <c r="D290" s="450" t="s">
        <v>686</v>
      </c>
      <c r="E290" s="451" t="s">
        <v>687</v>
      </c>
      <c r="F290" s="452" t="s">
        <v>688</v>
      </c>
    </row>
    <row r="291" spans="1:6" ht="15">
      <c r="A291" s="391"/>
      <c r="B291" s="364"/>
      <c r="C291" s="422">
        <f>(SUM(C288:C290))/3</f>
        <v>622.92666666666662</v>
      </c>
      <c r="D291" s="422"/>
      <c r="E291" s="364"/>
      <c r="F291" s="422"/>
    </row>
    <row r="292" spans="1:6" ht="15">
      <c r="A292" s="395"/>
      <c r="B292" s="396"/>
      <c r="C292" s="396"/>
      <c r="D292" s="425"/>
      <c r="E292" s="425"/>
      <c r="F292" s="396"/>
    </row>
    <row r="293" spans="1:6" ht="59.25" customHeight="1">
      <c r="A293" s="391" t="s">
        <v>384</v>
      </c>
      <c r="B293" s="421" t="s">
        <v>385</v>
      </c>
      <c r="C293" s="371"/>
      <c r="D293" s="453"/>
      <c r="E293" s="454"/>
      <c r="F293" s="454"/>
    </row>
    <row r="294" spans="1:6">
      <c r="A294" s="393"/>
      <c r="B294" s="370" t="s">
        <v>557</v>
      </c>
      <c r="C294" s="371"/>
      <c r="D294" s="453"/>
      <c r="E294" s="454"/>
      <c r="F294" s="454"/>
    </row>
    <row r="295" spans="1:6" ht="12.75" customHeight="1">
      <c r="A295" s="393"/>
      <c r="B295" s="364" t="s">
        <v>571</v>
      </c>
      <c r="C295" s="371"/>
      <c r="D295" s="453"/>
      <c r="E295" s="454"/>
      <c r="F295" s="454"/>
    </row>
    <row r="296" spans="1:6" ht="27.75" customHeight="1">
      <c r="A296" s="393" t="s">
        <v>598</v>
      </c>
      <c r="B296" s="376" t="s">
        <v>660</v>
      </c>
      <c r="C296" s="376" t="s">
        <v>19</v>
      </c>
      <c r="D296" s="424">
        <v>0.12</v>
      </c>
      <c r="E296" s="392">
        <v>18.3</v>
      </c>
      <c r="F296" s="454">
        <f>D296*E296</f>
        <v>2.1960000000000002</v>
      </c>
    </row>
    <row r="297" spans="1:6" ht="33.75" customHeight="1">
      <c r="A297" s="393" t="s">
        <v>600</v>
      </c>
      <c r="B297" s="376" t="s">
        <v>661</v>
      </c>
      <c r="C297" s="376" t="s">
        <v>19</v>
      </c>
      <c r="D297" s="424">
        <v>0.12</v>
      </c>
      <c r="E297" s="394">
        <v>14</v>
      </c>
      <c r="F297" s="424">
        <f>D297*E297</f>
        <v>1.68</v>
      </c>
    </row>
    <row r="298" spans="1:6" ht="15">
      <c r="A298" s="393"/>
      <c r="B298" s="364" t="s">
        <v>561</v>
      </c>
      <c r="C298" s="371"/>
      <c r="D298" s="453"/>
      <c r="E298" s="454"/>
      <c r="F298" s="455">
        <f>SUM(F296:F297)</f>
        <v>3.8760000000000003</v>
      </c>
    </row>
    <row r="299" spans="1:6" ht="15">
      <c r="A299" s="393"/>
      <c r="B299" s="364" t="s">
        <v>558</v>
      </c>
      <c r="C299" s="371"/>
      <c r="D299" s="453"/>
      <c r="E299" s="454"/>
      <c r="F299" s="454"/>
    </row>
    <row r="300" spans="1:6" ht="75" customHeight="1">
      <c r="A300" s="393" t="s">
        <v>701</v>
      </c>
      <c r="B300" s="376" t="s">
        <v>702</v>
      </c>
      <c r="C300" s="371" t="s">
        <v>28</v>
      </c>
      <c r="D300" s="453">
        <v>1</v>
      </c>
      <c r="E300" s="454">
        <v>13.72</v>
      </c>
      <c r="F300" s="454">
        <f>D300*E300</f>
        <v>13.72</v>
      </c>
    </row>
    <row r="301" spans="1:6">
      <c r="A301" s="393"/>
      <c r="B301" s="456"/>
      <c r="C301" s="371"/>
      <c r="D301" s="453"/>
      <c r="E301" s="454"/>
      <c r="F301" s="454">
        <f>F300</f>
        <v>13.72</v>
      </c>
    </row>
    <row r="302" spans="1:6" ht="15" customHeight="1">
      <c r="A302" s="393"/>
      <c r="B302" s="364" t="s">
        <v>562</v>
      </c>
      <c r="C302" s="371"/>
      <c r="D302" s="453"/>
      <c r="E302" s="454"/>
      <c r="F302" s="455">
        <f>F301+F298</f>
        <v>17.596</v>
      </c>
    </row>
    <row r="303" spans="1:6" ht="15">
      <c r="A303" s="396"/>
      <c r="B303" s="396"/>
      <c r="C303" s="396"/>
      <c r="D303" s="396"/>
      <c r="E303" s="396"/>
      <c r="F303" s="396"/>
    </row>
  </sheetData>
  <mergeCells count="3">
    <mergeCell ref="A2:F2"/>
    <mergeCell ref="A4:F4"/>
    <mergeCell ref="A208:F208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orcam</vt:lpstr>
      <vt:lpstr>conograma</vt:lpstr>
      <vt:lpstr>COMPOSIÇÃO_JULHO_2021</vt:lpstr>
      <vt:lpstr>composições</vt:lpstr>
      <vt:lpstr>comp__eletrica</vt:lpstr>
      <vt:lpstr>COMPOSIÇÃO_JULHO_2021!Area_de_impressao</vt:lpstr>
      <vt:lpstr>composições!Area_de_impressao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DETRAN-MT</dc:creator>
  <cp:lastModifiedBy>Max de Moraes Lucidos</cp:lastModifiedBy>
  <cp:revision>1</cp:revision>
  <cp:lastPrinted>2021-08-25T17:19:56Z</cp:lastPrinted>
  <dcterms:created xsi:type="dcterms:W3CDTF">2007-09-19T14:00:04Z</dcterms:created>
  <dcterms:modified xsi:type="dcterms:W3CDTF">2021-11-26T13:15:56Z</dcterms:modified>
</cp:coreProperties>
</file>