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CA1B5405-F3C1-4751-9EA3-B18DCD845A55}" xr6:coauthVersionLast="45" xr6:coauthVersionMax="45" xr10:uidLastSave="{00000000-0000-0000-0000-000000000000}"/>
  <bookViews>
    <workbookView xWindow="-108" yWindow="-108" windowWidth="23256" windowHeight="11964" firstSheet="1" activeTab="6" xr2:uid="{00000000-000D-0000-FFFF-FFFF00000000}"/>
  </bookViews>
  <sheets>
    <sheet name="COMPOSIÇÃO" sheetId="4" state="hidden" r:id="rId1"/>
    <sheet name="CRONOGRAMA" sheetId="3" r:id="rId2"/>
    <sheet name="PLANILHA" sheetId="2" r:id="rId3"/>
    <sheet name="BDI" sheetId="5" r:id="rId4"/>
    <sheet name="COMPOSIÇÃO SINAPI W MENDES" sheetId="6" r:id="rId5"/>
    <sheet name="lei social" sheetId="7" r:id="rId6"/>
    <sheet name="escala salarial mao obra" sheetId="8" r:id="rId7"/>
    <sheet name="Planilha1" sheetId="9" state="hidden" r:id="rId8"/>
  </sheets>
  <externalReferences>
    <externalReference r:id="rId9"/>
    <externalReference r:id="rId10"/>
  </externalReferences>
  <definedNames>
    <definedName name="_xlnm.Print_Area" localSheetId="3">BDI!$A$1:$C$38</definedName>
    <definedName name="_xlnm.Print_Area" localSheetId="0">COMPOSIÇÃO!$B$1:$G$160</definedName>
    <definedName name="_xlnm.Print_Area" localSheetId="4">'COMPOSIÇÃO SINAPI W MENDES'!$A$1:$G$5529</definedName>
    <definedName name="_xlnm.Print_Area" localSheetId="1">CRONOGRAMA!$A$1:$AD$31</definedName>
    <definedName name="_xlnm.Print_Area" localSheetId="6">'escala salarial mao obra'!$A$1:$E$37</definedName>
    <definedName name="_xlnm.Print_Area" localSheetId="2">PLANILHA!$A$2:$I$902</definedName>
    <definedName name="_xlnm.Print_Area" localSheetId="7">Planilha1!$A$1:$C$38</definedName>
    <definedName name="_xlnm.Print_Titles" localSheetId="2">PLANILHA!$15:$15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9" i="6" l="1"/>
  <c r="G448" i="6"/>
  <c r="G447" i="6"/>
  <c r="G446" i="6"/>
  <c r="G445" i="6"/>
  <c r="U662" i="2"/>
  <c r="V662" i="2" s="1"/>
  <c r="U659" i="2"/>
  <c r="V659" i="2" s="1"/>
  <c r="U658" i="2"/>
  <c r="V658" i="2" s="1"/>
  <c r="U657" i="2"/>
  <c r="V657" i="2" s="1"/>
  <c r="U655" i="2"/>
  <c r="V655" i="2" s="1"/>
  <c r="U654" i="2"/>
  <c r="V654" i="2" s="1"/>
  <c r="U653" i="2"/>
  <c r="V653" i="2" s="1"/>
  <c r="U652" i="2"/>
  <c r="V652" i="2" s="1"/>
  <c r="U651" i="2"/>
  <c r="V651" i="2" s="1"/>
  <c r="G3304" i="6"/>
  <c r="G3303" i="6"/>
  <c r="G3302" i="6"/>
  <c r="G3301" i="6"/>
  <c r="G2102" i="6"/>
  <c r="G2101" i="6"/>
  <c r="G2100" i="6"/>
  <c r="G2099" i="6"/>
  <c r="G2065" i="6"/>
  <c r="G2064" i="6"/>
  <c r="G2063" i="6"/>
  <c r="G2062" i="6"/>
  <c r="G1400" i="6"/>
  <c r="G1399" i="6"/>
  <c r="G1398" i="6"/>
  <c r="G1397" i="6"/>
  <c r="G1351" i="6"/>
  <c r="G1350" i="6"/>
  <c r="G1349" i="6"/>
  <c r="G1348" i="6"/>
  <c r="G735" i="6"/>
  <c r="G734" i="6"/>
  <c r="G733" i="6"/>
  <c r="G732" i="6"/>
  <c r="A5344" i="6"/>
  <c r="G5342" i="6"/>
  <c r="G5341" i="6"/>
  <c r="G5340" i="6"/>
  <c r="G5339" i="6"/>
  <c r="G4409" i="6"/>
  <c r="G4408" i="6"/>
  <c r="G4407" i="6"/>
  <c r="G4406" i="6"/>
  <c r="G3927" i="6"/>
  <c r="G3926" i="6"/>
  <c r="G3925" i="6"/>
  <c r="G3924" i="6"/>
  <c r="G693" i="6"/>
  <c r="G692" i="6"/>
  <c r="G691" i="6"/>
  <c r="G690" i="6"/>
  <c r="J5298" i="6"/>
  <c r="J5300" i="6" s="1"/>
  <c r="U472" i="2"/>
  <c r="V472" i="2" s="1"/>
  <c r="G736" i="6" l="1"/>
  <c r="F104" i="2" s="1"/>
  <c r="G2103" i="6"/>
  <c r="G3305" i="6"/>
  <c r="G5343" i="6"/>
  <c r="F865" i="2" s="1"/>
  <c r="G1352" i="6"/>
  <c r="F206" i="2" s="1"/>
  <c r="G694" i="6"/>
  <c r="G3928" i="6"/>
  <c r="F634" i="2" s="1"/>
  <c r="G1401" i="6"/>
  <c r="F214" i="2" s="1"/>
  <c r="G4410" i="6"/>
  <c r="F717" i="2" s="1"/>
  <c r="G2066" i="6"/>
  <c r="F323" i="2" s="1"/>
  <c r="V141" i="2"/>
  <c r="U141" i="2"/>
  <c r="F20" i="9"/>
  <c r="C20" i="9"/>
  <c r="C24" i="9" s="1"/>
  <c r="F19" i="9"/>
  <c r="H21" i="9" s="1"/>
  <c r="F18" i="9"/>
  <c r="C14" i="9"/>
  <c r="H9" i="9"/>
  <c r="H8" i="9"/>
  <c r="G8" i="9"/>
  <c r="H7" i="9"/>
  <c r="G7" i="9"/>
  <c r="H6" i="9"/>
  <c r="H11" i="9" s="1"/>
  <c r="G6" i="9"/>
  <c r="C6" i="9"/>
  <c r="F11" i="9" l="1"/>
  <c r="F858" i="2"/>
  <c r="F97" i="2"/>
  <c r="F530" i="2"/>
  <c r="H12" i="9"/>
  <c r="H14" i="9" s="1"/>
  <c r="H13" i="9"/>
  <c r="F21" i="9"/>
  <c r="H22" i="9" s="1"/>
  <c r="H23" i="9" s="1"/>
  <c r="C26" i="9" s="1"/>
  <c r="G9" i="9"/>
  <c r="F12" i="9" s="1"/>
  <c r="F13" i="9" s="1"/>
  <c r="G4941" i="6" l="1"/>
  <c r="G4940" i="6"/>
  <c r="G4939" i="6"/>
  <c r="G4938" i="6"/>
  <c r="G4937" i="6"/>
  <c r="G5512" i="6"/>
  <c r="G5511" i="6"/>
  <c r="G5510" i="6"/>
  <c r="G5509" i="6"/>
  <c r="G5508" i="6"/>
  <c r="G5507" i="6"/>
  <c r="G5506" i="6"/>
  <c r="G5505" i="6"/>
  <c r="G5504" i="6"/>
  <c r="G5503" i="6"/>
  <c r="G5502" i="6"/>
  <c r="G4617" i="6"/>
  <c r="G4616" i="6"/>
  <c r="G4615" i="6"/>
  <c r="G4614" i="6"/>
  <c r="G4613" i="6"/>
  <c r="G4612" i="6"/>
  <c r="G4611" i="6"/>
  <c r="G4610" i="6"/>
  <c r="G4609" i="6"/>
  <c r="G4608" i="6"/>
  <c r="G4607" i="6"/>
  <c r="G4095" i="6"/>
  <c r="G4094" i="6"/>
  <c r="G4093" i="6"/>
  <c r="G4092" i="6"/>
  <c r="G4091" i="6"/>
  <c r="G4090" i="6"/>
  <c r="G4089" i="6"/>
  <c r="G4088" i="6"/>
  <c r="G4087" i="6"/>
  <c r="G4086" i="6"/>
  <c r="G4085" i="6"/>
  <c r="G3650" i="6"/>
  <c r="G3649" i="6"/>
  <c r="G3648" i="6"/>
  <c r="G3647" i="6"/>
  <c r="G3646" i="6"/>
  <c r="G3645" i="6"/>
  <c r="G3644" i="6"/>
  <c r="G3643" i="6"/>
  <c r="G3642" i="6"/>
  <c r="G3641" i="6"/>
  <c r="G3640" i="6"/>
  <c r="G2984" i="6"/>
  <c r="G2983" i="6"/>
  <c r="G2982" i="6"/>
  <c r="G2981" i="6"/>
  <c r="G2980" i="6"/>
  <c r="G2979" i="6"/>
  <c r="G2978" i="6"/>
  <c r="G2977" i="6"/>
  <c r="G2976" i="6"/>
  <c r="G2975" i="6"/>
  <c r="G2974" i="6"/>
  <c r="G2542" i="6"/>
  <c r="G2541" i="6"/>
  <c r="G2540" i="6"/>
  <c r="G2539" i="6"/>
  <c r="G2538" i="6"/>
  <c r="G2537" i="6"/>
  <c r="G2536" i="6"/>
  <c r="G2535" i="6"/>
  <c r="G2534" i="6"/>
  <c r="G2533" i="6"/>
  <c r="G2532" i="6"/>
  <c r="G2377" i="6"/>
  <c r="G2376" i="6"/>
  <c r="G2375" i="6"/>
  <c r="G2374" i="6"/>
  <c r="G2373" i="6"/>
  <c r="G2372" i="6"/>
  <c r="G2371" i="6"/>
  <c r="G2370" i="6"/>
  <c r="G2369" i="6"/>
  <c r="G2368" i="6"/>
  <c r="G2367" i="6"/>
  <c r="G1703" i="6"/>
  <c r="G1702" i="6"/>
  <c r="G1701" i="6"/>
  <c r="G1700" i="6"/>
  <c r="G1699" i="6"/>
  <c r="G1698" i="6"/>
  <c r="G1697" i="6"/>
  <c r="G1696" i="6"/>
  <c r="G1695" i="6"/>
  <c r="G1694" i="6"/>
  <c r="G1693" i="6"/>
  <c r="G1829" i="6"/>
  <c r="G1828" i="6"/>
  <c r="G1827" i="6"/>
  <c r="G1826" i="6"/>
  <c r="G1825" i="6"/>
  <c r="G1113" i="6"/>
  <c r="G1112" i="6"/>
  <c r="G1111" i="6"/>
  <c r="G1110" i="6"/>
  <c r="G1109" i="6"/>
  <c r="G457" i="6"/>
  <c r="G456" i="6"/>
  <c r="G455" i="6"/>
  <c r="G454" i="6"/>
  <c r="G453" i="6"/>
  <c r="G4178" i="6"/>
  <c r="G4177" i="6"/>
  <c r="G4176" i="6"/>
  <c r="G4175" i="6"/>
  <c r="G4174" i="6"/>
  <c r="G2757" i="6"/>
  <c r="G2756" i="6"/>
  <c r="G2755" i="6"/>
  <c r="G2754" i="6"/>
  <c r="G2753" i="6"/>
  <c r="G2752" i="6"/>
  <c r="G2751" i="6"/>
  <c r="G2094" i="6"/>
  <c r="G2093" i="6"/>
  <c r="G2092" i="6"/>
  <c r="G2091" i="6"/>
  <c r="G2090" i="6"/>
  <c r="G2089" i="6"/>
  <c r="G2088" i="6"/>
  <c r="G1392" i="6"/>
  <c r="G1391" i="6"/>
  <c r="G1390" i="6"/>
  <c r="G1389" i="6"/>
  <c r="G1388" i="6"/>
  <c r="G1387" i="6"/>
  <c r="G1386" i="6"/>
  <c r="G3747" i="6"/>
  <c r="G3746" i="6"/>
  <c r="G3745" i="6"/>
  <c r="G3744" i="6"/>
  <c r="G5006" i="6"/>
  <c r="G5005" i="6"/>
  <c r="G5004" i="6"/>
  <c r="G5003" i="6"/>
  <c r="G4213" i="6"/>
  <c r="G4212" i="6"/>
  <c r="G4211" i="6"/>
  <c r="G4210" i="6"/>
  <c r="G3139" i="6"/>
  <c r="G3138" i="6"/>
  <c r="G3137" i="6"/>
  <c r="G3136" i="6"/>
  <c r="G2550" i="6"/>
  <c r="G2549" i="6"/>
  <c r="G2548" i="6"/>
  <c r="G2547" i="6"/>
  <c r="G1864" i="6"/>
  <c r="G1863" i="6"/>
  <c r="G1862" i="6"/>
  <c r="G1861" i="6"/>
  <c r="G1149" i="6"/>
  <c r="G1148" i="6"/>
  <c r="G1147" i="6"/>
  <c r="G1146" i="6"/>
  <c r="G498" i="6"/>
  <c r="G497" i="6"/>
  <c r="G496" i="6"/>
  <c r="G5012" i="6"/>
  <c r="G5011" i="6"/>
  <c r="G5010" i="6"/>
  <c r="G4219" i="6"/>
  <c r="G4218" i="6"/>
  <c r="G4217" i="6"/>
  <c r="G3760" i="6"/>
  <c r="G3759" i="6"/>
  <c r="G3758" i="6"/>
  <c r="G3145" i="6"/>
  <c r="G3144" i="6"/>
  <c r="G3143" i="6"/>
  <c r="G2592" i="6"/>
  <c r="G2591" i="6"/>
  <c r="G2590" i="6"/>
  <c r="G511" i="6"/>
  <c r="G510" i="6"/>
  <c r="G509" i="6"/>
  <c r="G5025" i="6"/>
  <c r="G5024" i="6"/>
  <c r="G5023" i="6"/>
  <c r="G4232" i="6"/>
  <c r="G4231" i="6"/>
  <c r="G4230" i="6"/>
  <c r="G3773" i="6"/>
  <c r="G3772" i="6"/>
  <c r="G3771" i="6"/>
  <c r="A3195" i="6"/>
  <c r="G3193" i="6"/>
  <c r="G3192" i="6"/>
  <c r="G3191" i="6"/>
  <c r="G3158" i="6"/>
  <c r="G3157" i="6"/>
  <c r="G3156" i="6"/>
  <c r="G2569" i="6"/>
  <c r="G2568" i="6"/>
  <c r="G2567" i="6"/>
  <c r="G1883" i="6"/>
  <c r="G1882" i="6"/>
  <c r="G1881" i="6"/>
  <c r="G1205" i="6"/>
  <c r="G1204" i="6"/>
  <c r="G1203" i="6"/>
  <c r="G1168" i="6"/>
  <c r="G1167" i="6"/>
  <c r="G1166" i="6"/>
  <c r="G525" i="6"/>
  <c r="G524" i="6"/>
  <c r="G523" i="6"/>
  <c r="G4932" i="6"/>
  <c r="G4931" i="6"/>
  <c r="G4930" i="6"/>
  <c r="G4929" i="6"/>
  <c r="G4928" i="6"/>
  <c r="G4159" i="6"/>
  <c r="G4158" i="6"/>
  <c r="G4157" i="6"/>
  <c r="G4156" i="6"/>
  <c r="G4155" i="6"/>
  <c r="G3707" i="6"/>
  <c r="G3706" i="6"/>
  <c r="G3705" i="6"/>
  <c r="G3704" i="6"/>
  <c r="G3703" i="6"/>
  <c r="G3046" i="6"/>
  <c r="G3045" i="6"/>
  <c r="G3044" i="6"/>
  <c r="G3043" i="6"/>
  <c r="G3042" i="6"/>
  <c r="G1810" i="6"/>
  <c r="G1809" i="6"/>
  <c r="G1808" i="6"/>
  <c r="G1807" i="6"/>
  <c r="G1806" i="6"/>
  <c r="G1088" i="6"/>
  <c r="G1087" i="6"/>
  <c r="G1086" i="6"/>
  <c r="G1085" i="6"/>
  <c r="G1084" i="6"/>
  <c r="G1065" i="6"/>
  <c r="G1064" i="6"/>
  <c r="G1063" i="6"/>
  <c r="G1062" i="6"/>
  <c r="G1061" i="6"/>
  <c r="G4143" i="6"/>
  <c r="G4142" i="6"/>
  <c r="G4141" i="6"/>
  <c r="G4140" i="6"/>
  <c r="G4139" i="6"/>
  <c r="G4138" i="6"/>
  <c r="G3691" i="6"/>
  <c r="G3690" i="6"/>
  <c r="G3689" i="6"/>
  <c r="G3688" i="6"/>
  <c r="G3687" i="6"/>
  <c r="G3686" i="6"/>
  <c r="G3037" i="6"/>
  <c r="G3036" i="6"/>
  <c r="G3035" i="6"/>
  <c r="G3034" i="6"/>
  <c r="G3033" i="6"/>
  <c r="G3032" i="6"/>
  <c r="G2448" i="6"/>
  <c r="G2447" i="6"/>
  <c r="G2446" i="6"/>
  <c r="G2445" i="6"/>
  <c r="G2444" i="6"/>
  <c r="G2443" i="6"/>
  <c r="G1789" i="6"/>
  <c r="G1788" i="6"/>
  <c r="G1787" i="6"/>
  <c r="G1786" i="6"/>
  <c r="G1785" i="6"/>
  <c r="G1784" i="6"/>
  <c r="G1056" i="6"/>
  <c r="G1055" i="6"/>
  <c r="G1054" i="6"/>
  <c r="G1053" i="6"/>
  <c r="G1052" i="6"/>
  <c r="G1051" i="6"/>
  <c r="G4890" i="6"/>
  <c r="G4889" i="6"/>
  <c r="G4888" i="6"/>
  <c r="G4887" i="6"/>
  <c r="G4134" i="6"/>
  <c r="G4133" i="6"/>
  <c r="G4132" i="6"/>
  <c r="G4131" i="6"/>
  <c r="G3028" i="6"/>
  <c r="G3027" i="6"/>
  <c r="G3026" i="6"/>
  <c r="G3025" i="6"/>
  <c r="G2439" i="6"/>
  <c r="G2438" i="6"/>
  <c r="G2437" i="6"/>
  <c r="G2436" i="6"/>
  <c r="G1780" i="6"/>
  <c r="G1779" i="6"/>
  <c r="G1778" i="6"/>
  <c r="G1777" i="6"/>
  <c r="G1047" i="6"/>
  <c r="G1046" i="6"/>
  <c r="G1045" i="6"/>
  <c r="G1044" i="6"/>
  <c r="G1150" i="6" l="1"/>
  <c r="F175" i="2" s="1"/>
  <c r="G4214" i="6"/>
  <c r="F687" i="2" s="1"/>
  <c r="G1865" i="6"/>
  <c r="F292" i="2" s="1"/>
  <c r="G5007" i="6"/>
  <c r="F812" i="2" s="1"/>
  <c r="G2551" i="6"/>
  <c r="F404" i="2" s="1"/>
  <c r="G3140" i="6"/>
  <c r="F503" i="2" s="1"/>
  <c r="G3748" i="6"/>
  <c r="F173" i="2" s="1"/>
  <c r="M19" i="2"/>
  <c r="M20" i="2"/>
  <c r="M21" i="2"/>
  <c r="M22" i="2"/>
  <c r="M23" i="2"/>
  <c r="M24" i="2"/>
  <c r="M25" i="2"/>
  <c r="M26" i="2"/>
  <c r="M27" i="2"/>
  <c r="M28" i="2"/>
  <c r="M29" i="2"/>
  <c r="M30" i="2"/>
  <c r="M33" i="2"/>
  <c r="M34" i="2"/>
  <c r="M35" i="2"/>
  <c r="M36" i="2"/>
  <c r="M37" i="2"/>
  <c r="M38" i="2"/>
  <c r="M39" i="2"/>
  <c r="M40" i="2"/>
  <c r="M41" i="2"/>
  <c r="M43" i="2"/>
  <c r="D41" i="7"/>
  <c r="C41" i="7"/>
  <c r="D37" i="7"/>
  <c r="C37" i="7"/>
  <c r="D30" i="7"/>
  <c r="C30" i="7"/>
  <c r="D18" i="7"/>
  <c r="C18" i="7"/>
  <c r="C42" i="7" l="1"/>
  <c r="D42" i="7"/>
  <c r="G2454" i="6"/>
  <c r="G2453" i="6"/>
  <c r="G2452" i="6"/>
  <c r="G1843" i="6"/>
  <c r="G1842" i="6"/>
  <c r="G1841" i="6"/>
  <c r="G1127" i="6"/>
  <c r="G1126" i="6"/>
  <c r="G1125" i="6"/>
  <c r="G471" i="6"/>
  <c r="G470" i="6"/>
  <c r="G469" i="6"/>
  <c r="G4192" i="6"/>
  <c r="G4191" i="6"/>
  <c r="G4190" i="6"/>
  <c r="G3733" i="6"/>
  <c r="G3732" i="6"/>
  <c r="G3731" i="6"/>
  <c r="G2491" i="6"/>
  <c r="G2490" i="6"/>
  <c r="G2489" i="6"/>
  <c r="G2488" i="6"/>
  <c r="G2487" i="6"/>
  <c r="G2486" i="6"/>
  <c r="G3433" i="6" l="1"/>
  <c r="G3432" i="6"/>
  <c r="A4553" i="6"/>
  <c r="G4548" i="6"/>
  <c r="G4549" i="6"/>
  <c r="G4550" i="6"/>
  <c r="G4551" i="6"/>
  <c r="G2643" i="6"/>
  <c r="G2642" i="6"/>
  <c r="G2641" i="6"/>
  <c r="G2640" i="6"/>
  <c r="G1954" i="6"/>
  <c r="G1953" i="6"/>
  <c r="G1952" i="6"/>
  <c r="G1951" i="6"/>
  <c r="G1240" i="6"/>
  <c r="G1239" i="6"/>
  <c r="G1238" i="6"/>
  <c r="G1237" i="6"/>
  <c r="G575" i="6"/>
  <c r="G574" i="6"/>
  <c r="G573" i="6"/>
  <c r="G572" i="6"/>
  <c r="G5160" i="6"/>
  <c r="G5159" i="6"/>
  <c r="G5158" i="6"/>
  <c r="G5157" i="6"/>
  <c r="G4292" i="6"/>
  <c r="G4291" i="6"/>
  <c r="G4290" i="6"/>
  <c r="G4289" i="6"/>
  <c r="G3819" i="6"/>
  <c r="G3818" i="6"/>
  <c r="G3817" i="6"/>
  <c r="G3816" i="6"/>
  <c r="G5048" i="6"/>
  <c r="G5047" i="6"/>
  <c r="G5046" i="6"/>
  <c r="G5045" i="6"/>
  <c r="G5041" i="6"/>
  <c r="G5040" i="6"/>
  <c r="G5039" i="6"/>
  <c r="G5038" i="6"/>
  <c r="G5037" i="6"/>
  <c r="G4255" i="6"/>
  <c r="G4254" i="6"/>
  <c r="G4253" i="6"/>
  <c r="G4252" i="6"/>
  <c r="G4251" i="6"/>
  <c r="G3796" i="6"/>
  <c r="G3795" i="6"/>
  <c r="G3794" i="6"/>
  <c r="G3793" i="6"/>
  <c r="G3792" i="6"/>
  <c r="G3172" i="6"/>
  <c r="G3171" i="6"/>
  <c r="G3170" i="6"/>
  <c r="G3169" i="6"/>
  <c r="G3168" i="6"/>
  <c r="G1891" i="6"/>
  <c r="G1890" i="6"/>
  <c r="G1889" i="6"/>
  <c r="G1888" i="6"/>
  <c r="G1887" i="6"/>
  <c r="G1199" i="6"/>
  <c r="G1198" i="6"/>
  <c r="G1197" i="6"/>
  <c r="G1196" i="6"/>
  <c r="G1195" i="6"/>
  <c r="G1155" i="6"/>
  <c r="G1154" i="6"/>
  <c r="G1153" i="6"/>
  <c r="G1763" i="6"/>
  <c r="G1762" i="6"/>
  <c r="G1761" i="6"/>
  <c r="G1760" i="6"/>
  <c r="G1759" i="6"/>
  <c r="G1758" i="6"/>
  <c r="G1757" i="6"/>
  <c r="G1756" i="6"/>
  <c r="G1755" i="6"/>
  <c r="G1754" i="6"/>
  <c r="G1753" i="6"/>
  <c r="G5146" i="6"/>
  <c r="G5145" i="6"/>
  <c r="G5144" i="6"/>
  <c r="G5143" i="6"/>
  <c r="G4278" i="6"/>
  <c r="G4277" i="6"/>
  <c r="G4276" i="6"/>
  <c r="G4275" i="6"/>
  <c r="G3214" i="6"/>
  <c r="G3213" i="6"/>
  <c r="G3212" i="6"/>
  <c r="G3211" i="6"/>
  <c r="G2629" i="6"/>
  <c r="G2628" i="6"/>
  <c r="G2627" i="6"/>
  <c r="G2626" i="6"/>
  <c r="G1940" i="6"/>
  <c r="G1939" i="6"/>
  <c r="G1938" i="6"/>
  <c r="G1937" i="6"/>
  <c r="G1226" i="6"/>
  <c r="G1225" i="6"/>
  <c r="G1224" i="6"/>
  <c r="G1223" i="6"/>
  <c r="G1870" i="6"/>
  <c r="G1869" i="6"/>
  <c r="G1868" i="6"/>
  <c r="G5019" i="6"/>
  <c r="G5018" i="6"/>
  <c r="G5017" i="6"/>
  <c r="G5016" i="6"/>
  <c r="G4226" i="6"/>
  <c r="G4225" i="6"/>
  <c r="G4224" i="6"/>
  <c r="G4223" i="6"/>
  <c r="G3767" i="6"/>
  <c r="G3766" i="6"/>
  <c r="G3765" i="6"/>
  <c r="G3764" i="6"/>
  <c r="G3152" i="6"/>
  <c r="G3151" i="6"/>
  <c r="G3150" i="6"/>
  <c r="G3149" i="6"/>
  <c r="G2563" i="6"/>
  <c r="G2562" i="6"/>
  <c r="G2561" i="6"/>
  <c r="G2560" i="6"/>
  <c r="G1913" i="6"/>
  <c r="G1912" i="6"/>
  <c r="G1911" i="6"/>
  <c r="G1910" i="6"/>
  <c r="G1877" i="6"/>
  <c r="G1876" i="6"/>
  <c r="G1875" i="6"/>
  <c r="G1874" i="6"/>
  <c r="G1162" i="6"/>
  <c r="G1161" i="6"/>
  <c r="G1160" i="6"/>
  <c r="G1159" i="6"/>
  <c r="G4999" i="6"/>
  <c r="G4998" i="6"/>
  <c r="G4997" i="6"/>
  <c r="G4206" i="6"/>
  <c r="G4205" i="6"/>
  <c r="G4204" i="6"/>
  <c r="G3754" i="6"/>
  <c r="G3753" i="6"/>
  <c r="G3752" i="6"/>
  <c r="G3132" i="6"/>
  <c r="G3131" i="6"/>
  <c r="G3130" i="6"/>
  <c r="G1857" i="6"/>
  <c r="G1856" i="6"/>
  <c r="G1855" i="6"/>
  <c r="G402" i="6"/>
  <c r="G401" i="6"/>
  <c r="G400" i="6"/>
  <c r="G399" i="6"/>
  <c r="G398" i="6"/>
  <c r="G5049" i="6" l="1"/>
  <c r="G3820" i="6"/>
  <c r="G4293" i="6"/>
  <c r="G5161" i="6"/>
  <c r="G576" i="6"/>
  <c r="G1241" i="6"/>
  <c r="G1955" i="6"/>
  <c r="G2644" i="6"/>
  <c r="G1163" i="6"/>
  <c r="G1878" i="6"/>
  <c r="G1914" i="6"/>
  <c r="G2564" i="6"/>
  <c r="G3153" i="6"/>
  <c r="G3768" i="6"/>
  <c r="G4227" i="6"/>
  <c r="G5020" i="6"/>
  <c r="I5048" i="6"/>
  <c r="G4874" i="6"/>
  <c r="G4875" i="6"/>
  <c r="G4876" i="6"/>
  <c r="G4877" i="6"/>
  <c r="A4884" i="6"/>
  <c r="G4878" i="6"/>
  <c r="G4879" i="6"/>
  <c r="G4880" i="6"/>
  <c r="G4881" i="6"/>
  <c r="G4882" i="6"/>
  <c r="A4872" i="6"/>
  <c r="G4862" i="6"/>
  <c r="G4863" i="6"/>
  <c r="G4864" i="6"/>
  <c r="G4865" i="6"/>
  <c r="G4866" i="6"/>
  <c r="G4867" i="6"/>
  <c r="G4868" i="6"/>
  <c r="G4869" i="6"/>
  <c r="G4870" i="6"/>
  <c r="A4860" i="6"/>
  <c r="G4850" i="6"/>
  <c r="G4851" i="6"/>
  <c r="G4852" i="6"/>
  <c r="G4853" i="6"/>
  <c r="G4854" i="6"/>
  <c r="G4855" i="6"/>
  <c r="G4856" i="6"/>
  <c r="G4857" i="6"/>
  <c r="G4858" i="6"/>
  <c r="A4848" i="6"/>
  <c r="G4841" i="6"/>
  <c r="G4842" i="6"/>
  <c r="G4843" i="6"/>
  <c r="G4844" i="6"/>
  <c r="G4845" i="6"/>
  <c r="G4846" i="6"/>
  <c r="A4839" i="6"/>
  <c r="G4832" i="6"/>
  <c r="G4833" i="6"/>
  <c r="G4834" i="6"/>
  <c r="G4835" i="6"/>
  <c r="G4836" i="6"/>
  <c r="G4837" i="6"/>
  <c r="A4829" i="6"/>
  <c r="G4820" i="6"/>
  <c r="G4821" i="6"/>
  <c r="G4822" i="6"/>
  <c r="G4823" i="6"/>
  <c r="G4824" i="6"/>
  <c r="G4825" i="6"/>
  <c r="G4826" i="6"/>
  <c r="G4827" i="6"/>
  <c r="A4818" i="6"/>
  <c r="G4811" i="6"/>
  <c r="G4812" i="6"/>
  <c r="G4813" i="6"/>
  <c r="G4814" i="6"/>
  <c r="G4815" i="6"/>
  <c r="G4816" i="6"/>
  <c r="A4808" i="6"/>
  <c r="G4798" i="6"/>
  <c r="G4799" i="6"/>
  <c r="G4800" i="6"/>
  <c r="G4801" i="6"/>
  <c r="G4802" i="6"/>
  <c r="G4803" i="6"/>
  <c r="G4804" i="6"/>
  <c r="G4805" i="6"/>
  <c r="G4806" i="6"/>
  <c r="A4780" i="6"/>
  <c r="G4771" i="6"/>
  <c r="G4772" i="6"/>
  <c r="G4773" i="6"/>
  <c r="G4774" i="6"/>
  <c r="G4775" i="6"/>
  <c r="G4776" i="6"/>
  <c r="G4777" i="6"/>
  <c r="G4778" i="6"/>
  <c r="A4750" i="6"/>
  <c r="G4743" i="6"/>
  <c r="G4744" i="6"/>
  <c r="G4745" i="6"/>
  <c r="G4746" i="6"/>
  <c r="G4747" i="6"/>
  <c r="G4748" i="6"/>
  <c r="A4741" i="6"/>
  <c r="G4736" i="6"/>
  <c r="G4737" i="6"/>
  <c r="G4738" i="6"/>
  <c r="G4739" i="6"/>
  <c r="A4796" i="6"/>
  <c r="G4794" i="6"/>
  <c r="G4793" i="6"/>
  <c r="G4792" i="6"/>
  <c r="G4791" i="6"/>
  <c r="G4790" i="6"/>
  <c r="A4734" i="6"/>
  <c r="G4728" i="6"/>
  <c r="G4729" i="6"/>
  <c r="G4730" i="6"/>
  <c r="G4731" i="6"/>
  <c r="G4732" i="6"/>
  <c r="A4788" i="6"/>
  <c r="G4786" i="6"/>
  <c r="G4785" i="6"/>
  <c r="G4784" i="6"/>
  <c r="G4783" i="6"/>
  <c r="G4782" i="6"/>
  <c r="A4726" i="6"/>
  <c r="G4720" i="6"/>
  <c r="G4721" i="6"/>
  <c r="G4722" i="6"/>
  <c r="G4723" i="6"/>
  <c r="G4724" i="6"/>
  <c r="A4769" i="6"/>
  <c r="G4767" i="6"/>
  <c r="G4766" i="6"/>
  <c r="G4765" i="6"/>
  <c r="G4764" i="6"/>
  <c r="G4763" i="6"/>
  <c r="A4718" i="6"/>
  <c r="G4712" i="6"/>
  <c r="G4713" i="6"/>
  <c r="G4714" i="6"/>
  <c r="G4715" i="6"/>
  <c r="G4716" i="6"/>
  <c r="A4761" i="6"/>
  <c r="G4759" i="6"/>
  <c r="G4758" i="6"/>
  <c r="G4757" i="6"/>
  <c r="G4756" i="6"/>
  <c r="G4755" i="6"/>
  <c r="G4754" i="6"/>
  <c r="G4753" i="6"/>
  <c r="A4710" i="6"/>
  <c r="G4702" i="6"/>
  <c r="G4703" i="6"/>
  <c r="G4704" i="6"/>
  <c r="G4705" i="6"/>
  <c r="G4706" i="6"/>
  <c r="G4707" i="6"/>
  <c r="G4708" i="6"/>
  <c r="A4700" i="6"/>
  <c r="G4689" i="6"/>
  <c r="G4690" i="6"/>
  <c r="G4691" i="6"/>
  <c r="G4692" i="6"/>
  <c r="G4693" i="6"/>
  <c r="G4694" i="6"/>
  <c r="G4695" i="6"/>
  <c r="G4696" i="6"/>
  <c r="G4697" i="6"/>
  <c r="G4698" i="6"/>
  <c r="A4687" i="6"/>
  <c r="G4679" i="6"/>
  <c r="G4680" i="6"/>
  <c r="G4681" i="6"/>
  <c r="G4682" i="6"/>
  <c r="G4683" i="6"/>
  <c r="G4684" i="6"/>
  <c r="G4685" i="6"/>
  <c r="A4676" i="6"/>
  <c r="G4671" i="6"/>
  <c r="G4672" i="6"/>
  <c r="G4673" i="6"/>
  <c r="G4674" i="6"/>
  <c r="G4828" i="6" l="1"/>
  <c r="G4749" i="6"/>
  <c r="A4669" i="6"/>
  <c r="G4667" i="6"/>
  <c r="A4665" i="6"/>
  <c r="G4660" i="6"/>
  <c r="G4661" i="6"/>
  <c r="G4662" i="6"/>
  <c r="G4663" i="6"/>
  <c r="A4658" i="6"/>
  <c r="G4654" i="6"/>
  <c r="G4655" i="6"/>
  <c r="G4656" i="6"/>
  <c r="A4652" i="6"/>
  <c r="G4647" i="6"/>
  <c r="G4648" i="6"/>
  <c r="G4649" i="6"/>
  <c r="G4650" i="6"/>
  <c r="A4645" i="6"/>
  <c r="G4633" i="6"/>
  <c r="G4634" i="6"/>
  <c r="G4635" i="6"/>
  <c r="G4636" i="6"/>
  <c r="G4637" i="6"/>
  <c r="G4638" i="6"/>
  <c r="G4639" i="6"/>
  <c r="G4640" i="6"/>
  <c r="G4641" i="6"/>
  <c r="G4642" i="6"/>
  <c r="G4643" i="6"/>
  <c r="A4631" i="6"/>
  <c r="G4628" i="6"/>
  <c r="G4629" i="6"/>
  <c r="A5529" i="6" l="1"/>
  <c r="G5526" i="6"/>
  <c r="G5527" i="6"/>
  <c r="A5524" i="6"/>
  <c r="G5521" i="6"/>
  <c r="G5522" i="6"/>
  <c r="A5519" i="6"/>
  <c r="G5517" i="6"/>
  <c r="A5499" i="6"/>
  <c r="G5493" i="6"/>
  <c r="G5494" i="6"/>
  <c r="G5495" i="6"/>
  <c r="G5496" i="6"/>
  <c r="G5497" i="6"/>
  <c r="A5473" i="6"/>
  <c r="G5463" i="6"/>
  <c r="G5464" i="6"/>
  <c r="G5465" i="6"/>
  <c r="G5466" i="6"/>
  <c r="G5467" i="6"/>
  <c r="G5468" i="6"/>
  <c r="G5469" i="6"/>
  <c r="G5470" i="6"/>
  <c r="G5471" i="6"/>
  <c r="A5460" i="6"/>
  <c r="G5455" i="6"/>
  <c r="G5456" i="6"/>
  <c r="G5457" i="6"/>
  <c r="G5458" i="6"/>
  <c r="A5453" i="6"/>
  <c r="G5448" i="6"/>
  <c r="G5449" i="6"/>
  <c r="G5450" i="6"/>
  <c r="G5451" i="6"/>
  <c r="A5446" i="6"/>
  <c r="G5441" i="6"/>
  <c r="G5442" i="6"/>
  <c r="G5443" i="6"/>
  <c r="G5444" i="6"/>
  <c r="A5439" i="6"/>
  <c r="G5434" i="6"/>
  <c r="G5435" i="6"/>
  <c r="G5436" i="6"/>
  <c r="G5437" i="6"/>
  <c r="A5432" i="6"/>
  <c r="G5426" i="6"/>
  <c r="G5427" i="6"/>
  <c r="G5428" i="6"/>
  <c r="G5429" i="6"/>
  <c r="G5430" i="6"/>
  <c r="A5410" i="6"/>
  <c r="G5406" i="6"/>
  <c r="G5407" i="6"/>
  <c r="G5408" i="6"/>
  <c r="A4506" i="6"/>
  <c r="G4504" i="6"/>
  <c r="G4503" i="6"/>
  <c r="G4502" i="6"/>
  <c r="A5388" i="6"/>
  <c r="G5384" i="6"/>
  <c r="G5385" i="6"/>
  <c r="G5386" i="6"/>
  <c r="A5336" i="6"/>
  <c r="G5332" i="6"/>
  <c r="G5333" i="6"/>
  <c r="G5334" i="6"/>
  <c r="A5330" i="6"/>
  <c r="G5325" i="6"/>
  <c r="G5326" i="6"/>
  <c r="G5327" i="6"/>
  <c r="G5328" i="6"/>
  <c r="A5316" i="6"/>
  <c r="G5312" i="6"/>
  <c r="G5313" i="6"/>
  <c r="G5314" i="6"/>
  <c r="A5297" i="6"/>
  <c r="G5293" i="6"/>
  <c r="G5294" i="6"/>
  <c r="G5295" i="6"/>
  <c r="A5291" i="6"/>
  <c r="G5287" i="6"/>
  <c r="G5288" i="6"/>
  <c r="G5289" i="6"/>
  <c r="A5285" i="6"/>
  <c r="G5280" i="6"/>
  <c r="G5281" i="6"/>
  <c r="G5282" i="6"/>
  <c r="G5283" i="6"/>
  <c r="A5264" i="6"/>
  <c r="G5259" i="6"/>
  <c r="G5260" i="6"/>
  <c r="G5261" i="6"/>
  <c r="G5262" i="6"/>
  <c r="K5235" i="6"/>
  <c r="I5232" i="6" s="1"/>
  <c r="G5232" i="6"/>
  <c r="G5234" i="6"/>
  <c r="G5233" i="6"/>
  <c r="A5223" i="6"/>
  <c r="G5219" i="6"/>
  <c r="G5220" i="6"/>
  <c r="G5221" i="6"/>
  <c r="A5217" i="6"/>
  <c r="G5214" i="6"/>
  <c r="G5215" i="6"/>
  <c r="A5192" i="6"/>
  <c r="G5188" i="6"/>
  <c r="G5189" i="6"/>
  <c r="G5190" i="6"/>
  <c r="A5179" i="6"/>
  <c r="G5175" i="6"/>
  <c r="G5176" i="6"/>
  <c r="G5177" i="6"/>
  <c r="A5173" i="6"/>
  <c r="G5169" i="6"/>
  <c r="G5170" i="6"/>
  <c r="G5171" i="6"/>
  <c r="A5134" i="6"/>
  <c r="G5129" i="6"/>
  <c r="G5130" i="6"/>
  <c r="G5131" i="6"/>
  <c r="G5132" i="6"/>
  <c r="A5127" i="6"/>
  <c r="G5116" i="6"/>
  <c r="G5117" i="6"/>
  <c r="G5118" i="6"/>
  <c r="G5119" i="6"/>
  <c r="G5120" i="6"/>
  <c r="G5121" i="6"/>
  <c r="G5122" i="6"/>
  <c r="G5123" i="6"/>
  <c r="G5124" i="6"/>
  <c r="G5125" i="6"/>
  <c r="A5114" i="6"/>
  <c r="G5103" i="6"/>
  <c r="G5104" i="6"/>
  <c r="G5105" i="6"/>
  <c r="G5106" i="6"/>
  <c r="G5107" i="6"/>
  <c r="G5108" i="6"/>
  <c r="G5109" i="6"/>
  <c r="G5110" i="6"/>
  <c r="G5111" i="6"/>
  <c r="G5112" i="6"/>
  <c r="A5101" i="6"/>
  <c r="G5099" i="6"/>
  <c r="A5097" i="6"/>
  <c r="G5095" i="6"/>
  <c r="A5093" i="6"/>
  <c r="G5089" i="6"/>
  <c r="G5090" i="6"/>
  <c r="G5091" i="6"/>
  <c r="A5087" i="6"/>
  <c r="G5082" i="6"/>
  <c r="G5083" i="6"/>
  <c r="G5084" i="6"/>
  <c r="G5085" i="6"/>
  <c r="A5080" i="6"/>
  <c r="G5075" i="6"/>
  <c r="G5076" i="6"/>
  <c r="G5077" i="6"/>
  <c r="G5078" i="6"/>
  <c r="A5073" i="6"/>
  <c r="G5068" i="6"/>
  <c r="G5069" i="6"/>
  <c r="G5070" i="6"/>
  <c r="G5071" i="6"/>
  <c r="A5066" i="6"/>
  <c r="G5064" i="6"/>
  <c r="A5062" i="6"/>
  <c r="G5058" i="6"/>
  <c r="G5059" i="6"/>
  <c r="G5060" i="6"/>
  <c r="A5055" i="6"/>
  <c r="G5051" i="6"/>
  <c r="G5052" i="6"/>
  <c r="G5053" i="6"/>
  <c r="A4995" i="6"/>
  <c r="G4991" i="6"/>
  <c r="G4992" i="6"/>
  <c r="G4993" i="6"/>
  <c r="A4926" i="6"/>
  <c r="G4922" i="6"/>
  <c r="G4923" i="6"/>
  <c r="G4924" i="6"/>
  <c r="A4920" i="6"/>
  <c r="G4916" i="6"/>
  <c r="G4917" i="6"/>
  <c r="G4918" i="6"/>
  <c r="A4913" i="6"/>
  <c r="G4908" i="6"/>
  <c r="G4909" i="6"/>
  <c r="G4910" i="6"/>
  <c r="G4911" i="6"/>
  <c r="A4906" i="6"/>
  <c r="G4901" i="6"/>
  <c r="G4902" i="6"/>
  <c r="G4903" i="6"/>
  <c r="G4904" i="6"/>
  <c r="G5329" i="6" l="1"/>
  <c r="G5222" i="6"/>
  <c r="G4905" i="6"/>
  <c r="G4912" i="6"/>
  <c r="M4022" i="6"/>
  <c r="M4023" i="6"/>
  <c r="M4021" i="6"/>
  <c r="K4023" i="6"/>
  <c r="K4022" i="6"/>
  <c r="K4021" i="6"/>
  <c r="A4025" i="6"/>
  <c r="G4021" i="6"/>
  <c r="G4022" i="6"/>
  <c r="G4023" i="6"/>
  <c r="G4008" i="6"/>
  <c r="G4009" i="6"/>
  <c r="G4010" i="6"/>
  <c r="G4011" i="6"/>
  <c r="G3993" i="6"/>
  <c r="G3994" i="6"/>
  <c r="G3995" i="6"/>
  <c r="G3996" i="6"/>
  <c r="G3997" i="6"/>
  <c r="G3998" i="6"/>
  <c r="G3999" i="6"/>
  <c r="G4000" i="6"/>
  <c r="G4001" i="6"/>
  <c r="G4002" i="6"/>
  <c r="G4003" i="6"/>
  <c r="G4004" i="6"/>
  <c r="A5202" i="6"/>
  <c r="G5200" i="6"/>
  <c r="G5199" i="6"/>
  <c r="A3856" i="6"/>
  <c r="G3853" i="6"/>
  <c r="G3854" i="6"/>
  <c r="A3845" i="6"/>
  <c r="G3842" i="6"/>
  <c r="G3843" i="6"/>
  <c r="G5228" i="6"/>
  <c r="G5227" i="6"/>
  <c r="G5226" i="6"/>
  <c r="G5225" i="6"/>
  <c r="A3833" i="6"/>
  <c r="K3831" i="6"/>
  <c r="K3830" i="6"/>
  <c r="K3829" i="6"/>
  <c r="K3828" i="6"/>
  <c r="G3828" i="6"/>
  <c r="G3829" i="6"/>
  <c r="G3830" i="6"/>
  <c r="G3831" i="6"/>
  <c r="A3572" i="6"/>
  <c r="G3566" i="6"/>
  <c r="G3567" i="6"/>
  <c r="G3568" i="6"/>
  <c r="G3569" i="6"/>
  <c r="G3570" i="6"/>
  <c r="A4077" i="6"/>
  <c r="G4075" i="6"/>
  <c r="G4074" i="6"/>
  <c r="G4073" i="6"/>
  <c r="A3564" i="6"/>
  <c r="G3562" i="6"/>
  <c r="G3561" i="6"/>
  <c r="G3560" i="6"/>
  <c r="A3530" i="6"/>
  <c r="G3505" i="6"/>
  <c r="G3506" i="6"/>
  <c r="G3507" i="6"/>
  <c r="G3508" i="6"/>
  <c r="G3509" i="6"/>
  <c r="G3510" i="6"/>
  <c r="G3511" i="6"/>
  <c r="G3512" i="6"/>
  <c r="G3513" i="6"/>
  <c r="G3514" i="6"/>
  <c r="G3515" i="6"/>
  <c r="G3516" i="6"/>
  <c r="G3517" i="6"/>
  <c r="G3518" i="6"/>
  <c r="G3519" i="6"/>
  <c r="G3520" i="6"/>
  <c r="G3521" i="6"/>
  <c r="G3522" i="6"/>
  <c r="G3523" i="6"/>
  <c r="G3524" i="6"/>
  <c r="G3525" i="6"/>
  <c r="G3526" i="6"/>
  <c r="G3527" i="6"/>
  <c r="G3528" i="6"/>
  <c r="A3503" i="6"/>
  <c r="G3498" i="6"/>
  <c r="G3499" i="6"/>
  <c r="G3500" i="6"/>
  <c r="G3501" i="6"/>
  <c r="A3450" i="6"/>
  <c r="G3442" i="6"/>
  <c r="G3443" i="6"/>
  <c r="G3444" i="6"/>
  <c r="G3445" i="6"/>
  <c r="G3446" i="6"/>
  <c r="G3447" i="6"/>
  <c r="G3448" i="6"/>
  <c r="K3394" i="6"/>
  <c r="L3394" i="6" s="1"/>
  <c r="G3391" i="6"/>
  <c r="A3395" i="6"/>
  <c r="G3393" i="6"/>
  <c r="G3392" i="6"/>
  <c r="A4404" i="6"/>
  <c r="G4402" i="6"/>
  <c r="G4401" i="6"/>
  <c r="G4400" i="6"/>
  <c r="J3298" i="6"/>
  <c r="A3299" i="6"/>
  <c r="G3295" i="6"/>
  <c r="G3296" i="6"/>
  <c r="G3297" i="6"/>
  <c r="A3293" i="6"/>
  <c r="G3290" i="6"/>
  <c r="G3291" i="6"/>
  <c r="A5249" i="6"/>
  <c r="G5247" i="6"/>
  <c r="G5246" i="6"/>
  <c r="G5245" i="6"/>
  <c r="J3287" i="6"/>
  <c r="A3288" i="6"/>
  <c r="G3284" i="6"/>
  <c r="G3285" i="6"/>
  <c r="G3286" i="6"/>
  <c r="A3282" i="6"/>
  <c r="G3279" i="6"/>
  <c r="G3280" i="6"/>
  <c r="A3277" i="6"/>
  <c r="G3273" i="6"/>
  <c r="G3274" i="6"/>
  <c r="G3275" i="6"/>
  <c r="G3197" i="6"/>
  <c r="G3198" i="6"/>
  <c r="G3199" i="6"/>
  <c r="A3201" i="6"/>
  <c r="G3162" i="6"/>
  <c r="G3163" i="6"/>
  <c r="G3164" i="6"/>
  <c r="A3166" i="6"/>
  <c r="G2999" i="6"/>
  <c r="G3000" i="6"/>
  <c r="A3002" i="6"/>
  <c r="A2971" i="6"/>
  <c r="G2967" i="6"/>
  <c r="G2968" i="6"/>
  <c r="G2969" i="6"/>
  <c r="A3419" i="6"/>
  <c r="G3417" i="6"/>
  <c r="A2818" i="6"/>
  <c r="G2816" i="6"/>
  <c r="G2768" i="6"/>
  <c r="G2769" i="6"/>
  <c r="G2770" i="6"/>
  <c r="G2771" i="6"/>
  <c r="G2761" i="6"/>
  <c r="G2762" i="6"/>
  <c r="G2763" i="6"/>
  <c r="A4448" i="6"/>
  <c r="G4446" i="6"/>
  <c r="G4445" i="6"/>
  <c r="G4444" i="6"/>
  <c r="A3343" i="6"/>
  <c r="G3341" i="6"/>
  <c r="G3340" i="6"/>
  <c r="G3339" i="6"/>
  <c r="A2736" i="6"/>
  <c r="G2732" i="6"/>
  <c r="G2733" i="6"/>
  <c r="G2734" i="6"/>
  <c r="A5197" i="6"/>
  <c r="G5195" i="6"/>
  <c r="G5194" i="6"/>
  <c r="A2667" i="6"/>
  <c r="G2664" i="6"/>
  <c r="G2665" i="6"/>
  <c r="A2662" i="6"/>
  <c r="G2659" i="6"/>
  <c r="G2660" i="6"/>
  <c r="A2624" i="6"/>
  <c r="G2619" i="6"/>
  <c r="G2620" i="6"/>
  <c r="G2621" i="6"/>
  <c r="G2622" i="6"/>
  <c r="A2617" i="6"/>
  <c r="G2612" i="6"/>
  <c r="G2613" i="6"/>
  <c r="G2614" i="6"/>
  <c r="G2615" i="6"/>
  <c r="A2520" i="6"/>
  <c r="G2514" i="6"/>
  <c r="G2515" i="6"/>
  <c r="G2516" i="6"/>
  <c r="G2517" i="6"/>
  <c r="G2518" i="6"/>
  <c r="A3097" i="6"/>
  <c r="G3095" i="6"/>
  <c r="G3094" i="6"/>
  <c r="G3093" i="6"/>
  <c r="G3092" i="6"/>
  <c r="G3091" i="6"/>
  <c r="A2512" i="6"/>
  <c r="G2506" i="6"/>
  <c r="G2507" i="6"/>
  <c r="G2508" i="6"/>
  <c r="G2509" i="6"/>
  <c r="G2510" i="6"/>
  <c r="A2529" i="6"/>
  <c r="G2527" i="6"/>
  <c r="G2526" i="6"/>
  <c r="G2525" i="6"/>
  <c r="G2524" i="6"/>
  <c r="G2523" i="6"/>
  <c r="G2522" i="6"/>
  <c r="A2493" i="6"/>
  <c r="A2484" i="6"/>
  <c r="G2478" i="6"/>
  <c r="G2479" i="6"/>
  <c r="G2480" i="6"/>
  <c r="G2481" i="6"/>
  <c r="G2482" i="6"/>
  <c r="A2476" i="6"/>
  <c r="G2472" i="6"/>
  <c r="G2473" i="6"/>
  <c r="G2474" i="6"/>
  <c r="A4899" i="6"/>
  <c r="G4897" i="6"/>
  <c r="G4896" i="6"/>
  <c r="G4895" i="6"/>
  <c r="G4894" i="6"/>
  <c r="A4152" i="6"/>
  <c r="G4150" i="6"/>
  <c r="G4149" i="6"/>
  <c r="G4148" i="6"/>
  <c r="G4147" i="6"/>
  <c r="A3700" i="6"/>
  <c r="G3698" i="6"/>
  <c r="G3697" i="6"/>
  <c r="G3696" i="6"/>
  <c r="G3695" i="6"/>
  <c r="A2463" i="6"/>
  <c r="G2458" i="6"/>
  <c r="G2459" i="6"/>
  <c r="G2460" i="6"/>
  <c r="G2461" i="6"/>
  <c r="A3552" i="6"/>
  <c r="G3550" i="6"/>
  <c r="G3549" i="6"/>
  <c r="G3548" i="6"/>
  <c r="G3547" i="6"/>
  <c r="A2276" i="6"/>
  <c r="G2271" i="6"/>
  <c r="G2272" i="6"/>
  <c r="G2273" i="6"/>
  <c r="G2274" i="6"/>
  <c r="A3435" i="6"/>
  <c r="A2242" i="6"/>
  <c r="G2239" i="6"/>
  <c r="G2240" i="6"/>
  <c r="A2229" i="6"/>
  <c r="G2224" i="6"/>
  <c r="G2225" i="6"/>
  <c r="G2226" i="6"/>
  <c r="G2227" i="6"/>
  <c r="A2215" i="6"/>
  <c r="G2210" i="6"/>
  <c r="G2211" i="6"/>
  <c r="G2212" i="6"/>
  <c r="G2213" i="6"/>
  <c r="A1921" i="6"/>
  <c r="G1917" i="6"/>
  <c r="G1918" i="6"/>
  <c r="G1919" i="6"/>
  <c r="A2425" i="6"/>
  <c r="G2423" i="6"/>
  <c r="G2422" i="6"/>
  <c r="G2421" i="6"/>
  <c r="G2420" i="6"/>
  <c r="G2419" i="6"/>
  <c r="G2418" i="6"/>
  <c r="G1744" i="6"/>
  <c r="G1745" i="6"/>
  <c r="G1746" i="6"/>
  <c r="G1747" i="6"/>
  <c r="G1748" i="6"/>
  <c r="G1749" i="6"/>
  <c r="A1751" i="6"/>
  <c r="G1743" i="6"/>
  <c r="G3421" i="6"/>
  <c r="G3422" i="6"/>
  <c r="G3423" i="6"/>
  <c r="G3424" i="6"/>
  <c r="G3425" i="6"/>
  <c r="G3426" i="6"/>
  <c r="G3427" i="6"/>
  <c r="G3428" i="6"/>
  <c r="G3420" i="6"/>
  <c r="G2820" i="6"/>
  <c r="G2821" i="6"/>
  <c r="G2822" i="6"/>
  <c r="G2823" i="6"/>
  <c r="G2824" i="6"/>
  <c r="G2825" i="6"/>
  <c r="G2826" i="6"/>
  <c r="G2827" i="6"/>
  <c r="A3430" i="6"/>
  <c r="A2829" i="6"/>
  <c r="A2287" i="6"/>
  <c r="G2285" i="6"/>
  <c r="G2284" i="6"/>
  <c r="G2283" i="6"/>
  <c r="G2282" i="6"/>
  <c r="G2281" i="6"/>
  <c r="G2280" i="6"/>
  <c r="G2279" i="6"/>
  <c r="G2278" i="6"/>
  <c r="A1613" i="6"/>
  <c r="G1604" i="6"/>
  <c r="G1605" i="6"/>
  <c r="G1606" i="6"/>
  <c r="G1607" i="6"/>
  <c r="G1608" i="6"/>
  <c r="G1609" i="6"/>
  <c r="G1610" i="6"/>
  <c r="G1611" i="6"/>
  <c r="A2954" i="6"/>
  <c r="G2952" i="6"/>
  <c r="G2951" i="6"/>
  <c r="G2950" i="6"/>
  <c r="G2949" i="6"/>
  <c r="A1602" i="6"/>
  <c r="G1597" i="6"/>
  <c r="G1598" i="6"/>
  <c r="G1599" i="6"/>
  <c r="G1600" i="6"/>
  <c r="A3545" i="6"/>
  <c r="G3543" i="6"/>
  <c r="G3542" i="6"/>
  <c r="G3541" i="6"/>
  <c r="G3540" i="6"/>
  <c r="A2947" i="6"/>
  <c r="G2945" i="6"/>
  <c r="G2944" i="6"/>
  <c r="G2943" i="6"/>
  <c r="G2942" i="6"/>
  <c r="A2269" i="6"/>
  <c r="G2267" i="6"/>
  <c r="G2266" i="6"/>
  <c r="G2265" i="6"/>
  <c r="G2264" i="6"/>
  <c r="A1595" i="6"/>
  <c r="G1590" i="6"/>
  <c r="G1591" i="6"/>
  <c r="G1592" i="6"/>
  <c r="G1593" i="6"/>
  <c r="A3538" i="6"/>
  <c r="G3536" i="6"/>
  <c r="G3535" i="6"/>
  <c r="G3534" i="6"/>
  <c r="G3533" i="6"/>
  <c r="A2928" i="6"/>
  <c r="G2926" i="6"/>
  <c r="G2925" i="6"/>
  <c r="G2924" i="6"/>
  <c r="G2923" i="6"/>
  <c r="A2262" i="6"/>
  <c r="G2260" i="6"/>
  <c r="G2259" i="6"/>
  <c r="G2258" i="6"/>
  <c r="G2257" i="6"/>
  <c r="A1588" i="6"/>
  <c r="G1583" i="6"/>
  <c r="G1584" i="6"/>
  <c r="G1585" i="6"/>
  <c r="G1586" i="6"/>
  <c r="G3462" i="6"/>
  <c r="G3463" i="6"/>
  <c r="G3464" i="6"/>
  <c r="G3465" i="6"/>
  <c r="G3466" i="6"/>
  <c r="G3461" i="6"/>
  <c r="A3468" i="6"/>
  <c r="A2861" i="6"/>
  <c r="G2859" i="6"/>
  <c r="G2858" i="6"/>
  <c r="G2857" i="6"/>
  <c r="G2856" i="6"/>
  <c r="G2855" i="6"/>
  <c r="A2255" i="6"/>
  <c r="G2253" i="6"/>
  <c r="G2252" i="6"/>
  <c r="G2251" i="6"/>
  <c r="G2250" i="6"/>
  <c r="G2249" i="6"/>
  <c r="K242" i="2"/>
  <c r="N1579" i="6"/>
  <c r="N1578" i="6"/>
  <c r="N1576" i="6"/>
  <c r="N1577" i="6"/>
  <c r="N1575" i="6"/>
  <c r="M1576" i="6"/>
  <c r="M1577" i="6"/>
  <c r="M1578" i="6"/>
  <c r="M1579" i="6"/>
  <c r="M1575" i="6"/>
  <c r="A1581" i="6"/>
  <c r="G1575" i="6"/>
  <c r="G1576" i="6"/>
  <c r="G1577" i="6"/>
  <c r="G1578" i="6"/>
  <c r="G1579" i="6"/>
  <c r="A3496" i="6"/>
  <c r="G3494" i="6"/>
  <c r="G3493" i="6"/>
  <c r="G3492" i="6"/>
  <c r="G3491" i="6"/>
  <c r="A1558" i="6"/>
  <c r="G1553" i="6"/>
  <c r="G1554" i="6"/>
  <c r="G1555" i="6"/>
  <c r="G1556" i="6"/>
  <c r="A1551" i="6"/>
  <c r="G1546" i="6"/>
  <c r="G1547" i="6"/>
  <c r="G1548" i="6"/>
  <c r="G1549" i="6"/>
  <c r="A1544" i="6"/>
  <c r="G1539" i="6"/>
  <c r="G1540" i="6"/>
  <c r="G1541" i="6"/>
  <c r="G1542" i="6"/>
  <c r="A3460" i="6"/>
  <c r="G3458" i="6"/>
  <c r="G3457" i="6"/>
  <c r="G3456" i="6"/>
  <c r="G3455" i="6"/>
  <c r="G3454" i="6"/>
  <c r="G3453" i="6"/>
  <c r="G3452" i="6"/>
  <c r="A2853" i="6"/>
  <c r="G2851" i="6"/>
  <c r="G2850" i="6"/>
  <c r="G2849" i="6"/>
  <c r="G2848" i="6"/>
  <c r="G2847" i="6"/>
  <c r="G2846" i="6"/>
  <c r="G2845" i="6"/>
  <c r="A2201" i="6"/>
  <c r="G2199" i="6"/>
  <c r="G2198" i="6"/>
  <c r="G2197" i="6"/>
  <c r="G2196" i="6"/>
  <c r="G2195" i="6"/>
  <c r="G2194" i="6"/>
  <c r="G2193" i="6"/>
  <c r="A1516" i="6"/>
  <c r="G1508" i="6"/>
  <c r="G1509" i="6"/>
  <c r="G1510" i="6"/>
  <c r="G1511" i="6"/>
  <c r="G1512" i="6"/>
  <c r="G1513" i="6"/>
  <c r="G1514" i="6"/>
  <c r="A1506" i="6"/>
  <c r="G1501" i="6"/>
  <c r="G1502" i="6"/>
  <c r="G1503" i="6"/>
  <c r="G1504" i="6"/>
  <c r="G802" i="6"/>
  <c r="G801" i="6"/>
  <c r="G800" i="6"/>
  <c r="G799" i="6"/>
  <c r="G798" i="6"/>
  <c r="G797" i="6"/>
  <c r="G796" i="6"/>
  <c r="G5396" i="6"/>
  <c r="G5395" i="6"/>
  <c r="G5394" i="6"/>
  <c r="G5393" i="6"/>
  <c r="G5392" i="6"/>
  <c r="G5391" i="6"/>
  <c r="G5390" i="6"/>
  <c r="G4514" i="6"/>
  <c r="G4513" i="6"/>
  <c r="G4512" i="6"/>
  <c r="G4511" i="6"/>
  <c r="G4510" i="6"/>
  <c r="G4509" i="6"/>
  <c r="G4508" i="6"/>
  <c r="G3989" i="6"/>
  <c r="G3988" i="6"/>
  <c r="G3987" i="6"/>
  <c r="G3986" i="6"/>
  <c r="G3985" i="6"/>
  <c r="G3984" i="6"/>
  <c r="G3983" i="6"/>
  <c r="G2793" i="6"/>
  <c r="G2792" i="6"/>
  <c r="G2791" i="6"/>
  <c r="G2790" i="6"/>
  <c r="G2789" i="6"/>
  <c r="G2788" i="6"/>
  <c r="G2787" i="6"/>
  <c r="G2163" i="6"/>
  <c r="G2162" i="6"/>
  <c r="G2161" i="6"/>
  <c r="G2160" i="6"/>
  <c r="G2159" i="6"/>
  <c r="G2158" i="6"/>
  <c r="G2157" i="6"/>
  <c r="M1461" i="6"/>
  <c r="M1460" i="6"/>
  <c r="M1456" i="6"/>
  <c r="M1457" i="6"/>
  <c r="M1458" i="6"/>
  <c r="M1459" i="6"/>
  <c r="M1455" i="6"/>
  <c r="L1456" i="6"/>
  <c r="L1457" i="6"/>
  <c r="L1458" i="6"/>
  <c r="L1459" i="6"/>
  <c r="L1460" i="6"/>
  <c r="L1461" i="6"/>
  <c r="L1455" i="6"/>
  <c r="A2558" i="6"/>
  <c r="G2556" i="6"/>
  <c r="G2555" i="6"/>
  <c r="G2554" i="6"/>
  <c r="A1157" i="6"/>
  <c r="A3749" i="6"/>
  <c r="A1143" i="6"/>
  <c r="G1138" i="6"/>
  <c r="G1139" i="6"/>
  <c r="G1140" i="6"/>
  <c r="G1141" i="6"/>
  <c r="A3054" i="6"/>
  <c r="G3052" i="6"/>
  <c r="G3051" i="6"/>
  <c r="G3050" i="6"/>
  <c r="A2470" i="6"/>
  <c r="G2468" i="6"/>
  <c r="G2467" i="6"/>
  <c r="G2466" i="6"/>
  <c r="A1798" i="6"/>
  <c r="G1796" i="6"/>
  <c r="G1795" i="6"/>
  <c r="G1794" i="6"/>
  <c r="A1082" i="6"/>
  <c r="G1078" i="6"/>
  <c r="G1079" i="6"/>
  <c r="G1080" i="6"/>
  <c r="A1765" i="6"/>
  <c r="A1041" i="6"/>
  <c r="G1029" i="6"/>
  <c r="G1030" i="6"/>
  <c r="G1031" i="6"/>
  <c r="G1032" i="6"/>
  <c r="G1033" i="6"/>
  <c r="G1034" i="6"/>
  <c r="G1035" i="6"/>
  <c r="G1036" i="6"/>
  <c r="G1037" i="6"/>
  <c r="G1038" i="6"/>
  <c r="G1039" i="6"/>
  <c r="A312" i="6"/>
  <c r="G310" i="6"/>
  <c r="G309" i="6"/>
  <c r="A4625" i="6"/>
  <c r="G4623" i="6"/>
  <c r="G4622" i="6"/>
  <c r="A4103" i="6"/>
  <c r="G4101" i="6"/>
  <c r="G4100" i="6"/>
  <c r="A3668" i="6"/>
  <c r="G3666" i="6"/>
  <c r="G3665" i="6"/>
  <c r="A3007" i="6"/>
  <c r="G3005" i="6"/>
  <c r="G3004" i="6"/>
  <c r="A2415" i="6"/>
  <c r="G2413" i="6"/>
  <c r="G2412" i="6"/>
  <c r="A1721" i="6"/>
  <c r="G1719" i="6"/>
  <c r="G1718" i="6"/>
  <c r="M972" i="6"/>
  <c r="M971" i="6"/>
  <c r="L972" i="6"/>
  <c r="L971" i="6"/>
  <c r="A729" i="6"/>
  <c r="G721" i="6"/>
  <c r="G722" i="6"/>
  <c r="G723" i="6"/>
  <c r="G724" i="6"/>
  <c r="G725" i="6"/>
  <c r="G726" i="6"/>
  <c r="G727" i="6"/>
  <c r="A4442" i="6"/>
  <c r="G4440" i="6"/>
  <c r="G4439" i="6"/>
  <c r="G4438" i="6"/>
  <c r="A3337" i="6"/>
  <c r="G3335" i="6"/>
  <c r="G3334" i="6"/>
  <c r="G3333" i="6"/>
  <c r="A1384" i="6"/>
  <c r="G1382" i="6"/>
  <c r="G1381" i="6"/>
  <c r="G1380" i="6"/>
  <c r="A719" i="6"/>
  <c r="G715" i="6"/>
  <c r="G716" i="6"/>
  <c r="G717" i="6"/>
  <c r="A4436" i="6"/>
  <c r="G4434" i="6"/>
  <c r="G4433" i="6"/>
  <c r="G4432" i="6"/>
  <c r="A3331" i="6"/>
  <c r="G3329" i="6"/>
  <c r="G3328" i="6"/>
  <c r="G3327" i="6"/>
  <c r="A1378" i="6"/>
  <c r="G1376" i="6"/>
  <c r="G1375" i="6"/>
  <c r="G1374" i="6"/>
  <c r="A713" i="6"/>
  <c r="G709" i="6"/>
  <c r="G710" i="6"/>
  <c r="G711" i="6"/>
  <c r="A4423" i="6"/>
  <c r="G4421" i="6"/>
  <c r="G4420" i="6"/>
  <c r="G4419" i="6"/>
  <c r="A3318" i="6"/>
  <c r="G3316" i="6"/>
  <c r="G3315" i="6"/>
  <c r="G3314" i="6"/>
  <c r="A2742" i="6"/>
  <c r="G2740" i="6"/>
  <c r="G2739" i="6"/>
  <c r="G2738" i="6"/>
  <c r="A2079" i="6"/>
  <c r="G2077" i="6"/>
  <c r="G2076" i="6"/>
  <c r="G2075" i="6"/>
  <c r="A1365" i="6"/>
  <c r="G1363" i="6"/>
  <c r="G1362" i="6"/>
  <c r="G1361" i="6"/>
  <c r="A707" i="6"/>
  <c r="G703" i="6"/>
  <c r="G704" i="6"/>
  <c r="G705" i="6"/>
  <c r="A5310" i="6"/>
  <c r="G5308" i="6"/>
  <c r="G5307" i="6"/>
  <c r="G5306" i="6"/>
  <c r="A4417" i="6"/>
  <c r="G4415" i="6"/>
  <c r="G4414" i="6"/>
  <c r="G4413" i="6"/>
  <c r="A3935" i="6"/>
  <c r="G3933" i="6"/>
  <c r="G3932" i="6"/>
  <c r="G3931" i="6"/>
  <c r="A3312" i="6"/>
  <c r="G3310" i="6"/>
  <c r="G3309" i="6"/>
  <c r="G3308" i="6"/>
  <c r="A2073" i="6"/>
  <c r="G2071" i="6"/>
  <c r="G2070" i="6"/>
  <c r="G2069" i="6"/>
  <c r="A1359" i="6"/>
  <c r="G1357" i="6"/>
  <c r="G1356" i="6"/>
  <c r="G1355" i="6"/>
  <c r="A701" i="6"/>
  <c r="G697" i="6"/>
  <c r="G698" i="6"/>
  <c r="G699" i="6"/>
  <c r="A5304" i="6"/>
  <c r="G5302" i="6"/>
  <c r="G5301" i="6"/>
  <c r="G5300" i="6"/>
  <c r="G5299" i="6"/>
  <c r="A4411" i="6"/>
  <c r="A3929" i="6"/>
  <c r="A3306" i="6"/>
  <c r="A2104" i="6"/>
  <c r="A2067" i="6"/>
  <c r="A1402" i="6"/>
  <c r="A1353" i="6"/>
  <c r="A737" i="6"/>
  <c r="A695" i="6"/>
  <c r="A4398" i="6"/>
  <c r="G4396" i="6"/>
  <c r="G4395" i="6"/>
  <c r="G4394" i="6"/>
  <c r="G4393" i="6"/>
  <c r="A3922" i="6"/>
  <c r="G3920" i="6"/>
  <c r="G3919" i="6"/>
  <c r="G3918" i="6"/>
  <c r="G3917" i="6"/>
  <c r="A2730" i="6"/>
  <c r="G2728" i="6"/>
  <c r="G2727" i="6"/>
  <c r="G2726" i="6"/>
  <c r="G2725" i="6"/>
  <c r="A2060" i="6"/>
  <c r="G2058" i="6"/>
  <c r="G2057" i="6"/>
  <c r="G2056" i="6"/>
  <c r="G2055" i="6"/>
  <c r="A1346" i="6"/>
  <c r="G1344" i="6"/>
  <c r="G1343" i="6"/>
  <c r="G1342" i="6"/>
  <c r="G1341" i="6"/>
  <c r="A681" i="6"/>
  <c r="G676" i="6"/>
  <c r="G677" i="6"/>
  <c r="G678" i="6"/>
  <c r="G679" i="6"/>
  <c r="A4391" i="6"/>
  <c r="G4389" i="6"/>
  <c r="G4388" i="6"/>
  <c r="G4387" i="6"/>
  <c r="G4386" i="6"/>
  <c r="A3915" i="6"/>
  <c r="G3913" i="6"/>
  <c r="G3912" i="6"/>
  <c r="G3911" i="6"/>
  <c r="G3910" i="6"/>
  <c r="A2723" i="6"/>
  <c r="G2721" i="6"/>
  <c r="G2720" i="6"/>
  <c r="G2719" i="6"/>
  <c r="G2718" i="6"/>
  <c r="A2053" i="6"/>
  <c r="G2051" i="6"/>
  <c r="G2050" i="6"/>
  <c r="G2049" i="6"/>
  <c r="G2048" i="6"/>
  <c r="A1339" i="6"/>
  <c r="G1337" i="6"/>
  <c r="G1336" i="6"/>
  <c r="G1335" i="6"/>
  <c r="G1334" i="6"/>
  <c r="A674" i="6"/>
  <c r="G669" i="6"/>
  <c r="G670" i="6"/>
  <c r="G671" i="6"/>
  <c r="G672" i="6"/>
  <c r="A5243" i="6"/>
  <c r="G5241" i="6"/>
  <c r="G5240" i="6"/>
  <c r="G5239" i="6"/>
  <c r="G5238" i="6"/>
  <c r="A4384" i="6"/>
  <c r="G4382" i="6"/>
  <c r="G4381" i="6"/>
  <c r="G4380" i="6"/>
  <c r="G4379" i="6"/>
  <c r="A3908" i="6"/>
  <c r="G3906" i="6"/>
  <c r="G3905" i="6"/>
  <c r="G3904" i="6"/>
  <c r="G3903" i="6"/>
  <c r="A2716" i="6"/>
  <c r="G2714" i="6"/>
  <c r="G2713" i="6"/>
  <c r="G2712" i="6"/>
  <c r="G2711" i="6"/>
  <c r="A2046" i="6"/>
  <c r="G2044" i="6"/>
  <c r="G2043" i="6"/>
  <c r="G2042" i="6"/>
  <c r="G2041" i="6"/>
  <c r="A1332" i="6"/>
  <c r="G1330" i="6"/>
  <c r="G1329" i="6"/>
  <c r="G1328" i="6"/>
  <c r="G1327" i="6"/>
  <c r="A667" i="6"/>
  <c r="G662" i="6"/>
  <c r="G663" i="6"/>
  <c r="G664" i="6"/>
  <c r="G665" i="6"/>
  <c r="A4377" i="6"/>
  <c r="G4375" i="6"/>
  <c r="G4374" i="6"/>
  <c r="G4373" i="6"/>
  <c r="G4372" i="6"/>
  <c r="A3901" i="6"/>
  <c r="G3899" i="6"/>
  <c r="G3898" i="6"/>
  <c r="G3897" i="6"/>
  <c r="G3896" i="6"/>
  <c r="A2709" i="6"/>
  <c r="G2707" i="6"/>
  <c r="G2706" i="6"/>
  <c r="G2705" i="6"/>
  <c r="G2704" i="6"/>
  <c r="A2039" i="6"/>
  <c r="G2037" i="6"/>
  <c r="G2036" i="6"/>
  <c r="G2035" i="6"/>
  <c r="G2034" i="6"/>
  <c r="A1325" i="6"/>
  <c r="G1323" i="6"/>
  <c r="G1322" i="6"/>
  <c r="G1321" i="6"/>
  <c r="G1320" i="6"/>
  <c r="A660" i="6"/>
  <c r="G655" i="6"/>
  <c r="G656" i="6"/>
  <c r="G657" i="6"/>
  <c r="G658" i="6"/>
  <c r="A5278" i="6"/>
  <c r="G5276" i="6"/>
  <c r="G5275" i="6"/>
  <c r="G5274" i="6"/>
  <c r="G5273" i="6"/>
  <c r="A4370" i="6"/>
  <c r="G4368" i="6"/>
  <c r="G4367" i="6"/>
  <c r="G4366" i="6"/>
  <c r="G4365" i="6"/>
  <c r="A3894" i="6"/>
  <c r="G3892" i="6"/>
  <c r="G3891" i="6"/>
  <c r="G3890" i="6"/>
  <c r="G3889" i="6"/>
  <c r="A2702" i="6"/>
  <c r="G2700" i="6"/>
  <c r="G2699" i="6"/>
  <c r="G2698" i="6"/>
  <c r="G2697" i="6"/>
  <c r="A2032" i="6"/>
  <c r="G2030" i="6"/>
  <c r="G2029" i="6"/>
  <c r="G2028" i="6"/>
  <c r="G2027" i="6"/>
  <c r="A1318" i="6"/>
  <c r="G1316" i="6"/>
  <c r="G1315" i="6"/>
  <c r="G1314" i="6"/>
  <c r="G1313" i="6"/>
  <c r="A653" i="6"/>
  <c r="G648" i="6"/>
  <c r="G649" i="6"/>
  <c r="G650" i="6"/>
  <c r="G651" i="6"/>
  <c r="A4363" i="6"/>
  <c r="G4361" i="6"/>
  <c r="G4360" i="6"/>
  <c r="G4359" i="6"/>
  <c r="G4358" i="6"/>
  <c r="A3887" i="6"/>
  <c r="G3885" i="6"/>
  <c r="G3884" i="6"/>
  <c r="G3883" i="6"/>
  <c r="G3882" i="6"/>
  <c r="A2695" i="6"/>
  <c r="G2693" i="6"/>
  <c r="G2692" i="6"/>
  <c r="G2691" i="6"/>
  <c r="G2690" i="6"/>
  <c r="A2025" i="6"/>
  <c r="G2023" i="6"/>
  <c r="G2022" i="6"/>
  <c r="G2021" i="6"/>
  <c r="G2020" i="6"/>
  <c r="A1311" i="6"/>
  <c r="G1309" i="6"/>
  <c r="G1308" i="6"/>
  <c r="G1307" i="6"/>
  <c r="G1306" i="6"/>
  <c r="A646" i="6"/>
  <c r="G641" i="6"/>
  <c r="G642" i="6"/>
  <c r="G643" i="6"/>
  <c r="G644" i="6"/>
  <c r="A4356" i="6"/>
  <c r="G4354" i="6"/>
  <c r="G4353" i="6"/>
  <c r="G4352" i="6"/>
  <c r="G4351" i="6"/>
  <c r="A3880" i="6"/>
  <c r="G3878" i="6"/>
  <c r="G3877" i="6"/>
  <c r="G3876" i="6"/>
  <c r="G3875" i="6"/>
  <c r="A2688" i="6"/>
  <c r="G2686" i="6"/>
  <c r="G2685" i="6"/>
  <c r="G2684" i="6"/>
  <c r="G2683" i="6"/>
  <c r="A2018" i="6"/>
  <c r="G2016" i="6"/>
  <c r="G2015" i="6"/>
  <c r="G2014" i="6"/>
  <c r="G2013" i="6"/>
  <c r="A1304" i="6"/>
  <c r="G1302" i="6"/>
  <c r="G1301" i="6"/>
  <c r="G1300" i="6"/>
  <c r="G1299" i="6"/>
  <c r="A639" i="6"/>
  <c r="G634" i="6"/>
  <c r="G635" i="6"/>
  <c r="G636" i="6"/>
  <c r="G637" i="6"/>
  <c r="A5271" i="6"/>
  <c r="G5269" i="6"/>
  <c r="G5268" i="6"/>
  <c r="G5267" i="6"/>
  <c r="G5266" i="6"/>
  <c r="A4349" i="6"/>
  <c r="G4347" i="6"/>
  <c r="G4346" i="6"/>
  <c r="G4345" i="6"/>
  <c r="G4344" i="6"/>
  <c r="A3873" i="6"/>
  <c r="G3871" i="6"/>
  <c r="G3870" i="6"/>
  <c r="G3869" i="6"/>
  <c r="G3868" i="6"/>
  <c r="A2681" i="6"/>
  <c r="G2679" i="6"/>
  <c r="G2678" i="6"/>
  <c r="G2677" i="6"/>
  <c r="G2676" i="6"/>
  <c r="A2011" i="6"/>
  <c r="G2009" i="6"/>
  <c r="G2008" i="6"/>
  <c r="G2007" i="6"/>
  <c r="G2006" i="6"/>
  <c r="A1297" i="6"/>
  <c r="G1295" i="6"/>
  <c r="G1294" i="6"/>
  <c r="G1293" i="6"/>
  <c r="G1292" i="6"/>
  <c r="A632" i="6"/>
  <c r="G627" i="6"/>
  <c r="G628" i="6"/>
  <c r="G629" i="6"/>
  <c r="G630" i="6"/>
  <c r="A5256" i="6"/>
  <c r="G5254" i="6"/>
  <c r="G5253" i="6"/>
  <c r="G5252" i="6"/>
  <c r="G5251" i="6"/>
  <c r="A4342" i="6"/>
  <c r="G4340" i="6"/>
  <c r="G4339" i="6"/>
  <c r="G4338" i="6"/>
  <c r="G4337" i="6"/>
  <c r="A2674" i="6"/>
  <c r="G2672" i="6"/>
  <c r="G2671" i="6"/>
  <c r="G2670" i="6"/>
  <c r="G2669" i="6"/>
  <c r="A2004" i="6"/>
  <c r="G2002" i="6"/>
  <c r="G2001" i="6"/>
  <c r="G2000" i="6"/>
  <c r="G1999" i="6"/>
  <c r="A1290" i="6"/>
  <c r="G1288" i="6"/>
  <c r="G1287" i="6"/>
  <c r="G1286" i="6"/>
  <c r="G1285" i="6"/>
  <c r="A625" i="6"/>
  <c r="G620" i="6"/>
  <c r="G621" i="6"/>
  <c r="G622" i="6"/>
  <c r="G623" i="6"/>
  <c r="A5212" i="6"/>
  <c r="G5210" i="6"/>
  <c r="G5209" i="6"/>
  <c r="A4335" i="6"/>
  <c r="G4333" i="6"/>
  <c r="G4332" i="6"/>
  <c r="A3866" i="6"/>
  <c r="G3864" i="6"/>
  <c r="G3863" i="6"/>
  <c r="A3271" i="6"/>
  <c r="G3269" i="6"/>
  <c r="G3268" i="6"/>
  <c r="A1997" i="6"/>
  <c r="G1995" i="6"/>
  <c r="G1994" i="6"/>
  <c r="A1283" i="6"/>
  <c r="G1281" i="6"/>
  <c r="G1280" i="6"/>
  <c r="A618" i="6"/>
  <c r="G615" i="6"/>
  <c r="G616" i="6"/>
  <c r="A5207" i="6"/>
  <c r="G5205" i="6"/>
  <c r="G5204" i="6"/>
  <c r="A4330" i="6"/>
  <c r="G4328" i="6"/>
  <c r="G4327" i="6"/>
  <c r="A3861" i="6"/>
  <c r="G3859" i="6"/>
  <c r="G3858" i="6"/>
  <c r="A3266" i="6"/>
  <c r="G3264" i="6"/>
  <c r="G3263" i="6"/>
  <c r="A1992" i="6"/>
  <c r="G1990" i="6"/>
  <c r="G1989" i="6"/>
  <c r="A1278" i="6"/>
  <c r="G1276" i="6"/>
  <c r="G1275" i="6"/>
  <c r="G610" i="6"/>
  <c r="G611" i="6"/>
  <c r="A613" i="6"/>
  <c r="M4024" i="6" l="1"/>
  <c r="G2970" i="6"/>
  <c r="G2772" i="6"/>
  <c r="G2616" i="6"/>
  <c r="G2623" i="6"/>
  <c r="G4898" i="6"/>
  <c r="G4151" i="6"/>
  <c r="G2462" i="6"/>
  <c r="G3699" i="6"/>
  <c r="M1580" i="6"/>
  <c r="N1580" i="6"/>
  <c r="L1462" i="6"/>
  <c r="M1462" i="6"/>
  <c r="G1142" i="6"/>
  <c r="F605" i="2" s="1"/>
  <c r="M973" i="6"/>
  <c r="L973" i="6"/>
  <c r="G5303" i="6"/>
  <c r="A3069" i="6"/>
  <c r="G3067" i="6"/>
  <c r="G3066" i="6"/>
  <c r="G3065" i="6"/>
  <c r="G3064" i="6"/>
  <c r="G3063" i="6"/>
  <c r="A2433" i="6"/>
  <c r="G2431" i="6"/>
  <c r="G2430" i="6"/>
  <c r="G2429" i="6"/>
  <c r="G2428" i="6"/>
  <c r="G2427" i="6"/>
  <c r="A1773" i="6"/>
  <c r="G1771" i="6"/>
  <c r="G1770" i="6"/>
  <c r="G1769" i="6"/>
  <c r="G1768" i="6"/>
  <c r="G1767" i="6"/>
  <c r="A1027" i="6"/>
  <c r="G1021" i="6"/>
  <c r="G1022" i="6"/>
  <c r="G1023" i="6"/>
  <c r="G1024" i="6"/>
  <c r="G1025" i="6"/>
  <c r="A5514" i="6"/>
  <c r="A4619" i="6"/>
  <c r="G4620" i="6"/>
  <c r="A4097" i="6"/>
  <c r="A3652" i="6"/>
  <c r="A2986" i="6"/>
  <c r="A2544" i="6"/>
  <c r="G2545" i="6"/>
  <c r="A2379" i="6"/>
  <c r="A1705" i="6"/>
  <c r="A968" i="6"/>
  <c r="G956" i="6"/>
  <c r="G957" i="6"/>
  <c r="G958" i="6"/>
  <c r="G959" i="6"/>
  <c r="G960" i="6"/>
  <c r="G961" i="6"/>
  <c r="G962" i="6"/>
  <c r="G963" i="6"/>
  <c r="G964" i="6"/>
  <c r="G965" i="6"/>
  <c r="G966" i="6"/>
  <c r="A4604" i="6"/>
  <c r="G4602" i="6"/>
  <c r="G4601" i="6"/>
  <c r="G4600" i="6"/>
  <c r="A3637" i="6"/>
  <c r="G3635" i="6"/>
  <c r="G3634" i="6"/>
  <c r="G3633" i="6"/>
  <c r="A2965" i="6"/>
  <c r="G2963" i="6"/>
  <c r="G2962" i="6"/>
  <c r="G2961" i="6"/>
  <c r="A2364" i="6"/>
  <c r="G2362" i="6"/>
  <c r="G2361" i="6"/>
  <c r="G2360" i="6"/>
  <c r="A1690" i="6"/>
  <c r="G1688" i="6"/>
  <c r="G1687" i="6"/>
  <c r="G1686" i="6"/>
  <c r="A953" i="6"/>
  <c r="G949" i="6"/>
  <c r="G950" i="6"/>
  <c r="G951" i="6"/>
  <c r="A4597" i="6"/>
  <c r="G4595" i="6"/>
  <c r="G4594" i="6"/>
  <c r="A4082" i="6"/>
  <c r="G4080" i="6"/>
  <c r="G4079" i="6"/>
  <c r="A3440" i="6"/>
  <c r="G3438" i="6"/>
  <c r="G3437" i="6"/>
  <c r="A2843" i="6"/>
  <c r="G2841" i="6"/>
  <c r="G2840" i="6"/>
  <c r="A2247" i="6"/>
  <c r="G2245" i="6"/>
  <c r="G2244" i="6"/>
  <c r="A1573" i="6"/>
  <c r="G1571" i="6"/>
  <c r="G1570" i="6"/>
  <c r="A942" i="6"/>
  <c r="G939" i="6"/>
  <c r="G940" i="6"/>
  <c r="A4592" i="6"/>
  <c r="G4590" i="6"/>
  <c r="G4589" i="6"/>
  <c r="G4588" i="6"/>
  <c r="A3618" i="6"/>
  <c r="G3616" i="6"/>
  <c r="G3615" i="6"/>
  <c r="G3614" i="6"/>
  <c r="A2940" i="6"/>
  <c r="G2938" i="6"/>
  <c r="G2937" i="6"/>
  <c r="G2936" i="6"/>
  <c r="A2337" i="6"/>
  <c r="G2335" i="6"/>
  <c r="G2334" i="6"/>
  <c r="G2333" i="6"/>
  <c r="A1665" i="6"/>
  <c r="G1663" i="6"/>
  <c r="G1662" i="6"/>
  <c r="G1661" i="6"/>
  <c r="A937" i="6"/>
  <c r="G933" i="6"/>
  <c r="G934" i="6"/>
  <c r="G935" i="6"/>
  <c r="A4586" i="6"/>
  <c r="G4584" i="6"/>
  <c r="G4583" i="6"/>
  <c r="G4582" i="6"/>
  <c r="A3612" i="6"/>
  <c r="G3610" i="6"/>
  <c r="G3609" i="6"/>
  <c r="G3608" i="6"/>
  <c r="A2934" i="6"/>
  <c r="G2932" i="6"/>
  <c r="G2931" i="6"/>
  <c r="G2930" i="6"/>
  <c r="A2331" i="6"/>
  <c r="G2329" i="6"/>
  <c r="G2328" i="6"/>
  <c r="G2327" i="6"/>
  <c r="A1659" i="6"/>
  <c r="G1657" i="6"/>
  <c r="G1656" i="6"/>
  <c r="G1655" i="6"/>
  <c r="A931" i="6"/>
  <c r="G927" i="6"/>
  <c r="G928" i="6"/>
  <c r="G929" i="6"/>
  <c r="A2838" i="6"/>
  <c r="G2836" i="6"/>
  <c r="G2835" i="6"/>
  <c r="G2834" i="6"/>
  <c r="G2833" i="6"/>
  <c r="G2832" i="6"/>
  <c r="G2831" i="6"/>
  <c r="A1568" i="6"/>
  <c r="G1566" i="6"/>
  <c r="G1565" i="6"/>
  <c r="G1564" i="6"/>
  <c r="G1563" i="6"/>
  <c r="G1562" i="6"/>
  <c r="G1561" i="6"/>
  <c r="A925" i="6"/>
  <c r="G918" i="6"/>
  <c r="G919" i="6"/>
  <c r="G920" i="6"/>
  <c r="G921" i="6"/>
  <c r="G922" i="6"/>
  <c r="G923" i="6"/>
  <c r="A4580" i="6"/>
  <c r="G4578" i="6"/>
  <c r="G4577" i="6"/>
  <c r="G4576" i="6"/>
  <c r="A2895" i="6"/>
  <c r="G2893" i="6"/>
  <c r="G2892" i="6"/>
  <c r="G2891" i="6"/>
  <c r="A2299" i="6"/>
  <c r="G2297" i="6"/>
  <c r="G2296" i="6"/>
  <c r="G2295" i="6"/>
  <c r="A1679" i="6"/>
  <c r="G1677" i="6"/>
  <c r="G1676" i="6"/>
  <c r="G1675" i="6"/>
  <c r="A916" i="6"/>
  <c r="G912" i="6"/>
  <c r="G913" i="6"/>
  <c r="G914" i="6"/>
  <c r="A4574" i="6"/>
  <c r="G4572" i="6"/>
  <c r="G4571" i="6"/>
  <c r="G4570" i="6"/>
  <c r="A4071" i="6"/>
  <c r="G4069" i="6"/>
  <c r="G4068" i="6"/>
  <c r="G4067" i="6"/>
  <c r="A3558" i="6"/>
  <c r="G3556" i="6"/>
  <c r="G3555" i="6"/>
  <c r="G3554" i="6"/>
  <c r="A2889" i="6"/>
  <c r="G2887" i="6"/>
  <c r="G2886" i="6"/>
  <c r="G2885" i="6"/>
  <c r="A2293" i="6"/>
  <c r="G2291" i="6"/>
  <c r="G2290" i="6"/>
  <c r="G2289" i="6"/>
  <c r="A1619" i="6"/>
  <c r="G1617" i="6"/>
  <c r="G1616" i="6"/>
  <c r="G1615" i="6"/>
  <c r="A910" i="6"/>
  <c r="G906" i="6"/>
  <c r="G907" i="6"/>
  <c r="G908" i="6"/>
  <c r="A3626" i="6"/>
  <c r="G3624" i="6"/>
  <c r="G3623" i="6"/>
  <c r="G3622" i="6"/>
  <c r="G3621" i="6"/>
  <c r="G3620" i="6"/>
  <c r="A2353" i="6"/>
  <c r="G2351" i="6"/>
  <c r="G2350" i="6"/>
  <c r="G2349" i="6"/>
  <c r="G2348" i="6"/>
  <c r="G2347" i="6"/>
  <c r="A1673" i="6"/>
  <c r="G1671" i="6"/>
  <c r="G1670" i="6"/>
  <c r="G1669" i="6"/>
  <c r="G1668" i="6"/>
  <c r="G1667" i="6"/>
  <c r="A903" i="6"/>
  <c r="G897" i="6"/>
  <c r="G898" i="6"/>
  <c r="G899" i="6"/>
  <c r="G900" i="6"/>
  <c r="G901" i="6"/>
  <c r="A3606" i="6"/>
  <c r="G3604" i="6"/>
  <c r="G3603" i="6"/>
  <c r="G3602" i="6"/>
  <c r="G3601" i="6"/>
  <c r="G3600" i="6"/>
  <c r="A2345" i="6"/>
  <c r="G2343" i="6"/>
  <c r="G2342" i="6"/>
  <c r="G2341" i="6"/>
  <c r="G2340" i="6"/>
  <c r="G2339" i="6"/>
  <c r="A1653" i="6"/>
  <c r="G1651" i="6"/>
  <c r="G1650" i="6"/>
  <c r="G1649" i="6"/>
  <c r="G1648" i="6"/>
  <c r="G1647" i="6"/>
  <c r="A895" i="6"/>
  <c r="G889" i="6"/>
  <c r="G890" i="6"/>
  <c r="G891" i="6"/>
  <c r="G892" i="6"/>
  <c r="G893" i="6"/>
  <c r="A3598" i="6"/>
  <c r="G3596" i="6"/>
  <c r="G3595" i="6"/>
  <c r="G3594" i="6"/>
  <c r="G3593" i="6"/>
  <c r="G3592" i="6"/>
  <c r="A2921" i="6"/>
  <c r="G2919" i="6"/>
  <c r="G2918" i="6"/>
  <c r="G2917" i="6"/>
  <c r="G2916" i="6"/>
  <c r="G2915" i="6"/>
  <c r="A2325" i="6"/>
  <c r="G2323" i="6"/>
  <c r="G2322" i="6"/>
  <c r="G2321" i="6"/>
  <c r="G2320" i="6"/>
  <c r="G2319" i="6"/>
  <c r="A1645" i="6"/>
  <c r="G1643" i="6"/>
  <c r="G1642" i="6"/>
  <c r="G1641" i="6"/>
  <c r="G1640" i="6"/>
  <c r="G1639" i="6"/>
  <c r="A887" i="6"/>
  <c r="G881" i="6"/>
  <c r="G882" i="6"/>
  <c r="G883" i="6"/>
  <c r="G884" i="6"/>
  <c r="G885" i="6"/>
  <c r="A5491" i="6"/>
  <c r="G5489" i="6"/>
  <c r="G5488" i="6"/>
  <c r="G5487" i="6"/>
  <c r="G5486" i="6"/>
  <c r="G5485" i="6"/>
  <c r="G5484" i="6"/>
  <c r="A3590" i="6"/>
  <c r="G3588" i="6"/>
  <c r="G3587" i="6"/>
  <c r="G3586" i="6"/>
  <c r="G3585" i="6"/>
  <c r="G3584" i="6"/>
  <c r="G3583" i="6"/>
  <c r="A2913" i="6"/>
  <c r="G2911" i="6"/>
  <c r="G2910" i="6"/>
  <c r="G2909" i="6"/>
  <c r="G2908" i="6"/>
  <c r="G2907" i="6"/>
  <c r="G2906" i="6"/>
  <c r="A2317" i="6"/>
  <c r="G2315" i="6"/>
  <c r="G2314" i="6"/>
  <c r="G2313" i="6"/>
  <c r="G2312" i="6"/>
  <c r="G2311" i="6"/>
  <c r="G2310" i="6"/>
  <c r="A1637" i="6"/>
  <c r="G1635" i="6"/>
  <c r="G1634" i="6"/>
  <c r="G1633" i="6"/>
  <c r="G1632" i="6"/>
  <c r="G1631" i="6"/>
  <c r="G1630" i="6"/>
  <c r="A879" i="6"/>
  <c r="G872" i="6"/>
  <c r="G873" i="6"/>
  <c r="G874" i="6"/>
  <c r="G875" i="6"/>
  <c r="G876" i="6"/>
  <c r="G877" i="6"/>
  <c r="A5482" i="6"/>
  <c r="G5480" i="6"/>
  <c r="G5479" i="6"/>
  <c r="G5478" i="6"/>
  <c r="G5477" i="6"/>
  <c r="G5476" i="6"/>
  <c r="G5475" i="6"/>
  <c r="A3581" i="6"/>
  <c r="G3579" i="6"/>
  <c r="G3578" i="6"/>
  <c r="G3577" i="6"/>
  <c r="G3576" i="6"/>
  <c r="G3575" i="6"/>
  <c r="G3574" i="6"/>
  <c r="A2904" i="6"/>
  <c r="G2902" i="6"/>
  <c r="G2901" i="6"/>
  <c r="G2900" i="6"/>
  <c r="G2899" i="6"/>
  <c r="G2898" i="6"/>
  <c r="G2897" i="6"/>
  <c r="A2308" i="6"/>
  <c r="G2306" i="6"/>
  <c r="G2305" i="6"/>
  <c r="G2304" i="6"/>
  <c r="G2303" i="6"/>
  <c r="G2302" i="6"/>
  <c r="G2301" i="6"/>
  <c r="A1628" i="6"/>
  <c r="G1626" i="6"/>
  <c r="G1625" i="6"/>
  <c r="G1624" i="6"/>
  <c r="G1623" i="6"/>
  <c r="G1622" i="6"/>
  <c r="G1621" i="6"/>
  <c r="A870" i="6"/>
  <c r="G863" i="6"/>
  <c r="G864" i="6"/>
  <c r="G865" i="6"/>
  <c r="G866" i="6"/>
  <c r="G867" i="6"/>
  <c r="G868" i="6"/>
  <c r="A4567" i="6"/>
  <c r="G4565" i="6"/>
  <c r="G4564" i="6"/>
  <c r="G4563" i="6"/>
  <c r="G4562" i="6"/>
  <c r="A4064" i="6"/>
  <c r="G4062" i="6"/>
  <c r="G4061" i="6"/>
  <c r="G4060" i="6"/>
  <c r="G4059" i="6"/>
  <c r="A3489" i="6"/>
  <c r="G3487" i="6"/>
  <c r="G3486" i="6"/>
  <c r="G3485" i="6"/>
  <c r="G3484" i="6"/>
  <c r="A2882" i="6"/>
  <c r="G2880" i="6"/>
  <c r="G2879" i="6"/>
  <c r="G2878" i="6"/>
  <c r="G2877" i="6"/>
  <c r="A2236" i="6"/>
  <c r="G2234" i="6"/>
  <c r="G2233" i="6"/>
  <c r="G2232" i="6"/>
  <c r="G2231" i="6"/>
  <c r="A1537" i="6"/>
  <c r="G1535" i="6"/>
  <c r="G1534" i="6"/>
  <c r="G1533" i="6"/>
  <c r="G1532" i="6"/>
  <c r="A861" i="6"/>
  <c r="G856" i="6"/>
  <c r="G857" i="6"/>
  <c r="G858" i="6"/>
  <c r="G859" i="6"/>
  <c r="A4560" i="6"/>
  <c r="G4558" i="6"/>
  <c r="G4557" i="6"/>
  <c r="G4556" i="6"/>
  <c r="G4555" i="6"/>
  <c r="A4057" i="6"/>
  <c r="G4055" i="6"/>
  <c r="G4054" i="6"/>
  <c r="G4053" i="6"/>
  <c r="G4052" i="6"/>
  <c r="A3482" i="6"/>
  <c r="G3480" i="6"/>
  <c r="G3479" i="6"/>
  <c r="G3478" i="6"/>
  <c r="G3477" i="6"/>
  <c r="A2875" i="6"/>
  <c r="G2873" i="6"/>
  <c r="G2872" i="6"/>
  <c r="G2871" i="6"/>
  <c r="G2870" i="6"/>
  <c r="A2222" i="6"/>
  <c r="G2220" i="6"/>
  <c r="G2219" i="6"/>
  <c r="G2218" i="6"/>
  <c r="G2217" i="6"/>
  <c r="A1530" i="6"/>
  <c r="G1528" i="6"/>
  <c r="G1527" i="6"/>
  <c r="G1526" i="6"/>
  <c r="G1525" i="6"/>
  <c r="A854" i="6"/>
  <c r="G849" i="6"/>
  <c r="G850" i="6"/>
  <c r="G851" i="6"/>
  <c r="G852" i="6"/>
  <c r="A4050" i="6"/>
  <c r="G4048" i="6"/>
  <c r="G4047" i="6"/>
  <c r="G4046" i="6"/>
  <c r="G4045" i="6"/>
  <c r="A3475" i="6"/>
  <c r="G3473" i="6"/>
  <c r="G3472" i="6"/>
  <c r="G3471" i="6"/>
  <c r="G3470" i="6"/>
  <c r="A2868" i="6"/>
  <c r="G2866" i="6"/>
  <c r="G2865" i="6"/>
  <c r="G2864" i="6"/>
  <c r="G2863" i="6"/>
  <c r="A2208" i="6"/>
  <c r="G2206" i="6"/>
  <c r="G2205" i="6"/>
  <c r="G2204" i="6"/>
  <c r="G2203" i="6"/>
  <c r="A1523" i="6"/>
  <c r="G1521" i="6"/>
  <c r="G1520" i="6"/>
  <c r="G1519" i="6"/>
  <c r="G1518" i="6"/>
  <c r="A847" i="6"/>
  <c r="G842" i="6"/>
  <c r="G843" i="6"/>
  <c r="G844" i="6"/>
  <c r="G845" i="6"/>
  <c r="A4546" i="6"/>
  <c r="G4544" i="6"/>
  <c r="G4543" i="6"/>
  <c r="G4542" i="6"/>
  <c r="G4541" i="6"/>
  <c r="G4540" i="6"/>
  <c r="G4539" i="6"/>
  <c r="G4538" i="6"/>
  <c r="A4042" i="6"/>
  <c r="G4040" i="6"/>
  <c r="G4039" i="6"/>
  <c r="G4038" i="6"/>
  <c r="G4037" i="6"/>
  <c r="G4036" i="6"/>
  <c r="G4035" i="6"/>
  <c r="G4034" i="6"/>
  <c r="A1499" i="6"/>
  <c r="G1497" i="6"/>
  <c r="G1496" i="6"/>
  <c r="G1495" i="6"/>
  <c r="G1494" i="6"/>
  <c r="G1493" i="6"/>
  <c r="G1492" i="6"/>
  <c r="G1491" i="6"/>
  <c r="A840" i="6"/>
  <c r="G832" i="6"/>
  <c r="G833" i="6"/>
  <c r="G834" i="6"/>
  <c r="G835" i="6"/>
  <c r="G836" i="6"/>
  <c r="G837" i="6"/>
  <c r="G838" i="6"/>
  <c r="A4536" i="6"/>
  <c r="G4534" i="6"/>
  <c r="G4533" i="6"/>
  <c r="A4032" i="6"/>
  <c r="G4030" i="6"/>
  <c r="G4029" i="6"/>
  <c r="A3415" i="6"/>
  <c r="G3413" i="6"/>
  <c r="G3412" i="6"/>
  <c r="A2814" i="6"/>
  <c r="G2812" i="6"/>
  <c r="G2811" i="6"/>
  <c r="A2191" i="6"/>
  <c r="G2189" i="6"/>
  <c r="G2188" i="6"/>
  <c r="A1489" i="6"/>
  <c r="G1487" i="6"/>
  <c r="G1486" i="6"/>
  <c r="A830" i="6"/>
  <c r="G827" i="6"/>
  <c r="G828" i="6"/>
  <c r="G831" i="6"/>
  <c r="A5417" i="6"/>
  <c r="G5415" i="6"/>
  <c r="G5414" i="6"/>
  <c r="G5413" i="6"/>
  <c r="G5412" i="6"/>
  <c r="A4529" i="6"/>
  <c r="G4527" i="6"/>
  <c r="G4526" i="6"/>
  <c r="G4525" i="6"/>
  <c r="G4524" i="6"/>
  <c r="A3408" i="6"/>
  <c r="G3406" i="6"/>
  <c r="G3405" i="6"/>
  <c r="G3404" i="6"/>
  <c r="G3403" i="6"/>
  <c r="A2184" i="6"/>
  <c r="G2182" i="6"/>
  <c r="G2181" i="6"/>
  <c r="G2180" i="6"/>
  <c r="G2179" i="6"/>
  <c r="A1482" i="6"/>
  <c r="G1480" i="6"/>
  <c r="G1479" i="6"/>
  <c r="G1478" i="6"/>
  <c r="G1477" i="6"/>
  <c r="A823" i="6"/>
  <c r="G818" i="6"/>
  <c r="G819" i="6"/>
  <c r="G820" i="6"/>
  <c r="G821" i="6"/>
  <c r="G824" i="6"/>
  <c r="A5404" i="6"/>
  <c r="G5402" i="6"/>
  <c r="G5401" i="6"/>
  <c r="G5400" i="6"/>
  <c r="A4522" i="6"/>
  <c r="G4520" i="6"/>
  <c r="G4519" i="6"/>
  <c r="G4518" i="6"/>
  <c r="A4019" i="6"/>
  <c r="G4017" i="6"/>
  <c r="G4016" i="6"/>
  <c r="G4015" i="6"/>
  <c r="A3401" i="6"/>
  <c r="G3399" i="6"/>
  <c r="G3398" i="6"/>
  <c r="G3397" i="6"/>
  <c r="A2171" i="6"/>
  <c r="G2169" i="6"/>
  <c r="G2168" i="6"/>
  <c r="G2167" i="6"/>
  <c r="A1469" i="6"/>
  <c r="G1467" i="6"/>
  <c r="G1466" i="6"/>
  <c r="G1465" i="6"/>
  <c r="A816" i="6"/>
  <c r="G812" i="6"/>
  <c r="G813" i="6"/>
  <c r="G814" i="6"/>
  <c r="A2177" i="6"/>
  <c r="G2175" i="6"/>
  <c r="G2174" i="6"/>
  <c r="G2173" i="6"/>
  <c r="A1475" i="6"/>
  <c r="G1473" i="6"/>
  <c r="G1472" i="6"/>
  <c r="G1471" i="6"/>
  <c r="A810" i="6"/>
  <c r="G806" i="6"/>
  <c r="G807" i="6"/>
  <c r="G808" i="6"/>
  <c r="G1461" i="6"/>
  <c r="G1460" i="6"/>
  <c r="G1459" i="6"/>
  <c r="G1458" i="6"/>
  <c r="G1457" i="6"/>
  <c r="G1456" i="6"/>
  <c r="G1455" i="6"/>
  <c r="A804" i="6"/>
  <c r="A4500" i="6"/>
  <c r="G4498" i="6"/>
  <c r="G4497" i="6"/>
  <c r="G4496" i="6"/>
  <c r="A3389" i="6"/>
  <c r="G3387" i="6"/>
  <c r="G3386" i="6"/>
  <c r="G3385" i="6"/>
  <c r="A2155" i="6"/>
  <c r="G2153" i="6"/>
  <c r="G2152" i="6"/>
  <c r="G2151" i="6"/>
  <c r="A1453" i="6"/>
  <c r="G1451" i="6"/>
  <c r="G1450" i="6"/>
  <c r="G1449" i="6"/>
  <c r="A794" i="6"/>
  <c r="G790" i="6"/>
  <c r="G791" i="6"/>
  <c r="G792" i="6"/>
  <c r="G805" i="6"/>
  <c r="A5382" i="6"/>
  <c r="G5380" i="6"/>
  <c r="G5379" i="6"/>
  <c r="G5378" i="6"/>
  <c r="A4494" i="6"/>
  <c r="G4492" i="6"/>
  <c r="G4491" i="6"/>
  <c r="G4490" i="6"/>
  <c r="A2801" i="6"/>
  <c r="G2799" i="6"/>
  <c r="G2798" i="6"/>
  <c r="G2797" i="6"/>
  <c r="A2149" i="6"/>
  <c r="G2147" i="6"/>
  <c r="G2146" i="6"/>
  <c r="G2145" i="6"/>
  <c r="A1447" i="6"/>
  <c r="G1445" i="6"/>
  <c r="G1444" i="6"/>
  <c r="G1443" i="6"/>
  <c r="A788" i="6"/>
  <c r="G784" i="6"/>
  <c r="G785" i="6"/>
  <c r="G786" i="6"/>
  <c r="A5375" i="6"/>
  <c r="G5373" i="6"/>
  <c r="G5372" i="6"/>
  <c r="G5371" i="6"/>
  <c r="A4488" i="6"/>
  <c r="G4486" i="6"/>
  <c r="G4485" i="6"/>
  <c r="G4484" i="6"/>
  <c r="A3981" i="6"/>
  <c r="G3979" i="6"/>
  <c r="G3978" i="6"/>
  <c r="G3977" i="6"/>
  <c r="A3383" i="6"/>
  <c r="G3381" i="6"/>
  <c r="G3380" i="6"/>
  <c r="G3379" i="6"/>
  <c r="A2807" i="6"/>
  <c r="G2805" i="6"/>
  <c r="G2804" i="6"/>
  <c r="G2803" i="6"/>
  <c r="A2143" i="6"/>
  <c r="G2141" i="6"/>
  <c r="G2140" i="6"/>
  <c r="G2139" i="6"/>
  <c r="A1441" i="6"/>
  <c r="G1439" i="6"/>
  <c r="G1438" i="6"/>
  <c r="G1437" i="6"/>
  <c r="A782" i="6"/>
  <c r="G778" i="6"/>
  <c r="G779" i="6"/>
  <c r="G780" i="6"/>
  <c r="G5367" i="6"/>
  <c r="G5366" i="6"/>
  <c r="G5365" i="6"/>
  <c r="A3975" i="6"/>
  <c r="G3973" i="6"/>
  <c r="G3972" i="6"/>
  <c r="G3971" i="6"/>
  <c r="A776" i="6"/>
  <c r="G772" i="6"/>
  <c r="G773" i="6"/>
  <c r="G774" i="6"/>
  <c r="A4482" i="6"/>
  <c r="G4480" i="6"/>
  <c r="G4479" i="6"/>
  <c r="G4478" i="6"/>
  <c r="G4477" i="6"/>
  <c r="A3969" i="6"/>
  <c r="G3967" i="6"/>
  <c r="G3966" i="6"/>
  <c r="G3965" i="6"/>
  <c r="G3964" i="6"/>
  <c r="A3377" i="6"/>
  <c r="G3375" i="6"/>
  <c r="G3374" i="6"/>
  <c r="G3373" i="6"/>
  <c r="G3372" i="6"/>
  <c r="A2137" i="6"/>
  <c r="G2135" i="6"/>
  <c r="G2134" i="6"/>
  <c r="G2133" i="6"/>
  <c r="G2132" i="6"/>
  <c r="A1435" i="6"/>
  <c r="G1433" i="6"/>
  <c r="G1432" i="6"/>
  <c r="G1431" i="6"/>
  <c r="G1430" i="6"/>
  <c r="A770" i="6"/>
  <c r="G765" i="6"/>
  <c r="G766" i="6"/>
  <c r="G767" i="6"/>
  <c r="G768" i="6"/>
  <c r="G771" i="6"/>
  <c r="A688" i="6"/>
  <c r="G686" i="6"/>
  <c r="G685" i="6"/>
  <c r="G684" i="6"/>
  <c r="G683" i="6"/>
  <c r="A5363" i="6"/>
  <c r="G5361" i="6"/>
  <c r="G5360" i="6"/>
  <c r="G5359" i="6"/>
  <c r="G5358" i="6"/>
  <c r="A5323" i="6"/>
  <c r="G5321" i="6"/>
  <c r="G5320" i="6"/>
  <c r="G5319" i="6"/>
  <c r="G5318" i="6"/>
  <c r="A4475" i="6"/>
  <c r="G4473" i="6"/>
  <c r="G4472" i="6"/>
  <c r="G4471" i="6"/>
  <c r="G4470" i="6"/>
  <c r="A4430" i="6"/>
  <c r="G4428" i="6"/>
  <c r="G4427" i="6"/>
  <c r="G4426" i="6"/>
  <c r="G4425" i="6"/>
  <c r="A3962" i="6"/>
  <c r="G3960" i="6"/>
  <c r="G3959" i="6"/>
  <c r="G3958" i="6"/>
  <c r="G3957" i="6"/>
  <c r="A3942" i="6"/>
  <c r="G3940" i="6"/>
  <c r="G3939" i="6"/>
  <c r="G3938" i="6"/>
  <c r="G3937" i="6"/>
  <c r="A3370" i="6"/>
  <c r="G3368" i="6"/>
  <c r="G3367" i="6"/>
  <c r="G3366" i="6"/>
  <c r="G3365" i="6"/>
  <c r="A3325" i="6"/>
  <c r="G3323" i="6"/>
  <c r="G3322" i="6"/>
  <c r="G3321" i="6"/>
  <c r="G3320" i="6"/>
  <c r="A2780" i="6"/>
  <c r="G2778" i="6"/>
  <c r="G2777" i="6"/>
  <c r="G2776" i="6"/>
  <c r="G2775" i="6"/>
  <c r="A2749" i="6"/>
  <c r="G2747" i="6"/>
  <c r="G2746" i="6"/>
  <c r="G2745" i="6"/>
  <c r="G2744" i="6"/>
  <c r="A2130" i="6"/>
  <c r="G2128" i="6"/>
  <c r="G2127" i="6"/>
  <c r="G2126" i="6"/>
  <c r="G2125" i="6"/>
  <c r="A2086" i="6"/>
  <c r="G2084" i="6"/>
  <c r="G2083" i="6"/>
  <c r="G2082" i="6"/>
  <c r="G2081" i="6"/>
  <c r="A1428" i="6"/>
  <c r="G1426" i="6"/>
  <c r="G1425" i="6"/>
  <c r="G1424" i="6"/>
  <c r="G1423" i="6"/>
  <c r="A1372" i="6"/>
  <c r="G1370" i="6"/>
  <c r="G1369" i="6"/>
  <c r="G1368" i="6"/>
  <c r="G1367" i="6"/>
  <c r="A763" i="6"/>
  <c r="G758" i="6"/>
  <c r="G759" i="6"/>
  <c r="G760" i="6"/>
  <c r="G761" i="6"/>
  <c r="G764" i="6"/>
  <c r="G777" i="6"/>
  <c r="M1463" i="6" l="1"/>
  <c r="M1465" i="6" s="1"/>
  <c r="G1689" i="6"/>
  <c r="G2363" i="6"/>
  <c r="G2964" i="6"/>
  <c r="G3636" i="6"/>
  <c r="G4603" i="6"/>
  <c r="G952" i="6"/>
  <c r="G839" i="6"/>
  <c r="G2183" i="6"/>
  <c r="G822" i="6"/>
  <c r="G3407" i="6"/>
  <c r="G4528" i="6"/>
  <c r="G1481" i="6"/>
  <c r="G5416" i="6"/>
  <c r="G809" i="6"/>
  <c r="G781" i="6"/>
  <c r="G775" i="6"/>
  <c r="G2136" i="6"/>
  <c r="G1434" i="6"/>
  <c r="G769" i="6"/>
  <c r="G3376" i="6"/>
  <c r="G3968" i="6"/>
  <c r="G3369" i="6"/>
  <c r="G4474" i="6"/>
  <c r="G4481" i="6"/>
  <c r="G2129" i="6"/>
  <c r="G762" i="6"/>
  <c r="G1371" i="6"/>
  <c r="G2748" i="6"/>
  <c r="G3941" i="6"/>
  <c r="G5322" i="6"/>
  <c r="G1427" i="6"/>
  <c r="G2779" i="6"/>
  <c r="G3961" i="6"/>
  <c r="G5362" i="6"/>
  <c r="G2085" i="6"/>
  <c r="G3324" i="6"/>
  <c r="G4429" i="6"/>
  <c r="G687" i="6"/>
  <c r="A4325" i="6"/>
  <c r="G4323" i="6"/>
  <c r="G4322" i="6"/>
  <c r="G4321" i="6"/>
  <c r="A3851" i="6"/>
  <c r="G3849" i="6"/>
  <c r="G3848" i="6"/>
  <c r="G3847" i="6"/>
  <c r="A3261" i="6"/>
  <c r="G3259" i="6"/>
  <c r="G3258" i="6"/>
  <c r="G3257" i="6"/>
  <c r="A1987" i="6"/>
  <c r="G1985" i="6"/>
  <c r="G1984" i="6"/>
  <c r="G1983" i="6"/>
  <c r="A1273" i="6"/>
  <c r="G1271" i="6"/>
  <c r="G1270" i="6"/>
  <c r="G1269" i="6"/>
  <c r="A608" i="6"/>
  <c r="G604" i="6"/>
  <c r="G605" i="6"/>
  <c r="G606" i="6"/>
  <c r="A4319" i="6"/>
  <c r="G4317" i="6"/>
  <c r="G4316" i="6"/>
  <c r="G4315" i="6"/>
  <c r="A3255" i="6"/>
  <c r="G3253" i="6"/>
  <c r="G3252" i="6"/>
  <c r="G3251" i="6"/>
  <c r="A1981" i="6"/>
  <c r="G1979" i="6"/>
  <c r="G1978" i="6"/>
  <c r="G1977" i="6"/>
  <c r="A1267" i="6"/>
  <c r="G1265" i="6"/>
  <c r="G1264" i="6"/>
  <c r="G1263" i="6"/>
  <c r="A602" i="6"/>
  <c r="G598" i="6"/>
  <c r="G599" i="6"/>
  <c r="G600" i="6"/>
  <c r="A4468" i="6"/>
  <c r="G4466" i="6"/>
  <c r="G4465" i="6"/>
  <c r="G4464" i="6"/>
  <c r="G4463" i="6"/>
  <c r="A4313" i="6"/>
  <c r="G4311" i="6"/>
  <c r="G4310" i="6"/>
  <c r="G4309" i="6"/>
  <c r="G4308" i="6"/>
  <c r="A3955" i="6"/>
  <c r="G3953" i="6"/>
  <c r="G3952" i="6"/>
  <c r="G3951" i="6"/>
  <c r="G3950" i="6"/>
  <c r="A3363" i="6"/>
  <c r="G3361" i="6"/>
  <c r="G3360" i="6"/>
  <c r="G3359" i="6"/>
  <c r="G3358" i="6"/>
  <c r="A3249" i="6"/>
  <c r="G3247" i="6"/>
  <c r="G3246" i="6"/>
  <c r="G3245" i="6"/>
  <c r="G3244" i="6"/>
  <c r="A2123" i="6"/>
  <c r="G2121" i="6"/>
  <c r="G2120" i="6"/>
  <c r="G2119" i="6"/>
  <c r="G2118" i="6"/>
  <c r="A1975" i="6"/>
  <c r="G1973" i="6"/>
  <c r="G1972" i="6"/>
  <c r="G1971" i="6"/>
  <c r="G1970" i="6"/>
  <c r="A1421" i="6"/>
  <c r="G1419" i="6"/>
  <c r="G1418" i="6"/>
  <c r="G1417" i="6"/>
  <c r="G1416" i="6"/>
  <c r="A1261" i="6"/>
  <c r="G1259" i="6"/>
  <c r="G1258" i="6"/>
  <c r="G1257" i="6"/>
  <c r="G1256" i="6"/>
  <c r="A756" i="6"/>
  <c r="G754" i="6"/>
  <c r="G753" i="6"/>
  <c r="G752" i="6"/>
  <c r="G751" i="6"/>
  <c r="A596" i="6"/>
  <c r="G591" i="6"/>
  <c r="G592" i="6"/>
  <c r="G593" i="6"/>
  <c r="G594" i="6"/>
  <c r="A5356" i="6"/>
  <c r="G5354" i="6"/>
  <c r="G5353" i="6"/>
  <c r="G5352" i="6"/>
  <c r="G5351" i="6"/>
  <c r="A5186" i="6"/>
  <c r="G5184" i="6"/>
  <c r="G5183" i="6"/>
  <c r="G5182" i="6"/>
  <c r="G5181" i="6"/>
  <c r="A4461" i="6"/>
  <c r="G4459" i="6"/>
  <c r="G4458" i="6"/>
  <c r="G4457" i="6"/>
  <c r="G4456" i="6"/>
  <c r="A4306" i="6"/>
  <c r="G4304" i="6"/>
  <c r="G4303" i="6"/>
  <c r="G4302" i="6"/>
  <c r="G4301" i="6"/>
  <c r="A3840" i="6"/>
  <c r="G3838" i="6"/>
  <c r="G3837" i="6"/>
  <c r="G3836" i="6"/>
  <c r="G3835" i="6"/>
  <c r="A3356" i="6"/>
  <c r="G3354" i="6"/>
  <c r="G3353" i="6"/>
  <c r="G3352" i="6"/>
  <c r="G3351" i="6"/>
  <c r="A3242" i="6"/>
  <c r="G3240" i="6"/>
  <c r="G3239" i="6"/>
  <c r="G3238" i="6"/>
  <c r="G3237" i="6"/>
  <c r="A2657" i="6"/>
  <c r="G2655" i="6"/>
  <c r="G2654" i="6"/>
  <c r="G2653" i="6"/>
  <c r="G2652" i="6"/>
  <c r="A2116" i="6"/>
  <c r="G2114" i="6"/>
  <c r="G2113" i="6"/>
  <c r="G2112" i="6"/>
  <c r="G2111" i="6"/>
  <c r="A1968" i="6"/>
  <c r="G1966" i="6"/>
  <c r="G1965" i="6"/>
  <c r="G1964" i="6"/>
  <c r="G1963" i="6"/>
  <c r="A1414" i="6"/>
  <c r="G1412" i="6"/>
  <c r="G1411" i="6"/>
  <c r="G1410" i="6"/>
  <c r="G1409" i="6"/>
  <c r="A1254" i="6"/>
  <c r="G1252" i="6"/>
  <c r="G1251" i="6"/>
  <c r="G1250" i="6"/>
  <c r="G1249" i="6"/>
  <c r="A749" i="6"/>
  <c r="G747" i="6"/>
  <c r="G746" i="6"/>
  <c r="G745" i="6"/>
  <c r="G744" i="6"/>
  <c r="A589" i="6"/>
  <c r="G584" i="6"/>
  <c r="G585" i="6"/>
  <c r="G586" i="6"/>
  <c r="G587" i="6"/>
  <c r="A5424" i="6"/>
  <c r="G5422" i="6"/>
  <c r="G5421" i="6"/>
  <c r="A5349" i="6"/>
  <c r="G5347" i="6"/>
  <c r="G5346" i="6"/>
  <c r="A5167" i="6"/>
  <c r="G5165" i="6"/>
  <c r="G5164" i="6"/>
  <c r="A4454" i="6"/>
  <c r="G4452" i="6"/>
  <c r="G4451" i="6"/>
  <c r="A4299" i="6"/>
  <c r="G4297" i="6"/>
  <c r="G4296" i="6"/>
  <c r="A3948" i="6"/>
  <c r="G3946" i="6"/>
  <c r="G3945" i="6"/>
  <c r="A3826" i="6"/>
  <c r="G3824" i="6"/>
  <c r="G3823" i="6"/>
  <c r="A3349" i="6"/>
  <c r="G3347" i="6"/>
  <c r="G3346" i="6"/>
  <c r="A3235" i="6"/>
  <c r="G3233" i="6"/>
  <c r="G3232" i="6"/>
  <c r="A2785" i="6"/>
  <c r="G2783" i="6"/>
  <c r="G2782" i="6"/>
  <c r="A2650" i="6"/>
  <c r="G2648" i="6"/>
  <c r="G2647" i="6"/>
  <c r="A2109" i="6"/>
  <c r="G2107" i="6"/>
  <c r="G2106" i="6"/>
  <c r="A1961" i="6"/>
  <c r="G1959" i="6"/>
  <c r="G1958" i="6"/>
  <c r="A1407" i="6"/>
  <c r="G1405" i="6"/>
  <c r="G1404" i="6"/>
  <c r="A1247" i="6"/>
  <c r="G1245" i="6"/>
  <c r="G1244" i="6"/>
  <c r="A742" i="6"/>
  <c r="G740" i="6"/>
  <c r="G739" i="6"/>
  <c r="A582" i="6"/>
  <c r="G579" i="6"/>
  <c r="G580" i="6"/>
  <c r="A5162" i="6"/>
  <c r="A4294" i="6"/>
  <c r="A3821" i="6"/>
  <c r="A3230" i="6"/>
  <c r="G3228" i="6"/>
  <c r="G3227" i="6"/>
  <c r="G3226" i="6"/>
  <c r="G3225" i="6"/>
  <c r="A2645" i="6"/>
  <c r="A1956" i="6"/>
  <c r="A1242" i="6"/>
  <c r="A577" i="6"/>
  <c r="A5155" i="6"/>
  <c r="G5153" i="6"/>
  <c r="G5152" i="6"/>
  <c r="G5151" i="6"/>
  <c r="G5150" i="6"/>
  <c r="A4287" i="6"/>
  <c r="G4285" i="6"/>
  <c r="G4284" i="6"/>
  <c r="G4283" i="6"/>
  <c r="G4282" i="6"/>
  <c r="A3814" i="6"/>
  <c r="G3812" i="6"/>
  <c r="G3811" i="6"/>
  <c r="G3810" i="6"/>
  <c r="G3809" i="6"/>
  <c r="A3223" i="6"/>
  <c r="G3221" i="6"/>
  <c r="G3220" i="6"/>
  <c r="G3219" i="6"/>
  <c r="G3218" i="6"/>
  <c r="A2638" i="6"/>
  <c r="G2636" i="6"/>
  <c r="G2635" i="6"/>
  <c r="G2634" i="6"/>
  <c r="G2633" i="6"/>
  <c r="A1949" i="6"/>
  <c r="G1947" i="6"/>
  <c r="G1946" i="6"/>
  <c r="G1945" i="6"/>
  <c r="G1944" i="6"/>
  <c r="A570" i="6"/>
  <c r="G565" i="6"/>
  <c r="G566" i="6"/>
  <c r="G567" i="6"/>
  <c r="G568" i="6"/>
  <c r="G1420" i="6" l="1"/>
  <c r="G3362" i="6"/>
  <c r="G1974" i="6"/>
  <c r="G3954" i="6"/>
  <c r="G755" i="6"/>
  <c r="G2122" i="6"/>
  <c r="G4312" i="6"/>
  <c r="G1260" i="6"/>
  <c r="G3248" i="6"/>
  <c r="G4467" i="6"/>
  <c r="G595" i="6"/>
  <c r="G1253" i="6"/>
  <c r="G2656" i="6"/>
  <c r="G4305" i="6"/>
  <c r="G1413" i="6"/>
  <c r="G3241" i="6"/>
  <c r="G4460" i="6"/>
  <c r="G1967" i="6"/>
  <c r="G3355" i="6"/>
  <c r="G5185" i="6"/>
  <c r="G748" i="6"/>
  <c r="G2115" i="6"/>
  <c r="G3839" i="6"/>
  <c r="G5355" i="6"/>
  <c r="G588" i="6"/>
  <c r="G3229" i="6"/>
  <c r="G5154" i="6"/>
  <c r="G569" i="6"/>
  <c r="G3222" i="6"/>
  <c r="G3813" i="6"/>
  <c r="G4286" i="6"/>
  <c r="G1948" i="6"/>
  <c r="G2637" i="6"/>
  <c r="A1235" i="6"/>
  <c r="G1230" i="6"/>
  <c r="G1231" i="6"/>
  <c r="G1232" i="6"/>
  <c r="G1233" i="6"/>
  <c r="A563" i="6"/>
  <c r="G561" i="6"/>
  <c r="G560" i="6"/>
  <c r="G559" i="6"/>
  <c r="G558" i="6"/>
  <c r="A5148" i="6"/>
  <c r="A4280" i="6"/>
  <c r="A3216" i="6"/>
  <c r="A2631" i="6"/>
  <c r="A1942" i="6"/>
  <c r="A1228" i="6"/>
  <c r="A5141" i="6"/>
  <c r="G5139" i="6"/>
  <c r="G5138" i="6"/>
  <c r="G5137" i="6"/>
  <c r="G5136" i="6"/>
  <c r="A4273" i="6"/>
  <c r="G4271" i="6"/>
  <c r="G4270" i="6"/>
  <c r="G4269" i="6"/>
  <c r="G4268" i="6"/>
  <c r="A3209" i="6"/>
  <c r="G3207" i="6"/>
  <c r="G3206" i="6"/>
  <c r="G3205" i="6"/>
  <c r="G3204" i="6"/>
  <c r="A2610" i="6"/>
  <c r="G2608" i="6"/>
  <c r="G2607" i="6"/>
  <c r="G2606" i="6"/>
  <c r="G2605" i="6"/>
  <c r="A1935" i="6"/>
  <c r="G1933" i="6"/>
  <c r="G1932" i="6"/>
  <c r="G1931" i="6"/>
  <c r="G1930" i="6"/>
  <c r="A1221" i="6"/>
  <c r="G1219" i="6"/>
  <c r="G1218" i="6"/>
  <c r="G1217" i="6"/>
  <c r="G1216" i="6"/>
  <c r="A556" i="6"/>
  <c r="G551" i="6"/>
  <c r="G552" i="6"/>
  <c r="G553" i="6"/>
  <c r="G554" i="6"/>
  <c r="A1927" i="6"/>
  <c r="G1925" i="6"/>
  <c r="G1924" i="6"/>
  <c r="G1923" i="6"/>
  <c r="A1213" i="6"/>
  <c r="G1211" i="6"/>
  <c r="G1210" i="6"/>
  <c r="G1209" i="6"/>
  <c r="A548" i="6"/>
  <c r="G544" i="6"/>
  <c r="G545" i="6"/>
  <c r="G546" i="6"/>
  <c r="G4247" i="6"/>
  <c r="G4246" i="6"/>
  <c r="G4245" i="6"/>
  <c r="G4244" i="6"/>
  <c r="G3788" i="6"/>
  <c r="G3787" i="6"/>
  <c r="G3786" i="6"/>
  <c r="G3785" i="6"/>
  <c r="G3187" i="6"/>
  <c r="G3186" i="6"/>
  <c r="G3185" i="6"/>
  <c r="G3184" i="6"/>
  <c r="A2588" i="6"/>
  <c r="G2586" i="6"/>
  <c r="G2585" i="6"/>
  <c r="G2584" i="6"/>
  <c r="G2583" i="6"/>
  <c r="A1908" i="6"/>
  <c r="G1906" i="6"/>
  <c r="G1905" i="6"/>
  <c r="G1904" i="6"/>
  <c r="G1903" i="6"/>
  <c r="A1193" i="6"/>
  <c r="G1191" i="6"/>
  <c r="G1190" i="6"/>
  <c r="G1189" i="6"/>
  <c r="G1188" i="6"/>
  <c r="A542" i="6"/>
  <c r="G537" i="6"/>
  <c r="G538" i="6"/>
  <c r="G539" i="6"/>
  <c r="G540" i="6"/>
  <c r="A5035" i="6"/>
  <c r="G5033" i="6"/>
  <c r="G5032" i="6"/>
  <c r="G5031" i="6"/>
  <c r="G5030" i="6"/>
  <c r="G5029" i="6"/>
  <c r="A4265" i="6"/>
  <c r="G4263" i="6"/>
  <c r="G4262" i="6"/>
  <c r="G4261" i="6"/>
  <c r="G4260" i="6"/>
  <c r="G4259" i="6"/>
  <c r="A4242" i="6"/>
  <c r="G4240" i="6"/>
  <c r="G4239" i="6"/>
  <c r="G4238" i="6"/>
  <c r="G4237" i="6"/>
  <c r="G4236" i="6"/>
  <c r="A3806" i="6"/>
  <c r="G3804" i="6"/>
  <c r="G3803" i="6"/>
  <c r="G3802" i="6"/>
  <c r="G3801" i="6"/>
  <c r="G3800" i="6"/>
  <c r="A3783" i="6"/>
  <c r="G3781" i="6"/>
  <c r="G3780" i="6"/>
  <c r="G3779" i="6"/>
  <c r="G3778" i="6"/>
  <c r="G3777" i="6"/>
  <c r="A3182" i="6"/>
  <c r="G3180" i="6"/>
  <c r="G3179" i="6"/>
  <c r="G3178" i="6"/>
  <c r="G3177" i="6"/>
  <c r="G3176" i="6"/>
  <c r="A2602" i="6"/>
  <c r="G2600" i="6"/>
  <c r="G2599" i="6"/>
  <c r="G2598" i="6"/>
  <c r="G2597" i="6"/>
  <c r="G2596" i="6"/>
  <c r="A2579" i="6"/>
  <c r="G2577" i="6"/>
  <c r="G2576" i="6"/>
  <c r="G2575" i="6"/>
  <c r="G2574" i="6"/>
  <c r="G2573" i="6"/>
  <c r="A1901" i="6"/>
  <c r="G1899" i="6"/>
  <c r="G1898" i="6"/>
  <c r="G1897" i="6"/>
  <c r="G1896" i="6"/>
  <c r="G1895" i="6"/>
  <c r="A1186" i="6"/>
  <c r="G1184" i="6"/>
  <c r="G1183" i="6"/>
  <c r="G1182" i="6"/>
  <c r="G1181" i="6"/>
  <c r="G1180" i="6"/>
  <c r="A1178" i="6"/>
  <c r="G1176" i="6"/>
  <c r="G1175" i="6"/>
  <c r="G1174" i="6"/>
  <c r="G1173" i="6"/>
  <c r="G1172" i="6"/>
  <c r="A535" i="6"/>
  <c r="G529" i="6"/>
  <c r="G530" i="6"/>
  <c r="G531" i="6"/>
  <c r="G532" i="6"/>
  <c r="G533" i="6"/>
  <c r="G1234" i="6" l="1"/>
  <c r="G3208" i="6"/>
  <c r="G4272" i="6"/>
  <c r="G5140" i="6"/>
  <c r="G555" i="6"/>
  <c r="G2609" i="6"/>
  <c r="G1220" i="6"/>
  <c r="G1934" i="6"/>
  <c r="A5043" i="6" l="1"/>
  <c r="A4257" i="6"/>
  <c r="A3798" i="6"/>
  <c r="A3174" i="6"/>
  <c r="A1893" i="6"/>
  <c r="A1201" i="6"/>
  <c r="A521" i="6"/>
  <c r="G515" i="6"/>
  <c r="G516" i="6"/>
  <c r="G517" i="6"/>
  <c r="G518" i="6"/>
  <c r="G519" i="6"/>
  <c r="A5027" i="6"/>
  <c r="A4234" i="6"/>
  <c r="A3775" i="6"/>
  <c r="A3160" i="6"/>
  <c r="A2571" i="6"/>
  <c r="A1885" i="6"/>
  <c r="A1207" i="6"/>
  <c r="A1170" i="6"/>
  <c r="A527" i="6"/>
  <c r="A513" i="6"/>
  <c r="A5021" i="6"/>
  <c r="A4228" i="6"/>
  <c r="A3769" i="6"/>
  <c r="A3154" i="6"/>
  <c r="A2565" i="6"/>
  <c r="A1915" i="6"/>
  <c r="A1879" i="6"/>
  <c r="A1164" i="6"/>
  <c r="A507" i="6"/>
  <c r="G502" i="6"/>
  <c r="G503" i="6"/>
  <c r="G504" i="6"/>
  <c r="G505" i="6"/>
  <c r="A5014" i="6"/>
  <c r="A4221" i="6"/>
  <c r="A3762" i="6"/>
  <c r="A3147" i="6"/>
  <c r="A2594" i="6"/>
  <c r="A1872" i="6"/>
  <c r="A500" i="6"/>
  <c r="A5008" i="6"/>
  <c r="A4215" i="6"/>
  <c r="A3141" i="6"/>
  <c r="A2552" i="6"/>
  <c r="A1866" i="6"/>
  <c r="A1151" i="6"/>
  <c r="A494" i="6"/>
  <c r="G489" i="6"/>
  <c r="G490" i="6"/>
  <c r="G491" i="6"/>
  <c r="G492" i="6"/>
  <c r="A5001" i="6"/>
  <c r="A4208" i="6"/>
  <c r="A3756" i="6"/>
  <c r="A3134" i="6"/>
  <c r="A1859" i="6"/>
  <c r="A487" i="6"/>
  <c r="G483" i="6"/>
  <c r="G484" i="6"/>
  <c r="G485" i="6"/>
  <c r="A4201" i="6"/>
  <c r="G4199" i="6"/>
  <c r="G4198" i="6"/>
  <c r="G4197" i="6"/>
  <c r="G4196" i="6"/>
  <c r="A3742" i="6"/>
  <c r="G3740" i="6"/>
  <c r="G3739" i="6"/>
  <c r="G3738" i="6"/>
  <c r="G3737" i="6"/>
  <c r="A3127" i="6"/>
  <c r="G3125" i="6"/>
  <c r="G3124" i="6"/>
  <c r="G3123" i="6"/>
  <c r="G3122" i="6"/>
  <c r="A1852" i="6"/>
  <c r="G1850" i="6"/>
  <c r="G1849" i="6"/>
  <c r="G1848" i="6"/>
  <c r="G1847" i="6"/>
  <c r="A1136" i="6"/>
  <c r="G1134" i="6"/>
  <c r="G1133" i="6"/>
  <c r="G1132" i="6"/>
  <c r="G1131" i="6"/>
  <c r="A480" i="6"/>
  <c r="G475" i="6"/>
  <c r="G476" i="6"/>
  <c r="G477" i="6"/>
  <c r="G478" i="6"/>
  <c r="A4194" i="6"/>
  <c r="A3735" i="6"/>
  <c r="A3119" i="6"/>
  <c r="G3117" i="6"/>
  <c r="G3116" i="6"/>
  <c r="G3115" i="6"/>
  <c r="A2456" i="6"/>
  <c r="A1845" i="6"/>
  <c r="A1129" i="6"/>
  <c r="A473" i="6"/>
  <c r="A4180" i="6"/>
  <c r="A3105" i="6"/>
  <c r="G3103" i="6"/>
  <c r="G3102" i="6"/>
  <c r="G3101" i="6"/>
  <c r="G3100" i="6"/>
  <c r="G3099" i="6"/>
  <c r="A1831" i="6"/>
  <c r="A1115" i="6"/>
  <c r="A459" i="6"/>
  <c r="A3113" i="6"/>
  <c r="G3111" i="6"/>
  <c r="G3110" i="6"/>
  <c r="G3109" i="6"/>
  <c r="G3108" i="6"/>
  <c r="A1839" i="6"/>
  <c r="G1837" i="6"/>
  <c r="G1836" i="6"/>
  <c r="G1835" i="6"/>
  <c r="G1834" i="6"/>
  <c r="A1123" i="6"/>
  <c r="G1121" i="6"/>
  <c r="G1120" i="6"/>
  <c r="G1119" i="6"/>
  <c r="G1118" i="6"/>
  <c r="A467" i="6"/>
  <c r="G465" i="6"/>
  <c r="G464" i="6"/>
  <c r="G463" i="6"/>
  <c r="G462" i="6"/>
  <c r="A4988" i="6"/>
  <c r="G4986" i="6"/>
  <c r="G4985" i="6"/>
  <c r="G4984" i="6"/>
  <c r="G4983" i="6"/>
  <c r="A4188" i="6"/>
  <c r="G4186" i="6"/>
  <c r="G4185" i="6"/>
  <c r="G4184" i="6"/>
  <c r="G4183" i="6"/>
  <c r="A3729" i="6"/>
  <c r="G3724" i="6"/>
  <c r="G3725" i="6"/>
  <c r="G3726" i="6"/>
  <c r="G3727" i="6"/>
  <c r="A4980" i="6"/>
  <c r="G4974" i="6"/>
  <c r="G4975" i="6"/>
  <c r="G4976" i="6"/>
  <c r="G4977" i="6"/>
  <c r="G4978" i="6"/>
  <c r="A4963" i="6"/>
  <c r="G4954" i="6"/>
  <c r="G4955" i="6"/>
  <c r="G4956" i="6"/>
  <c r="G4957" i="6"/>
  <c r="G4958" i="6"/>
  <c r="G4959" i="6"/>
  <c r="G4960" i="6"/>
  <c r="G4961" i="6"/>
  <c r="A4972" i="6"/>
  <c r="G4970" i="6"/>
  <c r="G4969" i="6"/>
  <c r="G4968" i="6"/>
  <c r="G4967" i="6"/>
  <c r="G4966" i="6"/>
  <c r="G4965" i="6"/>
  <c r="A4952" i="6"/>
  <c r="G4945" i="6"/>
  <c r="G4946" i="6"/>
  <c r="G4947" i="6"/>
  <c r="G4948" i="6"/>
  <c r="G4949" i="6"/>
  <c r="G4950" i="6"/>
  <c r="A4943" i="6"/>
  <c r="A451" i="6"/>
  <c r="A443" i="6"/>
  <c r="G437" i="6"/>
  <c r="G438" i="6"/>
  <c r="G439" i="6"/>
  <c r="G440" i="6"/>
  <c r="G441" i="6"/>
  <c r="A4172" i="6"/>
  <c r="G4170" i="6"/>
  <c r="G4169" i="6"/>
  <c r="G4168" i="6"/>
  <c r="G4167" i="6"/>
  <c r="G4166" i="6"/>
  <c r="G4165" i="6"/>
  <c r="G4164" i="6"/>
  <c r="A3720" i="6"/>
  <c r="G3718" i="6"/>
  <c r="G3717" i="6"/>
  <c r="G3716" i="6"/>
  <c r="G3715" i="6"/>
  <c r="G3714" i="6"/>
  <c r="G3713" i="6"/>
  <c r="G3712" i="6"/>
  <c r="A3089" i="6"/>
  <c r="G3087" i="6"/>
  <c r="G3086" i="6"/>
  <c r="G3085" i="6"/>
  <c r="G3084" i="6"/>
  <c r="G3083" i="6"/>
  <c r="G3082" i="6"/>
  <c r="G3081" i="6"/>
  <c r="A2504" i="6"/>
  <c r="G2502" i="6"/>
  <c r="G2501" i="6"/>
  <c r="G2500" i="6"/>
  <c r="G2499" i="6"/>
  <c r="G2498" i="6"/>
  <c r="G2497" i="6"/>
  <c r="G2496" i="6"/>
  <c r="A1823" i="6"/>
  <c r="G1821" i="6"/>
  <c r="G1820" i="6"/>
  <c r="G1819" i="6"/>
  <c r="G1818" i="6"/>
  <c r="G1817" i="6"/>
  <c r="G1816" i="6"/>
  <c r="G1815" i="6"/>
  <c r="A1107" i="6"/>
  <c r="G1105" i="6"/>
  <c r="G1104" i="6"/>
  <c r="G1103" i="6"/>
  <c r="G1102" i="6"/>
  <c r="G1101" i="6"/>
  <c r="G1100" i="6"/>
  <c r="G1099" i="6"/>
  <c r="A435" i="6"/>
  <c r="G427" i="6"/>
  <c r="G428" i="6"/>
  <c r="G429" i="6"/>
  <c r="G430" i="6"/>
  <c r="G431" i="6"/>
  <c r="G432" i="6"/>
  <c r="G433" i="6"/>
  <c r="A425" i="6"/>
  <c r="G422" i="6"/>
  <c r="G423" i="6"/>
  <c r="A3060" i="6"/>
  <c r="G3058" i="6"/>
  <c r="G3057" i="6"/>
  <c r="G3056" i="6"/>
  <c r="A1804" i="6"/>
  <c r="G1802" i="6"/>
  <c r="G1801" i="6"/>
  <c r="G1800" i="6"/>
  <c r="A1096" i="6"/>
  <c r="G1094" i="6"/>
  <c r="G1093" i="6"/>
  <c r="G1092" i="6"/>
  <c r="A419" i="6"/>
  <c r="G415" i="6"/>
  <c r="G416" i="6"/>
  <c r="G417" i="6"/>
  <c r="A3078" i="6"/>
  <c r="G3076" i="6"/>
  <c r="G3075" i="6"/>
  <c r="G3074" i="6"/>
  <c r="G3073" i="6"/>
  <c r="G3072" i="6"/>
  <c r="G3071" i="6"/>
  <c r="A1076" i="6"/>
  <c r="G1074" i="6"/>
  <c r="G1073" i="6"/>
  <c r="G1072" i="6"/>
  <c r="G1071" i="6"/>
  <c r="G1070" i="6"/>
  <c r="G1069" i="6"/>
  <c r="A1019" i="6"/>
  <c r="G1017" i="6"/>
  <c r="G1016" i="6"/>
  <c r="G1015" i="6"/>
  <c r="G1014" i="6"/>
  <c r="G1013" i="6"/>
  <c r="G1012" i="6"/>
  <c r="A413" i="6"/>
  <c r="G406" i="6"/>
  <c r="G407" i="6"/>
  <c r="G408" i="6"/>
  <c r="G409" i="6"/>
  <c r="G410" i="6"/>
  <c r="G411" i="6"/>
  <c r="A4934" i="6"/>
  <c r="A4161" i="6"/>
  <c r="A3709" i="6"/>
  <c r="A3048" i="6"/>
  <c r="A1812" i="6"/>
  <c r="A1090" i="6"/>
  <c r="A1067" i="6"/>
  <c r="A404" i="6"/>
  <c r="A391" i="6"/>
  <c r="G388" i="6"/>
  <c r="G389" i="6"/>
  <c r="A4145" i="6"/>
  <c r="A3693" i="6"/>
  <c r="A3039" i="6"/>
  <c r="A2450" i="6"/>
  <c r="A1791" i="6"/>
  <c r="A1058" i="6"/>
  <c r="A385" i="6"/>
  <c r="G378" i="6"/>
  <c r="G379" i="6"/>
  <c r="G380" i="6"/>
  <c r="G381" i="6"/>
  <c r="G382" i="6"/>
  <c r="G383" i="6"/>
  <c r="A376" i="6"/>
  <c r="G367" i="6"/>
  <c r="G368" i="6"/>
  <c r="G369" i="6"/>
  <c r="G370" i="6"/>
  <c r="G371" i="6"/>
  <c r="G372" i="6"/>
  <c r="G373" i="6"/>
  <c r="G374" i="6"/>
  <c r="A4892" i="6"/>
  <c r="A4136" i="6"/>
  <c r="A3030" i="6"/>
  <c r="A2441" i="6"/>
  <c r="A1782" i="6"/>
  <c r="A1049" i="6"/>
  <c r="A360" i="6"/>
  <c r="G355" i="6"/>
  <c r="G356" i="6"/>
  <c r="G357" i="6"/>
  <c r="G358" i="6"/>
  <c r="A3631" i="6"/>
  <c r="G3629" i="6"/>
  <c r="A2959" i="6"/>
  <c r="G2957" i="6"/>
  <c r="A2358" i="6"/>
  <c r="G2356" i="6"/>
  <c r="A1684" i="6"/>
  <c r="G1682" i="6"/>
  <c r="A1009" i="6"/>
  <c r="G1007" i="6"/>
  <c r="A947" i="6"/>
  <c r="G945" i="6"/>
  <c r="A351" i="6"/>
  <c r="G349" i="6"/>
  <c r="A2410" i="6"/>
  <c r="G2408" i="6"/>
  <c r="G2407" i="6"/>
  <c r="A1736" i="6"/>
  <c r="G1734" i="6"/>
  <c r="G1733" i="6"/>
  <c r="A1005" i="6"/>
  <c r="G1003" i="6"/>
  <c r="G1002" i="6"/>
  <c r="A347" i="6"/>
  <c r="G344" i="6"/>
  <c r="G345" i="6"/>
  <c r="A342" i="6"/>
  <c r="G339" i="6"/>
  <c r="G340" i="6"/>
  <c r="A4128" i="6"/>
  <c r="G4126" i="6"/>
  <c r="G4125" i="6"/>
  <c r="A3658" i="6"/>
  <c r="G3656" i="6"/>
  <c r="G3655" i="6"/>
  <c r="A2992" i="6"/>
  <c r="G2990" i="6"/>
  <c r="G2989" i="6"/>
  <c r="A2400" i="6"/>
  <c r="G2398" i="6"/>
  <c r="G2397" i="6"/>
  <c r="A1711" i="6"/>
  <c r="G1709" i="6"/>
  <c r="G1708" i="6"/>
  <c r="A1000" i="6"/>
  <c r="G998" i="6"/>
  <c r="G997" i="6"/>
  <c r="A396" i="6"/>
  <c r="G394" i="6"/>
  <c r="G393" i="6"/>
  <c r="A365" i="6"/>
  <c r="G363" i="6"/>
  <c r="G362" i="6"/>
  <c r="A337" i="6"/>
  <c r="G334" i="6"/>
  <c r="G335" i="6"/>
  <c r="A4123" i="6"/>
  <c r="G4121" i="6"/>
  <c r="G4120" i="6"/>
  <c r="A3678" i="6"/>
  <c r="G3676" i="6"/>
  <c r="G3675" i="6"/>
  <c r="A3022" i="6"/>
  <c r="G3020" i="6"/>
  <c r="G3019" i="6"/>
  <c r="A2395" i="6"/>
  <c r="G2393" i="6"/>
  <c r="G2392" i="6"/>
  <c r="A1731" i="6"/>
  <c r="G1729" i="6"/>
  <c r="G1728" i="6"/>
  <c r="A994" i="6"/>
  <c r="G992" i="6"/>
  <c r="G991" i="6"/>
  <c r="A332" i="6"/>
  <c r="G329" i="6"/>
  <c r="G330" i="6"/>
  <c r="A4118" i="6"/>
  <c r="G4116" i="6"/>
  <c r="G4115" i="6"/>
  <c r="A3673" i="6"/>
  <c r="G3671" i="6"/>
  <c r="G3670" i="6"/>
  <c r="A3017" i="6"/>
  <c r="G3015" i="6"/>
  <c r="G3014" i="6"/>
  <c r="A2390" i="6"/>
  <c r="G2388" i="6"/>
  <c r="G2387" i="6"/>
  <c r="A1726" i="6"/>
  <c r="G1724" i="6"/>
  <c r="G1723" i="6"/>
  <c r="A989" i="6"/>
  <c r="G987" i="6"/>
  <c r="G986" i="6"/>
  <c r="A327" i="6"/>
  <c r="G324" i="6"/>
  <c r="G325" i="6"/>
  <c r="A4113" i="6"/>
  <c r="G4111" i="6"/>
  <c r="G4110" i="6"/>
  <c r="A3663" i="6"/>
  <c r="G3661" i="6"/>
  <c r="G3660" i="6"/>
  <c r="A3012" i="6"/>
  <c r="G3010" i="6"/>
  <c r="G3009" i="6"/>
  <c r="A2385" i="6"/>
  <c r="G2383" i="6"/>
  <c r="G2382" i="6"/>
  <c r="A1716" i="6"/>
  <c r="G1714" i="6"/>
  <c r="G1713" i="6"/>
  <c r="A984" i="6"/>
  <c r="G982" i="6"/>
  <c r="G981" i="6"/>
  <c r="A322" i="6"/>
  <c r="G319" i="6"/>
  <c r="G320" i="6"/>
  <c r="A4108" i="6"/>
  <c r="G4106" i="6"/>
  <c r="G4105" i="6"/>
  <c r="A3683" i="6"/>
  <c r="G3681" i="6"/>
  <c r="G3680" i="6"/>
  <c r="A2997" i="6"/>
  <c r="G2995" i="6"/>
  <c r="G2994" i="6"/>
  <c r="A2405" i="6"/>
  <c r="G2403" i="6"/>
  <c r="G2402" i="6"/>
  <c r="A1741" i="6"/>
  <c r="G1739" i="6"/>
  <c r="G1738" i="6"/>
  <c r="A979" i="6"/>
  <c r="G977" i="6"/>
  <c r="G976" i="6"/>
  <c r="G3684" i="6"/>
  <c r="G3685" i="6"/>
  <c r="G3692" i="6" s="1"/>
  <c r="F594" i="2" s="1"/>
  <c r="G3694" i="6"/>
  <c r="G3701" i="6"/>
  <c r="G3702" i="6"/>
  <c r="G3708" i="6" s="1"/>
  <c r="F597" i="2" s="1"/>
  <c r="G3710" i="6"/>
  <c r="G3711" i="6"/>
  <c r="G3721" i="6"/>
  <c r="G3722" i="6"/>
  <c r="G3723" i="6"/>
  <c r="A974" i="6"/>
  <c r="G972" i="6"/>
  <c r="G971" i="6"/>
  <c r="A317" i="6"/>
  <c r="G314" i="6"/>
  <c r="G315" i="6"/>
  <c r="A306" i="6"/>
  <c r="G302" i="6"/>
  <c r="G303" i="6"/>
  <c r="G304" i="6"/>
  <c r="G307" i="6"/>
  <c r="A300" i="6"/>
  <c r="G293" i="6"/>
  <c r="G294" i="6"/>
  <c r="G295" i="6"/>
  <c r="G296" i="6"/>
  <c r="G297" i="6"/>
  <c r="G298" i="6"/>
  <c r="G301" i="6"/>
  <c r="A291" i="6"/>
  <c r="G284" i="6"/>
  <c r="G285" i="6"/>
  <c r="G286" i="6"/>
  <c r="G287" i="6"/>
  <c r="G288" i="6"/>
  <c r="G289" i="6"/>
  <c r="A282" i="6"/>
  <c r="G275" i="6"/>
  <c r="G276" i="6"/>
  <c r="G277" i="6"/>
  <c r="G278" i="6"/>
  <c r="G279" i="6"/>
  <c r="G280" i="6"/>
  <c r="A273" i="6"/>
  <c r="G271" i="6"/>
  <c r="A269" i="6"/>
  <c r="G261" i="6"/>
  <c r="G262" i="6"/>
  <c r="G263" i="6"/>
  <c r="G264" i="6"/>
  <c r="G265" i="6"/>
  <c r="G266" i="6"/>
  <c r="G267" i="6"/>
  <c r="A259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A210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11" i="6"/>
  <c r="G260" i="6"/>
  <c r="G270" i="6"/>
  <c r="G274" i="6"/>
  <c r="G283" i="6"/>
  <c r="G292" i="6"/>
  <c r="A131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12" i="6"/>
  <c r="G13" i="6"/>
  <c r="G14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A86" i="6"/>
  <c r="G87" i="6"/>
  <c r="G132" i="6"/>
  <c r="G313" i="6"/>
  <c r="G318" i="6"/>
  <c r="G323" i="6"/>
  <c r="G328" i="6"/>
  <c r="G333" i="6"/>
  <c r="G338" i="6"/>
  <c r="G343" i="6"/>
  <c r="G348" i="6"/>
  <c r="G352" i="6"/>
  <c r="G353" i="6"/>
  <c r="G354" i="6"/>
  <c r="G361" i="6"/>
  <c r="G366" i="6"/>
  <c r="G377" i="6"/>
  <c r="G386" i="6"/>
  <c r="G387" i="6"/>
  <c r="G392" i="6"/>
  <c r="G397" i="6"/>
  <c r="G403" i="6" s="1"/>
  <c r="F51" i="2" s="1"/>
  <c r="G405" i="6"/>
  <c r="G414" i="6"/>
  <c r="G420" i="6"/>
  <c r="G421" i="6"/>
  <c r="G426" i="6"/>
  <c r="G436" i="6"/>
  <c r="G444" i="6"/>
  <c r="G450" i="6" s="1"/>
  <c r="F58" i="2" s="1"/>
  <c r="G452" i="6"/>
  <c r="G458" i="6" s="1"/>
  <c r="F680" i="2" s="1"/>
  <c r="G460" i="6"/>
  <c r="G461" i="6"/>
  <c r="G468" i="6"/>
  <c r="G472" i="6" s="1"/>
  <c r="G474" i="6"/>
  <c r="G481" i="6"/>
  <c r="G482" i="6"/>
  <c r="G488" i="6"/>
  <c r="G495" i="6"/>
  <c r="G499" i="6" s="1"/>
  <c r="F813" i="2" s="1"/>
  <c r="G501" i="6"/>
  <c r="G508" i="6"/>
  <c r="G512" i="6" s="1"/>
  <c r="F69" i="2" s="1"/>
  <c r="G514" i="6"/>
  <c r="G522" i="6"/>
  <c r="G526" i="6" s="1"/>
  <c r="F71" i="2" s="1"/>
  <c r="G528" i="6"/>
  <c r="G534" i="6" s="1"/>
  <c r="G536" i="6"/>
  <c r="G541" i="6" s="1"/>
  <c r="G543" i="6"/>
  <c r="G547" i="6" s="1"/>
  <c r="G549" i="6"/>
  <c r="G550" i="6"/>
  <c r="G557" i="6"/>
  <c r="G562" i="6" s="1"/>
  <c r="G564" i="6"/>
  <c r="G571" i="6"/>
  <c r="G578" i="6"/>
  <c r="G581" i="6" s="1"/>
  <c r="G583" i="6"/>
  <c r="G590" i="6"/>
  <c r="G597" i="6"/>
  <c r="G601" i="6" s="1"/>
  <c r="G603" i="6"/>
  <c r="G607" i="6" s="1"/>
  <c r="G609" i="6"/>
  <c r="G612" i="6" s="1"/>
  <c r="G614" i="6"/>
  <c r="G617" i="6" s="1"/>
  <c r="G619" i="6"/>
  <c r="G624" i="6" s="1"/>
  <c r="G626" i="6"/>
  <c r="G631" i="6" s="1"/>
  <c r="G633" i="6"/>
  <c r="G638" i="6" s="1"/>
  <c r="G640" i="6"/>
  <c r="G645" i="6" s="1"/>
  <c r="G647" i="6"/>
  <c r="G652" i="6" s="1"/>
  <c r="G654" i="6"/>
  <c r="G659" i="6" s="1"/>
  <c r="G661" i="6"/>
  <c r="G666" i="6" s="1"/>
  <c r="G668" i="6"/>
  <c r="G673" i="6" s="1"/>
  <c r="G675" i="6"/>
  <c r="G680" i="6" s="1"/>
  <c r="G682" i="6"/>
  <c r="G689" i="6"/>
  <c r="G696" i="6"/>
  <c r="G700" i="6" s="1"/>
  <c r="G702" i="6"/>
  <c r="G706" i="6" s="1"/>
  <c r="G708" i="6"/>
  <c r="G712" i="6" s="1"/>
  <c r="G714" i="6"/>
  <c r="G718" i="6" s="1"/>
  <c r="G720" i="6"/>
  <c r="G728" i="6" s="1"/>
  <c r="G730" i="6"/>
  <c r="G731" i="6"/>
  <c r="G738" i="6"/>
  <c r="G741" i="6" s="1"/>
  <c r="G743" i="6"/>
  <c r="G750" i="6"/>
  <c r="G757" i="6"/>
  <c r="G783" i="6"/>
  <c r="G787" i="6" s="1"/>
  <c r="G789" i="6"/>
  <c r="G793" i="6" s="1"/>
  <c r="G811" i="6"/>
  <c r="G815" i="6" s="1"/>
  <c r="G817" i="6"/>
  <c r="G825" i="6"/>
  <c r="G826" i="6"/>
  <c r="G841" i="6"/>
  <c r="G846" i="6" s="1"/>
  <c r="G848" i="6"/>
  <c r="G853" i="6" s="1"/>
  <c r="G855" i="6"/>
  <c r="G860" i="6" s="1"/>
  <c r="G862" i="6"/>
  <c r="G869" i="6" s="1"/>
  <c r="G871" i="6"/>
  <c r="G878" i="6" s="1"/>
  <c r="G880" i="6"/>
  <c r="G886" i="6" s="1"/>
  <c r="G888" i="6"/>
  <c r="G894" i="6" s="1"/>
  <c r="G896" i="6"/>
  <c r="G902" i="6" s="1"/>
  <c r="G904" i="6"/>
  <c r="G905" i="6"/>
  <c r="G911" i="6"/>
  <c r="G915" i="6" s="1"/>
  <c r="G917" i="6"/>
  <c r="G924" i="6" s="1"/>
  <c r="G926" i="6"/>
  <c r="G930" i="6" s="1"/>
  <c r="F134" i="2" s="1"/>
  <c r="G932" i="6"/>
  <c r="G936" i="6" s="1"/>
  <c r="F135" i="2" s="1"/>
  <c r="G938" i="6"/>
  <c r="G941" i="6" s="1"/>
  <c r="G943" i="6"/>
  <c r="G944" i="6"/>
  <c r="G948" i="6"/>
  <c r="G954" i="6"/>
  <c r="G955" i="6"/>
  <c r="G969" i="6"/>
  <c r="G970" i="6"/>
  <c r="G975" i="6"/>
  <c r="G980" i="6"/>
  <c r="G985" i="6"/>
  <c r="G990" i="6"/>
  <c r="G996" i="6"/>
  <c r="G1001" i="6"/>
  <c r="G1006" i="6"/>
  <c r="G1010" i="6"/>
  <c r="G1011" i="6"/>
  <c r="G1020" i="6"/>
  <c r="G1026" i="6" s="1"/>
  <c r="G1028" i="6"/>
  <c r="G1040" i="6" s="1"/>
  <c r="G1042" i="6"/>
  <c r="G1043" i="6"/>
  <c r="G1050" i="6"/>
  <c r="G1057" i="6" s="1"/>
  <c r="F159" i="2" s="1"/>
  <c r="G1059" i="6"/>
  <c r="G1060" i="6"/>
  <c r="G1066" i="6" s="1"/>
  <c r="F161" i="2" s="1"/>
  <c r="G1068" i="6"/>
  <c r="G1077" i="6"/>
  <c r="G1081" i="6" s="1"/>
  <c r="G1083" i="6"/>
  <c r="G1089" i="6" s="1"/>
  <c r="F164" i="2" s="1"/>
  <c r="G1091" i="6"/>
  <c r="G1097" i="6"/>
  <c r="G1098" i="6"/>
  <c r="G1108" i="6"/>
  <c r="G1114" i="6" s="1"/>
  <c r="F59" i="2" s="1"/>
  <c r="G1116" i="6"/>
  <c r="G1117" i="6"/>
  <c r="G1124" i="6"/>
  <c r="G1128" i="6" s="1"/>
  <c r="G1130" i="6"/>
  <c r="G1137" i="6"/>
  <c r="G1144" i="6"/>
  <c r="G1145" i="6"/>
  <c r="G1152" i="6"/>
  <c r="G1156" i="6" s="1"/>
  <c r="G1158" i="6"/>
  <c r="G11" i="6"/>
  <c r="I728" i="6" l="1"/>
  <c r="F102" i="2"/>
  <c r="G1048" i="6"/>
  <c r="F158" i="2" s="1"/>
  <c r="G967" i="6"/>
  <c r="F141" i="2" s="1"/>
  <c r="G909" i="6"/>
  <c r="G829" i="6"/>
  <c r="G350" i="6"/>
  <c r="G520" i="6"/>
  <c r="G506" i="6"/>
  <c r="G493" i="6"/>
  <c r="F66" i="2" s="1"/>
  <c r="G486" i="6"/>
  <c r="G4200" i="6"/>
  <c r="G3741" i="6"/>
  <c r="G479" i="6"/>
  <c r="G3126" i="6"/>
  <c r="G1851" i="6"/>
  <c r="G1135" i="6"/>
  <c r="G466" i="6"/>
  <c r="G1122" i="6"/>
  <c r="G3728" i="6"/>
  <c r="G4951" i="6"/>
  <c r="G4971" i="6"/>
  <c r="G442" i="6"/>
  <c r="G1106" i="6"/>
  <c r="G434" i="6"/>
  <c r="G3719" i="6"/>
  <c r="G1095" i="6"/>
  <c r="G424" i="6"/>
  <c r="G3077" i="6"/>
  <c r="G418" i="6"/>
  <c r="G412" i="6"/>
  <c r="G1075" i="6"/>
  <c r="G1018" i="6"/>
  <c r="G395" i="6"/>
  <c r="G390" i="6"/>
  <c r="G384" i="6"/>
  <c r="F47" i="2" s="1"/>
  <c r="G375" i="6"/>
  <c r="G946" i="6"/>
  <c r="G359" i="6"/>
  <c r="F44" i="2" s="1"/>
  <c r="G364" i="6"/>
  <c r="G1008" i="6"/>
  <c r="G336" i="6"/>
  <c r="G1004" i="6"/>
  <c r="F151" i="2" s="1"/>
  <c r="G346" i="6"/>
  <c r="F40" i="2" s="1"/>
  <c r="G341" i="6"/>
  <c r="F39" i="2" s="1"/>
  <c r="G999" i="6"/>
  <c r="G331" i="6"/>
  <c r="G993" i="6"/>
  <c r="G988" i="6"/>
  <c r="G326" i="6"/>
  <c r="G321" i="6"/>
  <c r="G983" i="6"/>
  <c r="G978" i="6"/>
  <c r="G316" i="6"/>
  <c r="G973" i="6"/>
  <c r="G299" i="6"/>
  <c r="G305" i="6"/>
  <c r="G272" i="6"/>
  <c r="G290" i="6"/>
  <c r="G281" i="6"/>
  <c r="G268" i="6"/>
  <c r="F24" i="2" s="1"/>
  <c r="G209" i="6"/>
  <c r="G258" i="6"/>
  <c r="G130" i="6"/>
  <c r="G1165" i="6"/>
  <c r="G1169" i="6" s="1"/>
  <c r="G1171" i="6"/>
  <c r="G1177" i="6" s="1"/>
  <c r="G1179" i="6"/>
  <c r="G1185" i="6" s="1"/>
  <c r="G1187" i="6"/>
  <c r="G1192" i="6" s="1"/>
  <c r="G1194" i="6"/>
  <c r="G1200" i="6" s="1"/>
  <c r="G1202" i="6"/>
  <c r="G1206" i="6" s="1"/>
  <c r="G1208" i="6"/>
  <c r="G1212" i="6" s="1"/>
  <c r="G1214" i="6"/>
  <c r="G1215" i="6"/>
  <c r="G1222" i="6"/>
  <c r="G1227" i="6" s="1"/>
  <c r="G1229" i="6"/>
  <c r="G1236" i="6"/>
  <c r="G1243" i="6"/>
  <c r="G1246" i="6" s="1"/>
  <c r="G1248" i="6"/>
  <c r="G1255" i="6"/>
  <c r="G1262" i="6"/>
  <c r="G1266" i="6" s="1"/>
  <c r="G1268" i="6"/>
  <c r="G1272" i="6" s="1"/>
  <c r="G1274" i="6"/>
  <c r="G1277" i="6" s="1"/>
  <c r="G1279" i="6"/>
  <c r="G1282" i="6" s="1"/>
  <c r="G1284" i="6"/>
  <c r="G1289" i="6" s="1"/>
  <c r="G1291" i="6"/>
  <c r="G1296" i="6" s="1"/>
  <c r="G1298" i="6"/>
  <c r="G1303" i="6" s="1"/>
  <c r="G1305" i="6"/>
  <c r="G1310" i="6" s="1"/>
  <c r="G1312" i="6"/>
  <c r="G1317" i="6" s="1"/>
  <c r="G1319" i="6"/>
  <c r="G1324" i="6" s="1"/>
  <c r="G1326" i="6"/>
  <c r="G1331" i="6" s="1"/>
  <c r="G1333" i="6"/>
  <c r="G1338" i="6" s="1"/>
  <c r="G1340" i="6"/>
  <c r="G1345" i="6" s="1"/>
  <c r="G1347" i="6"/>
  <c r="G1354" i="6"/>
  <c r="G1358" i="6" s="1"/>
  <c r="G1360" i="6"/>
  <c r="G1364" i="6" s="1"/>
  <c r="G1366" i="6"/>
  <c r="G1373" i="6"/>
  <c r="G1377" i="6" s="1"/>
  <c r="G1379" i="6"/>
  <c r="G1383" i="6" s="1"/>
  <c r="G1385" i="6"/>
  <c r="G1393" i="6" s="1"/>
  <c r="F212" i="2" s="1"/>
  <c r="G1395" i="6"/>
  <c r="G1396" i="6"/>
  <c r="G1403" i="6"/>
  <c r="G1406" i="6" s="1"/>
  <c r="G1408" i="6"/>
  <c r="G1415" i="6"/>
  <c r="G1422" i="6"/>
  <c r="G1429" i="6"/>
  <c r="G1436" i="6"/>
  <c r="G1440" i="6" s="1"/>
  <c r="G1442" i="6"/>
  <c r="G1446" i="6" s="1"/>
  <c r="G1448" i="6"/>
  <c r="G1452" i="6" s="1"/>
  <c r="G1454" i="6"/>
  <c r="G1462" i="6" s="1"/>
  <c r="F734" i="2" s="1"/>
  <c r="G1464" i="6"/>
  <c r="G1468" i="6" s="1"/>
  <c r="G1470" i="6"/>
  <c r="G1474" i="6" s="1"/>
  <c r="G1476" i="6"/>
  <c r="G1483" i="6"/>
  <c r="G1484" i="6"/>
  <c r="G1485" i="6"/>
  <c r="G1490" i="6"/>
  <c r="G1498" i="6" s="1"/>
  <c r="G1500" i="6"/>
  <c r="G1505" i="6" s="1"/>
  <c r="G1507" i="6"/>
  <c r="G1515" i="6" s="1"/>
  <c r="G1517" i="6"/>
  <c r="G1522" i="6" s="1"/>
  <c r="G1524" i="6"/>
  <c r="G1529" i="6" s="1"/>
  <c r="G1531" i="6"/>
  <c r="G1536" i="6" s="1"/>
  <c r="G1538" i="6"/>
  <c r="G1543" i="6" s="1"/>
  <c r="G1545" i="6"/>
  <c r="G1550" i="6" s="1"/>
  <c r="G1552" i="6"/>
  <c r="G1557" i="6" s="1"/>
  <c r="G1559" i="6"/>
  <c r="G1560" i="6"/>
  <c r="G1567" i="6" s="1"/>
  <c r="G1569" i="6"/>
  <c r="G1572" i="6" s="1"/>
  <c r="G1574" i="6"/>
  <c r="G1580" i="6" s="1"/>
  <c r="G1582" i="6"/>
  <c r="G1587" i="6" s="1"/>
  <c r="G1589" i="6"/>
  <c r="G1594" i="6" s="1"/>
  <c r="G1596" i="6"/>
  <c r="G1601" i="6" s="1"/>
  <c r="G1603" i="6"/>
  <c r="G1612" i="6" s="1"/>
  <c r="G1614" i="6"/>
  <c r="G1618" i="6" s="1"/>
  <c r="G1620" i="6"/>
  <c r="G1627" i="6" s="1"/>
  <c r="G1629" i="6"/>
  <c r="G1636" i="6" s="1"/>
  <c r="G1638" i="6"/>
  <c r="G1644" i="6" s="1"/>
  <c r="G1646" i="6"/>
  <c r="G1652" i="6" s="1"/>
  <c r="G1654" i="6"/>
  <c r="G1658" i="6" s="1"/>
  <c r="F252" i="2" s="1"/>
  <c r="G1660" i="6"/>
  <c r="G1664" i="6" s="1"/>
  <c r="G1666" i="6"/>
  <c r="G1672" i="6" s="1"/>
  <c r="G1674" i="6"/>
  <c r="G1678" i="6" s="1"/>
  <c r="G1680" i="6"/>
  <c r="G1681" i="6"/>
  <c r="G1683" i="6" s="1"/>
  <c r="G1685" i="6"/>
  <c r="G1691" i="6"/>
  <c r="G1692" i="6"/>
  <c r="G1706" i="6"/>
  <c r="G1707" i="6"/>
  <c r="G1712" i="6"/>
  <c r="G1715" i="6" s="1"/>
  <c r="G1717" i="6"/>
  <c r="G1720" i="6" s="1"/>
  <c r="F266" i="2" s="1"/>
  <c r="G1722" i="6"/>
  <c r="G1725" i="6" s="1"/>
  <c r="G1727" i="6"/>
  <c r="G1730" i="6" s="1"/>
  <c r="G1732" i="6"/>
  <c r="G1735" i="6" s="1"/>
  <c r="F269" i="2" s="1"/>
  <c r="G1737" i="6"/>
  <c r="G1740" i="6" s="1"/>
  <c r="G1742" i="6"/>
  <c r="G1750" i="6" s="1"/>
  <c r="H1749" i="6"/>
  <c r="G1752" i="6"/>
  <c r="G1764" i="6" s="1"/>
  <c r="G1766" i="6"/>
  <c r="G1772" i="6" s="1"/>
  <c r="G1774" i="6"/>
  <c r="G1775" i="6"/>
  <c r="G1776" i="6"/>
  <c r="G1783" i="6"/>
  <c r="G1790" i="6" s="1"/>
  <c r="F278" i="2" s="1"/>
  <c r="G1792" i="6"/>
  <c r="G1793" i="6"/>
  <c r="G1797" i="6" s="1"/>
  <c r="G1799" i="6"/>
  <c r="G1803" i="6" s="1"/>
  <c r="G1805" i="6"/>
  <c r="G1811" i="6" s="1"/>
  <c r="F282" i="2" s="1"/>
  <c r="G1813" i="6"/>
  <c r="G1814" i="6"/>
  <c r="G1822" i="6" s="1"/>
  <c r="G1824" i="6"/>
  <c r="G1830" i="6" s="1"/>
  <c r="F168" i="2" s="1"/>
  <c r="G1832" i="6"/>
  <c r="G1833" i="6"/>
  <c r="G1840" i="6"/>
  <c r="G1844" i="6" s="1"/>
  <c r="G1846" i="6"/>
  <c r="G1853" i="6"/>
  <c r="G1854" i="6"/>
  <c r="G1858" i="6" s="1"/>
  <c r="G1860" i="6"/>
  <c r="G1867" i="6"/>
  <c r="G1871" i="6" s="1"/>
  <c r="F67" i="2" s="1"/>
  <c r="G1873" i="6"/>
  <c r="G1880" i="6"/>
  <c r="G1884" i="6" s="1"/>
  <c r="F295" i="2" s="1"/>
  <c r="G1886" i="6"/>
  <c r="G1892" i="6" s="1"/>
  <c r="G1894" i="6"/>
  <c r="G1900" i="6" s="1"/>
  <c r="G1902" i="6"/>
  <c r="G1907" i="6" s="1"/>
  <c r="G1909" i="6"/>
  <c r="G1916" i="6"/>
  <c r="G1920" i="6" s="1"/>
  <c r="G1922" i="6"/>
  <c r="G1926" i="6" s="1"/>
  <c r="G1928" i="6"/>
  <c r="G1929" i="6"/>
  <c r="G1936" i="6"/>
  <c r="G1941" i="6" s="1"/>
  <c r="G1943" i="6"/>
  <c r="G1950" i="6"/>
  <c r="G1957" i="6"/>
  <c r="G1960" i="6" s="1"/>
  <c r="G1962" i="6"/>
  <c r="G1969" i="6"/>
  <c r="G1976" i="6"/>
  <c r="G1980" i="6" s="1"/>
  <c r="G1982" i="6"/>
  <c r="G1986" i="6" s="1"/>
  <c r="G1988" i="6"/>
  <c r="G1991" i="6" s="1"/>
  <c r="G1993" i="6"/>
  <c r="G1996" i="6" s="1"/>
  <c r="G1998" i="6"/>
  <c r="G2003" i="6" s="1"/>
  <c r="G2005" i="6"/>
  <c r="G2010" i="6" s="1"/>
  <c r="G2012" i="6"/>
  <c r="G2017" i="6" s="1"/>
  <c r="G2019" i="6"/>
  <c r="G2024" i="6" s="1"/>
  <c r="G2026" i="6"/>
  <c r="G2031" i="6" s="1"/>
  <c r="G2033" i="6"/>
  <c r="G2038" i="6" s="1"/>
  <c r="G2040" i="6"/>
  <c r="G2045" i="6" s="1"/>
  <c r="G2047" i="6"/>
  <c r="G2052" i="6" s="1"/>
  <c r="G2054" i="6"/>
  <c r="G2059" i="6" s="1"/>
  <c r="G2061" i="6"/>
  <c r="G2068" i="6"/>
  <c r="G2072" i="6" s="1"/>
  <c r="G2074" i="6"/>
  <c r="G2078" i="6" s="1"/>
  <c r="G2080" i="6"/>
  <c r="G2087" i="6"/>
  <c r="G2095" i="6" s="1"/>
  <c r="F327" i="2" s="1"/>
  <c r="G2097" i="6"/>
  <c r="G2098" i="6"/>
  <c r="G2105" i="6"/>
  <c r="G2108" i="6" s="1"/>
  <c r="G2110" i="6"/>
  <c r="G2117" i="6"/>
  <c r="G2124" i="6"/>
  <c r="G2131" i="6"/>
  <c r="G2138" i="6"/>
  <c r="G2142" i="6" s="1"/>
  <c r="G2144" i="6"/>
  <c r="G2148" i="6" s="1"/>
  <c r="G2150" i="6"/>
  <c r="G2154" i="6" s="1"/>
  <c r="G2156" i="6"/>
  <c r="G2166" i="6"/>
  <c r="G2170" i="6" s="1"/>
  <c r="G2172" i="6"/>
  <c r="G2176" i="6" s="1"/>
  <c r="G2178" i="6"/>
  <c r="G2185" i="6"/>
  <c r="G2186" i="6"/>
  <c r="G2187" i="6"/>
  <c r="G2192" i="6"/>
  <c r="G2200" i="6" s="1"/>
  <c r="G2202" i="6"/>
  <c r="G2207" i="6" s="1"/>
  <c r="G2209" i="6"/>
  <c r="G2214" i="6" s="1"/>
  <c r="G2216" i="6"/>
  <c r="G2221" i="6" s="1"/>
  <c r="G2223" i="6"/>
  <c r="G2228" i="6" s="1"/>
  <c r="G2230" i="6"/>
  <c r="G2235" i="6" s="1"/>
  <c r="G2237" i="6"/>
  <c r="G2238" i="6"/>
  <c r="G2243" i="6"/>
  <c r="G2246" i="6" s="1"/>
  <c r="G2248" i="6"/>
  <c r="G2254" i="6" s="1"/>
  <c r="G2256" i="6"/>
  <c r="G2261" i="6" s="1"/>
  <c r="G2263" i="6"/>
  <c r="G2268" i="6" s="1"/>
  <c r="G2270" i="6"/>
  <c r="G2275" i="6" s="1"/>
  <c r="G2277" i="6"/>
  <c r="G2286" i="6" s="1"/>
  <c r="G2288" i="6"/>
  <c r="G2294" i="6"/>
  <c r="G2298" i="6" s="1"/>
  <c r="G2300" i="6"/>
  <c r="G2307" i="6" s="1"/>
  <c r="G2309" i="6"/>
  <c r="G2316" i="6" s="1"/>
  <c r="G2318" i="6"/>
  <c r="G2324" i="6" s="1"/>
  <c r="G2326" i="6"/>
  <c r="G2330" i="6" s="1"/>
  <c r="F364" i="2" s="1"/>
  <c r="G2332" i="6"/>
  <c r="G2336" i="6" s="1"/>
  <c r="F253" i="2" s="1"/>
  <c r="G2338" i="6"/>
  <c r="G2344" i="6" s="1"/>
  <c r="G2346" i="6"/>
  <c r="G2352" i="6" s="1"/>
  <c r="G2354" i="6"/>
  <c r="G2355" i="6"/>
  <c r="G2357" i="6" s="1"/>
  <c r="G2359" i="6"/>
  <c r="G2365" i="6"/>
  <c r="G2366" i="6"/>
  <c r="G2380" i="6"/>
  <c r="G2381" i="6"/>
  <c r="G2386" i="6"/>
  <c r="G2389" i="6" s="1"/>
  <c r="G2391" i="6"/>
  <c r="G2394" i="6" s="1"/>
  <c r="G2396" i="6"/>
  <c r="G2399" i="6" s="1"/>
  <c r="G2401" i="6"/>
  <c r="G2406" i="6"/>
  <c r="G2409" i="6" s="1"/>
  <c r="F381" i="2" s="1"/>
  <c r="G2411" i="6"/>
  <c r="G2414" i="6" s="1"/>
  <c r="F382" i="2" s="1"/>
  <c r="G2416" i="6"/>
  <c r="G2417" i="6"/>
  <c r="G2426" i="6"/>
  <c r="G2432" i="6" s="1"/>
  <c r="G2434" i="6"/>
  <c r="G2435" i="6"/>
  <c r="G2442" i="6"/>
  <c r="G2449" i="6" s="1"/>
  <c r="F388" i="2" s="1"/>
  <c r="G2451" i="6"/>
  <c r="G2455" i="6" s="1"/>
  <c r="G2457" i="6"/>
  <c r="G2464" i="6"/>
  <c r="G2465" i="6"/>
  <c r="G2469" i="6" s="1"/>
  <c r="G2471" i="6"/>
  <c r="G2475" i="6" s="1"/>
  <c r="G2477" i="6"/>
  <c r="G2483" i="6" s="1"/>
  <c r="G2485" i="6"/>
  <c r="G2492" i="6" s="1"/>
  <c r="G2494" i="6"/>
  <c r="G2495" i="6"/>
  <c r="G2503" i="6" s="1"/>
  <c r="G2505" i="6"/>
  <c r="G2511" i="6" s="1"/>
  <c r="G2513" i="6"/>
  <c r="G2519" i="6" s="1"/>
  <c r="G2521" i="6"/>
  <c r="G2528" i="6" s="1"/>
  <c r="I2528" i="6" s="1"/>
  <c r="I2523" i="6" s="1"/>
  <c r="G2530" i="6"/>
  <c r="G2531" i="6"/>
  <c r="G2546" i="6"/>
  <c r="G2553" i="6"/>
  <c r="G2557" i="6" s="1"/>
  <c r="G2559" i="6"/>
  <c r="G2566" i="6"/>
  <c r="G2570" i="6" s="1"/>
  <c r="F407" i="2" s="1"/>
  <c r="G2572" i="6"/>
  <c r="G2578" i="6" s="1"/>
  <c r="G2582" i="6"/>
  <c r="G2587" i="6" s="1"/>
  <c r="G2589" i="6"/>
  <c r="G2593" i="6" s="1"/>
  <c r="F293" i="2" s="1"/>
  <c r="G2595" i="6"/>
  <c r="G2601" i="6" s="1"/>
  <c r="G2603" i="6"/>
  <c r="G2604" i="6"/>
  <c r="G2611" i="6"/>
  <c r="G2618" i="6"/>
  <c r="G2625" i="6"/>
  <c r="G2630" i="6" s="1"/>
  <c r="G2632" i="6"/>
  <c r="G2639" i="6"/>
  <c r="G2646" i="6"/>
  <c r="G2649" i="6" s="1"/>
  <c r="G2651" i="6"/>
  <c r="G2658" i="6"/>
  <c r="G2661" i="6" s="1"/>
  <c r="G2663" i="6"/>
  <c r="G2666" i="6" s="1"/>
  <c r="G2668" i="6"/>
  <c r="G2673" i="6" s="1"/>
  <c r="G2675" i="6"/>
  <c r="G2680" i="6" s="1"/>
  <c r="G2682" i="6"/>
  <c r="G2687" i="6" s="1"/>
  <c r="G2689" i="6"/>
  <c r="G2694" i="6" s="1"/>
  <c r="G2696" i="6"/>
  <c r="G2701" i="6" s="1"/>
  <c r="G2703" i="6"/>
  <c r="G2708" i="6" s="1"/>
  <c r="G2710" i="6"/>
  <c r="G2715" i="6" s="1"/>
  <c r="G2717" i="6"/>
  <c r="G2722" i="6" s="1"/>
  <c r="G2724" i="6"/>
  <c r="G2729" i="6" s="1"/>
  <c r="G2731" i="6"/>
  <c r="G2735" i="6" s="1"/>
  <c r="G2737" i="6"/>
  <c r="G2741" i="6" s="1"/>
  <c r="G2743" i="6"/>
  <c r="G2750" i="6"/>
  <c r="G2758" i="6" s="1"/>
  <c r="F435" i="2" s="1"/>
  <c r="G2760" i="6"/>
  <c r="G2764" i="6" s="1"/>
  <c r="G2766" i="6"/>
  <c r="G2767" i="6"/>
  <c r="G2774" i="6"/>
  <c r="G2781" i="6"/>
  <c r="G2784" i="6" s="1"/>
  <c r="G2786" i="6"/>
  <c r="G2796" i="6"/>
  <c r="G2800" i="6" s="1"/>
  <c r="G2802" i="6"/>
  <c r="G2806" i="6" s="1"/>
  <c r="G2808" i="6"/>
  <c r="G2809" i="6"/>
  <c r="G2810" i="6"/>
  <c r="G2815" i="6"/>
  <c r="G2817" i="6" s="1"/>
  <c r="G2819" i="6"/>
  <c r="G2828" i="6" s="1"/>
  <c r="G2830" i="6"/>
  <c r="G2837" i="6" s="1"/>
  <c r="G2839" i="6"/>
  <c r="G2842" i="6" s="1"/>
  <c r="G2844" i="6"/>
  <c r="G2852" i="6" s="1"/>
  <c r="G2854" i="6"/>
  <c r="G2860" i="6" s="1"/>
  <c r="F452" i="2" s="1"/>
  <c r="G2862" i="6"/>
  <c r="G2867" i="6" s="1"/>
  <c r="G2869" i="6"/>
  <c r="G2874" i="6" s="1"/>
  <c r="G2876" i="6"/>
  <c r="G2881" i="6" s="1"/>
  <c r="G2883" i="6"/>
  <c r="G2884" i="6"/>
  <c r="G2890" i="6"/>
  <c r="G2894" i="6" s="1"/>
  <c r="G2896" i="6"/>
  <c r="G2903" i="6" s="1"/>
  <c r="G2905" i="6"/>
  <c r="G2912" i="6" s="1"/>
  <c r="G2914" i="6"/>
  <c r="G2920" i="6" s="1"/>
  <c r="G2922" i="6"/>
  <c r="G2927" i="6" s="1"/>
  <c r="G2929" i="6"/>
  <c r="G2933" i="6" s="1"/>
  <c r="F463" i="2" s="1"/>
  <c r="G2935" i="6"/>
  <c r="G2939" i="6" s="1"/>
  <c r="F464" i="2" s="1"/>
  <c r="G2941" i="6"/>
  <c r="G2946" i="6" s="1"/>
  <c r="G2948" i="6"/>
  <c r="G2953" i="6" s="1"/>
  <c r="G2955" i="6"/>
  <c r="G2956" i="6"/>
  <c r="G2958" i="6" s="1"/>
  <c r="G2960" i="6"/>
  <c r="G2966" i="6"/>
  <c r="G2972" i="6"/>
  <c r="G2973" i="6"/>
  <c r="G2985" i="6" s="1"/>
  <c r="F472" i="2" s="1"/>
  <c r="G2987" i="6"/>
  <c r="G2988" i="6"/>
  <c r="G2991" i="6" s="1"/>
  <c r="G2993" i="6"/>
  <c r="G2998" i="6"/>
  <c r="G3001" i="6" s="1"/>
  <c r="F478" i="2" s="1"/>
  <c r="G3003" i="6"/>
  <c r="G3006" i="6" s="1"/>
  <c r="F479" i="2" s="1"/>
  <c r="G3008" i="6"/>
  <c r="G3011" i="6" s="1"/>
  <c r="G3013" i="6"/>
  <c r="G3016" i="6" s="1"/>
  <c r="G3018" i="6"/>
  <c r="G3021" i="6" s="1"/>
  <c r="G3023" i="6"/>
  <c r="G3024" i="6"/>
  <c r="G3031" i="6"/>
  <c r="G3038" i="6" s="1"/>
  <c r="F485" i="2" s="1"/>
  <c r="G3040" i="6"/>
  <c r="G3041" i="6"/>
  <c r="G3047" i="6" s="1"/>
  <c r="F487" i="2" s="1"/>
  <c r="G3049" i="6"/>
  <c r="G3053" i="6" s="1"/>
  <c r="G3055" i="6"/>
  <c r="G3059" i="6" s="1"/>
  <c r="G3061" i="6"/>
  <c r="G3062" i="6"/>
  <c r="G3068" i="6" s="1"/>
  <c r="G3070" i="6"/>
  <c r="G3079" i="6"/>
  <c r="G3080" i="6"/>
  <c r="G3088" i="6" s="1"/>
  <c r="G3090" i="6"/>
  <c r="G3096" i="6" s="1"/>
  <c r="G3098" i="6"/>
  <c r="G3104" i="6" s="1"/>
  <c r="F285" i="2" s="1"/>
  <c r="G3106" i="6"/>
  <c r="G3107" i="6"/>
  <c r="G3114" i="6"/>
  <c r="G3118" i="6" s="1"/>
  <c r="I3118" i="6" s="1"/>
  <c r="K3118" i="6" s="1"/>
  <c r="G3121" i="6"/>
  <c r="G3128" i="6"/>
  <c r="G3129" i="6"/>
  <c r="G3133" i="6" s="1"/>
  <c r="G3135" i="6"/>
  <c r="G3142" i="6"/>
  <c r="G3146" i="6" s="1"/>
  <c r="F410" i="2" s="1"/>
  <c r="G3148" i="6"/>
  <c r="G3155" i="6"/>
  <c r="G3159" i="6" s="1"/>
  <c r="F506" i="2" s="1"/>
  <c r="G3161" i="6"/>
  <c r="G3165" i="6" s="1"/>
  <c r="G3167" i="6"/>
  <c r="G3173" i="6" s="1"/>
  <c r="G3175" i="6"/>
  <c r="G3181" i="6" s="1"/>
  <c r="G3183" i="6"/>
  <c r="G3188" i="6" s="1"/>
  <c r="G3190" i="6"/>
  <c r="G3194" i="6" s="1"/>
  <c r="F511" i="2" s="1"/>
  <c r="G3196" i="6"/>
  <c r="G3200" i="6" s="1"/>
  <c r="G3202" i="6"/>
  <c r="G3203" i="6"/>
  <c r="G3210" i="6"/>
  <c r="G3215" i="6" s="1"/>
  <c r="G3217" i="6"/>
  <c r="G3224" i="6"/>
  <c r="G3231" i="6"/>
  <c r="G3234" i="6" s="1"/>
  <c r="G3236" i="6"/>
  <c r="G3243" i="6"/>
  <c r="G3250" i="6"/>
  <c r="G3254" i="6" s="1"/>
  <c r="G3256" i="6"/>
  <c r="G3260" i="6" s="1"/>
  <c r="G3262" i="6"/>
  <c r="G3265" i="6" s="1"/>
  <c r="G3267" i="6"/>
  <c r="G3270" i="6" s="1"/>
  <c r="G3272" i="6"/>
  <c r="G3276" i="6" s="1"/>
  <c r="I3276" i="6" s="1"/>
  <c r="I3278" i="6" s="1"/>
  <c r="G3278" i="6"/>
  <c r="G3281" i="6" s="1"/>
  <c r="I3281" i="6" s="1"/>
  <c r="K3281" i="6" s="1"/>
  <c r="G3283" i="6"/>
  <c r="G3287" i="6" s="1"/>
  <c r="G3289" i="6"/>
  <c r="G3292" i="6" s="1"/>
  <c r="G3294" i="6"/>
  <c r="G3298" i="6" s="1"/>
  <c r="G3300" i="6"/>
  <c r="G3307" i="6"/>
  <c r="G3311" i="6" s="1"/>
  <c r="G3313" i="6"/>
  <c r="G3317" i="6" s="1"/>
  <c r="G3319" i="6"/>
  <c r="G3326" i="6"/>
  <c r="G3330" i="6" s="1"/>
  <c r="G3332" i="6"/>
  <c r="G3336" i="6" s="1"/>
  <c r="G3338" i="6"/>
  <c r="G3342" i="6" s="1"/>
  <c r="G3344" i="6"/>
  <c r="G3345" i="6"/>
  <c r="G3350" i="6"/>
  <c r="G3357" i="6"/>
  <c r="G3364" i="6"/>
  <c r="G3371" i="6"/>
  <c r="G3378" i="6"/>
  <c r="G3382" i="6" s="1"/>
  <c r="G3384" i="6"/>
  <c r="G3388" i="6" s="1"/>
  <c r="G3390" i="6"/>
  <c r="G3394" i="6" s="1"/>
  <c r="G3396" i="6"/>
  <c r="G3400" i="6" s="1"/>
  <c r="G3402" i="6"/>
  <c r="G3409" i="6"/>
  <c r="G3410" i="6"/>
  <c r="G3411" i="6"/>
  <c r="G3416" i="6"/>
  <c r="G3418" i="6" s="1"/>
  <c r="G3429" i="6"/>
  <c r="G3431" i="6"/>
  <c r="G3434" i="6" s="1"/>
  <c r="G3436" i="6"/>
  <c r="G3439" i="6" s="1"/>
  <c r="G3441" i="6"/>
  <c r="G3449" i="6" s="1"/>
  <c r="G3451" i="6"/>
  <c r="G3459" i="6" s="1"/>
  <c r="G3467" i="6"/>
  <c r="G3469" i="6"/>
  <c r="G3474" i="6" s="1"/>
  <c r="G3476" i="6"/>
  <c r="G3481" i="6" s="1"/>
  <c r="G3483" i="6"/>
  <c r="G3488" i="6" s="1"/>
  <c r="G3490" i="6"/>
  <c r="G3495" i="6" s="1"/>
  <c r="G3497" i="6"/>
  <c r="G3502" i="6" s="1"/>
  <c r="G3504" i="6"/>
  <c r="G3529" i="6" s="1"/>
  <c r="G3531" i="6"/>
  <c r="G3532" i="6"/>
  <c r="G3537" i="6" s="1"/>
  <c r="G3539" i="6"/>
  <c r="G3544" i="6" s="1"/>
  <c r="G3546" i="6"/>
  <c r="G3551" i="6" s="1"/>
  <c r="G3553" i="6"/>
  <c r="G3559" i="6"/>
  <c r="G3563" i="6" s="1"/>
  <c r="G3565" i="6"/>
  <c r="G3571" i="6" s="1"/>
  <c r="G3573" i="6"/>
  <c r="G3580" i="6" s="1"/>
  <c r="G3582" i="6"/>
  <c r="G3589" i="6" s="1"/>
  <c r="G3591" i="6"/>
  <c r="G3597" i="6" s="1"/>
  <c r="G3599" i="6"/>
  <c r="G3605" i="6" s="1"/>
  <c r="G3607" i="6"/>
  <c r="G3611" i="6" s="1"/>
  <c r="F575" i="2" s="1"/>
  <c r="G3613" i="6"/>
  <c r="G3617" i="6" s="1"/>
  <c r="F576" i="2" s="1"/>
  <c r="G3619" i="6"/>
  <c r="G3625" i="6" s="1"/>
  <c r="G3627" i="6"/>
  <c r="G3628" i="6"/>
  <c r="G3630" i="6" s="1"/>
  <c r="G3632" i="6"/>
  <c r="G3638" i="6"/>
  <c r="G3639" i="6"/>
  <c r="G3653" i="6"/>
  <c r="G3654" i="6"/>
  <c r="G3657" i="6" s="1"/>
  <c r="G3659" i="6"/>
  <c r="G3664" i="6"/>
  <c r="G3667" i="6" s="1"/>
  <c r="F589" i="2" s="1"/>
  <c r="G3669" i="6"/>
  <c r="G3672" i="6" s="1"/>
  <c r="G3674" i="6"/>
  <c r="G3677" i="6" s="1"/>
  <c r="G3679" i="6"/>
  <c r="G3730" i="6"/>
  <c r="G3734" i="6" s="1"/>
  <c r="G3736" i="6"/>
  <c r="G3743" i="6"/>
  <c r="G3750" i="6"/>
  <c r="G3751" i="6"/>
  <c r="G3755" i="6" s="1"/>
  <c r="G3757" i="6"/>
  <c r="G3761" i="6" s="1"/>
  <c r="F504" i="2" s="1"/>
  <c r="G3763" i="6"/>
  <c r="G3770" i="6"/>
  <c r="G3774" i="6" s="1"/>
  <c r="F610" i="2" s="1"/>
  <c r="G3776" i="6"/>
  <c r="G3782" i="6" s="1"/>
  <c r="G3784" i="6"/>
  <c r="G3789" i="6" s="1"/>
  <c r="G3791" i="6"/>
  <c r="G3797" i="6" s="1"/>
  <c r="G3799" i="6"/>
  <c r="G3805" i="6" s="1"/>
  <c r="G3807" i="6"/>
  <c r="G3808" i="6"/>
  <c r="G3815" i="6"/>
  <c r="G3822" i="6"/>
  <c r="G3825" i="6" s="1"/>
  <c r="G3827" i="6"/>
  <c r="G3832" i="6" s="1"/>
  <c r="G3834" i="6"/>
  <c r="G3841" i="6"/>
  <c r="G3844" i="6" s="1"/>
  <c r="G3846" i="6"/>
  <c r="G3850" i="6" s="1"/>
  <c r="G3852" i="6"/>
  <c r="G3855" i="6" s="1"/>
  <c r="G3857" i="6"/>
  <c r="G3860" i="6" s="1"/>
  <c r="G3862" i="6"/>
  <c r="G3865" i="6" s="1"/>
  <c r="G3867" i="6"/>
  <c r="G3872" i="6" s="1"/>
  <c r="G3874" i="6"/>
  <c r="G3879" i="6" s="1"/>
  <c r="G3881" i="6"/>
  <c r="G3886" i="6" s="1"/>
  <c r="G3888" i="6"/>
  <c r="G3893" i="6" s="1"/>
  <c r="G3895" i="6"/>
  <c r="G3900" i="6" s="1"/>
  <c r="G3902" i="6"/>
  <c r="G3907" i="6" s="1"/>
  <c r="G3909" i="6"/>
  <c r="G3914" i="6" s="1"/>
  <c r="G3916" i="6"/>
  <c r="G3921" i="6" s="1"/>
  <c r="G3923" i="6"/>
  <c r="G3930" i="6"/>
  <c r="G3934" i="6" s="1"/>
  <c r="G3936" i="6"/>
  <c r="G3943" i="6"/>
  <c r="G3944" i="6"/>
  <c r="G3949" i="6"/>
  <c r="G3956" i="6"/>
  <c r="G3963" i="6"/>
  <c r="G3970" i="6"/>
  <c r="G3974" i="6" s="1"/>
  <c r="G3976" i="6"/>
  <c r="G3980" i="6" s="1"/>
  <c r="G3982" i="6"/>
  <c r="G3992" i="6"/>
  <c r="G4005" i="6" s="1"/>
  <c r="G4007" i="6"/>
  <c r="G4012" i="6" s="1"/>
  <c r="G4014" i="6"/>
  <c r="G4018" i="6" s="1"/>
  <c r="G4020" i="6"/>
  <c r="G4024" i="6" s="1"/>
  <c r="G4026" i="6"/>
  <c r="G4027" i="6"/>
  <c r="G4028" i="6"/>
  <c r="G4033" i="6"/>
  <c r="G4041" i="6" s="1"/>
  <c r="G4044" i="6"/>
  <c r="G4049" i="6" s="1"/>
  <c r="G4051" i="6"/>
  <c r="G4056" i="6" s="1"/>
  <c r="G4058" i="6"/>
  <c r="G4063" i="6" s="1"/>
  <c r="G4065" i="6"/>
  <c r="G4066" i="6"/>
  <c r="G4072" i="6"/>
  <c r="G4076" i="6" s="1"/>
  <c r="G4078" i="6"/>
  <c r="G4081" i="6" s="1"/>
  <c r="G4083" i="6"/>
  <c r="G4084" i="6"/>
  <c r="G4096" i="6" s="1"/>
  <c r="F662" i="2" s="1"/>
  <c r="G4098" i="6"/>
  <c r="G4099" i="6"/>
  <c r="G4104" i="6"/>
  <c r="G4107" i="6" s="1"/>
  <c r="G4109" i="6"/>
  <c r="G4112" i="6" s="1"/>
  <c r="G4114" i="6"/>
  <c r="G4117" i="6" s="1"/>
  <c r="G4119" i="6"/>
  <c r="G4122" i="6" s="1"/>
  <c r="G4124" i="6"/>
  <c r="G4127" i="6" s="1"/>
  <c r="G4129" i="6"/>
  <c r="G4130" i="6"/>
  <c r="G4137" i="6"/>
  <c r="G4144" i="6" s="1"/>
  <c r="F674" i="2" s="1"/>
  <c r="G4146" i="6"/>
  <c r="G4153" i="6"/>
  <c r="G4154" i="6"/>
  <c r="G4160" i="6" s="1"/>
  <c r="F677" i="2" s="1"/>
  <c r="G4162" i="6"/>
  <c r="G4163" i="6"/>
  <c r="G4171" i="6" s="1"/>
  <c r="G4173" i="6"/>
  <c r="G4179" i="6" s="1"/>
  <c r="F496" i="2" s="1"/>
  <c r="G4181" i="6"/>
  <c r="G4182" i="6"/>
  <c r="G4189" i="6"/>
  <c r="G4193" i="6" s="1"/>
  <c r="G4195" i="6"/>
  <c r="G4202" i="6"/>
  <c r="G4203" i="6"/>
  <c r="G4207" i="6" s="1"/>
  <c r="G4209" i="6"/>
  <c r="G4216" i="6"/>
  <c r="G4220" i="6" s="1"/>
  <c r="F608" i="2" s="1"/>
  <c r="G4222" i="6"/>
  <c r="G4229" i="6"/>
  <c r="G4233" i="6" s="1"/>
  <c r="F690" i="2" s="1"/>
  <c r="G4235" i="6"/>
  <c r="G4241" i="6" s="1"/>
  <c r="G4243" i="6"/>
  <c r="G4248" i="6" s="1"/>
  <c r="G4250" i="6"/>
  <c r="G4256" i="6" s="1"/>
  <c r="G4258" i="6"/>
  <c r="G4264" i="6" s="1"/>
  <c r="G4266" i="6"/>
  <c r="G4267" i="6"/>
  <c r="G4274" i="6"/>
  <c r="G4279" i="6" s="1"/>
  <c r="G4281" i="6"/>
  <c r="G4288" i="6"/>
  <c r="G4295" i="6"/>
  <c r="G4298" i="6" s="1"/>
  <c r="G4300" i="6"/>
  <c r="G4307" i="6"/>
  <c r="G4314" i="6"/>
  <c r="G4318" i="6" s="1"/>
  <c r="G4320" i="6"/>
  <c r="G4324" i="6" s="1"/>
  <c r="G4326" i="6"/>
  <c r="G4329" i="6" s="1"/>
  <c r="G4331" i="6"/>
  <c r="G4334" i="6" s="1"/>
  <c r="G4336" i="6"/>
  <c r="G4341" i="6" s="1"/>
  <c r="G4343" i="6"/>
  <c r="G4348" i="6" s="1"/>
  <c r="G4350" i="6"/>
  <c r="G4355" i="6" s="1"/>
  <c r="G4357" i="6"/>
  <c r="G4362" i="6" s="1"/>
  <c r="G4364" i="6"/>
  <c r="G4369" i="6" s="1"/>
  <c r="G4371" i="6"/>
  <c r="G4376" i="6" s="1"/>
  <c r="G4378" i="6"/>
  <c r="G4383" i="6" s="1"/>
  <c r="G4385" i="6"/>
  <c r="G4390" i="6" s="1"/>
  <c r="G4392" i="6"/>
  <c r="G4397" i="6" s="1"/>
  <c r="G4399" i="6"/>
  <c r="G4403" i="6" s="1"/>
  <c r="I4403" i="6" s="1"/>
  <c r="K4403" i="6" s="1"/>
  <c r="G4405" i="6"/>
  <c r="G4412" i="6"/>
  <c r="G4416" i="6" s="1"/>
  <c r="G4418" i="6"/>
  <c r="G4422" i="6" s="1"/>
  <c r="G4424" i="6"/>
  <c r="G4431" i="6"/>
  <c r="G4435" i="6" s="1"/>
  <c r="G4437" i="6"/>
  <c r="G4441" i="6" s="1"/>
  <c r="G4443" i="6"/>
  <c r="G4447" i="6" s="1"/>
  <c r="G4449" i="6"/>
  <c r="G4450" i="6"/>
  <c r="G4455" i="6"/>
  <c r="G4462" i="6"/>
  <c r="G4469" i="6"/>
  <c r="G4476" i="6"/>
  <c r="G4483" i="6"/>
  <c r="G4487" i="6" s="1"/>
  <c r="G4489" i="6"/>
  <c r="G4493" i="6" s="1"/>
  <c r="G4495" i="6"/>
  <c r="G4499" i="6" s="1"/>
  <c r="G4501" i="6"/>
  <c r="G4505" i="6" s="1"/>
  <c r="G4507" i="6"/>
  <c r="G4517" i="6"/>
  <c r="G4521" i="6" s="1"/>
  <c r="G4523" i="6"/>
  <c r="G4530" i="6"/>
  <c r="G4531" i="6"/>
  <c r="G4532" i="6"/>
  <c r="G4537" i="6"/>
  <c r="G4545" i="6" s="1"/>
  <c r="G4547" i="6"/>
  <c r="G4552" i="6" s="1"/>
  <c r="G4554" i="6"/>
  <c r="G4559" i="6" s="1"/>
  <c r="G4561" i="6"/>
  <c r="G4566" i="6" s="1"/>
  <c r="G4568" i="6"/>
  <c r="G4569" i="6"/>
  <c r="G4575" i="6"/>
  <c r="G4579" i="6" s="1"/>
  <c r="G4581" i="6"/>
  <c r="G4585" i="6" s="1"/>
  <c r="F747" i="2" s="1"/>
  <c r="G4587" i="6"/>
  <c r="G4591" i="6" s="1"/>
  <c r="F748" i="2" s="1"/>
  <c r="G4593" i="6"/>
  <c r="G4596" i="6" s="1"/>
  <c r="G4598" i="6"/>
  <c r="G4599" i="6"/>
  <c r="G4605" i="6"/>
  <c r="G4606" i="6"/>
  <c r="G4621" i="6"/>
  <c r="G4624" i="6" s="1"/>
  <c r="F758" i="2" s="1"/>
  <c r="G4626" i="6"/>
  <c r="G4627" i="6"/>
  <c r="G4632" i="6"/>
  <c r="G4644" i="6" s="1"/>
  <c r="G4646" i="6"/>
  <c r="G4651" i="6" s="1"/>
  <c r="G4653" i="6"/>
  <c r="G4657" i="6" s="1"/>
  <c r="G4659" i="6"/>
  <c r="G4664" i="6" s="1"/>
  <c r="G4666" i="6"/>
  <c r="G4668" i="6" s="1"/>
  <c r="G4670" i="6"/>
  <c r="G4675" i="6" s="1"/>
  <c r="G4677" i="6"/>
  <c r="G4678" i="6"/>
  <c r="G4688" i="6"/>
  <c r="G4699" i="6" s="1"/>
  <c r="G4701" i="6"/>
  <c r="G4709" i="6" s="1"/>
  <c r="G4711" i="6"/>
  <c r="G4717" i="6" s="1"/>
  <c r="G4719" i="6"/>
  <c r="G4725" i="6" s="1"/>
  <c r="G4727" i="6"/>
  <c r="G4733" i="6" s="1"/>
  <c r="G4735" i="6"/>
  <c r="G4740" i="6" s="1"/>
  <c r="G4742" i="6"/>
  <c r="G4751" i="6"/>
  <c r="G4752" i="6"/>
  <c r="G4760" i="6" s="1"/>
  <c r="G4762" i="6"/>
  <c r="G4768" i="6" s="1"/>
  <c r="G4770" i="6"/>
  <c r="G4779" i="6" s="1"/>
  <c r="G4781" i="6"/>
  <c r="G4787" i="6" s="1"/>
  <c r="G4789" i="6"/>
  <c r="G4795" i="6" s="1"/>
  <c r="G4797" i="6"/>
  <c r="G4807" i="6" s="1"/>
  <c r="G4809" i="6"/>
  <c r="G4810" i="6"/>
  <c r="G4819" i="6"/>
  <c r="G4830" i="6"/>
  <c r="G4831" i="6"/>
  <c r="G4840" i="6"/>
  <c r="G4847" i="6" s="1"/>
  <c r="G4849" i="6"/>
  <c r="G4859" i="6" s="1"/>
  <c r="G4861" i="6"/>
  <c r="G4871" i="6" s="1"/>
  <c r="G4873" i="6"/>
  <c r="G4883" i="6" s="1"/>
  <c r="G4885" i="6"/>
  <c r="G4886" i="6"/>
  <c r="G4893" i="6"/>
  <c r="G4900" i="6"/>
  <c r="G4907" i="6"/>
  <c r="G4914" i="6"/>
  <c r="G4915" i="6"/>
  <c r="G4919" i="6" s="1"/>
  <c r="G4921" i="6"/>
  <c r="G4925" i="6" s="1"/>
  <c r="G4927" i="6"/>
  <c r="G4933" i="6" s="1"/>
  <c r="F800" i="2" s="1"/>
  <c r="G4935" i="6"/>
  <c r="G4936" i="6"/>
  <c r="G4942" i="6" s="1"/>
  <c r="F802" i="2" s="1"/>
  <c r="G4944" i="6"/>
  <c r="G4953" i="6"/>
  <c r="G4962" i="6" s="1"/>
  <c r="G4964" i="6"/>
  <c r="G4973" i="6"/>
  <c r="G4979" i="6" s="1"/>
  <c r="G4981" i="6"/>
  <c r="G4982" i="6"/>
  <c r="G4989" i="6"/>
  <c r="G4990" i="6"/>
  <c r="G4996" i="6"/>
  <c r="G5000" i="6" s="1"/>
  <c r="G5002" i="6"/>
  <c r="G5009" i="6"/>
  <c r="G5013" i="6" s="1"/>
  <c r="F688" i="2" s="1"/>
  <c r="G5015" i="6"/>
  <c r="G5022" i="6"/>
  <c r="G5026" i="6" s="1"/>
  <c r="F815" i="2" s="1"/>
  <c r="G5028" i="6"/>
  <c r="G5034" i="6" s="1"/>
  <c r="G5036" i="6"/>
  <c r="G5042" i="6" s="1"/>
  <c r="G5044" i="6"/>
  <c r="G5050" i="6"/>
  <c r="G5054" i="6" s="1"/>
  <c r="G5056" i="6"/>
  <c r="G5057" i="6"/>
  <c r="G5063" i="6"/>
  <c r="G5065" i="6" s="1"/>
  <c r="G5067" i="6"/>
  <c r="G5072" i="6" s="1"/>
  <c r="G5074" i="6"/>
  <c r="G5079" i="6" s="1"/>
  <c r="G5081" i="6"/>
  <c r="G5086" i="6" s="1"/>
  <c r="G5088" i="6"/>
  <c r="G5092" i="6" s="1"/>
  <c r="G5094" i="6"/>
  <c r="G5096" i="6" s="1"/>
  <c r="G5098" i="6"/>
  <c r="G5100" i="6" s="1"/>
  <c r="G5102" i="6"/>
  <c r="G5113" i="6" s="1"/>
  <c r="G5115" i="6"/>
  <c r="G5126" i="6" s="1"/>
  <c r="G5128" i="6"/>
  <c r="G5133" i="6" s="1"/>
  <c r="G5135" i="6"/>
  <c r="G5142" i="6"/>
  <c r="G5147" i="6" s="1"/>
  <c r="G5149" i="6"/>
  <c r="G5156" i="6"/>
  <c r="G5163" i="6"/>
  <c r="G5166" i="6" s="1"/>
  <c r="G5168" i="6"/>
  <c r="G5172" i="6" s="1"/>
  <c r="G5174" i="6"/>
  <c r="G5178" i="6" s="1"/>
  <c r="G5180" i="6"/>
  <c r="G5187" i="6"/>
  <c r="G5191" i="6" s="1"/>
  <c r="G5193" i="6"/>
  <c r="G5196" i="6" s="1"/>
  <c r="G5198" i="6"/>
  <c r="G5201" i="6" s="1"/>
  <c r="G5203" i="6"/>
  <c r="G5206" i="6" s="1"/>
  <c r="G5208" i="6"/>
  <c r="G5211" i="6" s="1"/>
  <c r="G5213" i="6"/>
  <c r="G5216" i="6" s="1"/>
  <c r="G5218" i="6"/>
  <c r="G5224" i="6"/>
  <c r="G5229" i="6" s="1"/>
  <c r="G5231" i="6"/>
  <c r="G5235" i="6" s="1"/>
  <c r="G5237" i="6"/>
  <c r="G5242" i="6" s="1"/>
  <c r="G5244" i="6"/>
  <c r="G5248" i="6" s="1"/>
  <c r="G5250" i="6"/>
  <c r="G5255" i="6" s="1"/>
  <c r="G5258" i="6"/>
  <c r="G5263" i="6" s="1"/>
  <c r="G5265" i="6"/>
  <c r="G5270" i="6" s="1"/>
  <c r="G5272" i="6"/>
  <c r="G5277" i="6" s="1"/>
  <c r="G5279" i="6"/>
  <c r="G5284" i="6" s="1"/>
  <c r="G5286" i="6"/>
  <c r="G5290" i="6" s="1"/>
  <c r="F856" i="2" s="1"/>
  <c r="G5292" i="6"/>
  <c r="G5296" i="6" s="1"/>
  <c r="F857" i="2" s="1"/>
  <c r="G5298" i="6"/>
  <c r="G5305" i="6"/>
  <c r="G5309" i="6" s="1"/>
  <c r="G5311" i="6"/>
  <c r="G5315" i="6" s="1"/>
  <c r="G5317" i="6"/>
  <c r="G5324" i="6"/>
  <c r="G5331" i="6"/>
  <c r="G5335" i="6" s="1"/>
  <c r="G5337" i="6"/>
  <c r="G5338" i="6"/>
  <c r="G5345" i="6"/>
  <c r="G5348" i="6" s="1"/>
  <c r="G5350" i="6"/>
  <c r="G5357" i="6"/>
  <c r="G5364" i="6"/>
  <c r="G5368" i="6" s="1"/>
  <c r="G5370" i="6"/>
  <c r="G5374" i="6" s="1"/>
  <c r="G5377" i="6"/>
  <c r="G5381" i="6" s="1"/>
  <c r="G5383" i="6"/>
  <c r="G5387" i="6" s="1"/>
  <c r="G5389" i="6"/>
  <c r="G5399" i="6"/>
  <c r="G5403" i="6" s="1"/>
  <c r="G5405" i="6"/>
  <c r="G5409" i="6" s="1"/>
  <c r="G5411" i="6"/>
  <c r="G5418" i="6"/>
  <c r="G5419" i="6"/>
  <c r="G5420" i="6"/>
  <c r="G5425" i="6"/>
  <c r="G5431" i="6" s="1"/>
  <c r="G5433" i="6"/>
  <c r="G5438" i="6" s="1"/>
  <c r="G5440" i="6"/>
  <c r="G5445" i="6" s="1"/>
  <c r="G5447" i="6"/>
  <c r="G5452" i="6" s="1"/>
  <c r="G5454" i="6"/>
  <c r="G5459" i="6" s="1"/>
  <c r="G5461" i="6"/>
  <c r="G5462" i="6"/>
  <c r="G5474" i="6"/>
  <c r="G5481" i="6" s="1"/>
  <c r="G5483" i="6"/>
  <c r="G5490" i="6" s="1"/>
  <c r="G5492" i="6"/>
  <c r="G5498" i="6" s="1"/>
  <c r="G5500" i="6"/>
  <c r="G5501" i="6"/>
  <c r="G5515" i="6"/>
  <c r="G5516" i="6"/>
  <c r="G5520" i="6"/>
  <c r="G5523" i="6" s="1"/>
  <c r="G5525" i="6"/>
  <c r="G5528" i="6" s="1"/>
  <c r="G10" i="6"/>
  <c r="G85" i="6" s="1"/>
  <c r="G2241" i="6" l="1"/>
  <c r="I2241" i="6" s="1"/>
  <c r="J2241" i="6" s="1"/>
  <c r="G5513" i="6"/>
  <c r="F891" i="2" s="1"/>
  <c r="G1704" i="6"/>
  <c r="F260" i="2" s="1"/>
  <c r="G3029" i="6"/>
  <c r="F484" i="2" s="1"/>
  <c r="G3651" i="6"/>
  <c r="F583" i="2" s="1"/>
  <c r="G2440" i="6"/>
  <c r="F387" i="2" s="1"/>
  <c r="G1781" i="6"/>
  <c r="F277" i="2" s="1"/>
  <c r="G4891" i="6"/>
  <c r="F793" i="2" s="1"/>
  <c r="G4618" i="6"/>
  <c r="F754" i="2" s="1"/>
  <c r="G4135" i="6"/>
  <c r="F673" i="2" s="1"/>
  <c r="G2543" i="6"/>
  <c r="F402" i="2" s="1"/>
  <c r="G2378" i="6"/>
  <c r="F372" i="2" s="1"/>
  <c r="F242" i="2"/>
  <c r="F354" i="2"/>
  <c r="F178" i="2"/>
  <c r="F183" i="2"/>
  <c r="G4838" i="6"/>
  <c r="G4817" i="6"/>
  <c r="G4686" i="6"/>
  <c r="G4630" i="6"/>
  <c r="G5518" i="6"/>
  <c r="G5472" i="6"/>
  <c r="G5061" i="6"/>
  <c r="G4994" i="6"/>
  <c r="G3557" i="6"/>
  <c r="G2424" i="6"/>
  <c r="G2292" i="6"/>
  <c r="G3990" i="6"/>
  <c r="F223" i="2" s="1"/>
  <c r="G4515" i="6"/>
  <c r="F338" i="2" s="1"/>
  <c r="G2794" i="6"/>
  <c r="F114" i="2" s="1"/>
  <c r="G2164" i="6"/>
  <c r="F873" i="2" s="1"/>
  <c r="G5397" i="6"/>
  <c r="F441" i="2" s="1"/>
  <c r="G4102" i="6"/>
  <c r="F666" i="2" s="1"/>
  <c r="G4573" i="6"/>
  <c r="G4070" i="6"/>
  <c r="G2888" i="6"/>
  <c r="G4535" i="6"/>
  <c r="G1488" i="6"/>
  <c r="G4031" i="6"/>
  <c r="G2190" i="6"/>
  <c r="G3414" i="6"/>
  <c r="G2813" i="6"/>
  <c r="G3348" i="6"/>
  <c r="G3947" i="6"/>
  <c r="G5423" i="6"/>
  <c r="G4453" i="6"/>
  <c r="G4987" i="6"/>
  <c r="G3112" i="6"/>
  <c r="G4187" i="6"/>
  <c r="G1838" i="6"/>
  <c r="G1710" i="6"/>
  <c r="G3662" i="6"/>
  <c r="G2384" i="6"/>
  <c r="G3682" i="6"/>
  <c r="G2404" i="6"/>
  <c r="G2996" i="6"/>
  <c r="C6" i="3"/>
  <c r="F20" i="5"/>
  <c r="F19" i="5"/>
  <c r="F18" i="5"/>
  <c r="C20" i="5"/>
  <c r="C24" i="5" s="1"/>
  <c r="F21" i="5" s="1"/>
  <c r="E692" i="2"/>
  <c r="E612" i="2"/>
  <c r="E510" i="2"/>
  <c r="E409" i="2"/>
  <c r="G369" i="2"/>
  <c r="L369" i="2"/>
  <c r="E369" i="2" s="1"/>
  <c r="E298" i="2"/>
  <c r="E181" i="2"/>
  <c r="E73" i="2"/>
  <c r="C14" i="5"/>
  <c r="A45" i="5"/>
  <c r="H9" i="5"/>
  <c r="H8" i="5"/>
  <c r="G8" i="5"/>
  <c r="H7" i="5"/>
  <c r="G7" i="5"/>
  <c r="H6" i="5"/>
  <c r="G6" i="5"/>
  <c r="C6" i="5"/>
  <c r="H11" i="5" l="1"/>
  <c r="H21" i="5"/>
  <c r="F11" i="5"/>
  <c r="H22" i="5"/>
  <c r="H23" i="5" s="1"/>
  <c r="C26" i="5" s="1"/>
  <c r="H369" i="2"/>
  <c r="G9" i="5"/>
  <c r="H12" i="5"/>
  <c r="H14" i="5" s="1"/>
  <c r="D2" i="7" l="1"/>
  <c r="F4" i="6"/>
  <c r="F12" i="5"/>
  <c r="F13" i="5" s="1"/>
  <c r="H13" i="5"/>
  <c r="G144" i="4" l="1"/>
  <c r="G158" i="4"/>
  <c r="G157" i="4"/>
  <c r="G156" i="4"/>
  <c r="G150" i="4"/>
  <c r="G748" i="2"/>
  <c r="H748" i="2" s="1"/>
  <c r="G747" i="2"/>
  <c r="H747" i="2" s="1"/>
  <c r="G576" i="2"/>
  <c r="H576" i="2" s="1"/>
  <c r="G575" i="2"/>
  <c r="H575" i="2" s="1"/>
  <c r="G464" i="2"/>
  <c r="H464" i="2" s="1"/>
  <c r="G463" i="2"/>
  <c r="H463" i="2" s="1"/>
  <c r="G365" i="2"/>
  <c r="H365" i="2" s="1"/>
  <c r="G364" i="2"/>
  <c r="H364" i="2" s="1"/>
  <c r="G253" i="2"/>
  <c r="H253" i="2" s="1"/>
  <c r="G252" i="2"/>
  <c r="H252" i="2" s="1"/>
  <c r="G135" i="2"/>
  <c r="H135" i="2" s="1"/>
  <c r="G134" i="2"/>
  <c r="H134" i="2" s="1"/>
  <c r="G151" i="4"/>
  <c r="G152" i="4"/>
  <c r="G153" i="4" s="1"/>
  <c r="G149" i="4" s="1"/>
  <c r="G159" i="4" l="1"/>
  <c r="G155" i="4" s="1"/>
  <c r="E816" i="2"/>
  <c r="G816" i="2"/>
  <c r="G691" i="2"/>
  <c r="E691" i="2"/>
  <c r="G611" i="2"/>
  <c r="E611" i="2"/>
  <c r="G509" i="2"/>
  <c r="E509" i="2"/>
  <c r="G408" i="2"/>
  <c r="E408" i="2"/>
  <c r="G180" i="2"/>
  <c r="E180" i="2"/>
  <c r="E297" i="2"/>
  <c r="G297" i="2"/>
  <c r="E72" i="2"/>
  <c r="G29" i="2"/>
  <c r="H29" i="2" s="1"/>
  <c r="G145" i="4"/>
  <c r="G143" i="4"/>
  <c r="G146" i="4" l="1"/>
  <c r="H611" i="2"/>
  <c r="H816" i="2"/>
  <c r="H180" i="2"/>
  <c r="H691" i="2"/>
  <c r="H509" i="2"/>
  <c r="H408" i="2"/>
  <c r="H297" i="2"/>
  <c r="G142" i="4"/>
  <c r="L181" i="2"/>
  <c r="L73" i="2"/>
  <c r="G692" i="2"/>
  <c r="H692" i="2" s="1"/>
  <c r="G612" i="2"/>
  <c r="H612" i="2" s="1"/>
  <c r="G510" i="2"/>
  <c r="H510" i="2" s="1"/>
  <c r="G409" i="2"/>
  <c r="H409" i="2" s="1"/>
  <c r="G298" i="2"/>
  <c r="H298" i="2" s="1"/>
  <c r="G181" i="2"/>
  <c r="H181" i="2" s="1"/>
  <c r="G73" i="2"/>
  <c r="H73" i="2" s="1"/>
  <c r="G39" i="2" l="1"/>
  <c r="H39" i="2" s="1"/>
  <c r="B9" i="3"/>
  <c r="J27" i="2"/>
  <c r="J26" i="2"/>
  <c r="J28" i="2" l="1"/>
  <c r="E28" i="2" s="1"/>
  <c r="G793" i="2" l="1"/>
  <c r="H793" i="2" s="1"/>
  <c r="G758" i="2"/>
  <c r="H758" i="2" s="1"/>
  <c r="G707" i="2"/>
  <c r="H707" i="2" s="1"/>
  <c r="G708" i="2"/>
  <c r="H708" i="2" s="1"/>
  <c r="G709" i="2"/>
  <c r="H709" i="2" s="1"/>
  <c r="G710" i="2"/>
  <c r="H710" i="2" s="1"/>
  <c r="G711" i="2"/>
  <c r="H711" i="2" s="1"/>
  <c r="G712" i="2"/>
  <c r="H712" i="2" s="1"/>
  <c r="G713" i="2"/>
  <c r="H713" i="2" s="1"/>
  <c r="G714" i="2"/>
  <c r="H714" i="2" s="1"/>
  <c r="G93" i="2"/>
  <c r="H93" i="2" s="1"/>
  <c r="G94" i="2"/>
  <c r="H94" i="2" s="1"/>
  <c r="G95" i="2"/>
  <c r="H95" i="2" s="1"/>
  <c r="G96" i="2"/>
  <c r="H96" i="2" s="1"/>
  <c r="G671" i="2"/>
  <c r="H671" i="2" s="1"/>
  <c r="G670" i="2"/>
  <c r="H670" i="2" s="1"/>
  <c r="G669" i="2"/>
  <c r="G668" i="2"/>
  <c r="H668" i="2" s="1"/>
  <c r="G667" i="2"/>
  <c r="G666" i="2"/>
  <c r="H666" i="2" s="1"/>
  <c r="G626" i="2"/>
  <c r="H626" i="2" s="1"/>
  <c r="G627" i="2"/>
  <c r="H627" i="2" s="1"/>
  <c r="G628" i="2"/>
  <c r="H628" i="2" s="1"/>
  <c r="G629" i="2"/>
  <c r="H629" i="2" s="1"/>
  <c r="G630" i="2"/>
  <c r="H630" i="2" s="1"/>
  <c r="G631" i="2"/>
  <c r="H631" i="2" s="1"/>
  <c r="G632" i="2"/>
  <c r="H632" i="2" s="1"/>
  <c r="G633" i="2"/>
  <c r="H633" i="2" s="1"/>
  <c r="I757" i="2" l="1"/>
  <c r="L758" i="2"/>
  <c r="H667" i="2"/>
  <c r="H669" i="2"/>
  <c r="G68" i="4"/>
  <c r="F897" i="2" s="1"/>
  <c r="M758" i="2" l="1"/>
  <c r="I665" i="2"/>
  <c r="L665" i="2"/>
  <c r="G592" i="2"/>
  <c r="H592" i="2" s="1"/>
  <c r="G591" i="2"/>
  <c r="H591" i="2" s="1"/>
  <c r="G590" i="2"/>
  <c r="H590" i="2" s="1"/>
  <c r="G589" i="2"/>
  <c r="H589" i="2" s="1"/>
  <c r="G588" i="2"/>
  <c r="H588" i="2" s="1"/>
  <c r="G587" i="2"/>
  <c r="H587" i="2" s="1"/>
  <c r="M665" i="2" l="1"/>
  <c r="L586" i="2"/>
  <c r="I586" i="2"/>
  <c r="M586" i="2" s="1"/>
  <c r="J398" i="2"/>
  <c r="J495" i="2"/>
  <c r="G442" i="2" l="1"/>
  <c r="H442" i="2" s="1"/>
  <c r="G441" i="2"/>
  <c r="H441" i="2" s="1"/>
  <c r="G440" i="2"/>
  <c r="H440" i="2" s="1"/>
  <c r="G435" i="2"/>
  <c r="H435" i="2" s="1"/>
  <c r="G426" i="2"/>
  <c r="H426" i="2" s="1"/>
  <c r="G427" i="2"/>
  <c r="H427" i="2" s="1"/>
  <c r="G428" i="2"/>
  <c r="H428" i="2" s="1"/>
  <c r="G429" i="2"/>
  <c r="H429" i="2" s="1"/>
  <c r="G430" i="2"/>
  <c r="H430" i="2" s="1"/>
  <c r="G431" i="2"/>
  <c r="H431" i="2" s="1"/>
  <c r="L278" i="2"/>
  <c r="L284" i="2"/>
  <c r="L296" i="2"/>
  <c r="L299" i="2"/>
  <c r="L388" i="2"/>
  <c r="L390" i="2"/>
  <c r="L394" i="2"/>
  <c r="L400" i="2"/>
  <c r="L404" i="2"/>
  <c r="L405" i="2" s="1"/>
  <c r="L406" i="2"/>
  <c r="L407" i="2"/>
  <c r="L410" i="2"/>
  <c r="K420" i="2"/>
  <c r="L420" i="2"/>
  <c r="K433" i="2"/>
  <c r="L485" i="2"/>
  <c r="L503" i="2"/>
  <c r="L511" i="2"/>
  <c r="L594" i="2"/>
  <c r="L595" i="2"/>
  <c r="K616" i="2"/>
  <c r="L674" i="2"/>
  <c r="L675" i="2" s="1"/>
  <c r="L689" i="2"/>
  <c r="E689" i="2" s="1"/>
  <c r="K765" i="2"/>
  <c r="L765" i="2"/>
  <c r="K834" i="2"/>
  <c r="K835" i="2"/>
  <c r="G896" i="2"/>
  <c r="H896" i="2" s="1"/>
  <c r="G897" i="2"/>
  <c r="H897" i="2" s="1"/>
  <c r="G895" i="2"/>
  <c r="H895" i="2" s="1"/>
  <c r="N894" i="2"/>
  <c r="J895" i="2"/>
  <c r="L895" i="2" l="1"/>
  <c r="I894" i="2"/>
  <c r="L835" i="2"/>
  <c r="G93" i="4"/>
  <c r="G94" i="4" s="1"/>
  <c r="G90" i="4"/>
  <c r="G89" i="4"/>
  <c r="G131" i="4"/>
  <c r="G132" i="4" s="1"/>
  <c r="G128" i="4"/>
  <c r="G127" i="4"/>
  <c r="G119" i="4"/>
  <c r="G120" i="4" s="1"/>
  <c r="G116" i="4"/>
  <c r="G115" i="4"/>
  <c r="G192" i="4"/>
  <c r="G188" i="4"/>
  <c r="G187" i="4"/>
  <c r="G105" i="4"/>
  <c r="G106" i="4" s="1"/>
  <c r="G102" i="4"/>
  <c r="G101" i="4"/>
  <c r="G81" i="4"/>
  <c r="G80" i="4"/>
  <c r="G82" i="4" s="1"/>
  <c r="G77" i="4"/>
  <c r="G76" i="4"/>
  <c r="G138" i="4"/>
  <c r="G137" i="4"/>
  <c r="H139" i="4" s="1"/>
  <c r="G64" i="4"/>
  <c r="G63" i="4"/>
  <c r="G59" i="4"/>
  <c r="G58" i="4"/>
  <c r="G57" i="4"/>
  <c r="G52" i="4"/>
  <c r="G51" i="4"/>
  <c r="G43" i="4"/>
  <c r="G42" i="4"/>
  <c r="G31" i="4"/>
  <c r="G30" i="4"/>
  <c r="G29" i="4"/>
  <c r="G28" i="4"/>
  <c r="G27" i="4"/>
  <c r="G26" i="4"/>
  <c r="G25" i="4"/>
  <c r="G20" i="4"/>
  <c r="G19" i="4"/>
  <c r="G18" i="4"/>
  <c r="G17" i="4"/>
  <c r="G16" i="4"/>
  <c r="G15" i="4"/>
  <c r="G14" i="4"/>
  <c r="G9" i="4"/>
  <c r="G8" i="4"/>
  <c r="G7" i="4"/>
  <c r="G6" i="4"/>
  <c r="G5" i="4"/>
  <c r="G4" i="4"/>
  <c r="G3" i="4"/>
  <c r="AF29" i="3"/>
  <c r="AA27" i="3"/>
  <c r="Y27" i="3"/>
  <c r="AC25" i="3"/>
  <c r="AC23" i="3"/>
  <c r="AC21" i="3"/>
  <c r="AC19" i="3"/>
  <c r="AC17" i="3"/>
  <c r="AC15" i="3"/>
  <c r="AC13" i="3"/>
  <c r="AC11" i="3"/>
  <c r="AC9" i="3"/>
  <c r="AG8" i="3"/>
  <c r="A5" i="3"/>
  <c r="A4" i="3"/>
  <c r="J901" i="2"/>
  <c r="J899" i="2"/>
  <c r="G891" i="2"/>
  <c r="H891" i="2" s="1"/>
  <c r="G889" i="2"/>
  <c r="E889" i="2"/>
  <c r="G888" i="2"/>
  <c r="E888" i="2"/>
  <c r="G887" i="2"/>
  <c r="E887" i="2"/>
  <c r="G886" i="2"/>
  <c r="E886" i="2"/>
  <c r="G884" i="2"/>
  <c r="E884" i="2"/>
  <c r="G883" i="2"/>
  <c r="E883" i="2"/>
  <c r="G882" i="2"/>
  <c r="E882" i="2"/>
  <c r="G881" i="2"/>
  <c r="E881" i="2"/>
  <c r="G880" i="2"/>
  <c r="E880" i="2"/>
  <c r="G879" i="2"/>
  <c r="G876" i="2"/>
  <c r="E876" i="2"/>
  <c r="G875" i="2"/>
  <c r="E875" i="2"/>
  <c r="G874" i="2"/>
  <c r="E874" i="2"/>
  <c r="G873" i="2"/>
  <c r="E873" i="2"/>
  <c r="G872" i="2"/>
  <c r="E872" i="2"/>
  <c r="G871" i="2"/>
  <c r="E871" i="2"/>
  <c r="G870" i="2"/>
  <c r="E870" i="2"/>
  <c r="G869" i="2"/>
  <c r="E869" i="2"/>
  <c r="G868" i="2"/>
  <c r="E868" i="2"/>
  <c r="J867" i="2"/>
  <c r="G867" i="2"/>
  <c r="H867" i="2" s="1"/>
  <c r="G866" i="2"/>
  <c r="E866" i="2"/>
  <c r="G865" i="2"/>
  <c r="E865" i="2"/>
  <c r="G863" i="2"/>
  <c r="E863" i="2"/>
  <c r="G862" i="2"/>
  <c r="E862" i="2"/>
  <c r="G861" i="2"/>
  <c r="E861" i="2"/>
  <c r="G860" i="2"/>
  <c r="E860" i="2"/>
  <c r="G859" i="2"/>
  <c r="E859" i="2"/>
  <c r="G858" i="2"/>
  <c r="E858" i="2"/>
  <c r="G857" i="2"/>
  <c r="E857" i="2"/>
  <c r="G856" i="2"/>
  <c r="E856" i="2"/>
  <c r="G855" i="2"/>
  <c r="E855" i="2"/>
  <c r="G854" i="2"/>
  <c r="E854" i="2"/>
  <c r="G853" i="2"/>
  <c r="E853" i="2"/>
  <c r="G852" i="2"/>
  <c r="E852" i="2"/>
  <c r="G851" i="2"/>
  <c r="E851" i="2"/>
  <c r="G850" i="2"/>
  <c r="E850" i="2"/>
  <c r="G849" i="2"/>
  <c r="E849" i="2"/>
  <c r="G848" i="2"/>
  <c r="E848" i="2"/>
  <c r="J847" i="2"/>
  <c r="E847" i="2" s="1"/>
  <c r="G847" i="2"/>
  <c r="G846" i="2"/>
  <c r="E846" i="2"/>
  <c r="G845" i="2"/>
  <c r="E845" i="2"/>
  <c r="G844" i="2"/>
  <c r="E844" i="2"/>
  <c r="G843" i="2"/>
  <c r="E843" i="2"/>
  <c r="G842" i="2"/>
  <c r="E842" i="2"/>
  <c r="G841" i="2"/>
  <c r="E841" i="2"/>
  <c r="J840" i="2"/>
  <c r="E840" i="2" s="1"/>
  <c r="G840" i="2"/>
  <c r="J839" i="2"/>
  <c r="E839" i="2" s="1"/>
  <c r="G839" i="2"/>
  <c r="J838" i="2"/>
  <c r="E838" i="2" s="1"/>
  <c r="G838" i="2"/>
  <c r="G837" i="2"/>
  <c r="J836" i="2"/>
  <c r="E836" i="2" s="1"/>
  <c r="G836" i="2"/>
  <c r="J835" i="2"/>
  <c r="E835" i="2" s="1"/>
  <c r="G835" i="2"/>
  <c r="J834" i="2"/>
  <c r="E834" i="2" s="1"/>
  <c r="G834" i="2"/>
  <c r="J833" i="2"/>
  <c r="E833" i="2" s="1"/>
  <c r="G833" i="2"/>
  <c r="J832" i="2"/>
  <c r="E832" i="2" s="1"/>
  <c r="G832" i="2"/>
  <c r="J831" i="2"/>
  <c r="E831" i="2" s="1"/>
  <c r="G831" i="2"/>
  <c r="G830" i="2"/>
  <c r="E830" i="2"/>
  <c r="G829" i="2"/>
  <c r="E829" i="2"/>
  <c r="G828" i="2"/>
  <c r="E828" i="2"/>
  <c r="G827" i="2"/>
  <c r="E827" i="2"/>
  <c r="G826" i="2"/>
  <c r="E826" i="2"/>
  <c r="J825" i="2"/>
  <c r="E825" i="2" s="1"/>
  <c r="G825" i="2"/>
  <c r="J824" i="2"/>
  <c r="E824" i="2" s="1"/>
  <c r="G824" i="2"/>
  <c r="J823" i="2"/>
  <c r="E823" i="2" s="1"/>
  <c r="G823" i="2"/>
  <c r="G822" i="2"/>
  <c r="E822" i="2"/>
  <c r="N821" i="2"/>
  <c r="G821" i="2"/>
  <c r="E821" i="2"/>
  <c r="G819" i="2"/>
  <c r="G818" i="2"/>
  <c r="G817" i="2"/>
  <c r="G815" i="2"/>
  <c r="J814" i="2"/>
  <c r="G814" i="2"/>
  <c r="G813" i="2"/>
  <c r="J812" i="2"/>
  <c r="G812" i="2"/>
  <c r="G811" i="2"/>
  <c r="J810" i="2"/>
  <c r="G810" i="2"/>
  <c r="G808" i="2"/>
  <c r="J806" i="2"/>
  <c r="E806" i="2" s="1"/>
  <c r="G806" i="2"/>
  <c r="J805" i="2"/>
  <c r="E805" i="2" s="1"/>
  <c r="G805" i="2"/>
  <c r="G804" i="2"/>
  <c r="E804" i="2"/>
  <c r="J803" i="2"/>
  <c r="E803" i="2" s="1"/>
  <c r="G803" i="2"/>
  <c r="J802" i="2"/>
  <c r="J819" i="2" s="1"/>
  <c r="E819" i="2" s="1"/>
  <c r="G802" i="2"/>
  <c r="J800" i="2"/>
  <c r="E800" i="2" s="1"/>
  <c r="G800" i="2"/>
  <c r="G799" i="2"/>
  <c r="G798" i="2"/>
  <c r="J796" i="2"/>
  <c r="G796" i="2"/>
  <c r="J795" i="2"/>
  <c r="E795" i="2" s="1"/>
  <c r="G795" i="2"/>
  <c r="J794" i="2"/>
  <c r="G794" i="2"/>
  <c r="G791" i="2"/>
  <c r="J790" i="2"/>
  <c r="E790" i="2" s="1"/>
  <c r="G790" i="2"/>
  <c r="J789" i="2"/>
  <c r="E789" i="2" s="1"/>
  <c r="G789" i="2"/>
  <c r="G788" i="2"/>
  <c r="E788" i="2"/>
  <c r="J787" i="2"/>
  <c r="J788" i="2" s="1"/>
  <c r="G787" i="2"/>
  <c r="E787" i="2"/>
  <c r="J785" i="2"/>
  <c r="E785" i="2" s="1"/>
  <c r="G785" i="2"/>
  <c r="J784" i="2"/>
  <c r="J798" i="2" s="1"/>
  <c r="G784" i="2"/>
  <c r="J782" i="2"/>
  <c r="E782" i="2" s="1"/>
  <c r="G782" i="2"/>
  <c r="G781" i="2"/>
  <c r="G780" i="2"/>
  <c r="J779" i="2"/>
  <c r="E779" i="2" s="1"/>
  <c r="G779" i="2"/>
  <c r="G778" i="2"/>
  <c r="J777" i="2"/>
  <c r="J778" i="2" s="1"/>
  <c r="E778" i="2" s="1"/>
  <c r="G777" i="2"/>
  <c r="J775" i="2"/>
  <c r="G775" i="2"/>
  <c r="H775" i="2" s="1"/>
  <c r="J774" i="2"/>
  <c r="E774" i="2" s="1"/>
  <c r="G774" i="2"/>
  <c r="G773" i="2"/>
  <c r="H773" i="2" s="1"/>
  <c r="G772" i="2"/>
  <c r="H772" i="2" s="1"/>
  <c r="G771" i="2"/>
  <c r="J770" i="2"/>
  <c r="G770" i="2"/>
  <c r="J769" i="2"/>
  <c r="E769" i="2" s="1"/>
  <c r="G769" i="2"/>
  <c r="J768" i="2"/>
  <c r="E768" i="2" s="1"/>
  <c r="G768" i="2"/>
  <c r="J766" i="2"/>
  <c r="E766" i="2" s="1"/>
  <c r="G766" i="2"/>
  <c r="G765" i="2"/>
  <c r="G764" i="2"/>
  <c r="J763" i="2"/>
  <c r="E763" i="2" s="1"/>
  <c r="G763" i="2"/>
  <c r="J762" i="2"/>
  <c r="J764" i="2" s="1"/>
  <c r="E764" i="2" s="1"/>
  <c r="G762" i="2"/>
  <c r="J761" i="2"/>
  <c r="G761" i="2"/>
  <c r="H761" i="2" s="1"/>
  <c r="J760" i="2"/>
  <c r="E760" i="2" s="1"/>
  <c r="G760" i="2"/>
  <c r="N757" i="2"/>
  <c r="G754" i="2"/>
  <c r="H754" i="2" s="1"/>
  <c r="G751" i="2"/>
  <c r="H751" i="2" s="1"/>
  <c r="G749" i="2"/>
  <c r="H749" i="2" s="1"/>
  <c r="G746" i="2"/>
  <c r="H746" i="2" s="1"/>
  <c r="G745" i="2"/>
  <c r="H745" i="2" s="1"/>
  <c r="G743" i="2"/>
  <c r="H743" i="2" s="1"/>
  <c r="G742" i="2"/>
  <c r="H742" i="2" s="1"/>
  <c r="G741" i="2"/>
  <c r="H741" i="2" s="1"/>
  <c r="G740" i="2"/>
  <c r="H740" i="2" s="1"/>
  <c r="G739" i="2"/>
  <c r="H739" i="2" s="1"/>
  <c r="G736" i="2"/>
  <c r="H736" i="2" s="1"/>
  <c r="G735" i="2"/>
  <c r="H735" i="2" s="1"/>
  <c r="G734" i="2"/>
  <c r="H734" i="2" s="1"/>
  <c r="G733" i="2"/>
  <c r="H733" i="2" s="1"/>
  <c r="G732" i="2"/>
  <c r="H732" i="2" s="1"/>
  <c r="G731" i="2"/>
  <c r="H731" i="2" s="1"/>
  <c r="G730" i="2"/>
  <c r="H730" i="2" s="1"/>
  <c r="G729" i="2"/>
  <c r="H729" i="2" s="1"/>
  <c r="G728" i="2"/>
  <c r="H728" i="2" s="1"/>
  <c r="G727" i="2"/>
  <c r="H727" i="2" s="1"/>
  <c r="G726" i="2"/>
  <c r="H726" i="2" s="1"/>
  <c r="G725" i="2"/>
  <c r="H725" i="2" s="1"/>
  <c r="G723" i="2"/>
  <c r="H723" i="2" s="1"/>
  <c r="G722" i="2"/>
  <c r="H722" i="2" s="1"/>
  <c r="G721" i="2"/>
  <c r="H721" i="2" s="1"/>
  <c r="G720" i="2"/>
  <c r="H720" i="2" s="1"/>
  <c r="G719" i="2"/>
  <c r="H719" i="2" s="1"/>
  <c r="G718" i="2"/>
  <c r="H718" i="2" s="1"/>
  <c r="G717" i="2"/>
  <c r="H717" i="2" s="1"/>
  <c r="G716" i="2"/>
  <c r="H716" i="2" s="1"/>
  <c r="G715" i="2"/>
  <c r="H715" i="2" s="1"/>
  <c r="G706" i="2"/>
  <c r="H706" i="2" s="1"/>
  <c r="G705" i="2"/>
  <c r="H705" i="2" s="1"/>
  <c r="G704" i="2"/>
  <c r="H704" i="2" s="1"/>
  <c r="G703" i="2"/>
  <c r="H703" i="2" s="1"/>
  <c r="G702" i="2"/>
  <c r="H702" i="2" s="1"/>
  <c r="G701" i="2"/>
  <c r="H701" i="2" s="1"/>
  <c r="G700" i="2"/>
  <c r="H700" i="2" s="1"/>
  <c r="G699" i="2"/>
  <c r="H699" i="2" s="1"/>
  <c r="G698" i="2"/>
  <c r="H698" i="2" s="1"/>
  <c r="G697" i="2"/>
  <c r="H697" i="2" s="1"/>
  <c r="G696" i="2"/>
  <c r="H696" i="2" s="1"/>
  <c r="G694" i="2"/>
  <c r="H694" i="2" s="1"/>
  <c r="G693" i="2"/>
  <c r="G690" i="2"/>
  <c r="G689" i="2"/>
  <c r="G688" i="2"/>
  <c r="H688" i="2" s="1"/>
  <c r="G687" i="2"/>
  <c r="E687" i="2"/>
  <c r="G686" i="2"/>
  <c r="E686" i="2"/>
  <c r="G684" i="2"/>
  <c r="H684" i="2" s="1"/>
  <c r="G683" i="2"/>
  <c r="H683" i="2" s="1"/>
  <c r="G682" i="2"/>
  <c r="H682" i="2" s="1"/>
  <c r="G680" i="2"/>
  <c r="E680" i="2"/>
  <c r="G679" i="2"/>
  <c r="E679" i="2"/>
  <c r="G677" i="2"/>
  <c r="E677" i="2"/>
  <c r="E675" i="2"/>
  <c r="G675" i="2"/>
  <c r="E674" i="2"/>
  <c r="G674" i="2"/>
  <c r="G673" i="2"/>
  <c r="H673" i="2" s="1"/>
  <c r="G662" i="2"/>
  <c r="H662" i="2" s="1"/>
  <c r="G659" i="2"/>
  <c r="H659" i="2" s="1"/>
  <c r="G658" i="2"/>
  <c r="H658" i="2" s="1"/>
  <c r="G657" i="2"/>
  <c r="H657" i="2" s="1"/>
  <c r="G655" i="2"/>
  <c r="H655" i="2" s="1"/>
  <c r="G654" i="2"/>
  <c r="H654" i="2" s="1"/>
  <c r="G653" i="2"/>
  <c r="H653" i="2" s="1"/>
  <c r="G652" i="2"/>
  <c r="H652" i="2" s="1"/>
  <c r="G651" i="2"/>
  <c r="H651" i="2" s="1"/>
  <c r="G648" i="2"/>
  <c r="H648" i="2" s="1"/>
  <c r="G647" i="2"/>
  <c r="H647" i="2" s="1"/>
  <c r="G646" i="2"/>
  <c r="H646" i="2" s="1"/>
  <c r="G645" i="2"/>
  <c r="H645" i="2" s="1"/>
  <c r="G643" i="2"/>
  <c r="H643" i="2" s="1"/>
  <c r="G642" i="2"/>
  <c r="H642" i="2" s="1"/>
  <c r="G641" i="2"/>
  <c r="H641" i="2" s="1"/>
  <c r="G640" i="2"/>
  <c r="H640" i="2" s="1"/>
  <c r="G639" i="2"/>
  <c r="H639" i="2" s="1"/>
  <c r="G638" i="2"/>
  <c r="H638" i="2" s="1"/>
  <c r="G636" i="2"/>
  <c r="H636" i="2" s="1"/>
  <c r="G635" i="2"/>
  <c r="H635" i="2" s="1"/>
  <c r="G634" i="2"/>
  <c r="H634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4" i="2"/>
  <c r="H614" i="2" s="1"/>
  <c r="G613" i="2"/>
  <c r="H613" i="2" s="1"/>
  <c r="J610" i="2"/>
  <c r="G610" i="2"/>
  <c r="H610" i="2" s="1"/>
  <c r="G609" i="2"/>
  <c r="H609" i="2" s="1"/>
  <c r="G608" i="2"/>
  <c r="H608" i="2" s="1"/>
  <c r="G607" i="2"/>
  <c r="H607" i="2" s="1"/>
  <c r="G605" i="2"/>
  <c r="H605" i="2" s="1"/>
  <c r="G604" i="2"/>
  <c r="H604" i="2" s="1"/>
  <c r="G603" i="2"/>
  <c r="H603" i="2" s="1"/>
  <c r="G602" i="2"/>
  <c r="H602" i="2" s="1"/>
  <c r="G600" i="2"/>
  <c r="E600" i="2"/>
  <c r="G599" i="2"/>
  <c r="E599" i="2"/>
  <c r="G597" i="2"/>
  <c r="E597" i="2"/>
  <c r="E595" i="2"/>
  <c r="G595" i="2"/>
  <c r="G594" i="2"/>
  <c r="E594" i="2"/>
  <c r="G583" i="2"/>
  <c r="H583" i="2" s="1"/>
  <c r="G580" i="2"/>
  <c r="H580" i="2" s="1"/>
  <c r="G579" i="2"/>
  <c r="H579" i="2" s="1"/>
  <c r="G577" i="2"/>
  <c r="E577" i="2"/>
  <c r="G574" i="2"/>
  <c r="E574" i="2"/>
  <c r="G573" i="2"/>
  <c r="E573" i="2"/>
  <c r="G572" i="2"/>
  <c r="E572" i="2"/>
  <c r="G571" i="2"/>
  <c r="E571" i="2"/>
  <c r="G570" i="2"/>
  <c r="E570" i="2"/>
  <c r="G569" i="2"/>
  <c r="E569" i="2"/>
  <c r="G568" i="2"/>
  <c r="E568" i="2"/>
  <c r="G567" i="2"/>
  <c r="E567" i="2"/>
  <c r="G566" i="2"/>
  <c r="E566" i="2"/>
  <c r="G565" i="2"/>
  <c r="E565" i="2"/>
  <c r="G563" i="2"/>
  <c r="E563" i="2"/>
  <c r="G562" i="2"/>
  <c r="E562" i="2"/>
  <c r="G561" i="2"/>
  <c r="E561" i="2"/>
  <c r="G560" i="2"/>
  <c r="E560" i="2"/>
  <c r="G559" i="2"/>
  <c r="E559" i="2"/>
  <c r="G558" i="2"/>
  <c r="E558" i="2"/>
  <c r="J557" i="2"/>
  <c r="E557" i="2" s="1"/>
  <c r="G557" i="2"/>
  <c r="G556" i="2"/>
  <c r="E556" i="2"/>
  <c r="G555" i="2"/>
  <c r="E555" i="2"/>
  <c r="G554" i="2"/>
  <c r="E554" i="2"/>
  <c r="G553" i="2"/>
  <c r="E553" i="2"/>
  <c r="G552" i="2"/>
  <c r="E552" i="2"/>
  <c r="G551" i="2"/>
  <c r="E551" i="2"/>
  <c r="J550" i="2"/>
  <c r="E550" i="2" s="1"/>
  <c r="G550" i="2"/>
  <c r="G547" i="2"/>
  <c r="H547" i="2" s="1"/>
  <c r="G546" i="2"/>
  <c r="H546" i="2" s="1"/>
  <c r="G545" i="2"/>
  <c r="H545" i="2" s="1"/>
  <c r="G544" i="2"/>
  <c r="H544" i="2" s="1"/>
  <c r="G543" i="2"/>
  <c r="H543" i="2" s="1"/>
  <c r="G542" i="2"/>
  <c r="H542" i="2" s="1"/>
  <c r="G541" i="2"/>
  <c r="H541" i="2" s="1"/>
  <c r="G540" i="2"/>
  <c r="H540" i="2" s="1"/>
  <c r="G539" i="2"/>
  <c r="H539" i="2" s="1"/>
  <c r="G538" i="2"/>
  <c r="H538" i="2" s="1"/>
  <c r="G536" i="2"/>
  <c r="H536" i="2" s="1"/>
  <c r="G535" i="2"/>
  <c r="H535" i="2" s="1"/>
  <c r="G534" i="2"/>
  <c r="H534" i="2" s="1"/>
  <c r="G533" i="2"/>
  <c r="H533" i="2" s="1"/>
  <c r="G532" i="2"/>
  <c r="H532" i="2" s="1"/>
  <c r="G531" i="2"/>
  <c r="H531" i="2" s="1"/>
  <c r="G530" i="2"/>
  <c r="H530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523" i="2"/>
  <c r="H523" i="2" s="1"/>
  <c r="G522" i="2"/>
  <c r="H522" i="2" s="1"/>
  <c r="G521" i="2"/>
  <c r="H521" i="2" s="1"/>
  <c r="G520" i="2"/>
  <c r="H520" i="2" s="1"/>
  <c r="G519" i="2"/>
  <c r="H519" i="2" s="1"/>
  <c r="G518" i="2"/>
  <c r="H518" i="2" s="1"/>
  <c r="G517" i="2"/>
  <c r="H517" i="2" s="1"/>
  <c r="G516" i="2"/>
  <c r="H516" i="2" s="1"/>
  <c r="G515" i="2"/>
  <c r="H515" i="2" s="1"/>
  <c r="G514" i="2"/>
  <c r="H514" i="2" s="1"/>
  <c r="J512" i="2"/>
  <c r="E512" i="2" s="1"/>
  <c r="G512" i="2"/>
  <c r="J511" i="2"/>
  <c r="E511" i="2" s="1"/>
  <c r="G511" i="2"/>
  <c r="G508" i="2"/>
  <c r="J507" i="2"/>
  <c r="J508" i="2" s="1"/>
  <c r="E508" i="2" s="1"/>
  <c r="G507" i="2"/>
  <c r="G506" i="2"/>
  <c r="J505" i="2"/>
  <c r="J506" i="2" s="1"/>
  <c r="E506" i="2" s="1"/>
  <c r="G505" i="2"/>
  <c r="G504" i="2"/>
  <c r="E504" i="2"/>
  <c r="J503" i="2"/>
  <c r="G503" i="2"/>
  <c r="G502" i="2"/>
  <c r="E502" i="2"/>
  <c r="G500" i="2"/>
  <c r="H500" i="2" s="1"/>
  <c r="G499" i="2"/>
  <c r="H499" i="2" s="1"/>
  <c r="G498" i="2"/>
  <c r="H498" i="2" s="1"/>
  <c r="J496" i="2"/>
  <c r="E496" i="2" s="1"/>
  <c r="G496" i="2"/>
  <c r="E495" i="2"/>
  <c r="G495" i="2"/>
  <c r="J494" i="2"/>
  <c r="E494" i="2" s="1"/>
  <c r="G494" i="2"/>
  <c r="M492" i="2"/>
  <c r="J492" i="2"/>
  <c r="E492" i="2" s="1"/>
  <c r="G492" i="2"/>
  <c r="J491" i="2"/>
  <c r="E491" i="2" s="1"/>
  <c r="G491" i="2"/>
  <c r="G489" i="2"/>
  <c r="G488" i="2"/>
  <c r="J487" i="2"/>
  <c r="J488" i="2" s="1"/>
  <c r="G487" i="2"/>
  <c r="J485" i="2"/>
  <c r="E485" i="2" s="1"/>
  <c r="G485" i="2"/>
  <c r="J484" i="2"/>
  <c r="E484" i="2" s="1"/>
  <c r="G484" i="2"/>
  <c r="G482" i="2"/>
  <c r="E482" i="2"/>
  <c r="G481" i="2"/>
  <c r="E481" i="2"/>
  <c r="J480" i="2"/>
  <c r="E480" i="2" s="1"/>
  <c r="G480" i="2"/>
  <c r="J479" i="2"/>
  <c r="E479" i="2" s="1"/>
  <c r="G479" i="2"/>
  <c r="J478" i="2"/>
  <c r="E478" i="2" s="1"/>
  <c r="G478" i="2"/>
  <c r="J477" i="2"/>
  <c r="E477" i="2" s="1"/>
  <c r="G477" i="2"/>
  <c r="J476" i="2"/>
  <c r="E476" i="2" s="1"/>
  <c r="G476" i="2"/>
  <c r="G472" i="2"/>
  <c r="H472" i="2" s="1"/>
  <c r="J470" i="2"/>
  <c r="E470" i="2" s="1"/>
  <c r="G470" i="2"/>
  <c r="G469" i="2"/>
  <c r="H469" i="2" s="1"/>
  <c r="G468" i="2"/>
  <c r="H468" i="2" s="1"/>
  <c r="G466" i="2"/>
  <c r="E466" i="2"/>
  <c r="G465" i="2"/>
  <c r="E465" i="2"/>
  <c r="G462" i="2"/>
  <c r="E462" i="2"/>
  <c r="G461" i="2"/>
  <c r="E461" i="2"/>
  <c r="G460" i="2"/>
  <c r="E460" i="2"/>
  <c r="G459" i="2"/>
  <c r="E459" i="2"/>
  <c r="G458" i="2"/>
  <c r="E458" i="2"/>
  <c r="G457" i="2"/>
  <c r="E457" i="2"/>
  <c r="G455" i="2"/>
  <c r="E455" i="2"/>
  <c r="G454" i="2"/>
  <c r="E454" i="2"/>
  <c r="J453" i="2"/>
  <c r="E453" i="2" s="1"/>
  <c r="G453" i="2"/>
  <c r="G452" i="2"/>
  <c r="E452" i="2"/>
  <c r="G451" i="2"/>
  <c r="E451" i="2"/>
  <c r="G450" i="2"/>
  <c r="E450" i="2"/>
  <c r="G449" i="2"/>
  <c r="E449" i="2"/>
  <c r="G448" i="2"/>
  <c r="E448" i="2"/>
  <c r="J447" i="2"/>
  <c r="E447" i="2" s="1"/>
  <c r="G447" i="2"/>
  <c r="J446" i="2"/>
  <c r="E446" i="2" s="1"/>
  <c r="G446" i="2"/>
  <c r="J443" i="2"/>
  <c r="E443" i="2" s="1"/>
  <c r="G443" i="2"/>
  <c r="G439" i="2"/>
  <c r="E439" i="2"/>
  <c r="G438" i="2"/>
  <c r="J436" i="2"/>
  <c r="E436" i="2" s="1"/>
  <c r="G436" i="2"/>
  <c r="G434" i="2"/>
  <c r="E434" i="2"/>
  <c r="G433" i="2"/>
  <c r="E433" i="2"/>
  <c r="G432" i="2"/>
  <c r="E432" i="2"/>
  <c r="J425" i="2"/>
  <c r="G425" i="2"/>
  <c r="G424" i="2"/>
  <c r="J423" i="2"/>
  <c r="E423" i="2" s="1"/>
  <c r="G423" i="2"/>
  <c r="G422" i="2"/>
  <c r="E422" i="2"/>
  <c r="G421" i="2"/>
  <c r="E421" i="2"/>
  <c r="M420" i="2"/>
  <c r="J420" i="2"/>
  <c r="E420" i="2" s="1"/>
  <c r="G420" i="2"/>
  <c r="G419" i="2"/>
  <c r="E419" i="2"/>
  <c r="J418" i="2"/>
  <c r="E418" i="2" s="1"/>
  <c r="G418" i="2"/>
  <c r="J417" i="2"/>
  <c r="E417" i="2" s="1"/>
  <c r="G417" i="2"/>
  <c r="J416" i="2"/>
  <c r="E416" i="2" s="1"/>
  <c r="G416" i="2"/>
  <c r="J415" i="2"/>
  <c r="E415" i="2" s="1"/>
  <c r="G415" i="2"/>
  <c r="J414" i="2"/>
  <c r="E414" i="2" s="1"/>
  <c r="G414" i="2"/>
  <c r="G413" i="2"/>
  <c r="H413" i="2" s="1"/>
  <c r="J411" i="2"/>
  <c r="E411" i="2" s="1"/>
  <c r="G411" i="2"/>
  <c r="J410" i="2"/>
  <c r="E410" i="2" s="1"/>
  <c r="G410" i="2"/>
  <c r="J407" i="2"/>
  <c r="E407" i="2" s="1"/>
  <c r="G407" i="2"/>
  <c r="J406" i="2"/>
  <c r="E406" i="2" s="1"/>
  <c r="G406" i="2"/>
  <c r="J405" i="2"/>
  <c r="E405" i="2" s="1"/>
  <c r="G405" i="2"/>
  <c r="J404" i="2"/>
  <c r="E404" i="2" s="1"/>
  <c r="G404" i="2"/>
  <c r="G402" i="2"/>
  <c r="E402" i="2"/>
  <c r="J400" i="2"/>
  <c r="E400" i="2" s="1"/>
  <c r="G400" i="2"/>
  <c r="J399" i="2"/>
  <c r="E399" i="2" s="1"/>
  <c r="G399" i="2"/>
  <c r="G398" i="2"/>
  <c r="H398" i="2" s="1"/>
  <c r="G397" i="2"/>
  <c r="E397" i="2"/>
  <c r="J395" i="2"/>
  <c r="E395" i="2" s="1"/>
  <c r="G395" i="2"/>
  <c r="J394" i="2"/>
  <c r="E394" i="2" s="1"/>
  <c r="G394" i="2"/>
  <c r="J393" i="2"/>
  <c r="E393" i="2" s="1"/>
  <c r="G393" i="2"/>
  <c r="J392" i="2"/>
  <c r="E392" i="2" s="1"/>
  <c r="G392" i="2"/>
  <c r="J390" i="2"/>
  <c r="E390" i="2" s="1"/>
  <c r="G390" i="2"/>
  <c r="G389" i="2"/>
  <c r="H389" i="2" s="1"/>
  <c r="J388" i="2"/>
  <c r="E388" i="2" s="1"/>
  <c r="G388" i="2"/>
  <c r="G387" i="2"/>
  <c r="E387" i="2"/>
  <c r="J385" i="2"/>
  <c r="E385" i="2" s="1"/>
  <c r="G385" i="2"/>
  <c r="J384" i="2"/>
  <c r="E384" i="2" s="1"/>
  <c r="G384" i="2"/>
  <c r="J382" i="2"/>
  <c r="E382" i="2" s="1"/>
  <c r="G382" i="2"/>
  <c r="J381" i="2"/>
  <c r="E381" i="2" s="1"/>
  <c r="G381" i="2"/>
  <c r="J380" i="2"/>
  <c r="E380" i="2" s="1"/>
  <c r="G380" i="2"/>
  <c r="J379" i="2"/>
  <c r="E379" i="2" s="1"/>
  <c r="G379" i="2"/>
  <c r="G378" i="2"/>
  <c r="E378" i="2"/>
  <c r="G377" i="2"/>
  <c r="E377" i="2"/>
  <c r="J376" i="2"/>
  <c r="E376" i="2" s="1"/>
  <c r="G376" i="2"/>
  <c r="G372" i="2"/>
  <c r="H372" i="2" s="1"/>
  <c r="G370" i="2"/>
  <c r="G367" i="2"/>
  <c r="E367" i="2"/>
  <c r="G366" i="2"/>
  <c r="E366" i="2"/>
  <c r="G363" i="2"/>
  <c r="E363" i="2"/>
  <c r="G362" i="2"/>
  <c r="E362" i="2"/>
  <c r="G361" i="2"/>
  <c r="E361" i="2"/>
  <c r="G360" i="2"/>
  <c r="E360" i="2"/>
  <c r="G359" i="2"/>
  <c r="E359" i="2"/>
  <c r="G358" i="2"/>
  <c r="E358" i="2"/>
  <c r="G357" i="2"/>
  <c r="E357" i="2"/>
  <c r="G356" i="2"/>
  <c r="E356" i="2"/>
  <c r="J355" i="2"/>
  <c r="E355" i="2" s="1"/>
  <c r="G355" i="2"/>
  <c r="G354" i="2"/>
  <c r="H354" i="2" s="1"/>
  <c r="G353" i="2"/>
  <c r="E353" i="2"/>
  <c r="G352" i="2"/>
  <c r="E352" i="2"/>
  <c r="G350" i="2"/>
  <c r="E350" i="2"/>
  <c r="G349" i="2"/>
  <c r="E349" i="2"/>
  <c r="J348" i="2"/>
  <c r="E348" i="2" s="1"/>
  <c r="G348" i="2"/>
  <c r="G347" i="2"/>
  <c r="E347" i="2"/>
  <c r="J346" i="2"/>
  <c r="G346" i="2"/>
  <c r="H346" i="2" s="1"/>
  <c r="G345" i="2"/>
  <c r="E345" i="2"/>
  <c r="J344" i="2"/>
  <c r="E344" i="2" s="1"/>
  <c r="G344" i="2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7" i="2"/>
  <c r="H327" i="2" s="1"/>
  <c r="G326" i="2"/>
  <c r="H326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G304" i="2"/>
  <c r="H304" i="2" s="1"/>
  <c r="G303" i="2"/>
  <c r="H303" i="2" s="1"/>
  <c r="G301" i="2"/>
  <c r="H301" i="2" s="1"/>
  <c r="J300" i="2"/>
  <c r="E300" i="2" s="1"/>
  <c r="G300" i="2"/>
  <c r="J299" i="2"/>
  <c r="E299" i="2" s="1"/>
  <c r="G299" i="2"/>
  <c r="J296" i="2"/>
  <c r="G296" i="2"/>
  <c r="H296" i="2" s="1"/>
  <c r="G295" i="2"/>
  <c r="H295" i="2" s="1"/>
  <c r="J294" i="2"/>
  <c r="J295" i="2" s="1"/>
  <c r="G294" i="2"/>
  <c r="G293" i="2"/>
  <c r="J292" i="2"/>
  <c r="J293" i="2" s="1"/>
  <c r="E293" i="2" s="1"/>
  <c r="G292" i="2"/>
  <c r="G291" i="2"/>
  <c r="E291" i="2"/>
  <c r="G289" i="2"/>
  <c r="E289" i="2"/>
  <c r="G288" i="2"/>
  <c r="E288" i="2"/>
  <c r="G287" i="2"/>
  <c r="E287" i="2"/>
  <c r="J285" i="2"/>
  <c r="E285" i="2" s="1"/>
  <c r="G285" i="2"/>
  <c r="J284" i="2"/>
  <c r="E284" i="2" s="1"/>
  <c r="G284" i="2"/>
  <c r="G282" i="2"/>
  <c r="G281" i="2"/>
  <c r="G280" i="2"/>
  <c r="J278" i="2"/>
  <c r="E278" i="2" s="1"/>
  <c r="G278" i="2"/>
  <c r="G277" i="2"/>
  <c r="H277" i="2" s="1"/>
  <c r="J274" i="2"/>
  <c r="E274" i="2" s="1"/>
  <c r="G274" i="2"/>
  <c r="G273" i="2"/>
  <c r="H273" i="2" s="1"/>
  <c r="J272" i="2"/>
  <c r="E272" i="2" s="1"/>
  <c r="G272" i="2"/>
  <c r="J270" i="2"/>
  <c r="J280" i="2" s="1"/>
  <c r="G270" i="2"/>
  <c r="J269" i="2"/>
  <c r="E269" i="2" s="1"/>
  <c r="G269" i="2"/>
  <c r="G268" i="2"/>
  <c r="E268" i="2"/>
  <c r="G267" i="2"/>
  <c r="E267" i="2"/>
  <c r="J266" i="2"/>
  <c r="E266" i="2" s="1"/>
  <c r="G266" i="2"/>
  <c r="J265" i="2"/>
  <c r="E265" i="2" s="1"/>
  <c r="G265" i="2"/>
  <c r="J264" i="2"/>
  <c r="E264" i="2" s="1"/>
  <c r="G264" i="2"/>
  <c r="G260" i="2"/>
  <c r="H260" i="2" s="1"/>
  <c r="G258" i="2"/>
  <c r="H258" i="2" s="1"/>
  <c r="G257" i="2"/>
  <c r="H257" i="2" s="1"/>
  <c r="G255" i="2"/>
  <c r="H255" i="2" s="1"/>
  <c r="G254" i="2"/>
  <c r="H254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J243" i="2"/>
  <c r="G243" i="2"/>
  <c r="H243" i="2" s="1"/>
  <c r="G242" i="2"/>
  <c r="H242" i="2" s="1"/>
  <c r="G241" i="2"/>
  <c r="E241" i="2"/>
  <c r="G240" i="2"/>
  <c r="G238" i="2"/>
  <c r="E238" i="2"/>
  <c r="G237" i="2"/>
  <c r="E237" i="2"/>
  <c r="G236" i="2"/>
  <c r="E236" i="2"/>
  <c r="G235" i="2"/>
  <c r="E235" i="2"/>
  <c r="G234" i="2"/>
  <c r="E234" i="2"/>
  <c r="G233" i="2"/>
  <c r="E233" i="2"/>
  <c r="E232" i="2"/>
  <c r="H232" i="2" s="1"/>
  <c r="J231" i="2"/>
  <c r="G231" i="2"/>
  <c r="H231" i="2" s="1"/>
  <c r="G230" i="2"/>
  <c r="E230" i="2"/>
  <c r="G229" i="2"/>
  <c r="E229" i="2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M184" i="2"/>
  <c r="E184" i="2" s="1"/>
  <c r="G184" i="2"/>
  <c r="J183" i="2"/>
  <c r="E183" i="2" s="1"/>
  <c r="G183" i="2"/>
  <c r="J182" i="2"/>
  <c r="E182" i="2" s="1"/>
  <c r="G182" i="2"/>
  <c r="M179" i="2"/>
  <c r="J179" i="2"/>
  <c r="G179" i="2"/>
  <c r="H179" i="2" s="1"/>
  <c r="G178" i="2"/>
  <c r="M177" i="2"/>
  <c r="J177" i="2"/>
  <c r="G177" i="2"/>
  <c r="G176" i="2"/>
  <c r="J175" i="2"/>
  <c r="E175" i="2" s="1"/>
  <c r="G175" i="2"/>
  <c r="N173" i="2"/>
  <c r="E173" i="2" s="1"/>
  <c r="G173" i="2"/>
  <c r="G172" i="2"/>
  <c r="H172" i="2" s="1"/>
  <c r="G171" i="2"/>
  <c r="H171" i="2" s="1"/>
  <c r="M170" i="2"/>
  <c r="E170" i="2" s="1"/>
  <c r="G170" i="2"/>
  <c r="J168" i="2"/>
  <c r="E168" i="2" s="1"/>
  <c r="G168" i="2"/>
  <c r="M167" i="2"/>
  <c r="J167" i="2"/>
  <c r="E167" i="2" s="1"/>
  <c r="G167" i="2"/>
  <c r="M165" i="2"/>
  <c r="G165" i="2"/>
  <c r="G164" i="2"/>
  <c r="H164" i="2" s="1"/>
  <c r="G163" i="2"/>
  <c r="M162" i="2"/>
  <c r="J162" i="2"/>
  <c r="G162" i="2"/>
  <c r="J161" i="2"/>
  <c r="E161" i="2" s="1"/>
  <c r="G161" i="2"/>
  <c r="M159" i="2"/>
  <c r="J159" i="2"/>
  <c r="E159" i="2" s="1"/>
  <c r="G159" i="2"/>
  <c r="G158" i="2"/>
  <c r="H158" i="2" s="1"/>
  <c r="J156" i="2"/>
  <c r="E156" i="2" s="1"/>
  <c r="G156" i="2"/>
  <c r="J155" i="2"/>
  <c r="E155" i="2" s="1"/>
  <c r="G155" i="2"/>
  <c r="J154" i="2"/>
  <c r="E154" i="2" s="1"/>
  <c r="G154" i="2"/>
  <c r="J152" i="2"/>
  <c r="E152" i="2" s="1"/>
  <c r="G152" i="2"/>
  <c r="J151" i="2"/>
  <c r="E151" i="2" s="1"/>
  <c r="G151" i="2"/>
  <c r="J150" i="2"/>
  <c r="E150" i="2" s="1"/>
  <c r="G150" i="2"/>
  <c r="G149" i="2"/>
  <c r="E149" i="2"/>
  <c r="G148" i="2"/>
  <c r="E148" i="2"/>
  <c r="G147" i="2"/>
  <c r="E147" i="2"/>
  <c r="J146" i="2"/>
  <c r="E146" i="2" s="1"/>
  <c r="G146" i="2"/>
  <c r="J145" i="2"/>
  <c r="E145" i="2" s="1"/>
  <c r="G141" i="2"/>
  <c r="H141" i="2" s="1"/>
  <c r="G139" i="2"/>
  <c r="H139" i="2" s="1"/>
  <c r="G138" i="2"/>
  <c r="H138" i="2" s="1"/>
  <c r="G136" i="2"/>
  <c r="H136" i="2" s="1"/>
  <c r="G133" i="2"/>
  <c r="H133" i="2" s="1"/>
  <c r="G132" i="2"/>
  <c r="H132" i="2" s="1"/>
  <c r="G131" i="2"/>
  <c r="H131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M74" i="2"/>
  <c r="E74" i="2" s="1"/>
  <c r="G74" i="2"/>
  <c r="G72" i="2"/>
  <c r="H72" i="2" s="1"/>
  <c r="M71" i="2"/>
  <c r="E71" i="2" s="1"/>
  <c r="G71" i="2"/>
  <c r="G70" i="2"/>
  <c r="M70" i="2"/>
  <c r="G69" i="2"/>
  <c r="H69" i="2" s="1"/>
  <c r="O68" i="2"/>
  <c r="M68" i="2"/>
  <c r="E68" i="2" s="1"/>
  <c r="G68" i="2"/>
  <c r="G67" i="2"/>
  <c r="H67" i="2" s="1"/>
  <c r="M66" i="2"/>
  <c r="E66" i="2" s="1"/>
  <c r="G66" i="2"/>
  <c r="M65" i="2"/>
  <c r="E65" i="2" s="1"/>
  <c r="G65" i="2"/>
  <c r="G63" i="2"/>
  <c r="H63" i="2" s="1"/>
  <c r="G62" i="2"/>
  <c r="H62" i="2" s="1"/>
  <c r="M61" i="2"/>
  <c r="E61" i="2" s="1"/>
  <c r="G61" i="2"/>
  <c r="G59" i="2"/>
  <c r="E59" i="2"/>
  <c r="G58" i="2"/>
  <c r="H58" i="2" s="1"/>
  <c r="G57" i="2"/>
  <c r="H57" i="2" s="1"/>
  <c r="M56" i="2"/>
  <c r="E56" i="2" s="1"/>
  <c r="G56" i="2"/>
  <c r="G55" i="2"/>
  <c r="E55" i="2"/>
  <c r="G53" i="2"/>
  <c r="M52" i="2"/>
  <c r="M53" i="2" s="1"/>
  <c r="E53" i="2" s="1"/>
  <c r="G52" i="2"/>
  <c r="M51" i="2"/>
  <c r="E51" i="2" s="1"/>
  <c r="G51" i="2"/>
  <c r="G50" i="2"/>
  <c r="H50" i="2" s="1"/>
  <c r="G49" i="2"/>
  <c r="H49" i="2" s="1"/>
  <c r="M47" i="2"/>
  <c r="E47" i="2" s="1"/>
  <c r="G47" i="2"/>
  <c r="G46" i="2"/>
  <c r="E46" i="2"/>
  <c r="G45" i="2"/>
  <c r="E45" i="2"/>
  <c r="G44" i="2"/>
  <c r="H44" i="2" s="1"/>
  <c r="G41" i="2"/>
  <c r="G40" i="2"/>
  <c r="G38" i="2"/>
  <c r="G37" i="2"/>
  <c r="G36" i="2"/>
  <c r="G35" i="2"/>
  <c r="H35" i="2" s="1"/>
  <c r="G34" i="2"/>
  <c r="G28" i="2"/>
  <c r="H28" i="2" s="1"/>
  <c r="G27" i="2"/>
  <c r="G26" i="2"/>
  <c r="G25" i="2"/>
  <c r="H25" i="2" s="1"/>
  <c r="G24" i="2"/>
  <c r="H24" i="2" s="1"/>
  <c r="G23" i="2"/>
  <c r="H23" i="2" s="1"/>
  <c r="K22" i="2"/>
  <c r="G22" i="2"/>
  <c r="H22" i="2" s="1"/>
  <c r="G21" i="2"/>
  <c r="H21" i="2" s="1"/>
  <c r="G20" i="2"/>
  <c r="H20" i="2" s="1"/>
  <c r="I893" i="2" l="1"/>
  <c r="M895" i="2"/>
  <c r="I259" i="2"/>
  <c r="L259" i="2"/>
  <c r="I302" i="2"/>
  <c r="L302" i="2"/>
  <c r="L578" i="2"/>
  <c r="L537" i="2"/>
  <c r="L615" i="2"/>
  <c r="L606" i="2"/>
  <c r="L103" i="2"/>
  <c r="L328" i="2"/>
  <c r="L513" i="2"/>
  <c r="L601" i="2"/>
  <c r="L724" i="2"/>
  <c r="I753" i="2"/>
  <c r="L753" i="2"/>
  <c r="L185" i="2"/>
  <c r="L75" i="2"/>
  <c r="L256" i="2"/>
  <c r="L497" i="2"/>
  <c r="I582" i="2"/>
  <c r="M582" i="2" s="1"/>
  <c r="L582" i="2"/>
  <c r="I471" i="2"/>
  <c r="L471" i="2"/>
  <c r="I890" i="2"/>
  <c r="L890" i="2"/>
  <c r="L118" i="2"/>
  <c r="I140" i="2"/>
  <c r="L140" i="2"/>
  <c r="L137" i="2"/>
  <c r="L213" i="2"/>
  <c r="J302" i="2"/>
  <c r="J304" i="2" s="1"/>
  <c r="I371" i="2"/>
  <c r="M371" i="2" s="1"/>
  <c r="L371" i="2"/>
  <c r="L649" i="2"/>
  <c r="I661" i="2"/>
  <c r="L661" i="2"/>
  <c r="L681" i="2"/>
  <c r="L695" i="2"/>
  <c r="L737" i="2"/>
  <c r="I750" i="2"/>
  <c r="M750" i="2" s="1"/>
  <c r="L750" i="2"/>
  <c r="I57" i="4"/>
  <c r="I497" i="2"/>
  <c r="M497" i="2" s="1"/>
  <c r="I537" i="2"/>
  <c r="I578" i="2"/>
  <c r="M578" i="2" s="1"/>
  <c r="I615" i="2"/>
  <c r="M615" i="2" s="1"/>
  <c r="I649" i="2"/>
  <c r="I681" i="2"/>
  <c r="M681" i="2" s="1"/>
  <c r="I695" i="2"/>
  <c r="I724" i="2"/>
  <c r="M724" i="2" s="1"/>
  <c r="I737" i="2"/>
  <c r="M737" i="2" s="1"/>
  <c r="I513" i="2"/>
  <c r="M513" i="2" s="1"/>
  <c r="I601" i="2"/>
  <c r="I606" i="2"/>
  <c r="D27" i="3"/>
  <c r="T27" i="3" s="1"/>
  <c r="I256" i="2"/>
  <c r="I213" i="2"/>
  <c r="I185" i="2"/>
  <c r="H27" i="2"/>
  <c r="H26" i="2"/>
  <c r="G129" i="4"/>
  <c r="G133" i="4" s="1"/>
  <c r="G124" i="4" s="1"/>
  <c r="G13" i="4"/>
  <c r="G12" i="4" s="1"/>
  <c r="G32" i="4"/>
  <c r="G65" i="4"/>
  <c r="G78" i="4"/>
  <c r="G83" i="4" s="1"/>
  <c r="G73" i="4" s="1"/>
  <c r="G44" i="4"/>
  <c r="G40" i="4" s="1"/>
  <c r="G189" i="4"/>
  <c r="G193" i="4" s="1"/>
  <c r="G91" i="4"/>
  <c r="G95" i="4" s="1"/>
  <c r="G86" i="4" s="1"/>
  <c r="G2" i="4"/>
  <c r="G53" i="4"/>
  <c r="G48" i="4" s="1"/>
  <c r="G139" i="4"/>
  <c r="G136" i="4" s="1"/>
  <c r="G117" i="4"/>
  <c r="G121" i="4" s="1"/>
  <c r="G112" i="4" s="1"/>
  <c r="G34" i="4"/>
  <c r="G60" i="4"/>
  <c r="G103" i="4"/>
  <c r="G107" i="4" s="1"/>
  <c r="G98" i="4" s="1"/>
  <c r="H764" i="2"/>
  <c r="H38" i="2"/>
  <c r="H45" i="2"/>
  <c r="H830" i="2"/>
  <c r="H854" i="2"/>
  <c r="H876" i="2"/>
  <c r="H880" i="2"/>
  <c r="E487" i="2"/>
  <c r="H487" i="2" s="1"/>
  <c r="E507" i="2"/>
  <c r="H507" i="2" s="1"/>
  <c r="H821" i="2"/>
  <c r="H459" i="2"/>
  <c r="J773" i="2"/>
  <c r="E52" i="2"/>
  <c r="H52" i="2" s="1"/>
  <c r="H397" i="2"/>
  <c r="H404" i="2"/>
  <c r="E762" i="2"/>
  <c r="H762" i="2" s="1"/>
  <c r="E784" i="2"/>
  <c r="H784" i="2" s="1"/>
  <c r="J176" i="2"/>
  <c r="E176" i="2" s="1"/>
  <c r="H176" i="2" s="1"/>
  <c r="H851" i="2"/>
  <c r="H853" i="2"/>
  <c r="H855" i="2"/>
  <c r="H879" i="2"/>
  <c r="H881" i="2"/>
  <c r="H883" i="2"/>
  <c r="H152" i="2"/>
  <c r="H161" i="2"/>
  <c r="H234" i="2"/>
  <c r="H229" i="2"/>
  <c r="H410" i="2"/>
  <c r="H380" i="2"/>
  <c r="H449" i="2"/>
  <c r="H451" i="2"/>
  <c r="H462" i="2"/>
  <c r="H887" i="2"/>
  <c r="H800" i="2"/>
  <c r="H833" i="2"/>
  <c r="H838" i="2"/>
  <c r="H840" i="2"/>
  <c r="H846" i="2"/>
  <c r="H856" i="2"/>
  <c r="H795" i="2"/>
  <c r="H822" i="2"/>
  <c r="H835" i="2"/>
  <c r="H690" i="2"/>
  <c r="H689" i="2"/>
  <c r="H504" i="2"/>
  <c r="H562" i="2"/>
  <c r="H556" i="2"/>
  <c r="H572" i="2"/>
  <c r="H477" i="2"/>
  <c r="H494" i="2"/>
  <c r="H476" i="2"/>
  <c r="H481" i="2"/>
  <c r="H555" i="2"/>
  <c r="H557" i="2"/>
  <c r="H565" i="2"/>
  <c r="H567" i="2"/>
  <c r="H569" i="2"/>
  <c r="H571" i="2"/>
  <c r="H566" i="2"/>
  <c r="H570" i="2"/>
  <c r="H182" i="2"/>
  <c r="H184" i="2"/>
  <c r="H241" i="2"/>
  <c r="H183" i="2"/>
  <c r="H46" i="2"/>
  <c r="H51" i="2"/>
  <c r="H56" i="2"/>
  <c r="H68" i="2"/>
  <c r="H443" i="2"/>
  <c r="H264" i="2"/>
  <c r="H278" i="2"/>
  <c r="I275" i="2" s="1"/>
  <c r="H360" i="2"/>
  <c r="H355" i="2"/>
  <c r="H265" i="2"/>
  <c r="H272" i="2"/>
  <c r="H359" i="2"/>
  <c r="H345" i="2"/>
  <c r="H366" i="2"/>
  <c r="H597" i="2"/>
  <c r="H600" i="2"/>
  <c r="H599" i="2"/>
  <c r="H377" i="2"/>
  <c r="H379" i="2"/>
  <c r="H384" i="2"/>
  <c r="H402" i="2"/>
  <c r="H406" i="2"/>
  <c r="H453" i="2"/>
  <c r="H448" i="2"/>
  <c r="H452" i="2"/>
  <c r="H461" i="2"/>
  <c r="H465" i="2"/>
  <c r="H151" i="2"/>
  <c r="I103" i="2"/>
  <c r="M103" i="2" s="1"/>
  <c r="H36" i="2"/>
  <c r="H40" i="2"/>
  <c r="H61" i="2"/>
  <c r="H66" i="2"/>
  <c r="H74" i="2"/>
  <c r="H159" i="2"/>
  <c r="I157" i="2" s="1"/>
  <c r="H285" i="2"/>
  <c r="H344" i="2"/>
  <c r="H417" i="2"/>
  <c r="H553" i="2"/>
  <c r="H819" i="2"/>
  <c r="E162" i="2"/>
  <c r="H162" i="2" s="1"/>
  <c r="J165" i="2"/>
  <c r="H34" i="2"/>
  <c r="H59" i="2"/>
  <c r="H65" i="2"/>
  <c r="H147" i="2"/>
  <c r="H149" i="2"/>
  <c r="E270" i="2"/>
  <c r="H270" i="2" s="1"/>
  <c r="H803" i="2"/>
  <c r="H173" i="2"/>
  <c r="H233" i="2"/>
  <c r="H284" i="2"/>
  <c r="L283" i="2" s="1"/>
  <c r="H288" i="2"/>
  <c r="I328" i="2"/>
  <c r="M328" i="2" s="1"/>
  <c r="H350" i="2"/>
  <c r="H361" i="2"/>
  <c r="H378" i="2"/>
  <c r="H400" i="2"/>
  <c r="H423" i="2"/>
  <c r="H425" i="2"/>
  <c r="H446" i="2"/>
  <c r="H458" i="2"/>
  <c r="H551" i="2"/>
  <c r="H554" i="2"/>
  <c r="H558" i="2"/>
  <c r="H560" i="2"/>
  <c r="H563" i="2"/>
  <c r="H574" i="2"/>
  <c r="H677" i="2"/>
  <c r="H778" i="2"/>
  <c r="H789" i="2"/>
  <c r="H824" i="2"/>
  <c r="H832" i="2"/>
  <c r="H845" i="2"/>
  <c r="H848" i="2"/>
  <c r="H865" i="2"/>
  <c r="H869" i="2"/>
  <c r="H873" i="2"/>
  <c r="H874" i="2"/>
  <c r="H888" i="2"/>
  <c r="H168" i="2"/>
  <c r="E292" i="2"/>
  <c r="H292" i="2" s="1"/>
  <c r="E294" i="2"/>
  <c r="H294" i="2" s="1"/>
  <c r="H347" i="2"/>
  <c r="H356" i="2"/>
  <c r="H362" i="2"/>
  <c r="H416" i="2"/>
  <c r="H424" i="2"/>
  <c r="H434" i="2"/>
  <c r="H450" i="2"/>
  <c r="H454" i="2"/>
  <c r="H457" i="2"/>
  <c r="H460" i="2"/>
  <c r="H470" i="2"/>
  <c r="I467" i="2" s="1"/>
  <c r="H480" i="2"/>
  <c r="H482" i="2"/>
  <c r="H485" i="2"/>
  <c r="H491" i="2"/>
  <c r="H502" i="2"/>
  <c r="H552" i="2"/>
  <c r="H559" i="2"/>
  <c r="H561" i="2"/>
  <c r="H573" i="2"/>
  <c r="H577" i="2"/>
  <c r="H679" i="2"/>
  <c r="H788" i="2"/>
  <c r="H790" i="2"/>
  <c r="H806" i="2"/>
  <c r="H823" i="2"/>
  <c r="H825" i="2"/>
  <c r="H829" i="2"/>
  <c r="H831" i="2"/>
  <c r="H842" i="2"/>
  <c r="H844" i="2"/>
  <c r="H847" i="2"/>
  <c r="H859" i="2"/>
  <c r="H861" i="2"/>
  <c r="H863" i="2"/>
  <c r="H866" i="2"/>
  <c r="H889" i="2"/>
  <c r="I137" i="2"/>
  <c r="M137" i="2" s="1"/>
  <c r="H269" i="2"/>
  <c r="H41" i="2"/>
  <c r="H55" i="2"/>
  <c r="H71" i="2"/>
  <c r="H146" i="2"/>
  <c r="H154" i="2"/>
  <c r="H156" i="2"/>
  <c r="H236" i="2"/>
  <c r="H238" i="2"/>
  <c r="H268" i="2"/>
  <c r="H287" i="2"/>
  <c r="H289" i="2"/>
  <c r="H300" i="2"/>
  <c r="H388" i="2"/>
  <c r="H390" i="2"/>
  <c r="H407" i="2"/>
  <c r="H415" i="2"/>
  <c r="H455" i="2"/>
  <c r="H479" i="2"/>
  <c r="H484" i="2"/>
  <c r="H492" i="2"/>
  <c r="H496" i="2"/>
  <c r="H568" i="2"/>
  <c r="E794" i="2"/>
  <c r="H794" i="2" s="1"/>
  <c r="J818" i="2"/>
  <c r="E818" i="2" s="1"/>
  <c r="H818" i="2" s="1"/>
  <c r="H37" i="2"/>
  <c r="H47" i="2"/>
  <c r="H53" i="2"/>
  <c r="H70" i="2"/>
  <c r="H235" i="2"/>
  <c r="H240" i="2"/>
  <c r="H267" i="2"/>
  <c r="H291" i="2"/>
  <c r="H293" i="2"/>
  <c r="H376" i="2"/>
  <c r="H466" i="2"/>
  <c r="H511" i="2"/>
  <c r="H349" i="2"/>
  <c r="H352" i="2"/>
  <c r="H357" i="2"/>
  <c r="H382" i="2"/>
  <c r="H392" i="2"/>
  <c r="H394" i="2"/>
  <c r="H395" i="2"/>
  <c r="H399" i="2"/>
  <c r="H418" i="2"/>
  <c r="H420" i="2"/>
  <c r="H421" i="2"/>
  <c r="K421" i="2" s="1"/>
  <c r="H432" i="2"/>
  <c r="H436" i="2"/>
  <c r="H506" i="2"/>
  <c r="H508" i="2"/>
  <c r="H594" i="2"/>
  <c r="H675" i="2"/>
  <c r="H763" i="2"/>
  <c r="H766" i="2"/>
  <c r="H768" i="2"/>
  <c r="H774" i="2"/>
  <c r="H785" i="2"/>
  <c r="H787" i="2"/>
  <c r="H804" i="2"/>
  <c r="H826" i="2"/>
  <c r="H828" i="2"/>
  <c r="H834" i="2"/>
  <c r="H836" i="2"/>
  <c r="H841" i="2"/>
  <c r="H850" i="2"/>
  <c r="H857" i="2"/>
  <c r="H860" i="2"/>
  <c r="H870" i="2"/>
  <c r="H872" i="2"/>
  <c r="H886" i="2"/>
  <c r="H348" i="2"/>
  <c r="H353" i="2"/>
  <c r="H358" i="2"/>
  <c r="H363" i="2"/>
  <c r="H367" i="2"/>
  <c r="H387" i="2"/>
  <c r="H419" i="2"/>
  <c r="H422" i="2"/>
  <c r="H478" i="2"/>
  <c r="H495" i="2"/>
  <c r="H550" i="2"/>
  <c r="H686" i="2"/>
  <c r="J765" i="2"/>
  <c r="E765" i="2" s="1"/>
  <c r="H765" i="2" s="1"/>
  <c r="J771" i="2"/>
  <c r="E771" i="2" s="1"/>
  <c r="H771" i="2" s="1"/>
  <c r="E802" i="2"/>
  <c r="H802" i="2" s="1"/>
  <c r="H827" i="2"/>
  <c r="H843" i="2"/>
  <c r="H849" i="2"/>
  <c r="H852" i="2"/>
  <c r="H871" i="2"/>
  <c r="H875" i="2"/>
  <c r="H882" i="2"/>
  <c r="H884" i="2"/>
  <c r="H266" i="2"/>
  <c r="I75" i="2"/>
  <c r="M75" i="2" s="1"/>
  <c r="H381" i="2"/>
  <c r="AC27" i="3"/>
  <c r="J282" i="2"/>
  <c r="E282" i="2" s="1"/>
  <c r="H282" i="2" s="1"/>
  <c r="J281" i="2"/>
  <c r="E281" i="2" s="1"/>
  <c r="H281" i="2" s="1"/>
  <c r="H148" i="2"/>
  <c r="H230" i="2"/>
  <c r="H237" i="2"/>
  <c r="H274" i="2"/>
  <c r="J489" i="2"/>
  <c r="E489" i="2" s="1"/>
  <c r="H489" i="2" s="1"/>
  <c r="E488" i="2"/>
  <c r="H488" i="2" s="1"/>
  <c r="J504" i="2"/>
  <c r="E503" i="2"/>
  <c r="H503" i="2" s="1"/>
  <c r="E812" i="2"/>
  <c r="H812" i="2" s="1"/>
  <c r="J813" i="2"/>
  <c r="E813" i="2" s="1"/>
  <c r="H813" i="2" s="1"/>
  <c r="H150" i="2"/>
  <c r="H167" i="2"/>
  <c r="L166" i="2" s="1"/>
  <c r="H170" i="2"/>
  <c r="L169" i="2" s="1"/>
  <c r="H299" i="2"/>
  <c r="E370" i="2"/>
  <c r="H370" i="2" s="1"/>
  <c r="I368" i="2" s="1"/>
  <c r="H385" i="2"/>
  <c r="J791" i="2"/>
  <c r="E791" i="2" s="1"/>
  <c r="H791" i="2" s="1"/>
  <c r="I118" i="2"/>
  <c r="M118" i="2" s="1"/>
  <c r="H155" i="2"/>
  <c r="H175" i="2"/>
  <c r="J178" i="2"/>
  <c r="E178" i="2" s="1"/>
  <c r="H178" i="2" s="1"/>
  <c r="E177" i="2"/>
  <c r="H177" i="2" s="1"/>
  <c r="E280" i="2"/>
  <c r="H280" i="2" s="1"/>
  <c r="H414" i="2"/>
  <c r="H393" i="2"/>
  <c r="H433" i="2"/>
  <c r="H512" i="2"/>
  <c r="E798" i="2"/>
  <c r="H798" i="2" s="1"/>
  <c r="J799" i="2"/>
  <c r="E799" i="2" s="1"/>
  <c r="H799" i="2" s="1"/>
  <c r="K799" i="2" s="1"/>
  <c r="E810" i="2"/>
  <c r="H810" i="2" s="1"/>
  <c r="J811" i="2"/>
  <c r="E811" i="2" s="1"/>
  <c r="H811" i="2" s="1"/>
  <c r="J817" i="2"/>
  <c r="H817" i="2" s="1"/>
  <c r="H405" i="2"/>
  <c r="H411" i="2"/>
  <c r="H439" i="2"/>
  <c r="H447" i="2"/>
  <c r="H595" i="2"/>
  <c r="E814" i="2"/>
  <c r="H814" i="2" s="1"/>
  <c r="J815" i="2"/>
  <c r="E815" i="2" s="1"/>
  <c r="H815" i="2" s="1"/>
  <c r="J438" i="2"/>
  <c r="E438" i="2" s="1"/>
  <c r="H438" i="2" s="1"/>
  <c r="E505" i="2"/>
  <c r="H505" i="2" s="1"/>
  <c r="H680" i="2"/>
  <c r="H687" i="2"/>
  <c r="J772" i="2"/>
  <c r="E770" i="2"/>
  <c r="H770" i="2" s="1"/>
  <c r="J837" i="2"/>
  <c r="E837" i="2" s="1"/>
  <c r="H837" i="2" s="1"/>
  <c r="H862" i="2"/>
  <c r="H868" i="2"/>
  <c r="H760" i="2"/>
  <c r="H769" i="2"/>
  <c r="E777" i="2"/>
  <c r="H777" i="2" s="1"/>
  <c r="J781" i="2"/>
  <c r="E781" i="2" s="1"/>
  <c r="H781" i="2" s="1"/>
  <c r="J780" i="2"/>
  <c r="E780" i="2" s="1"/>
  <c r="H780" i="2" s="1"/>
  <c r="H779" i="2"/>
  <c r="H782" i="2"/>
  <c r="J808" i="2"/>
  <c r="E808" i="2" s="1"/>
  <c r="H808" i="2" s="1"/>
  <c r="E796" i="2"/>
  <c r="H796" i="2" s="1"/>
  <c r="H805" i="2"/>
  <c r="H839" i="2"/>
  <c r="H674" i="2"/>
  <c r="I672" i="2" s="1"/>
  <c r="H693" i="2"/>
  <c r="H858" i="2"/>
  <c r="L437" i="2" l="1"/>
  <c r="L263" i="2"/>
  <c r="M259" i="2"/>
  <c r="M256" i="2"/>
  <c r="M537" i="2"/>
  <c r="M649" i="2"/>
  <c r="M890" i="2"/>
  <c r="M213" i="2"/>
  <c r="M695" i="2"/>
  <c r="M753" i="2"/>
  <c r="M661" i="2"/>
  <c r="M471" i="2"/>
  <c r="M140" i="2"/>
  <c r="M302" i="2"/>
  <c r="M185" i="2"/>
  <c r="M601" i="2"/>
  <c r="M606" i="2"/>
  <c r="L759" i="2"/>
  <c r="L174" i="2"/>
  <c r="N27" i="3"/>
  <c r="H27" i="3"/>
  <c r="L48" i="2"/>
  <c r="L42" i="2"/>
  <c r="L227" i="2"/>
  <c r="L548" i="2"/>
  <c r="L279" i="2"/>
  <c r="L386" i="2"/>
  <c r="L54" i="2"/>
  <c r="L18" i="2"/>
  <c r="L286" i="2"/>
  <c r="L342" i="2"/>
  <c r="L412" i="2"/>
  <c r="L290" i="2"/>
  <c r="I807" i="2"/>
  <c r="L807" i="2"/>
  <c r="L776" i="2"/>
  <c r="L809" i="2"/>
  <c r="J368" i="2"/>
  <c r="J370" i="2" s="1"/>
  <c r="L368" i="2"/>
  <c r="M368" i="2" s="1"/>
  <c r="L391" i="2"/>
  <c r="I60" i="2"/>
  <c r="L60" i="2"/>
  <c r="L383" i="2"/>
  <c r="L783" i="2"/>
  <c r="L767" i="2"/>
  <c r="L593" i="2"/>
  <c r="L153" i="2"/>
  <c r="L501" i="2"/>
  <c r="I596" i="2"/>
  <c r="L596" i="2"/>
  <c r="L271" i="2"/>
  <c r="L685" i="2"/>
  <c r="L486" i="2"/>
  <c r="L467" i="2"/>
  <c r="M467" i="2" s="1"/>
  <c r="L786" i="2"/>
  <c r="L792" i="2"/>
  <c r="I483" i="2"/>
  <c r="L483" i="2"/>
  <c r="L403" i="2"/>
  <c r="L490" i="2"/>
  <c r="L864" i="2"/>
  <c r="L493" i="2"/>
  <c r="L157" i="2"/>
  <c r="M157" i="2" s="1"/>
  <c r="L275" i="2"/>
  <c r="M275" i="2" s="1"/>
  <c r="I797" i="2"/>
  <c r="L797" i="2"/>
  <c r="L801" i="2"/>
  <c r="L475" i="2"/>
  <c r="L64" i="2"/>
  <c r="L678" i="2"/>
  <c r="I676" i="2"/>
  <c r="L676" i="2"/>
  <c r="L444" i="2"/>
  <c r="I401" i="2"/>
  <c r="L401" i="2"/>
  <c r="I598" i="2"/>
  <c r="M598" i="2" s="1"/>
  <c r="L598" i="2"/>
  <c r="L877" i="2"/>
  <c r="L396" i="2"/>
  <c r="L672" i="2"/>
  <c r="M672" i="2" s="1"/>
  <c r="L375" i="2"/>
  <c r="L820" i="2"/>
  <c r="I776" i="2"/>
  <c r="I759" i="2"/>
  <c r="M759" i="2" s="1"/>
  <c r="Z27" i="3"/>
  <c r="P27" i="3"/>
  <c r="L27" i="3"/>
  <c r="F27" i="3"/>
  <c r="V27" i="3"/>
  <c r="AB27" i="3"/>
  <c r="X27" i="3"/>
  <c r="J27" i="3"/>
  <c r="R27" i="3"/>
  <c r="I548" i="2"/>
  <c r="M548" i="2" s="1"/>
  <c r="I809" i="2"/>
  <c r="M809" i="2" s="1"/>
  <c r="I678" i="2"/>
  <c r="M678" i="2" s="1"/>
  <c r="I877" i="2"/>
  <c r="M877" i="2" s="1"/>
  <c r="I820" i="2"/>
  <c r="M820" i="2" s="1"/>
  <c r="G35" i="4"/>
  <c r="G23" i="4" s="1"/>
  <c r="I767" i="2"/>
  <c r="M767" i="2" s="1"/>
  <c r="I593" i="2"/>
  <c r="M593" i="2" s="1"/>
  <c r="I864" i="2"/>
  <c r="M864" i="2" s="1"/>
  <c r="I783" i="2"/>
  <c r="I685" i="2"/>
  <c r="M685" i="2" s="1"/>
  <c r="I786" i="2"/>
  <c r="I501" i="2"/>
  <c r="I475" i="2"/>
  <c r="I486" i="2"/>
  <c r="I801" i="2"/>
  <c r="I792" i="2"/>
  <c r="I490" i="2"/>
  <c r="I493" i="2"/>
  <c r="M493" i="2" s="1"/>
  <c r="I437" i="2"/>
  <c r="M437" i="2" s="1"/>
  <c r="I18" i="2"/>
  <c r="U21" i="2" s="1"/>
  <c r="I42" i="2"/>
  <c r="G56" i="4"/>
  <c r="I412" i="2"/>
  <c r="I48" i="2"/>
  <c r="M48" i="2" s="1"/>
  <c r="I403" i="2"/>
  <c r="M403" i="2" s="1"/>
  <c r="I375" i="2"/>
  <c r="I444" i="2"/>
  <c r="M444" i="2" s="1"/>
  <c r="I396" i="2"/>
  <c r="I174" i="2"/>
  <c r="I153" i="2"/>
  <c r="M153" i="2" s="1"/>
  <c r="I166" i="2"/>
  <c r="M166" i="2" s="1"/>
  <c r="I227" i="2"/>
  <c r="I169" i="2"/>
  <c r="M169" i="2" s="1"/>
  <c r="I271" i="2"/>
  <c r="M271" i="2" s="1"/>
  <c r="I286" i="2"/>
  <c r="M286" i="2" s="1"/>
  <c r="I386" i="2"/>
  <c r="I64" i="2"/>
  <c r="I263" i="2"/>
  <c r="M263" i="2" s="1"/>
  <c r="I283" i="2"/>
  <c r="M283" i="2" s="1"/>
  <c r="I342" i="2"/>
  <c r="M342" i="2" s="1"/>
  <c r="I383" i="2"/>
  <c r="M383" i="2" s="1"/>
  <c r="E165" i="2"/>
  <c r="H165" i="2" s="1"/>
  <c r="J163" i="2"/>
  <c r="E163" i="2" s="1"/>
  <c r="H163" i="2" s="1"/>
  <c r="I391" i="2"/>
  <c r="I54" i="2"/>
  <c r="I279" i="2"/>
  <c r="M279" i="2" s="1"/>
  <c r="I290" i="2"/>
  <c r="M290" i="2" s="1"/>
  <c r="M776" i="2" l="1"/>
  <c r="M391" i="2"/>
  <c r="M227" i="2"/>
  <c r="M396" i="2"/>
  <c r="M792" i="2"/>
  <c r="M807" i="2"/>
  <c r="M490" i="2"/>
  <c r="M783" i="2"/>
  <c r="L160" i="2"/>
  <c r="M412" i="2"/>
  <c r="M801" i="2"/>
  <c r="M786" i="2"/>
  <c r="M475" i="2"/>
  <c r="M375" i="2"/>
  <c r="M797" i="2"/>
  <c r="M483" i="2"/>
  <c r="M596" i="2"/>
  <c r="M60" i="2"/>
  <c r="I17" i="2"/>
  <c r="M18" i="2"/>
  <c r="M54" i="2"/>
  <c r="M401" i="2"/>
  <c r="M501" i="2"/>
  <c r="M174" i="2"/>
  <c r="M64" i="2"/>
  <c r="M676" i="2"/>
  <c r="M486" i="2"/>
  <c r="M386" i="2"/>
  <c r="M42" i="2"/>
  <c r="I664" i="2"/>
  <c r="D21" i="3" s="1"/>
  <c r="AD27" i="3"/>
  <c r="AF27" i="3" s="1"/>
  <c r="I756" i="2"/>
  <c r="I474" i="2"/>
  <c r="D19" i="3" s="1"/>
  <c r="I160" i="2"/>
  <c r="M160" i="2" s="1"/>
  <c r="I374" i="2"/>
  <c r="D17" i="3" s="1"/>
  <c r="I262" i="2"/>
  <c r="D15" i="3" s="1"/>
  <c r="D9" i="3"/>
  <c r="F9" i="3" s="1"/>
  <c r="D25" i="3" l="1"/>
  <c r="P25" i="3" s="1"/>
  <c r="AB21" i="3"/>
  <c r="L21" i="3"/>
  <c r="V21" i="3"/>
  <c r="P21" i="3"/>
  <c r="Z21" i="3"/>
  <c r="R21" i="3"/>
  <c r="X21" i="3"/>
  <c r="T21" i="3"/>
  <c r="J21" i="3"/>
  <c r="N21" i="3"/>
  <c r="R19" i="3"/>
  <c r="F19" i="3"/>
  <c r="P19" i="3"/>
  <c r="T19" i="3"/>
  <c r="J19" i="3"/>
  <c r="V19" i="3"/>
  <c r="H19" i="3"/>
  <c r="X19" i="3"/>
  <c r="L19" i="3"/>
  <c r="N19" i="3"/>
  <c r="V17" i="3"/>
  <c r="P17" i="3"/>
  <c r="R17" i="3"/>
  <c r="T17" i="3"/>
  <c r="N17" i="3"/>
  <c r="X17" i="3"/>
  <c r="H17" i="3"/>
  <c r="J17" i="3"/>
  <c r="L17" i="3"/>
  <c r="F17" i="3"/>
  <c r="H15" i="3"/>
  <c r="R15" i="3"/>
  <c r="L15" i="3"/>
  <c r="V15" i="3"/>
  <c r="T15" i="3"/>
  <c r="J15" i="3"/>
  <c r="P15" i="3"/>
  <c r="N15" i="3"/>
  <c r="F15" i="3"/>
  <c r="AD9" i="3"/>
  <c r="H25" i="3" l="1"/>
  <c r="X25" i="3"/>
  <c r="N25" i="3"/>
  <c r="R25" i="3"/>
  <c r="T25" i="3"/>
  <c r="J25" i="3"/>
  <c r="V25" i="3"/>
  <c r="L25" i="3"/>
  <c r="F25" i="3"/>
  <c r="AD21" i="3"/>
  <c r="AF21" i="3" s="1"/>
  <c r="AD19" i="3"/>
  <c r="AF19" i="3" s="1"/>
  <c r="AD17" i="3"/>
  <c r="AF17" i="3" s="1"/>
  <c r="AD15" i="3"/>
  <c r="AF15" i="3" s="1"/>
  <c r="AF9" i="3"/>
  <c r="AD25" i="3" l="1"/>
  <c r="AF25" i="3" s="1"/>
  <c r="G795" i="6" l="1"/>
  <c r="G803" i="6" l="1"/>
  <c r="F644" i="2" s="1"/>
  <c r="G644" i="2" s="1"/>
  <c r="H644" i="2" s="1"/>
  <c r="I637" i="2" l="1"/>
  <c r="L637" i="2"/>
  <c r="I585" i="2" l="1"/>
  <c r="D23" i="3" s="1"/>
  <c r="V23" i="3" s="1"/>
  <c r="M637" i="2"/>
  <c r="L23" i="3"/>
  <c r="P23" i="3"/>
  <c r="X23" i="3"/>
  <c r="N23" i="3"/>
  <c r="AB23" i="3"/>
  <c r="AB30" i="3" s="1"/>
  <c r="T23" i="3"/>
  <c r="Z23" i="3"/>
  <c r="Z30" i="3" s="1"/>
  <c r="J23" i="3" l="1"/>
  <c r="AD23" i="3" s="1"/>
  <c r="AF23" i="3" s="1"/>
  <c r="R23" i="3"/>
  <c r="G308" i="6" l="1"/>
  <c r="G311" i="6" s="1"/>
  <c r="F145" i="2" l="1"/>
  <c r="G145" i="2" s="1"/>
  <c r="H145" i="2" s="1"/>
  <c r="L144" i="2" s="1"/>
  <c r="F33" i="2"/>
  <c r="G33" i="2" s="1"/>
  <c r="H33" i="2" s="1"/>
  <c r="I144" i="2" l="1"/>
  <c r="I32" i="2"/>
  <c r="L32" i="2"/>
  <c r="L909" i="2" l="1"/>
  <c r="L911" i="2" s="1"/>
  <c r="I31" i="2"/>
  <c r="M32" i="2"/>
  <c r="I905" i="2"/>
  <c r="O910" i="2" s="1"/>
  <c r="O911" i="2" s="1"/>
  <c r="I143" i="2"/>
  <c r="D13" i="3" s="1"/>
  <c r="X13" i="3" s="1"/>
  <c r="M144" i="2"/>
  <c r="D11" i="3"/>
  <c r="J11" i="3" s="1"/>
  <c r="M31" i="2"/>
  <c r="I899" i="2"/>
  <c r="T13" i="3" l="1"/>
  <c r="L13" i="3"/>
  <c r="N11" i="3"/>
  <c r="D30" i="3"/>
  <c r="C13" i="3" s="1"/>
  <c r="F11" i="3"/>
  <c r="R11" i="3"/>
  <c r="P11" i="3"/>
  <c r="T11" i="3"/>
  <c r="H11" i="3"/>
  <c r="N13" i="3"/>
  <c r="J13" i="3"/>
  <c r="J30" i="3" s="1"/>
  <c r="F13" i="3"/>
  <c r="P13" i="3"/>
  <c r="V13" i="3"/>
  <c r="R13" i="3"/>
  <c r="R30" i="3" s="1"/>
  <c r="H13" i="3"/>
  <c r="I16" i="2"/>
  <c r="K15" i="2" s="1"/>
  <c r="X11" i="3"/>
  <c r="L11" i="3"/>
  <c r="L30" i="3" s="1"/>
  <c r="V11" i="3"/>
  <c r="L913" i="2"/>
  <c r="J910" i="2"/>
  <c r="J911" i="2" s="1"/>
  <c r="J904" i="2"/>
  <c r="J905" i="2" s="1"/>
  <c r="K906" i="2" s="1"/>
  <c r="I911" i="2"/>
  <c r="I910" i="2"/>
  <c r="N30" i="3"/>
  <c r="T30" i="3"/>
  <c r="S30" i="3" s="1"/>
  <c r="X30" i="3"/>
  <c r="W30" i="3" s="1"/>
  <c r="C21" i="3" l="1"/>
  <c r="C15" i="3"/>
  <c r="Y30" i="3"/>
  <c r="C19" i="3"/>
  <c r="C9" i="3"/>
  <c r="C25" i="3"/>
  <c r="C11" i="3"/>
  <c r="C17" i="3"/>
  <c r="C23" i="3"/>
  <c r="M30" i="3"/>
  <c r="C27" i="3"/>
  <c r="AA30" i="3"/>
  <c r="I30" i="3"/>
  <c r="Q30" i="3"/>
  <c r="H30" i="3"/>
  <c r="G30" i="3" s="1"/>
  <c r="F30" i="3"/>
  <c r="F31" i="3" s="1"/>
  <c r="K30" i="3"/>
  <c r="P30" i="3"/>
  <c r="O30" i="3" s="1"/>
  <c r="AD11" i="3"/>
  <c r="AF11" i="3" s="1"/>
  <c r="AD13" i="3"/>
  <c r="AF13" i="3" s="1"/>
  <c r="V30" i="3"/>
  <c r="U30" i="3" s="1"/>
  <c r="C30" i="3" l="1"/>
  <c r="E30" i="3"/>
  <c r="AC30" i="3" s="1"/>
  <c r="H31" i="3"/>
  <c r="J31" i="3" s="1"/>
  <c r="L31" i="3" s="1"/>
  <c r="N31" i="3" s="1"/>
  <c r="P31" i="3" s="1"/>
  <c r="R31" i="3" s="1"/>
  <c r="T31" i="3" s="1"/>
  <c r="V31" i="3" s="1"/>
  <c r="X31" i="3" s="1"/>
  <c r="Z31" i="3" s="1"/>
  <c r="AB31" i="3" s="1"/>
  <c r="AD30" i="3"/>
</calcChain>
</file>

<file path=xl/sharedStrings.xml><?xml version="1.0" encoding="utf-8"?>
<sst xmlns="http://schemas.openxmlformats.org/spreadsheetml/2006/main" count="24691" uniqueCount="2774">
  <si>
    <t xml:space="preserve"> </t>
  </si>
  <si>
    <t>REVITALIZAÇÃO COM AMPLIAÇÃO DOS BLOCOS DA SEDE DO DETRAN/MT</t>
  </si>
  <si>
    <t>OBRA:     REVITALIZAÇÃO COM AMPLIAÇÃO DOS BLOCOS DA SEDE DO DETRAN/SEDE</t>
  </si>
  <si>
    <t>LOCAL:   AV.DR. HÉLIO RIBEIRO, 100               CEP 78048-910</t>
  </si>
  <si>
    <t xml:space="preserve">PREÇO BASE </t>
  </si>
  <si>
    <t xml:space="preserve">SINAP </t>
  </si>
  <si>
    <t xml:space="preserve">AGO/2020 </t>
  </si>
  <si>
    <t>DESONERADA</t>
  </si>
  <si>
    <t>ITEM</t>
  </si>
  <si>
    <t>CÓDIGO</t>
  </si>
  <si>
    <t>DESCRIÇÃO</t>
  </si>
  <si>
    <t>UNID</t>
  </si>
  <si>
    <t>QUANT</t>
  </si>
  <si>
    <t>V. UNIT SEM BDI</t>
  </si>
  <si>
    <t>V. UNIT COM BDI</t>
  </si>
  <si>
    <t xml:space="preserve"> TOTAL COM BDI</t>
  </si>
  <si>
    <t>SOMA TOTAL COM BDI</t>
  </si>
  <si>
    <t>TOTAL GERAL</t>
  </si>
  <si>
    <t>SERVIÇOS PRELIMINARES GERAL</t>
  </si>
  <si>
    <t>TOTAL DO ITEM</t>
  </si>
  <si>
    <t>1.0</t>
  </si>
  <si>
    <t>SERVIÇOS PRELIMINARES</t>
  </si>
  <si>
    <t>1.1</t>
  </si>
  <si>
    <t>EXECUÇÃO DE ESCRITÓRIO EM CANTEIRO DE OBRA EM CHAPA DE MADEIRA COMPENSADA, NÃO INCLUSO MOBILIÁRIO E EQUIPAMENTOS. AF_02/2016</t>
  </si>
  <si>
    <t>M2</t>
  </si>
  <si>
    <t>1.2</t>
  </si>
  <si>
    <t>EXECUÇÃO DE ALMOXARIFADO EM CANTEIRO DE OBRA EM CHAPA DE MADEIRA COMPENSADA, INCLUSO PRATELEIRAS. AF_02/2016</t>
  </si>
  <si>
    <t>EXECUÇÃO DE SANITÁRIO E VESTIÁRIO EM CANTEIRO DE OBRA EM CHAPA DE MADEIRA COMPENSADA, NÃO INCLUSO MOBILIÁRIO. AF_02/2016</t>
  </si>
  <si>
    <t>EXECUÇÃO DE REFEITÓRIO EM CANTEIRO DE OBRA EM ALVENARIA, NÃO INCLUSO OBILIÁRIO E EQUIPAMENTOS. AF_02/2016</t>
  </si>
  <si>
    <t>COMPOSIÇÃO 01</t>
  </si>
  <si>
    <t>PLACA DE OBRA (PARA CONSTRUCAO CIVIL) EM CHAPA GALVANIZADA *N. 22*, ADESIVADA, M2 300,00</t>
  </si>
  <si>
    <t>MARTELETE OU ROMPEDOR PNEUMÁTICO MANUAL, 28 KG, COM SILENCIADOR - DEPRECIAÇÃO. AF_07/2016</t>
  </si>
  <si>
    <t>H</t>
  </si>
  <si>
    <t>ENGENHEIRO/ARQUITETO TRAINEE/JUNIOR/AUXILIAR 4 HORAS NA OBRA DUAS VEZES POR SEMANA</t>
  </si>
  <si>
    <t>ENGENHEIRO CIVIL DE OBRA PLENO COM ENCARGOS COMPLEMENTARES</t>
  </si>
  <si>
    <t>ENCARREGADO GERAL COM ENCARGOS COMPLEMENTARES</t>
  </si>
  <si>
    <t>OK OK</t>
  </si>
  <si>
    <t>DEMOLIÇÕES E RETIRADAS</t>
  </si>
  <si>
    <t>TOTAL DA ETAPA</t>
  </si>
  <si>
    <t>COMPOSIÇÃO 4</t>
  </si>
  <si>
    <t>DEMOLIÇÃO DE CONCRETO SIMPLES (CALÇADAE PISO WCS)</t>
  </si>
  <si>
    <t>M3</t>
  </si>
  <si>
    <t>DEMOLIÇÃO DE REVESTIMENTO CERÂMICO, DE FORMA MANUAL, SEM REAPROVEITAMENTO. AF_12/2017</t>
  </si>
  <si>
    <t>REMOÇÃO DE PORTAS, DE FORMA MANUAL, SEM REAPROVEITAMENTO. AF_12/2017</t>
  </si>
  <si>
    <t>UD</t>
  </si>
  <si>
    <t>REMOÇÃO DE LOUÇAS, DE FORMA MANUAL, SEM REAPROVEITAMENTO. AF_12/2017</t>
  </si>
  <si>
    <t>REMOÇÃO DE METAIS SANITÁRIOS, DE FORMA MANUAL, SEM REAPROVEITAMENTO. AF_12/2017</t>
  </si>
  <si>
    <t>DEMOLIÇÃO DE ALVENARIA DE BLOCO FURADO, DE FORMA MANUAL, COM REAPROVEITAMENTO. AF_12/2017</t>
  </si>
  <si>
    <t>COMPOSIÇÃO 5</t>
  </si>
  <si>
    <t>RETIRADA DE DIVISÓRIA DE GRANILITE</t>
  </si>
  <si>
    <t>RETIRADA DE DIVISORIAS EM CHAPAS DE MADEIRA, COM MONTANTES METALICOS</t>
  </si>
  <si>
    <t>ESQUDRIAS</t>
  </si>
  <si>
    <t>ESQUADRIAS MADEIRA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</si>
  <si>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</si>
  <si>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VERGA PRÉ-MOLDADA PARA PORTAS COM ATÉ 1,5 M DE VÃO. AF_03/2016</t>
  </si>
  <si>
    <t>M</t>
  </si>
  <si>
    <t>1.3</t>
  </si>
  <si>
    <t>PORTA DE ALUMÍNIO DE ABRIR COM LAMBRI, COM GUARNIÇÃO, FIXAÇÃO COM PARA FUSOS - FORNECIMENTO E INSTALAÇÃO. AF_08/2015</t>
  </si>
  <si>
    <t>(0,80 X 2,10)+(0,70X2,10X6)</t>
  </si>
  <si>
    <t>BANHEIROS ALUMINIO E EXTERNA</t>
  </si>
  <si>
    <t>2.0</t>
  </si>
  <si>
    <t>REVESTIMENTO</t>
  </si>
  <si>
    <t>CARGA MANUAL DE ENTULHO EM CAMINHAO BASCULANTE 6 M3</t>
  </si>
  <si>
    <t>DEMOLIÇÃO DE ALVENARIA DE BLOCO FURADO, DE FORMA MANUAL, SEM REAPROVEITAMENTO. AF_12/2017</t>
  </si>
  <si>
    <t>2.1</t>
  </si>
  <si>
    <t>REVESTIMENTO CERÂMICO PARA PAREDES INTERNAS COM PLACAS TIPO GRÊS OU SEMI-GRÊS DE DIMENSÕES 20X20 CM APLICADAS EM AMBIENTES DE ÁREA MENOR QUE5 M² A MEIA ALTURA DAS PAREDES. AF_06/2014</t>
  </si>
  <si>
    <t>VER CAD</t>
  </si>
  <si>
    <t>VENTILAÇÃO</t>
  </si>
  <si>
    <t>DUTO DE VENTILAÇÃO</t>
  </si>
  <si>
    <t>2.2</t>
  </si>
  <si>
    <t>ALVENARIA DE VEDAÇÃO DE BLOCOS CERÂMICOS FURADOS NA VERTICAL DE 9X19X3 9CM (ESPESSURA 9CM) DE PAREDES COM ÁREA LÍQUIDA MAIOR OU IGUAL A 6M² EM VÃOS E ARGAMASSA DE ASSENTAMENTO COM PREPARO EM BETONEIRA. AF_06/20</t>
  </si>
  <si>
    <t>2,55X3X5</t>
  </si>
  <si>
    <t>2.3</t>
  </si>
  <si>
    <t>MASSA ÚNICA, PARA RECEBIMENTO DE PINTURA, EM ARGAMASSA TRAÇO 1:2:8,EPARO MECÂNICO COM BETONEIRA 400L, APLICADA MANUALMENTE EM TETO, ESPESSURA DE 10MM, COM EXECUÇÃO DE TALISCAS. AF_03/2015</t>
  </si>
  <si>
    <t>3.0</t>
  </si>
  <si>
    <t>PISOS E RODAPES</t>
  </si>
  <si>
    <t>DEMOLIÇÃO DE CALÇADAS, DE FORMA MANUAL, SEM REAPROVEITAMENTO. AF_12/2017</t>
  </si>
  <si>
    <t>3.1</t>
  </si>
  <si>
    <t>EXECUÇÃO DE PASSEIO (CALÇADA) OU PISO DE CONCRETO COM CONCRETO MOLDADO IN LOCO, USINADO, ACABAMENTO CONVENCIONAL, ESPESSURA 6 CM, ARMADO. AF_07/2016</t>
  </si>
  <si>
    <t>0,60 X 21,81 X 2</t>
  </si>
  <si>
    <t>PASSEIO DAS VALAS</t>
  </si>
  <si>
    <t>CONTRAPISO ACÚSTICO EM ARGAMASSA PRONTA, PREPARO MANUAL, APLICADO EM Á REAS SECAS MENORES QUE 15M2, ESPESSURA 6CM. AF_10/2014</t>
  </si>
  <si>
    <t>PISO EM GRANILITE, MARMORITE OU GRANITINA ESPESSURA 8 MM, INCLUSO JUNTAS DE DILATACAO PLASTICAS</t>
  </si>
  <si>
    <t>3.2</t>
  </si>
  <si>
    <t>REVESTIMENTO CERÂMICO PARA PISO COM PLACAS TIPO PORCELANATO DE DIMENSÕES 60X60 CM APLICADA EM AMBIENTES DE ÁREA ENTRE 5 M² E 10 M². AF_06/2014</t>
  </si>
  <si>
    <t>4.0</t>
  </si>
  <si>
    <t>VIDROS</t>
  </si>
  <si>
    <t>4.1</t>
  </si>
  <si>
    <t>VIDRO LISO COMUM TRANSPARENTE, ESPESSURA 4MM</t>
  </si>
  <si>
    <t>10 % DO TOTAL 36,80M2</t>
  </si>
  <si>
    <t>4.2</t>
  </si>
  <si>
    <t>MOLA HIDRAULICA DE PISO PARA PORTA DE VIDRO TEMPERADO</t>
  </si>
  <si>
    <t>CJ</t>
  </si>
  <si>
    <t>4.3</t>
  </si>
  <si>
    <t>JOGO DE FERRAGENS CROMADAS PARA PORTA DE VIDRO TEMPERADO, UMA FOLHA COMPOSTO DE DOBRADICAS SUPERIOR E INFERIOR, TRINCO, FECHADURA, CONTRA FE CHADURA COM CAPUCHINHO SEM MOLA E PUXADOR</t>
  </si>
  <si>
    <t>5.0</t>
  </si>
  <si>
    <t>PINTURA</t>
  </si>
  <si>
    <t>5.1</t>
  </si>
  <si>
    <t>APLICAÇÃO MANUAL DE PINTURA COM TINTA TEXTURIZADA ACRÍLICA EM PAREDES EXTERNAS DE CASAS, UMA COR. AF_06/2014</t>
  </si>
  <si>
    <t>(81,66 X 3,25)- VAOS(36,80)</t>
  </si>
  <si>
    <t>5.2</t>
  </si>
  <si>
    <t>APLICAÇÃO E LIXAMENTO DE MASSA LÁTEX EM TETO, DUAS DEMÃOS. AF_06/2014</t>
  </si>
  <si>
    <t>PROJETO   347,22</t>
  </si>
  <si>
    <t>5.3</t>
  </si>
  <si>
    <t>APLICAÇÃO MANUAL DE PINTURA COM TINTA LÁTEX ACRÍLICA EM TETO, DUAS DEMÃOS. AF_06/2014DEM</t>
  </si>
  <si>
    <t>5.4</t>
  </si>
  <si>
    <t>APLICAÇÃO E LIXAMENTO DE MASSA LÁTEX EM PAREDES, DUAS DEMÃOS. AF_06/20 (APENAS 30% DO TOTAL)</t>
  </si>
  <si>
    <t>(243,10 X 3,25)-VAOS(66,0) X 30%</t>
  </si>
  <si>
    <t>APLICAÇÃO MANUAL DE PINTURA COM TINTA LÁTEX ACRÍLICA EM PAREDES, DUAS DEMÃOS. AF_06/2014</t>
  </si>
  <si>
    <t>73739/001</t>
  </si>
  <si>
    <t>PINTURA ESMALTE ACETINADO EM MADEIRA, DUAS DEMAOS</t>
  </si>
  <si>
    <t>APLICAÇÃO MANUAL DE PINTURA COM TINTA LÁTEX ACRÍLICA EM PILARES E VIGAS APARENTES</t>
  </si>
  <si>
    <t>=3,28 X (1,3 + 0,3) X 12 UD</t>
  </si>
  <si>
    <t>PINTURA ESMALTE ALTO BRILHO, DUAS DEMAOS, SOBRE SUPERFICIE METALICA</t>
  </si>
  <si>
    <t>PINTURA ACRILICA PARA SINALIZAÇÃO HORIZONTAL EM PISO CIMENTADO</t>
  </si>
  <si>
    <t>1,6 X 21,81 X 2</t>
  </si>
  <si>
    <t>6.0</t>
  </si>
  <si>
    <t>INSTALAÇÕES ELÉTRICAS</t>
  </si>
  <si>
    <t>6.1</t>
  </si>
  <si>
    <t>CABO DE COBRE FLEXÍVEL ISOLADO, 10 MM², ANTI-CHAMA 450/750 V, PARA CIR MCUITOS TERMINAIS - FORNECIMENTO E INSTALAÇÃO. AF_12/2015</t>
  </si>
  <si>
    <t>6.2</t>
  </si>
  <si>
    <t>CABO DE COBRE FLEXÍVEL ISOLADO, 6 MM², ANTI-CHAMA 450/750 V, PARA CIRCUITOS TERMINAIS - FORNECIMENTO E INSTALAÇÃO. AF_12/2015</t>
  </si>
  <si>
    <t>6.3</t>
  </si>
  <si>
    <t>CABO DE COBRE ISOLADO PVC 450/750V 4MM2 RESISTENTE A CHAMA - FORNECIMENTO E INSTALACAO</t>
  </si>
  <si>
    <t>6.4</t>
  </si>
  <si>
    <t>CABO DE COBRE ISOLADO PVC 450/750V 2,5MM2 RESISTENTE A CHAMA - FORNECIMENTO E INSTALACAO</t>
  </si>
  <si>
    <t>6.5</t>
  </si>
  <si>
    <t>RASGO EM ALVENARIA PARA ELETRODUTOS COM DIAMETROS MENORES OU IGUAIS A 40 MM. AF_05/2015</t>
  </si>
  <si>
    <t>3 X 3 X 20</t>
  </si>
  <si>
    <t>6.6</t>
  </si>
  <si>
    <t>ELETRODUTO FLEXÍVEL CORRUGADO, PVC, DN 32 MM (1"), PARA CIRCUITOS TERMINAIS, INSTALADO EM FORRO - FORNECIMENTO E INSTALAÇÃO. AF_12/2015</t>
  </si>
  <si>
    <t>6.7</t>
  </si>
  <si>
    <t>ELETRODUTO RÍGIDO ROSCÁVEL, PVC, DN 40 MM (1 1/4"), PARA CIRCUITOS TERMINAIS, INSTALADO EM LAJE - FORNECIMENTO E INSTALAÇÃO. AF_12/2015</t>
  </si>
  <si>
    <t>6.8</t>
  </si>
  <si>
    <t>TOMADA DE EMBUTIR 2P+T 10A/250V C/ PLACA - FORNECIMENTO E INSTALACAO</t>
  </si>
  <si>
    <t>58+58+16</t>
  </si>
  <si>
    <t>6.9</t>
  </si>
  <si>
    <t>TOMADA DE EMBUTIR 2P+T 20A/250V C/ PLACA - FORNECIMENTO E INSTALACAO</t>
  </si>
  <si>
    <t>6.10</t>
  </si>
  <si>
    <t>INTERRUPTOR SIMPLES DE EMBUTIR 10A/250V 1 TECLA, COM PLACA - FORNECIMENTO E INSTALACAO</t>
  </si>
  <si>
    <t>NTERRUPTOR SIMPLES (2 MÓDULOS), 10A/250V, INCLUINDO SUPORTE E PLACA -FORNECIMENTO E INSTALAÇÃO. AF_12/2015</t>
  </si>
  <si>
    <t>DISJUNTOR MONOPOLAR TIPO DIN, CORRENTE NOMINAL DE 10A - FORNECIMENTO E INSTALAÇÃO. AF_04/2016</t>
  </si>
  <si>
    <t>DISJUNTOR MONOPOLAR TIPO DIN, CORRENTE NOMINAL DE 20A - FORNECIMENTO E INSTALAÇÃO. AF_04/2016</t>
  </si>
  <si>
    <t>DISJUNTOR MONOPOLAR TIPO DIN, CORRENTE NOMINAL DE 32A - FORNECIMENTO E INSTALAÇÃO. AF_04/2016</t>
  </si>
  <si>
    <t>DISJUNTOR BIPOLAR TIPO DIN, CORRENTE NOMINAL DE 10A - FORNECIMENTO E INSTALAÇÃO. AF_04/2016</t>
  </si>
  <si>
    <t>DISJUNTOR BIPOLAR TIPO DIN, CORRENTE NOMINAL DE 20A - FORNECIMENTO E INSTALAÇÃO. AF_04/2016</t>
  </si>
  <si>
    <t>DISJUNTOR BIPOLAR TIPO DIN, CORRENTE NOMINAL DE 32A - FORNECIMENTO E INSTALAÇÃO. AF_04/2016</t>
  </si>
  <si>
    <t>DISJUNTOR TRIPOLAR TIPO DIN, CORRENTE NOMINAL DE 50A - FORNECIMENTO E INSTALAÇÃO. AF_04/2016</t>
  </si>
  <si>
    <t>DISJUNTOR TRIPOLAR TIPO DIN, CORRENTE NOMINAL DE 10A - FORNECIMENTO E INSTALAÇÃO. AF_04/2016</t>
  </si>
  <si>
    <t>DISJUNTOR TRIPOLAR TIPO DIN, CORRENTE NOMINAL DE 20A - FORNECIMENTO E INSTALAÇÃO. AF_04/2016</t>
  </si>
  <si>
    <t>CAIXA RETANGULAR 4" X 2" BAIXA (0,30 M DO PISO), PVC, INSTALADA EM PAREDE - FORNECIMENTO E INSTALAÇÃO. AF_12/2015</t>
  </si>
  <si>
    <t>CAIXA RETANGULAR 4" X 4" BAIXA (0,30 M DO PISO), PVC, INSTALADA EM PAREDE - FORNECIMENTO E INSTALAÇÃO. AF_12/2015</t>
  </si>
  <si>
    <t>QUADRO DE DISTRIBUICAO DE ENERGIA EM CHAPA DE ACO GALVANIZADO, PARA 12 DISJUNTORES TERMOMAGNETICOS MONOPOLARES, COM BARRAMENTO TRIFASICO E NEUTRO - FORNECIMENTO E INSTALACAO</t>
  </si>
  <si>
    <t>74131/006</t>
  </si>
  <si>
    <t>QUADRO DE DISTRIBUICAO DE ENERGIA EM CHAPA DE ACO GALVANIZADO, PARA 32 DISJUNTORES TERMOMAGNETICOS MONOPOLARES, COM BARRAMENTO TRIFASICO E NEUTRO - FORNECIMENTO E INSTALACAO</t>
  </si>
  <si>
    <t>ELETRODUTO RÍGIDO ROSCÁVEL, PVC, DN 110 MM (4") - FORNECIMENTO E INSTALAÇÃO. AF_12/2015</t>
  </si>
  <si>
    <t>74131/007</t>
  </si>
  <si>
    <t>QUADRO DE DISTRIBUICAO DE ENERGIA DE EMBUTIR, EM CHAPA METALICA, PARA 40 DISJUNTORES TERMOMAGNETICOS MONOPOLARES, COM BARRAMENTO TRIFASICO E NEUTRO, FORNECIMENTO E INSTALACAO</t>
  </si>
  <si>
    <t>COMPOSIÇÃO2</t>
  </si>
  <si>
    <t>ELETROCALHA METÁLICA LISA  100 x 50 mm (ref. valemam ou equivalente técnica), CONTENDO PINTURA, TAMPA DE ENCAIXE, JUNÇÃO, DERIVAÇÕES, SUPORTE VERTICAL PARA FIXAÇÃO, FORNECIMENTO E INSTALAÇÃO.</t>
  </si>
  <si>
    <t>7.0</t>
  </si>
  <si>
    <t>INSTALAÇÃOES DE LÓGICA</t>
  </si>
  <si>
    <t>7.1</t>
  </si>
  <si>
    <t>7.2</t>
  </si>
  <si>
    <t>7.3</t>
  </si>
  <si>
    <t>7.4</t>
  </si>
  <si>
    <t>7.5</t>
  </si>
  <si>
    <t>7.6</t>
  </si>
  <si>
    <t>CONDULETE 3/4" EM LIGA DE ALUMÍNIO FUNDIDO TIPO "C" - FORNECIMENTO E INSTALACAO</t>
  </si>
  <si>
    <t>7.7</t>
  </si>
  <si>
    <t>CABO ELETRÔNICO CATEGORIA 5E, INSTALADO EM EDIFICAÇÃO RESIDENCIAL - FORNECIMENTO E INSTALAÇÃO. AF_03/2018</t>
  </si>
  <si>
    <t>7.8</t>
  </si>
  <si>
    <t>CABO ELETRÔNICO CATEGORIA 6, INSTALADO EM EDIFICAÇÃO RESIDENCIAL - FORNECIMENTO E INSTALAÇÃO. AF_03/2018</t>
  </si>
  <si>
    <t>7.9</t>
  </si>
  <si>
    <t>PATCH PANEL 24 PORTAS, CATEGORIA 6 - FORNECIMENTO E INSTALAÇÃO. AF_03/</t>
  </si>
  <si>
    <t>7.10</t>
  </si>
  <si>
    <t>PATCH PANEL 48 PORTAS, CATEGORIA 5E - FORNECIMENTO E INSTALAÇÃO. AF_04</t>
  </si>
  <si>
    <t>7.11</t>
  </si>
  <si>
    <t>COMPOSIÇÃO3</t>
  </si>
  <si>
    <t>RACK FECHADO 24UX19"X670MM, PORTA EM ACRILICO COM REGUA PARA 6 TOMADAS; 02 BANDEJAS, ORGANIZADOR DE CABOS E  PATCH PANEL 24 PORTAS – FORNECIMENTO E INSTALAÇÃO</t>
  </si>
  <si>
    <t>TOMADA PARA TELEFONE RJ11 - FORNECIMENTO E INSTALAÇÃO. AF_11/2019</t>
  </si>
  <si>
    <t>7.15</t>
  </si>
  <si>
    <t>TOMADA DE REDE RJ45 - FORNECIMENTO E INSTALAÇÃO. AF_03/2018</t>
  </si>
  <si>
    <t>7.16</t>
  </si>
  <si>
    <t>QUADRO DE DISTRIBUICAO PARA TELEFONE N.2, 20X20X12CM EM CHAPA METALICA, DE EMBUTIR, SEM ACESSORIOS, PADRAO TELEBRAS, FORNECIMENTO E INSTALACAO</t>
  </si>
  <si>
    <t>ud</t>
  </si>
  <si>
    <t>8.0</t>
  </si>
  <si>
    <t>INSTALAÇÃO HIDRÁULICA E SANITÁRIA</t>
  </si>
  <si>
    <t>8.1</t>
  </si>
  <si>
    <t xml:space="preserve">INSTALAÇÃO HIDRÁULICA  </t>
  </si>
  <si>
    <t>RASGO EM ALVENARIA PARA RAMAIS/ DISTRIBUIÇÃO COM DIAMETROS MENORES OU IGUAIS A 40 MM. AF_05/2015</t>
  </si>
  <si>
    <t>BANCADA DE GRANITO CINZA POLIDO PARA LAVATÓRIO 0,50 X 0,60 M - FORNECIMENTO E INSTALAÇÃO. AF_12/2013_P</t>
  </si>
  <si>
    <t>CUBA DE EMBUTIR OVAL EM LOUÇA BRANCA, 35 X 50CM OU EQUIVALENTE - FORNECIMENTO E INSTALAÇÃO. AF_12/2013</t>
  </si>
  <si>
    <t>TORNEIRA CROMADA DE MESA, 1/2" OU 3/4", PARA LAVATÓRIO, PADRÃO MÉDIO - FORNECIMENTO E INSTALAÇÃO. AF_12/2013</t>
  </si>
  <si>
    <t>VALVULA DESCARGA 1.1/2" COM REGISTRO, ACABAMENTO EM METAL CROMADO - FORNECIMENTO E INSTALACAO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</si>
  <si>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</si>
  <si>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</si>
  <si>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 xml:space="preserve"> JUNÇÃO SIMPLES, PVC, SERIE R, ÁGUA PLUVIAL, DN 100 X 100 MM, JUNTA ELÁSTICA, FORNECIDO E INSTALADO EM RAMAL DE ENCAMINHAMENTO. AF_12/2014</t>
  </si>
  <si>
    <t>JOELHO 90 GRAUS, PVC, SERIE NORMAL, ESGOTO PREDIAL, DN 50 MM, JUNTA ELÁSTICA, FORNECIDO E INSTALADO EM RAMAL DE DESCARGA OU RAMAL DE ESGOTOSANITÁRIO. AF_12/2014</t>
  </si>
  <si>
    <t>JOELHO 90 GRAUS, PVC, SERIE NORMAL, ESGOTO PREDIAL, DN 100 MM, JUNTA E LÁSTICA, FORNECIDO E INSTALADO EM RAMAL DE DESCARGA OU RAMAL DE ESGOTO SANITÁRIO. AF_12/2014</t>
  </si>
  <si>
    <t>8.2</t>
  </si>
  <si>
    <t>SANITÁRIA</t>
  </si>
  <si>
    <t>PAPELEIRA DE PAREDE EM METAL CROMADO SEM TAMPA, INCLUSO FIXAÇÃO. AF_10/2016</t>
  </si>
  <si>
    <t>SABONETEIRA DE PAREDE EM METAL CROMADO, INCLUSO FIXAÇÃO. AF_01/2020</t>
  </si>
  <si>
    <t>VASO SANITARIO SIFONADO CONVENCIONAL PARA PCD SEM FURO FRONTAL COM LOUÇA BRANCA SEM ASSENTO - FORNECIMENTO E INSTALAÇÃO. AF_01/2020</t>
  </si>
  <si>
    <t>VASO SANITARIO SIFONADO CONVENCIONAL COM LOUÇA BRANCA, INCLUSO CONJUNTO DE LIGAÇÃO PARA BACIA SANITÁRIA AJUSTÁVEL - FORNECIMENTO E INSTALAÇÃO. AF_10/2016</t>
  </si>
  <si>
    <t>9.0</t>
  </si>
  <si>
    <t>SERVIÇOS COMPLEMENTARES</t>
  </si>
  <si>
    <t>9.1</t>
  </si>
  <si>
    <t>9.3</t>
  </si>
  <si>
    <t>RECOLOCACAO DE DIVISORIAS TIPO CHAPAS OU TABUAS, INCLUSIVE ENTARUGAMENTO, CONSIDERANDO REAPROVEITAMENTO DO MATERIAL O. AF_10/2016</t>
  </si>
  <si>
    <t>10.0</t>
  </si>
  <si>
    <t>FORRO</t>
  </si>
  <si>
    <t>10.1</t>
  </si>
  <si>
    <t>FORRO EM DRYWALL, PARA AMBIENTES COMERCIAIS, INCLUSIVE ESTRUTURA DE FIXAÇÃO. AF_05/2017_P</t>
  </si>
  <si>
    <t>BLOCO2 - DIRETORIA SISTÊMICA - DAS                                                                       773,81 m²</t>
  </si>
  <si>
    <t>1.4</t>
  </si>
  <si>
    <t>1.5</t>
  </si>
  <si>
    <t>1.6</t>
  </si>
  <si>
    <t>1.7</t>
  </si>
  <si>
    <t>1.8</t>
  </si>
  <si>
    <t>ALVENARIA</t>
  </si>
  <si>
    <t>DIVISORIA EM GRANITO BRANCO POLIDO, ESP = 3CM, ASSENTADO COM ARGAMASSA TRACO 1:4, ARREMATE EM CIMENTO BRANCO, EXCLUSIVE FERRAGENS</t>
  </si>
  <si>
    <t>PAREDE COM PLACAS DE GESSO ACARTONADO (DRYWALL), PARA USO INTERNO, COM DUAS FACES SIMPLES E ESTRUTURA METÁLICA COM GUIAS SIMPLES, COM VÃOS A F_06/2017_P</t>
  </si>
  <si>
    <t>=40,65X3,3</t>
  </si>
  <si>
    <t>CHAPISCO APLICADO EM ALVENARIAS E ESTRUTURAS DE CONCRETO INTERNAS, COM COLHER DE PEDREIRO. ARGAMASSA TRAÇO 1:3 COM PREPARO EM BETONEIRA 400 L. AF_06/2014</t>
  </si>
  <si>
    <t>4.4</t>
  </si>
  <si>
    <t>40,65X3,3</t>
  </si>
  <si>
    <t>10 % DO TOTAL  49,45M2</t>
  </si>
  <si>
    <t>VIDRO TEMPERADO COLORIDO VERDE, ESPESSURA 10MM, FORNECIMENTO E INSTALACAO, INCLUSIVE MASSA PARA VEDACAO</t>
  </si>
  <si>
    <t>2,55 X 2,85</t>
  </si>
  <si>
    <t>APLICAÇÃO MANUAL DE PINTURA COM TINTA LÁTEX PVA EM TETO, DUAS DEMÃOS.AF_06/2014</t>
  </si>
  <si>
    <t>APLICAÇÃO E LIXAMENTO DE MASSA LÁTEX EM PAREDES, DUAS DEMÃOS. AF_06/20</t>
  </si>
  <si>
    <t>(243,10 X 3,25)-VAOS(66,0)</t>
  </si>
  <si>
    <t>PINTURA COM TINTA ALQUÍDICA DE FUNDO E ACABAMENTO (ESMALTE SINTÉTICO GRAFITE) PULVERIZADA SOBRE SUPERFÍCIES METÁLICAS (EXCETO PERFIL) EXECUTADO EM OBRA (POR DEMÃO). AF_01/2020</t>
  </si>
  <si>
    <t>APLICAÇÃO MANUAL DE TINTA LÁTEX ACRÍLICA EM PAREDE EXTERNAS DE CASAS, DUAS DEMÃOS. AF_11/2016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</si>
  <si>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</si>
  <si>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</si>
  <si>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</si>
  <si>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</si>
  <si>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</si>
  <si>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</si>
  <si>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</si>
  <si>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</si>
  <si>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</si>
  <si>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8.17</t>
  </si>
  <si>
    <t>8.18</t>
  </si>
  <si>
    <t>8.19</t>
  </si>
  <si>
    <t>8.20</t>
  </si>
  <si>
    <t>8.21</t>
  </si>
  <si>
    <t>8.22</t>
  </si>
  <si>
    <t>8.23</t>
  </si>
  <si>
    <t>9.2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</si>
  <si>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</si>
  <si>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</si>
  <si>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</si>
  <si>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</si>
  <si>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</si>
  <si>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</si>
  <si>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</si>
  <si>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</si>
  <si>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</si>
  <si>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</si>
  <si>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10.1.1</t>
  </si>
  <si>
    <t>10.1.2</t>
  </si>
  <si>
    <t>10.1.3</t>
  </si>
  <si>
    <t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</si>
  <si>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>10.1.4</t>
  </si>
  <si>
    <t>BANCADA DE GRANITO CINZA POLIDO PARA PIA DE COZINHA 1,50 X 0,60 M - FORNECIMENTO E INSTALAÇÃO. AF_12/2013</t>
  </si>
  <si>
    <t>10.1.5</t>
  </si>
  <si>
    <t>10.1.6</t>
  </si>
  <si>
    <t>10.1.7</t>
  </si>
  <si>
    <t>10.1.8</t>
  </si>
  <si>
    <t>CHUVEIRO ELETRICO COMUM CORPO PLASTICO TIPO DUCHA, FORNECIMENTO E INSTALACAO</t>
  </si>
  <si>
    <t>10.1.9</t>
  </si>
  <si>
    <t>REGISTRO DE GAVETA BRUTO, LATÃO, ROSCÁVEL, 1/2", COM ACABAMENTO E CANOPLA CROMADOS. FORNECIDO E INSTALADO EM RAMAL DE ÁGUA. AF_12/2014</t>
  </si>
  <si>
    <t>10.1.10</t>
  </si>
  <si>
    <t>REGISTRO DE PRESSÃO BRUTO, LATÃO, ROSCÁVEL, 1/2", COM ACABAMENTO E CANOPLA CROMADOS. FORNECIDO E INSTALADO EM RAMAL DE ÁGUA. AF_12/2014</t>
  </si>
  <si>
    <t>10.2</t>
  </si>
  <si>
    <t>10.2.1</t>
  </si>
  <si>
    <t>VASO SANITARIO SIFONADO CONVENCIONAL PARA PCD SEM FURO FRONTAL COM LOUÇA BRANCA SEM ASSENTO, INCLUSO CONJUNTO DE LIGAÇÃO PARA BACIA SANITÁRIA AJUSTÁVEL - FORNECIMENTO E INSTALAÇÃO. AF_10/2016</t>
  </si>
  <si>
    <t>10.2.2</t>
  </si>
  <si>
    <t>10.2.3</t>
  </si>
  <si>
    <t>COMPOSIÇÃO 6</t>
  </si>
  <si>
    <t>LAVATÓRIO DE CANTO SUSPENSO PARA PCD 38,5X38,5 CM L76 DECA OU SIMILAR</t>
  </si>
  <si>
    <t>10.2.4</t>
  </si>
  <si>
    <t>SIFÃO DO TIPO GARRAFA EM METAL CROMADO 1 X 1.1/2" - FORNECIMENTO E INSTALAÇÃO. AF_12/2013</t>
  </si>
  <si>
    <t>10.2.5</t>
  </si>
  <si>
    <t>VÁLVULA EM METAL CROMADO 1.1/2" X 1.1/2" PARA TANQUE OU LAVATÓRIO, COM OU SEM LADRÃO - FORNECIMENTO E INSTALAÇÃO. AF_12/2013</t>
  </si>
  <si>
    <t>10.2.6</t>
  </si>
  <si>
    <t>ENGATE FLEXÍVEL EM INOX, 1/2 X 40CM - FORNECIMENTO E INSTALAÇÃO. AF_12/2013</t>
  </si>
  <si>
    <t>10.2.7</t>
  </si>
  <si>
    <t>CAIXA SIFONADA, PVC, DN 100 X 100 X 50 MM, JUNTA ELÁSTICA, FORNECIDA E INSTALADA EM RAMAL DE DESCARGA OU EM RAMAL DE ESGOTO SANITÁRIO. AF_12/2014</t>
  </si>
  <si>
    <t>10.2.8</t>
  </si>
  <si>
    <t>10.2.9</t>
  </si>
  <si>
    <t>10.2.10</t>
  </si>
  <si>
    <t>10.2.11</t>
  </si>
  <si>
    <t>10.2.13</t>
  </si>
  <si>
    <t>10.2.14</t>
  </si>
  <si>
    <t>11.0</t>
  </si>
  <si>
    <t>11.1</t>
  </si>
  <si>
    <t>11.3</t>
  </si>
  <si>
    <t>BLOCO 3 - PROTOCOLO                                                                                               311,46 m²</t>
  </si>
  <si>
    <t xml:space="preserve"> DEMOLIÇÃO DE ALVENARIA DE BLOCO FURADO, DE FORMA MANUAL, SEM REAPROVEITAMENTO. AF_12/2017</t>
  </si>
  <si>
    <t>M³</t>
  </si>
  <si>
    <t>M²</t>
  </si>
  <si>
    <t>ALVENARIA DE VEDAÇÃO DE BLOCOS CERÂMICOS FURADOS NA VERTICAL DE 9X19X3 9CM (ESPESSURA 9CM) DE PAREDES COM ÁREA LÍQUIDA MENOR QUE 6M² SEM VÃOS E ARGAMASSA DE ASSENTAMENTO COM PREPARO EM BETONEIRA. AF_06/2014</t>
  </si>
  <si>
    <t>7 PORTAS</t>
  </si>
  <si>
    <t>=0,80X2,1X8</t>
  </si>
  <si>
    <t>APLICAÇÃO E LIXAMENTO DE MASSA LÁTEX EM CONCRETO, DUAS DEMÃOS. AF_06/20</t>
  </si>
  <si>
    <t>=10*4*1,5</t>
  </si>
  <si>
    <t>7.14</t>
  </si>
  <si>
    <t>CUBA DE EMBUTIR DE AÇO INOXIDÁVEL MÉDIA - FORNECIMENTO E INSTALAÇÃO. AF_12/2013</t>
  </si>
  <si>
    <t>TORNEIRA CROMADA LONGA, DE PAREDE, 1/2" OU 3/4", PARA PIA DE COZINHA, PADRÃO MÉDIO - FORNECIMENTO E INSTALAÇÃO. AF_12/2013</t>
  </si>
  <si>
    <t>VÁLVULA EM METAL CROMADO TIPO AMERICANA 3.1/2" X 1.1/2" PARA PIA - FORNECIMENTO E INSTALAÇÃO. AF_12/2013</t>
  </si>
  <si>
    <t>15X3,3</t>
  </si>
  <si>
    <t>BLOCO 4 - AUDITORIO                                                                                                  267,52 m²</t>
  </si>
  <si>
    <t>DEMOLIÇÕES</t>
  </si>
  <si>
    <t>DEMOLIÇÃO DE CONCRETO SIMPLES (GRANILITE CONTRA PISO DOS WCS)</t>
  </si>
  <si>
    <t>ESQUADRIAS</t>
  </si>
  <si>
    <t>KIT DE PORTA DE MADEIRA PARA PINTURA, SEMI-OCA (LEVE OU MÉDIA), PADRÃOMÉDIO, 80X210CM, ESPESSURA DE 3,5CM, ITENS INCLUSOS: DOBRADIÇAS, MONTAGEM E INSTALAÇÃO DO BATENTE, FECHADURA COM EXECUÇÃO DO FURO - FORNECIMENTO E INSTALAÇÃO. AF_08/2015</t>
  </si>
  <si>
    <t>=0,8X2,10X8</t>
  </si>
  <si>
    <t>3.3</t>
  </si>
  <si>
    <t>3.4</t>
  </si>
  <si>
    <t>PORTA DE FERRO, DE ABRIR, TIPO GRADE COM CHAPA, 87X210CM, COM GUARNICOES</t>
  </si>
  <si>
    <t>=0,8X2,1</t>
  </si>
  <si>
    <t>MASSA ÚNICA, PARA RECEBIMENTO DE PINTURA, EM ARGAMASSA TRAÇO 1:2:8, PREPARO MECÂNICO COM BETONEIRA 400L, APLICADA MANUALMENTE EM FACES INTERNAS DE PAREDES, ESPESSURA DE 20MM, COM EXECUÇÃO DE TALISCAS. AF_06/2014</t>
  </si>
  <si>
    <t>REVESTIMENTO CERÂMICO PARA PAREDES INTERNAS COM PLACAS TIPO ESMALTADA EXTRA DE DIMENSÕES 20X20 CM APLICADAS EM AMBIENTES DE ÁREA MAIOR QUE 5M² NA ALTURA INTEIRA DAS PAREDES. AF_06/2014</t>
  </si>
  <si>
    <t>PISO VINÍLICO SEMI-FLEXÍVEL EM PLACAS, PADRÃO LISO, ESPESSURA 3,2 MM, FIXADO COM COLA. AF_06/2018</t>
  </si>
  <si>
    <t>CONTRAPISO EM ARGAMASSA TRAÇO 1:4 (CIMENTO E AREIA), PREPARO MECÂNICO COM BETONEIRA 400 L, APLICADO EM ÁREAS SECAS SOBRE LAJE, ADERIDO, ESPESSURA 2CM. AF_06/2014</t>
  </si>
  <si>
    <t>REVESTIMENTO CERÂMICO PARA PISO COM PLACAS TIPO PORCELANATO DE DIMENSÕES 60X60 CM APLICADA EM AMBIENTES DE ÁREA MAIOR QUE 10 M². AF_06/2014</t>
  </si>
  <si>
    <t>36 + 24</t>
  </si>
  <si>
    <t>TRATAMENTO EM CONCRETO COMLATEX E LIXAMENTO</t>
  </si>
  <si>
    <t>1,5X4X6</t>
  </si>
  <si>
    <t>73924/001</t>
  </si>
  <si>
    <t>CABO DE COBRE FLEXÍVEL ISOLADO, 16 MM², ANTI-CHAMA 450/750 V, PARA DISTRIBUIÇÃO - FORNECIMENTO E INSTALAÇÃO. AF_12/2015</t>
  </si>
  <si>
    <t>CABO DE COBRE FLEXÍVEL ISOLADO, 35 MM², ANTI-CHAMA 450/750 V, PARA DISTRIBUIÇÃO - FORNECIMENTO E INSTALAÇÃO. AF_12/2015</t>
  </si>
  <si>
    <t>TOMADA MÉDIA DE EMBUTIR (2 MÓDULOS), 2P+T 10 A, INCLUINDO SUPORTE E PLACA - FORNECIMENTO E INSTALAÇÃO. AF_12/2015</t>
  </si>
  <si>
    <t>TOMADA BAIXA DE EMBUTIR (2 MÓDULOS), 2P+T 10 A, INCLUINDO SUPORTE E PLACA - FORNECIMENTO E INSTALAÇÃO. AF_12/2015</t>
  </si>
  <si>
    <t>8.13</t>
  </si>
  <si>
    <t>8.14</t>
  </si>
  <si>
    <t>74130/004</t>
  </si>
  <si>
    <t>DISJUNTOR TERMOMAGNETICO TRIPOLAR PADRAO NEMA (AMERICANO) 10 A 50A 240V, FORNECIMENTO E INSTALACAO</t>
  </si>
  <si>
    <t>8.15</t>
  </si>
  <si>
    <t>74130/003</t>
  </si>
  <si>
    <t>DISJUNTOR TERMOMAGNETICO BIPOLAR PADRAO NEMA (AMERICANO) 10 A 50A 240V</t>
  </si>
  <si>
    <t>8.16</t>
  </si>
  <si>
    <t>74130/005</t>
  </si>
  <si>
    <t>DISJUNTOR TERMOMAGNETICO TRIPOLAR PADRAO NEMA (AMERICANO) 60 A 100A 240V, FORNECIMENTO E INSTALACAO</t>
  </si>
  <si>
    <t>74130/001</t>
  </si>
  <si>
    <t>DISJUNTOR TERMOMAGNETICO MONOPOLAR PADRAO NEMA (AMERICANO) 10 A 30A 240V, FORNECIMENTO E INSTALACAO</t>
  </si>
  <si>
    <t>74131/004</t>
  </si>
  <si>
    <t>QUADRO DE DISTRIBUICAO DE ENERGIA DE EMBUTIR, EM CHAPA METALICA, PARA 18 DISJUNTORES TERMOMAGNETICOS MONOPOLARES, COM BARRAMENTO TRIFASICO E NEUTRO, FORNECIMENTO E INSTALACAO</t>
  </si>
  <si>
    <t>ELETRODUTO RÍGIDO ROSCÁVEL, PVC, DN 50 MM (1 1/2") - FORNECIMENTO E INSTALAÇÃO. AF_12/2015</t>
  </si>
  <si>
    <t>ELETRODUTO FLEXÍVEL CORRUGADO, PVC, DN 25 MM (3/4"), PARA CIRCUITOS TERMINAIS, INSTALADO EM FORRO - FORNECIMENTO E INSTALAÇÃO. AF_12/2015</t>
  </si>
  <si>
    <t>ESCAVAÇÃO MANUAL DE VALA COM PROFUNDIDADE MENOR OU IGUAL A 1,30 M. AF_03/2016</t>
  </si>
  <si>
    <t>COMP. DETRAN</t>
  </si>
  <si>
    <t>SABONETEIRA DE SOBREPOR (FIXADA NA PAREDE), TIPO CONCHA, EM ACO INOXIDAVEL - FORNECIMENTO E INSTALACAO</t>
  </si>
  <si>
    <t>COMP.DETRAN</t>
  </si>
  <si>
    <t>IMPERMEABILIZAÇÃO DE SUPERFÍCIE COM IMPERMEABILIZANTE SEMI-FLEXIVEL (MAI), 3 DEMÃOS. AF_06/2018</t>
  </si>
  <si>
    <t>BLOCO 7 - ALMOXARIFADO                                                                                          495,65 m²</t>
  </si>
  <si>
    <t>14*,8*2,1</t>
  </si>
  <si>
    <t>0,8*2,1*2</t>
  </si>
  <si>
    <t>SO 30%</t>
  </si>
  <si>
    <t>74133/002</t>
  </si>
  <si>
    <t>EMASSAMENTO COM MASSA A OLEO, DUAS DEMAOS</t>
  </si>
  <si>
    <t>APLICAÇÃO MANUAL DE PINTURA COM TINTA LÁTEX ACRÍLICA EM CONCRETOPAREDES, DUAS DEMÃOS. AF_06/2014</t>
  </si>
  <si>
    <t>20X1,5X4</t>
  </si>
  <si>
    <t>8.12</t>
  </si>
  <si>
    <t>74130/010</t>
  </si>
  <si>
    <t>DISJUNTOR TERMOMAGNETICO TRIPOLAR EM CAIXA MOLDADA 175 A 225A 240V, FORNECIMENTO E INSTALACAO</t>
  </si>
  <si>
    <t>MICTORIO SIFONADO DE LOUCA BRANCA COM PERTENCES, COM REGISTRO DE PRESSAO 1/2" COM CANOPLA CROMADA ACABAMENTO SIMPLES E CONJUNTO PARA FIXACAO - FORNECIMENTO E INSTALACAO</t>
  </si>
  <si>
    <t>BANCADA DE GRANITO CINZA POLIDO PARA LAVATÓRIO 2,00X0,60 M - FORNECIMENTO E INSTALAÇÃO. AF_12/2013_P</t>
  </si>
  <si>
    <t>10.1.11</t>
  </si>
  <si>
    <t>10.1.12</t>
  </si>
  <si>
    <t>10.1.13</t>
  </si>
  <si>
    <t>10.1.14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</si>
  <si>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</si>
  <si>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</si>
  <si>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</si>
  <si>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</si>
  <si>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</si>
  <si>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</si>
  <si>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</si>
  <si>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</si>
  <si>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</si>
  <si>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</si>
  <si>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12.0</t>
  </si>
  <si>
    <t>12.1</t>
  </si>
  <si>
    <t>BLOCO 8 - CANTINA                                                                                                        45,81 m²</t>
  </si>
  <si>
    <t>0,8X2,1</t>
  </si>
  <si>
    <t>PORTA DE FERRO, DE ABRIR, TIPO GRADE COM CHAPA, COM GUARNIÇÕES. AF_12/2019</t>
  </si>
  <si>
    <t>0,8x2,1x2</t>
  </si>
  <si>
    <t>REVESTIMENTO CERÂMICO PARA PISO COM PLACAS TIPO ESMALTADA EXTRA DE DIMENSÕES 45X45 CM APLICADA EM AMBIENTES DE ÁREA MENOR QUE 5 M2. AF_06/2014</t>
  </si>
  <si>
    <t>4.5</t>
  </si>
  <si>
    <t>COMP DETRAN</t>
  </si>
  <si>
    <t>LUMINARIA DE EMBUTIR EM CHAPA DE ACO PARA 2 LAMPADAS LED ATÉ 20 W COM REFLETOR E ALETAS EM ALUMINIO INCLUINDO 02 LAMPADAS 20 W - INSTALADA</t>
  </si>
  <si>
    <t>UN</t>
  </si>
  <si>
    <t>TOMADA ALTA DE EMBUTIR 2P+T 20A/250V C/ PLACA - FORNECIMENTO E INSTALACAO</t>
  </si>
  <si>
    <t>73749/001</t>
  </si>
  <si>
    <t>CAIXA ENTERRADA PARA INSTALACOES TELEFONICAS TIPO R1 0,60X0,35X0,50M EM BLOCOS DE CONCRETO ESTRUTURAL</t>
  </si>
  <si>
    <t>TAMPAO FOFO P/ CAIXA R1 PADRAO TELEBRAS COMPLETO - FORNECIMENTO E INSTALACAO</t>
  </si>
  <si>
    <t>FORNECIMENTO E INSTALAÇÃO DE CONECTORES RJ45, 8 VIAS MACHO</t>
  </si>
  <si>
    <t xml:space="preserve">BLOCO 6 - CORREGEDORIA                                                                                          337,18 m²                                            </t>
  </si>
  <si>
    <t>=0,8*2,1*2</t>
  </si>
  <si>
    <t>30%</t>
  </si>
  <si>
    <t>PATCH CORD, CATEGORIA 5 E, EXTENSAO DE 1,50 M</t>
  </si>
  <si>
    <t>FORNECIMENTO E INSTALAÇÃO DE RACK FECHADO 36Ux19"x670mm, PORTA EM ACRILICO, SEGUNDO PLANO DE RECUO, REGUA PARA 5 TOMADAS, 02 VENTILADORES</t>
  </si>
  <si>
    <t>BLOCO 20 - AMPLIAÇÃO DO  DEPÓSITO                                                                      488,56 m²</t>
  </si>
  <si>
    <t>= 5 X 2,5</t>
  </si>
  <si>
    <t>CHP</t>
  </si>
  <si>
    <t>MOVIMENTO DE TERRA</t>
  </si>
  <si>
    <t>ESCAVAÇÃO MANUAL DE VALA PARA VIGA BALDRAME, SEM PREVISÃO DE FÔRMA. AF_06/2017</t>
  </si>
  <si>
    <t>TUBULÃO A CÉU ABERTO, DIÂMETRO DO FUSTE DE 70 CM, PROFUNDIDADE MENOR OU IGUAL A 5 M, ESCAVAÇÃO MANUAL, SEM ALARGAMENTO DE BASE, CONCRETO FEITO EM OBRA E LANÇADO COM JERICA. AF_01/2018</t>
  </si>
  <si>
    <t>ESCAVACAO, CARGA E TRANSPORTE DE MATERIAL DE 1A CATEGORIA COM TRATOR SOBRE ESTEIRAS 347 HP E CACAMBA 6M3, DMT 50 A 200M</t>
  </si>
  <si>
    <t>ESPALHAMENTO DE MATERIAL COM TRATOR DE ESTEIRAS. AF_11/2019</t>
  </si>
  <si>
    <t>74005/001</t>
  </si>
  <si>
    <t>COMPACTACAO MECANICA, SEM CONTROLE DO GC (C/COMPACTADOR PLACA 400 KG)</t>
  </si>
  <si>
    <t>REATERRO MANUAL APILOADO COM SOQUETE. AF_10/2017</t>
  </si>
  <si>
    <t>PREPARO DE FUNDO DE VALA COM LARGURA MENOR QUE 1,5 M, EM LOCAL COM NÍVEL BAIXO DE INTERFERÊNCIA. AF_06/2016</t>
  </si>
  <si>
    <t>FUNDAÇÕES</t>
  </si>
  <si>
    <t>CONCRETO MAGRO PARA LASTRO, TRAÇO 1:4,5:4,5 (CIMENTO/ AREIA MÉDIA/ BRITA 1) - PREPARO MECÂNICO COM BETONEIRA 400 L. AF_07/2016</t>
  </si>
  <si>
    <t>FORMA TABUA PARA CONCRETO EM FUNDACAO, C/ REAPROVEITAMENTO 2X</t>
  </si>
  <si>
    <t>CONCRETO FCK = 25MPA, TRAÇO 1:2,3:2,7 (CIMENTO/ AREIA MÉDIA/ BRITA 1)- PREPARO MECÂNICO COM BETONEIRA 400 L. AF_07/2016</t>
  </si>
  <si>
    <t>LANCAMENTO/APLICACAO MANUAL DE CONCRETO EM FUNDACOES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</si>
  <si>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</si>
  <si>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</si>
  <si>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ARMAÇÃO DE FUNDAÇÕES E ESTRUTURAS DE CONCRETO ARMADO, EXCETO VIGAS, PILARES E LAJES (DE EDIFÍCIOS DE MÚLTIPLOS PAVIMENTOS, EDIFICAÇÃO TÉRREAOU SOBRADO), UTILIZANDO AÇO CA-50 DE 6.3 MM - MONTAGEM. AF_12/2015</t>
  </si>
  <si>
    <t>IMPERMEABILIZACAO DE SUPERFICIE COM ARGAMASSA DE CIMENTO E AREIA (MEDIA), TRACO 1:3, COM ADITIVO IMPERMEABILIZANTE, E=2CM.</t>
  </si>
  <si>
    <t>ESTRUTURA</t>
  </si>
  <si>
    <t>LANÇAMENTO COM USO DE BALDES, ADENSAMENTO E ACABAMENTO DE CONCRETO EM ESTRUTURAS. AF_12/2015</t>
  </si>
  <si>
    <t>FABRICAÇÃO DE FÔRMA PARA PILARES E ESTRUTURAS SIMILARES, EM CHAPA DE MADEIRA COMPENSADA RESINADA, E = 17 MM. AF_12/2015</t>
  </si>
  <si>
    <t>ARMAÇÃO DE  ESTRUTURAS DE CONCRETO ARMADO, EXCETO VIGAS, PILARES E LAJES (DE EDIFÍCIOS DE MÚLTIPLOS PAVIMENTOS, EDIFICAÇÃO TÉRREAOU SOBRADO), UTILIZANDO AÇO CA-50 DE 10,0 MM - MONTAGEM. AF_12/2015</t>
  </si>
  <si>
    <t>74141/001</t>
  </si>
  <si>
    <t>LAJE PRE-MOLD BETA 11 P/1KN/M2 VAOS 4,40M/INCL VIGOTAS TIJOLOS ARMADURA NEGATIVA CAPEAMENTO 3CM CONCRETO 20MPA ESCORAMENTO MATERIAL E MAO DE OBRA.</t>
  </si>
  <si>
    <t>ALVENARIA DE VEDAÇÃO DE BLOCOS CERÂMICOS FURADOS NA HORIZONTAL DE 9X19X19CM (ESPESSURA 9CM) DE PAREDES COM ÁREA LÍQUIDA MENOR QUE 6M² SEM VÃOS E ARGAMASSA DE ASSENTAMENTO COM PREPARO MANUAL. AF_06/2014</t>
  </si>
  <si>
    <t>VERGA PRÉ-MOLDADA PARA JANELAS COM ATÉ 1,5 M DE VÃO. AF_03/2016</t>
  </si>
  <si>
    <t>COBERTURA</t>
  </si>
  <si>
    <t>TRAMA DE AÇO COMPOSTA POR TERÇAS PARA TELHADOS DE ATÉ 2 ÁGUAS PARA TELHA ONDULADA DE FIBROCIMENTO, METÁLICA, PLÁSTICA OU TERMOACÚSTICA, INCLUSO TRANSPORTE VERTICAL. AF_12/2015</t>
  </si>
  <si>
    <t>TELHAMENTO COM TELHA METÁLICA TERMOACÚSTICA E = 30 MM, COM ATÉ 2 ÁGUAS , INCLUSO IÇAMENTO. AF_06/2016</t>
  </si>
  <si>
    <t>RUFO EM CHAPA DE AÇO GALVANIZADO NÚMERO 24, CORTE DE 25 CM, INCLUSO TRANSPORTE VERTICAL. AF_06/2016</t>
  </si>
  <si>
    <t>CALHA EM CHAPA DE AÇO GALVANIZADO NÚMERO 24, DESENVOLVIMENTO DE 50 CM, INCLUSO TRANSPORTE VERTICAL. AF_06/2016</t>
  </si>
  <si>
    <t>PINGADEIRA EM CHAPA DE AÇO GALVANIZADO NÚMERO 24, CORTE DE 25 CM, INCLUSO TRANSPORTE VERTICAL. AF_06/2016</t>
  </si>
  <si>
    <t>JANELA DE AÇO BASCULANTE, FIXAÇÃO COM ARGAMASSA, SEM VIDROS, PADRONIZADA. AF_07/2016</t>
  </si>
  <si>
    <t>JANELA DE AÇO DE CORRER, 2 FOLHAS, FIXAÇÃO COM ARGAMASSA, COM VIDROS, PADRONIZADA. AF_07/2016</t>
  </si>
  <si>
    <t>CHAPISCO APLICADO TANTO EM PILARES E VIGAS DE CONCRETO COMO EM ALVENARIAS DE PAREDES INTERNAS, COM ROLO PARA TEXTURA ACRÍLICA. ARGAMASSA TRAÇO 1:4 E EMULSÃO POLIMÉRICA (ADESIVO) COM PREPARO EM BETONEIRA 400L. AF_06/2014</t>
  </si>
  <si>
    <t>MASSA ÚNICA, PAR RECEBIMENTO DE PINTURA, EM ARGAMASSA TRAÇO 1:2:8, PREPARO MANUAL, APLICADO MANUALMENTE EM FACES INTERNAS DE PAREDES DE AMBIENTES COM ÁREA MENOR QUE 5M2, ESPESSURA DE 20MM, COM EXECUÇÃO DE TALISCAS. AF_06/2014</t>
  </si>
  <si>
    <t>EXECUÇÃO DE PASSEIO (CALÇADA) OU PISO DE CONCRETO COM CONCRETO MOLDADO IN LOCO, USINADO, ACABAMENTO CONVENCIONAL, NÃO ARMADO. AF_07/2016 (6 CM DE ESPESSURA, CONTRAPISO SALAS COM GRANILITE)</t>
  </si>
  <si>
    <t>EXECUÇÃO DE PASSEIO (CALÇADA) OU PISO DE CONCRETO COM CONCRETO MOLDADO IN LOCO, FEITO EM OBRA, ACABAMENTO CONVENCIONAL, ESPESSURA 8 CM, ARMADO. AF_07/2016</t>
  </si>
  <si>
    <t>EXECUÇÃO DE PASSEIO (CALÇADA) OU PISO DE CONCRETO COM CONCRETO MOLDADO IN LOCO, USINADO, ACABAMENTO CONVENCIONAL, NÃO ARMADO. AF_07/2016 (6 CM DE ESPESSURA, CALÇADA EXTERNA)</t>
  </si>
  <si>
    <t>73850/001</t>
  </si>
  <si>
    <t>RODAPE EM MARMORITE, ALTURA 10CM</t>
  </si>
  <si>
    <t>APLICAÇÃO MANUAL DE FUNDO SELADOR ACRÍLICO EM PAREDES EXTERNAS DE CASAS. AF_06/2014</t>
  </si>
  <si>
    <t>74245/001</t>
  </si>
  <si>
    <t>PINTURA ACRILICA EM PISO CIMENTADO DUAS DEMAOS</t>
  </si>
  <si>
    <t>CAPTOR TIPO FRANKLIN PARA SPDA - FORNECIMENTO E INSTALAÇÃO. AF_12/2017</t>
  </si>
  <si>
    <t>TERMINAL AEREO EM ACO GALVANIZADO COM BASE DE FIXACAO H = 30CM</t>
  </si>
  <si>
    <t>SUPORTE ISOLADOR PARA CORDOALHA DE COBRE - FORNECIMENTO E INSTALAÇÃO AF_12/2017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</si>
  <si>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</si>
  <si>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</si>
  <si>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HASTE DE ATERRAMENTO 5/8 PARA SPDA - FORNECIMENTO E INSTALAÇÃO. AF_12/2017</t>
  </si>
  <si>
    <t>CONECTOR PARAFUSO FENDIDO SPLIT-BOLT - PARA CABO DE 35MM2 - FORNECIMENTO E INSTALACAO</t>
  </si>
  <si>
    <t xml:space="preserve"> TERMINAL OU CONECTOR DE PRESSAO - PARA CABO 50MM2 - FORNECIMENTO E INSTALACAO</t>
  </si>
  <si>
    <t>CAIXA DE PASSAGEM 30X30X40 COM TAMPA E DRENO BRITA</t>
  </si>
  <si>
    <t>CAIXA DE INSPEÇÃO EM CONCRETO PRÉ-MOLDADO DN 60CM COM TAMPA H= 60CM FORNECIMENTO E INSTALACAO</t>
  </si>
  <si>
    <t>CABO DE COBRE FLEXÍVEL ISOLADO, 35 MM², ANTI-CHAMA 0,6/1,0 KV, PARA DISTRIBUIÇÃO - FORNECIMENTO E INSTALAÇÃO. AF_12/2015</t>
  </si>
  <si>
    <t>ELETRODUTO FLEXÍVEL CORRUGADO, PVC, DN 25 MM (3/4"), PARA CIRCUITOS TERMINAIS, INSTALADO EM PAREDE - FORNECIMENTO E INSTALAÇÃO. AF_12/2015</t>
  </si>
  <si>
    <t>ELETRODUTO DE PVC RIGIDO ROSCAVEL DN 40MM (1 1/2") INCL CONEXOES, FORNECIMENTO E INSTALACAO</t>
  </si>
  <si>
    <t>ELETRODUTO RÍGIDO ROSCÁVEL, PVC, DN 60 MM (2") - FORNECIMENTO E INSTALAÇÃO. AF_12/2015</t>
  </si>
  <si>
    <t>TOMADA ALTA DE EMBUTIR (1 MÓDULO), 2P+T 20 A, INCLUINDO SUPORTE E PLACA - FORNECIMENTO E INSTALAÇÃO. AF_12/2015</t>
  </si>
  <si>
    <t>INTERRUPTOR SIMPLES (3 MÓDULOS), 10A/250V, INCLUINDO SUPORTE E PLACA FORNECIMENTO E INSTALAÇÃO. AF_12/2015</t>
  </si>
  <si>
    <t>LUMINÁRIA TIPO PLAFON, DE SOBREPOR, COM 1 LÂMPADA LED - FORNECIMENTO E INSTALAÇÃO. AF_11/2017</t>
  </si>
  <si>
    <t>LUMINARIA LED REFLETOR RETANGULAR BIVOLT, LUZ BRANCA, 100 W - FORNECIMENTO E INSTALAÇÃO</t>
  </si>
  <si>
    <t>DISJUNTOR TRIPOLAR TIPO DIN, CORRENTE NOMINAL DE 50A - FORNECIMENTO E UNINSTALAÇÃO. AF_04/2016</t>
  </si>
  <si>
    <t>DISJUNTOR MONOPOLAR TIPO DIN, CORRENTE NOMINAL DE 16A - FORNECIMENTO E INSTALAÇÃO. AF_04/2016</t>
  </si>
  <si>
    <t>DISJUNTOR BIPOLAR TIPO DIN, CORRENTE NOMINAL DE 25A - FORNECIMENTO E INSTALAÇÃO. AF_04/2016</t>
  </si>
  <si>
    <t>DISPOSITIVO DPS CLASSE II, 1 POLO, TENSAO MAXIMA DE 175 V, CORRENTE MAXIMA DE *45* KA (TIPO AC)</t>
  </si>
  <si>
    <t>DISPOSITIVO DR, 4 POLOS, SENSIBILIDADE DE 30 MA, CORRENTE DE 100 A, TIPO AC</t>
  </si>
  <si>
    <t>74131/005</t>
  </si>
  <si>
    <t>QUADRO DE DISTRIBUICAO DE ENERGIA DE EMBUTIR, EM CHAPA METALICA, PARA 24 DISJUNTORES TERMOMAGNETICOS MONOPOLARES, COM BARRAMENTO TRIFASICO E NEUTRO, FORNECIMENTO E INSTALACAO</t>
  </si>
  <si>
    <t>CAIXA DE INSPEÇÃO PARA ATERRAMENTO, CIRCULAR, EM POLIETILENO, DIÂMETRO INTERNO = 0,3 M. AF_05/2018</t>
  </si>
  <si>
    <t>RELE FOTOELETRICO P/ COMANDO DE ILUMINACAO EXTERNA 220V/1000W - FORNECIMENTO E INSTALACAO</t>
  </si>
  <si>
    <t>CAIXA DE PASSAGEM PARA TELEFONE 15X15X10CM (SOBREPOR), FORNECIMENTO E INSTALACAO.</t>
  </si>
  <si>
    <t>TANQUE DE LOUÇA BRANCA COM COLUNA, 30L OU EQUIVALENTE - FORNECIMENTO E INSTALAÇÃO. AF_12/2013</t>
  </si>
  <si>
    <t>TORNEIRA CROMADA 1/2" OU 3/4" PARA TANQUE, PADRÃO MÉDIO - FORNECIMENTO E INSTALAÇÃO. AF_12/2013</t>
  </si>
  <si>
    <t>REGISTRO DE GAVETA BRUTO, LATÃO, ROSCÁVEL, 1 1/2, INSTALADO EM RESERVAÇÃO DE ÁGUA DE EDIFICAÇÃO QUE POSSUA RESERVATÓRIO DE FIBRA/FIBROCIMENTO FORNECIMENTO E INSTALAÇÃO. AF_06/2016</t>
  </si>
  <si>
    <t>TUBO, PVC, SOLDÁVEL, DN 50MM, INSTALADO EM PRUMADA DE ÁGUA FORNECIMENTO E INSTALAÇÃO. AF_12/2014_P</t>
  </si>
  <si>
    <t>TUBO, PVC, SOLDÁVEL, DN 25MM, INSTALADO EM RAMAL DE DISTRIBUIÇÃO DE ÁGUA FORNECIMENTO E INSTALAÇÃO. AF_12/2014_P</t>
  </si>
  <si>
    <t>CAIXA DE INSPEÇÃO EM CONCRETO PRÉ-MOLDADO DN 60CM COM TAMPA H= 60CM -FORNECIMENTO E INSTALACAO</t>
  </si>
  <si>
    <t>TUBO PVC, SERIE NORMAL, ESGOTO PREDIAL, DN 50 MM, FORNECIDO E INSTALADO EM RAMAL DE DESCARGA OU RAMAL DE ESGOTO SANITÁRIO. AF_12/2014_P</t>
  </si>
  <si>
    <t>JOELHO 90 GRAUS, PVC, SERIE NORMAL, ESGOTO PREDIAL, DN 50 MM, JUNTA SOLDÁVEL, FORNECIDO E INSTALADO EM RAMAL DE DESCARGA OU RAMAL DE ESGOTO SANITÁRIO. AF_12/2014_P</t>
  </si>
  <si>
    <t>TOTAL GERAL  DA REFORMA COM AMPLIAÇÃO</t>
  </si>
  <si>
    <t>CRONOGRAMA FÍSICO FINANCEIRO</t>
  </si>
  <si>
    <t>ESPECIFICAÇÃO</t>
  </si>
  <si>
    <t>%</t>
  </si>
  <si>
    <t>TOTAL
DO ITEM</t>
  </si>
  <si>
    <t>DIAS</t>
  </si>
  <si>
    <t>TOTAL</t>
  </si>
  <si>
    <t>PRESIDENCIA</t>
  </si>
  <si>
    <t>DIRETORIA SISTEMICA - DAS</t>
  </si>
  <si>
    <t>PROTOCOLO</t>
  </si>
  <si>
    <t>AUDITORIO</t>
  </si>
  <si>
    <t>ALMOXARIFADO</t>
  </si>
  <si>
    <t>CORREGEDORIA</t>
  </si>
  <si>
    <t>CANTINA</t>
  </si>
  <si>
    <t>AMPLIAÇÃO DEPOSITO</t>
  </si>
  <si>
    <t>TOTAL MENSAL/ ACUMULADO</t>
  </si>
  <si>
    <t>PLACA DA OBRA</t>
  </si>
  <si>
    <t>INSUMO</t>
  </si>
  <si>
    <t>PLACA DE OBRA (PARA CONSTRUCAO CIVIL) EM CHAPA GALVANIZADA *N. 22*, ADESIVADA</t>
  </si>
  <si>
    <t>3992</t>
  </si>
  <si>
    <t>TABUA DE MADEIRA APARELHADA *2,5 X 30* CM, MACARANDUBA, ANGELIM OU EQUIVALENTE DA REGIAO</t>
  </si>
  <si>
    <t>1,6923000</t>
  </si>
  <si>
    <t>15,29</t>
  </si>
  <si>
    <t>4433</t>
  </si>
  <si>
    <t>PECA DE MADEIRA NAO APARELHADA *7,5 X 7,5* CM (3 X 3 ") MACARANDUBA, ANGELIM OU EQUIVALENTE DA REGIAO</t>
  </si>
  <si>
    <t>1,2273000</t>
  </si>
  <si>
    <t>6,89</t>
  </si>
  <si>
    <t>5061</t>
  </si>
  <si>
    <t>PREGO DE ACO POLIDO COM CABECA 18 X 27 (2 1/2 X 10)</t>
  </si>
  <si>
    <t>0,0428000</t>
  </si>
  <si>
    <t>11,40</t>
  </si>
  <si>
    <t>COMPOSICAO</t>
  </si>
  <si>
    <t>88239</t>
  </si>
  <si>
    <t>AJUDANTE DE CARPINTEIRO COM ENCARGOS COMPLEMENTARES</t>
  </si>
  <si>
    <t>0,2042000</t>
  </si>
  <si>
    <t>14,91</t>
  </si>
  <si>
    <t>88262</t>
  </si>
  <si>
    <t>CARPINTEIRO DE FORMAS COM ENCARGOS COMPLEMENTARES</t>
  </si>
  <si>
    <t>0,6127000</t>
  </si>
  <si>
    <t>17,64</t>
  </si>
  <si>
    <t>91692</t>
  </si>
  <si>
    <t>SERRA CIRCULAR DE BANCADA COM MOTOR ELÉTRICO POTÊNCIA DE 5HP, COM COIFA PARA DISCO 10" - CHP DIURNO. AF_08/2015</t>
  </si>
  <si>
    <t>0,0044000</t>
  </si>
  <si>
    <t>16,24</t>
  </si>
  <si>
    <t>COMPOSIÇÃO 02</t>
  </si>
  <si>
    <t>DUTO PERFURADO-ELETROCALHA CHAPA DE AÇO (50X100)MM</t>
  </si>
  <si>
    <t>Próprio</t>
  </si>
  <si>
    <t xml:space="preserve"> 8.0078 </t>
  </si>
  <si>
    <t>Eletrocalha metálica lisa 100 x 50 mm (ref. valemam ou equivalente técnica), contendo pintura, tampa de encaixe, junção para eletrocalha, derivações, suporte vertical para fixação. Todo o material necessário para instalação da eletrocalha. Fornecimento e instalação.</t>
  </si>
  <si>
    <t>71,77</t>
  </si>
  <si>
    <t>SINAPI</t>
  </si>
  <si>
    <t xml:space="preserve"> 88264 </t>
  </si>
  <si>
    <t>ELETRICISTA COM ENCARGOS COMPLEMENTARES</t>
  </si>
  <si>
    <t>0,6</t>
  </si>
  <si>
    <t xml:space="preserve"> 88247 </t>
  </si>
  <si>
    <t>AUXILIAR DE ELETRICISTA COM ENCARGOS COMPLEMENTARES</t>
  </si>
  <si>
    <t>SEINFRA</t>
  </si>
  <si>
    <t xml:space="preserve"> C1908 </t>
  </si>
  <si>
    <t>PINTURA EXTERNA DE RUFOS, CALHAS E CONDUTORES C/ESMALTE SINTÉTICO</t>
  </si>
  <si>
    <t>1,0</t>
  </si>
  <si>
    <t>10,80</t>
  </si>
  <si>
    <t xml:space="preserve"> I1048 </t>
  </si>
  <si>
    <t>35,50</t>
  </si>
  <si>
    <t>ORSE</t>
  </si>
  <si>
    <t xml:space="preserve"> 7490 </t>
  </si>
  <si>
    <t>Junção com aba 100 mm para eletrocalha metálica, Leitofort (ref.: Mopa ou similar)</t>
  </si>
  <si>
    <t>un</t>
  </si>
  <si>
    <t>0,5</t>
  </si>
  <si>
    <t>5,50</t>
  </si>
  <si>
    <t xml:space="preserve"> 3637 </t>
  </si>
  <si>
    <t>Suporte vertical  100 x 50 mm  para fixação de eletrocalha metálica ( ref.: Mopa ou similar)</t>
  </si>
  <si>
    <t>2,10</t>
  </si>
  <si>
    <t xml:space="preserve"> 3990 </t>
  </si>
  <si>
    <t>Tampa de encaixe 100 X3000 - Z para eletrocalha metálica (ref.: mopa ou similar)</t>
  </si>
  <si>
    <t>m</t>
  </si>
  <si>
    <t>0,33</t>
  </si>
  <si>
    <t>7,30</t>
  </si>
  <si>
    <t>COMPOSIÇÃO 03</t>
  </si>
  <si>
    <t>materiais</t>
  </si>
  <si>
    <t>00039594</t>
  </si>
  <si>
    <t>PATCH PANEL, 24 PORTAS, CATEGORIA 5E, COM RACKS DE 19" E 1 U DE ALTURA</t>
  </si>
  <si>
    <t>cotação</t>
  </si>
  <si>
    <t>Organizador de cabos horizontal com tampa frontal removível 19" X 1U</t>
  </si>
  <si>
    <t>Régua 1UX19" com 06 tomadas</t>
  </si>
  <si>
    <t>Fornecimento e instalação de rack fechado 24Ux19"x770mm, porta em acrilico, segundo plano de recuo, com fechadura.</t>
  </si>
  <si>
    <t>Bandeja Fixa para Rack 1U Curitiba 19Pol 700mm Preto</t>
  </si>
  <si>
    <t>mão de obra</t>
  </si>
  <si>
    <t>000088264</t>
  </si>
  <si>
    <t>eletricista</t>
  </si>
  <si>
    <t>h</t>
  </si>
  <si>
    <t>000088247</t>
  </si>
  <si>
    <t>auxiliar  de eletricista</t>
  </si>
  <si>
    <t>total</t>
  </si>
  <si>
    <t>preço de venda</t>
  </si>
  <si>
    <t>material cotado Macro Distribuidora mais conection tel 36483000</t>
  </si>
  <si>
    <t>COMPOSIÇÃO 04</t>
  </si>
  <si>
    <t>DEMOLIÇÃO DE CONCRETO SIMPLES</t>
  </si>
  <si>
    <t>Demolição de concreto simples</t>
  </si>
  <si>
    <t>pedreiro</t>
  </si>
  <si>
    <t>servente</t>
  </si>
  <si>
    <t>coeficientes retirados planilha secid</t>
  </si>
  <si>
    <t>COMPOSIÇÃO 05</t>
  </si>
  <si>
    <t>RETIRA DE DIVISÓRIA DE GRANILITE</t>
  </si>
  <si>
    <t>assentamento piso podotatil</t>
  </si>
  <si>
    <t>unid:m²</t>
  </si>
  <si>
    <t>Pdreiro</t>
  </si>
  <si>
    <t>Servente</t>
  </si>
  <si>
    <t>COMPOSIÇÃO 06</t>
  </si>
  <si>
    <t>LAVATÓRIO DE LOUÇA BRANCA  SUSPENSO, 38,5X38,5 CM OU EQUIVALENTE FORNECIMENTO E INSTALAÇÃO</t>
  </si>
  <si>
    <t>PARAFUSO NIQUELADO 3 1/2" COM ACABAMENTO CROMADO PAR FIXAR PEÇA SANITÁRIA, INCLUI PORCA CEGA ARRUELA E BUCHA DE NYLON TAMANHO S8</t>
  </si>
  <si>
    <t xml:space="preserve">REJUNTE EPOXI BRANCO </t>
  </si>
  <si>
    <t>TOTAL MATERIAL</t>
  </si>
  <si>
    <t>LAVATÓRIO COTADO NA INTERNET PADOVANI</t>
  </si>
  <si>
    <t>MAO DE OBRA</t>
  </si>
  <si>
    <t>ENCANADOR OU BOMBEIRO</t>
  </si>
  <si>
    <t>SERVENTE COM ENCARGOS</t>
  </si>
  <si>
    <t>Demolição de piso revestido em granilite</t>
  </si>
  <si>
    <t>LUMINARIA DE EMBUTIR EM CHAPA DE ACO PARA 2 LAMPADAS LED ATÉ 18/20 W COM REFLETOR E ALETAS EM ALUMINIO INCLUINDO 02 LAMPADAS LED 18/20 W – FORNECIMENTO E INSTALAÇÃO</t>
  </si>
  <si>
    <t>unid: unitario</t>
  </si>
  <si>
    <t>88264</t>
  </si>
  <si>
    <t>88247</t>
  </si>
  <si>
    <t>00012232</t>
  </si>
  <si>
    <t>LUMINARIA DE SOBREPOR EM CHAPA DE ACO PARA 2 LAMPADAS FLUORESCENTES DE *18* W, PERFIL COMERCIAL (NAO INCLUI REATOR E LAMPADAS)</t>
  </si>
  <si>
    <t>00039387</t>
  </si>
  <si>
    <t>LAMPADA LED TUBULAR BIVOLT 18/20 W, BASE G13</t>
  </si>
  <si>
    <t>Cabo utp – Fornecimento e Instalação</t>
  </si>
  <si>
    <t>unid: m</t>
  </si>
  <si>
    <t>00039598</t>
  </si>
  <si>
    <t>CABO DE PAR TRANCADO UTP, 4 PARES, CATEGORIA 5E</t>
  </si>
  <si>
    <t>obs: cabo cotado na Plug mais conection R$420,90 rolo com 305,00m</t>
  </si>
  <si>
    <t>fone 36485700</t>
  </si>
  <si>
    <t>13.23</t>
  </si>
  <si>
    <t>refletor led 100W  110/220 - 9000 lm, 6000K  + Fotocelula – Fornecimento e Instalação</t>
  </si>
  <si>
    <t>unid: m²</t>
  </si>
  <si>
    <t>refletor com  led  ref.9000 lm marca opus ou similar</t>
  </si>
  <si>
    <t xml:space="preserve">material cotado   Eletrofios tel. (65) 3618-2500 </t>
  </si>
  <si>
    <t>DISPOSITIVO DPS CLASSE II, 1 POLO, TENSAO MAXIMA DE 275 V, CORRENTE MAXIMA DE *45* - FORNECIMENTO E INSTALAÇÃO</t>
  </si>
  <si>
    <t>00039471</t>
  </si>
  <si>
    <t>DISPOSITIVO DPS CLASSE II, 1 POLO, TENSAO MAXIMA DE 275 V, CORRENTE MAXIMA DE *45*</t>
  </si>
  <si>
    <t>DISPOSITIVO DR, 4 POLOS, SENSIBILIDADE DE 30 MA, CORRENTE DE 100 A, TIPO AC FORNECIMENTO E INSTALAÇÃO</t>
  </si>
  <si>
    <t>00039464</t>
  </si>
  <si>
    <t>Fornecimento e instalação de conectores RJ45, 8 vias macho</t>
  </si>
  <si>
    <t>unid:ud</t>
  </si>
  <si>
    <t>00039602</t>
  </si>
  <si>
    <t>CONECTOR MACHO RJ - 45, CATEGORIA 5 E</t>
  </si>
  <si>
    <t>LIMPEZA GERAL</t>
  </si>
  <si>
    <t>LIMPEZA DE PISO CERÂMICO OU PORCELANATO COM VASSOURA A SECO. AF_04/201</t>
  </si>
  <si>
    <t>LIMPEZA DE REVESTIMENTO CERÂMICO EM PAREDE UTILIZANDO ÁCIDO MURIÁTICO.</t>
  </si>
  <si>
    <t>FORRO REBAIXADO DRY WALL, PARA AMBIENTES COMERCIAIS, INCLUSIVE ESTRUTURA DE FIXAÇÃO. AF_05/2017_PAF_04/2019</t>
  </si>
  <si>
    <t>CONTRAPISO EM ARGAMASSA TRAÇO 1:4 (CIMENTO E AREIA), PREPARO MECÂNICOCOM BETONEIRA 400 L, APLICADO EM ÁREAS SECAS SOBRE LAJE, ADERIDO, ESPE</t>
  </si>
  <si>
    <t>CAÇAMBA BOTA FORA 7,0 M³</t>
  </si>
  <si>
    <t>Locação de caçamba para bota fora de entulhos capacidade de 7,0m³</t>
  </si>
  <si>
    <t>Taxa de destinação final de resíduos sólidos da construção civil</t>
  </si>
  <si>
    <t>COMPOSIÇÃO 08</t>
  </si>
  <si>
    <t>COMPOSIÇÃO 07</t>
  </si>
  <si>
    <t>COMPOSIÇÃO 7</t>
  </si>
  <si>
    <t>BOTA FORA CAÇAMBA  7 M3</t>
  </si>
  <si>
    <t>APLICAÇÃO MANUAL DE PINTURA COM TINTA LÁTEX ACRÍLICA EM PAREDES, DUAS DEMÃOS. AF_06/2014 (INCLUSIVE PILARES E VIGAS)</t>
  </si>
  <si>
    <t>COMPOSIÇÃO 8</t>
  </si>
  <si>
    <t>COMPOSIÇÃO 09</t>
  </si>
  <si>
    <t>CPMPOSIÇÃO9</t>
  </si>
  <si>
    <t>COMPOSIÇÃO 10</t>
  </si>
  <si>
    <t>TUBO PVC, SERIE NORMAL, ESGOTO PREDIAL, DN 100 MM, FORNECIDO E INSTALADO EM RAMAL DE DESCARGA OU RAMAL DE ESGOTO SANITÁRIO. AF_12/2014_</t>
  </si>
  <si>
    <t>74151/001</t>
  </si>
  <si>
    <t>ALVENARIA DE VEDAÇÃO DE BLOCOS CERÂMICOS FURADOS NA HORIZONTAL DE 14X9X19CM (ESPESSURA 14CM, BLOCO DEITADO) DE PAREDES COM ÁREA LÍQUIDA MENO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</si>
  <si>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</si>
  <si>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</si>
  <si>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</si>
  <si>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</si>
  <si>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</si>
  <si>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</si>
  <si>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</si>
  <si>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</si>
  <si>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</si>
  <si>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COMPOSIÇÃO 11</t>
  </si>
  <si>
    <t>COMPOSIÇÃO11</t>
  </si>
  <si>
    <t>COMPOSIÇÃO 12</t>
  </si>
  <si>
    <t>LIMPEZA FINAL</t>
  </si>
  <si>
    <t>OK</t>
  </si>
  <si>
    <t>CANTEIRO DE OBRA E SERVIÇOS PRELIMINARES</t>
  </si>
  <si>
    <t>2.4</t>
  </si>
  <si>
    <t>2.5</t>
  </si>
  <si>
    <t>2.6</t>
  </si>
  <si>
    <t>3.5</t>
  </si>
  <si>
    <t>7.12</t>
  </si>
  <si>
    <t>7.13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</si>
  <si>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</si>
  <si>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</si>
  <si>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</si>
  <si>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</si>
  <si>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</si>
  <si>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</si>
  <si>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</si>
  <si>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</si>
  <si>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</si>
  <si>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</si>
  <si>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</si>
  <si>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</si>
  <si>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</si>
  <si>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</si>
  <si>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</si>
  <si>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</si>
  <si>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</si>
  <si>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</si>
  <si>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</si>
  <si>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</si>
  <si>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</si>
  <si>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9.2.1</t>
  </si>
  <si>
    <t>9.2.2</t>
  </si>
  <si>
    <t>9.2.3</t>
  </si>
  <si>
    <t>9.2.4</t>
  </si>
  <si>
    <t>8.24</t>
  </si>
  <si>
    <t>8.25</t>
  </si>
  <si>
    <t>8.26</t>
  </si>
  <si>
    <t>8.27</t>
  </si>
  <si>
    <t>10.2.12</t>
  </si>
  <si>
    <t>11.2</t>
  </si>
  <si>
    <t>14.0</t>
  </si>
  <si>
    <t>2.7</t>
  </si>
  <si>
    <t>7.28</t>
  </si>
  <si>
    <t>3.6</t>
  </si>
  <si>
    <t>3.7</t>
  </si>
  <si>
    <t>3.8</t>
  </si>
  <si>
    <t>4.6</t>
  </si>
  <si>
    <t>10.</t>
  </si>
  <si>
    <t>11.4</t>
  </si>
  <si>
    <t>11.5</t>
  </si>
  <si>
    <t>11.6</t>
  </si>
  <si>
    <t>11.7</t>
  </si>
  <si>
    <t>11.8</t>
  </si>
  <si>
    <t>11.9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</si>
  <si>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</si>
  <si>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</si>
  <si>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</si>
  <si>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</si>
  <si>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</si>
  <si>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</si>
  <si>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</si>
  <si>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</si>
  <si>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</si>
  <si>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</si>
  <si>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</si>
  <si>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</si>
  <si>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</si>
  <si>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</si>
  <si>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</si>
  <si>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</si>
  <si>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</si>
  <si>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</si>
  <si>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</si>
  <si>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</si>
  <si>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</si>
  <si>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</si>
  <si>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</si>
  <si>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</si>
  <si>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</si>
  <si>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</si>
  <si>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</si>
  <si>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</si>
  <si>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</si>
  <si>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</si>
  <si>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</si>
  <si>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</si>
  <si>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</si>
  <si>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</si>
  <si>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</si>
  <si>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</si>
  <si>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</si>
  <si>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</si>
  <si>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</si>
  <si>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</si>
  <si>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</si>
  <si>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</si>
  <si>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</si>
  <si>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</si>
  <si>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</si>
  <si>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</si>
  <si>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</si>
  <si>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</si>
  <si>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</si>
  <si>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</si>
  <si>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</si>
  <si>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</si>
  <si>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</si>
  <si>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</si>
  <si>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</si>
  <si>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14.1</t>
  </si>
  <si>
    <t>14.1.1</t>
  </si>
  <si>
    <t>14.1.2</t>
  </si>
  <si>
    <t>14.1.3</t>
  </si>
  <si>
    <t>14.1.4</t>
  </si>
  <si>
    <t>14.1.5</t>
  </si>
  <si>
    <t>14.1.6</t>
  </si>
  <si>
    <t>14.2</t>
  </si>
  <si>
    <t>14.2.1</t>
  </si>
  <si>
    <t>14.2.2</t>
  </si>
  <si>
    <t>14.2.3</t>
  </si>
  <si>
    <t>14.2.4</t>
  </si>
  <si>
    <t>15.0</t>
  </si>
  <si>
    <t>15.1</t>
  </si>
  <si>
    <t>16.1</t>
  </si>
  <si>
    <t>16.2</t>
  </si>
  <si>
    <t>16.3</t>
  </si>
  <si>
    <t>SERVIÇOS PRELIMINARES/ ADMINISTRAÇÃO</t>
  </si>
  <si>
    <t>COMPOSIÇÃO 13</t>
  </si>
  <si>
    <t>DEMOLIÇÃO EM PISO DE GRANILITE</t>
  </si>
  <si>
    <t>1.9</t>
  </si>
  <si>
    <t>=42X2X1</t>
  </si>
  <si>
    <t>=22X1,0X2</t>
  </si>
  <si>
    <t>LAVADORA DE ALTA PRESSAO (LAVA-JATO) PARA AGUA FRIA, PRESSAO DE OPERACAOENTRE 1400 E 1900 LIB/POL2, VAZAO MAXIMA ENTRE 400 E 700 L/H</t>
  </si>
  <si>
    <t>SERVENTE COM ENCARGOS COMPLEMENTARES</t>
  </si>
  <si>
    <t>COMPOSIÇÃO 14</t>
  </si>
  <si>
    <t>LAVAGEM DOS BRISES COM LAVADOURA DE ALTA PRESSÃO PARA PINTURA  H = 1,00m</t>
  </si>
  <si>
    <t>PINTURA ESMALTE ALTO BRILHO, DUAS DEMAOS, SOBRE SUPERFICIE METALICA ( JANELAS)</t>
  </si>
  <si>
    <t xml:space="preserve">PINTURA COM TINTA EPOXÍDICA DE FUNDO PULVERIZADA SOBRE PERFIL METÁLICO EXECUTADO EM FÁBRICA (POR DEMÃO). AF_01/2020 - (BRISES </t>
  </si>
  <si>
    <t>SERVENTE</t>
  </si>
  <si>
    <t>COTAÇÃO</t>
  </si>
  <si>
    <t>BARRA DE APOIO RETA, EM ACO INOX POLIDO, COMPRIMENTO 80CM, DIAMETRO MINIMO 3CM</t>
  </si>
  <si>
    <t>BARRA DE APOIO RETA, EM ACO INOX POLIDO, COMPRIMENTO 60CM, DIAMETRO MINIMO 3CM</t>
  </si>
  <si>
    <t>COMPOSIÇÃO 15</t>
  </si>
  <si>
    <t>COMPOSIÇÃO16</t>
  </si>
  <si>
    <t>COMPOSIÇÃO 16</t>
  </si>
  <si>
    <t>LIMPEZA DE BRISAS COM LAVAORA ALTA PRESSÃO</t>
  </si>
  <si>
    <t>MONTAGEM E DESMONTAGENS DE ANDAIMES</t>
  </si>
  <si>
    <t>1.1.10</t>
  </si>
  <si>
    <t>9.2.5</t>
  </si>
  <si>
    <t>9.2.6</t>
  </si>
  <si>
    <t>10.2.15</t>
  </si>
  <si>
    <t>10.2.16</t>
  </si>
  <si>
    <t>10.1.24</t>
  </si>
  <si>
    <t>10.1.25</t>
  </si>
  <si>
    <t>COMPOSIÇÃO DO BDI OBRAS</t>
  </si>
  <si>
    <t>GRUPO A</t>
  </si>
  <si>
    <t>A1</t>
  </si>
  <si>
    <t>TOTAL DO GRUPO A  =</t>
  </si>
  <si>
    <t>GRUPO B</t>
  </si>
  <si>
    <t>B1</t>
  </si>
  <si>
    <t>B2</t>
  </si>
  <si>
    <t>B3</t>
  </si>
  <si>
    <t>B4</t>
  </si>
  <si>
    <t>TOTAL DO GRUPO B  =</t>
  </si>
  <si>
    <t>GRUPO C</t>
  </si>
  <si>
    <t>C1</t>
  </si>
  <si>
    <t>C2</t>
  </si>
  <si>
    <t>%MÃO DE OBRA</t>
  </si>
  <si>
    <t>C3</t>
  </si>
  <si>
    <t>ISS DO MUNICÍPIO (Verificar la LEI do Múnicipio da Execução da Obra)</t>
  </si>
  <si>
    <t>C4</t>
  </si>
  <si>
    <t>SUBTOTAL ISS (C2 X C3) =</t>
  </si>
  <si>
    <t>C5</t>
  </si>
  <si>
    <t>PIS</t>
  </si>
  <si>
    <t>C6</t>
  </si>
  <si>
    <t>COFINS</t>
  </si>
  <si>
    <t>C7</t>
  </si>
  <si>
    <t>CPRB</t>
  </si>
  <si>
    <t>TOTAL DO GRUPO C  =</t>
  </si>
  <si>
    <t>TOTAL BDI (ACORDAO 2369/2011)</t>
  </si>
  <si>
    <t>Cuiabá , 07/10/2020</t>
  </si>
  <si>
    <t>Engenheiro Civil</t>
  </si>
  <si>
    <t>EDNO MARTIMIANO DE CARVALHO</t>
  </si>
  <si>
    <t>BDI 26 %</t>
  </si>
  <si>
    <t>DATA</t>
  </si>
  <si>
    <t>DATA:   AGO/2020</t>
  </si>
  <si>
    <t>COEFIC.</t>
  </si>
  <si>
    <t>TOTA SEM BDI</t>
  </si>
  <si>
    <t>COMPOSIÇÕES DE PREÇOS UNITARIOS</t>
  </si>
  <si>
    <t>3080</t>
  </si>
  <si>
    <t>FECHADURA DE EMBUTIR PARA PORTA EXTERNA / ENTRADA, MAQUINA 40 MM, COM CILINDRO, MACANETA ALAVANCA E ESPELHO EM METAL CROMADO - NIVEL SEGURANCA MEDIO - COMPLETA</t>
  </si>
  <si>
    <t>0,0578000</t>
  </si>
  <si>
    <t>44,50</t>
  </si>
  <si>
    <t>3097</t>
  </si>
  <si>
    <t>FECHADURA DE EMBUTIR PARA PORTA DE BANHEIRO, TIPO TRANQUETA, MAQUINA 40 MM, MACANETAS ALAVANCA E ROSETAS REDONDAS EM METAL CROMADO - NIVEL SEGURANCA MEDIO - COMPLETA</t>
  </si>
  <si>
    <t>0,0385000</t>
  </si>
  <si>
    <t>33,29</t>
  </si>
  <si>
    <t>10886</t>
  </si>
  <si>
    <t>EXTINTOR DE INCENDIO PORTATIL COM CARGA DE AGUA PRESSURIZADA DE 10 L, CLASSE A</t>
  </si>
  <si>
    <t>0,0193000</t>
  </si>
  <si>
    <t>132,02</t>
  </si>
  <si>
    <t>10891</t>
  </si>
  <si>
    <t>EXTINTOR DE INCENDIO PORTATIL COM CARGA DE PO QUIMICO SECO (PQS) DE 4 KG, CLASSE BC</t>
  </si>
  <si>
    <t>127,67</t>
  </si>
  <si>
    <t>11587</t>
  </si>
  <si>
    <t>FORRO DE PVC LISO, BRANCO, REGUA DE 10 CM, ESPESSURA DE 8 MM A 10 MM (COM COLOCACAO / SEM ESTRUTURA METALICA)</t>
  </si>
  <si>
    <t>0,9938000</t>
  </si>
  <si>
    <t>48,58</t>
  </si>
  <si>
    <t>74130/1</t>
  </si>
  <si>
    <t>0,1734000</t>
  </si>
  <si>
    <t>12,06</t>
  </si>
  <si>
    <t>83463</t>
  </si>
  <si>
    <t>356,52</t>
  </si>
  <si>
    <t>86888</t>
  </si>
  <si>
    <t>VASO SANITÁRIO SIFONADO COM CAIXA ACOPLADA LOUÇA BRANCA - FORNECIMENTO E INSTALAÇÃO. AF_01/2020</t>
  </si>
  <si>
    <t>350,85</t>
  </si>
  <si>
    <t>86934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</si>
  <si>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</si>
  <si>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>256,33</t>
  </si>
  <si>
    <t>86943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</si>
  <si>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</si>
  <si>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179,33</t>
  </si>
  <si>
    <t>87548</t>
  </si>
  <si>
    <t>MASSA ÚNICA, PARA RECEBIMENTO DE PINTURA, EM ARGAMASSA TRAÇO 1:2:8, PREPARO MANUAL, APLICADA MANUALMENTE EM FACES INTERNAS DE PAREDES, ESPESSURA DE 10MM, COM EXECUÇÃO DE TALISCAS. AF_06/2014</t>
  </si>
  <si>
    <t>17,47</t>
  </si>
  <si>
    <t>87877</t>
  </si>
  <si>
    <t>CHAPISCO APLICADO EM ALVENARIAS E ESTRUTURAS DE CONCRETO INTERNAS, COM ROLO PARA TEXTURA ACRÍLICA.  ARGAMASSA INDUSTRIALIZADA COM PREPARO EM MISTURADOR 300 KG. AF_06/2014</t>
  </si>
  <si>
    <t>0,2047000</t>
  </si>
  <si>
    <t>7,23</t>
  </si>
  <si>
    <t>88487</t>
  </si>
  <si>
    <t>APLICAÇÃO MANUAL DE PINTURA COM TINTA LÁTEX PVA EM PAREDES, DUAS DEMÃOS. AF_06/2014</t>
  </si>
  <si>
    <t>4,4976000</t>
  </si>
  <si>
    <t>8,99</t>
  </si>
  <si>
    <t>89168</t>
  </si>
  <si>
    <t>(COMPOSIÇÃO REPRESENTATIVA) DO SERVIÇO DE ALVENARIA DE VEDAÇÃO DE BLOCOS VAZADOS DE CERÂMICA DE 9X19X19CM (ESPESSURA 9CM), PARA EDIFICAÇÃO HABITACIONAL UNIFAMILIAR (CASA) E EDIFICAÇÃO PÚBLICA PADRÃO. AF_11/2014</t>
  </si>
  <si>
    <t>0,1023000</t>
  </si>
  <si>
    <t>65,90</t>
  </si>
  <si>
    <t>89171</t>
  </si>
  <si>
    <t>(COMPOSIÇÃO REPRESENTATIVA) DO SERVIÇO DE REVESTIMENTO CERÂMICO PARA PISO COM PLACAS TIPO GRÉS DE DIMENSÕES 35X35 CM, PARA EDIFICAÇÃO HABITACIONAL UNIFAMILIAR (CASA) E EDIFICAÇÃO PÚBLICA PADRÃO. AF_11/2014</t>
  </si>
  <si>
    <t>0,0806000</t>
  </si>
  <si>
    <t>30,31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</si>
  <si>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</si>
  <si>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</si>
  <si>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24,04</t>
  </si>
  <si>
    <t>89482</t>
  </si>
  <si>
    <t>CAIXA SIFONADA, PVC, DN 100 X 100 X 50 MM, FORNECIDA E INSTALADA EM RAMAIS DE ENCAMINHAMENTO DE ÁGUA PLUVIAL. AF_12/2014</t>
  </si>
  <si>
    <t>21,19</t>
  </si>
  <si>
    <t>89711</t>
  </si>
  <si>
    <t>TUBO PVC, SERIE NORMAL, ESGOTO PREDIAL, DN 40 MM, FORNECIDO E INSTALADO EM RAMAL DE DESCARGA OU RAMAL DE ESGOTO SANITÁRIO. AF_12/2014</t>
  </si>
  <si>
    <t>0,1388000</t>
  </si>
  <si>
    <t>13,64</t>
  </si>
  <si>
    <t>89712</t>
  </si>
  <si>
    <t>0,1253000</t>
  </si>
  <si>
    <t>21,10</t>
  </si>
  <si>
    <t>89714</t>
  </si>
  <si>
    <t>0,1472000</t>
  </si>
  <si>
    <t>42,17</t>
  </si>
  <si>
    <t>89724</t>
  </si>
  <si>
    <t>JOELHO 90 GRAUS, PVC, SERIE NORMAL, ESGOTO PREDIAL, DN 40 MM, JUNTA SOLDÁVEL, FORNECIDO E INSTALADO EM RAMAL DE DESCARGA OU RAMAL DE ESGOTO SANITÁRIO. AF_12/2014</t>
  </si>
  <si>
    <t>0,0771000</t>
  </si>
  <si>
    <t>7,69</t>
  </si>
  <si>
    <t>89726</t>
  </si>
  <si>
    <t>JOELHO 45 GRAUS, PVC, SERIE NORMAL, ESGOTO PREDIAL, DN 40 MM, JUNTA SOLDÁVEL, FORNECIDO E INSTALADO EM RAMAL DE DESCARGA OU RAMAL DE ESGOTO SANITÁRIO. AF_12/2014</t>
  </si>
  <si>
    <t>5,82</t>
  </si>
  <si>
    <t>89731</t>
  </si>
  <si>
    <t>JOELHO 90 GRAUS, PVC, SERIE NORMAL, ESGOTO PREDIAL, DN 50 MM, JUNTA ELÁSTICA, FORNECIDO E INSTALADO EM RAMAL DE DESCARGA OU RAMAL DE ESGOTO SANITÁRIO. AF_12/2014</t>
  </si>
  <si>
    <t>8,56</t>
  </si>
  <si>
    <t>89748</t>
  </si>
  <si>
    <t>CURVA CURTA 90 GRAUS, PVC, SERIE NORMAL, ESGOTO PREDIAL, DN 100 MM, JUNTA ELÁSTICA, FORNECIDO E INSTALADO EM RAMAL DE DESCARGA OU RAMAL DE ESGOTO SANITÁRIO. AF_12/2014</t>
  </si>
  <si>
    <t>28,71</t>
  </si>
  <si>
    <t>89784</t>
  </si>
  <si>
    <t>TE, PVC, SERIE NORMAL, ESGOTO PREDIAL, DN 50 X 50 MM, JUNTA ELÁSTICA, FORNECIDO E INSTALADO EM RAMAL DE DESCARGA OU RAMAL DE ESGOTO SANITÁRIO. AF_12/2014</t>
  </si>
  <si>
    <t>15,77</t>
  </si>
  <si>
    <t>89796</t>
  </si>
  <si>
    <t>TE, PVC, SERIE NORMAL, ESGOTO PREDIAL, DN 100 X 100 MM, JUNTA ELÁSTICA, FORNECIDO E INSTALADO EM RAMAL DE DESCARGA OU RAMAL DE ESGOTO SANITÁRIO. AF_12/2014</t>
  </si>
  <si>
    <t>31,93</t>
  </si>
  <si>
    <t>89957</t>
  </si>
  <si>
    <t>PONTO DE CONSUMO TERMINAL DE ÁGUA FRIA (SUBRAMAL) COM TUBULAÇÃO DE PVC, DN 25 MM, INSTALADO EM RAMAL DE ÁGUA, INCLUSOS RASGO E CHUMBAMENTO EM ALVENARIA. AF_12/2014</t>
  </si>
  <si>
    <t>0,0964000</t>
  </si>
  <si>
    <t>97,57</t>
  </si>
  <si>
    <t>90443</t>
  </si>
  <si>
    <t>0,1002000</t>
  </si>
  <si>
    <t>8,95</t>
  </si>
  <si>
    <t>90466</t>
  </si>
  <si>
    <t>CHUMBAMENTO LINEAR EM ALVENARIA PARA RAMAIS/DISTRIBUIÇÃO COM DIÂMETROS MENORES OU IGUAIS A 40 MM. AF_05/2015</t>
  </si>
  <si>
    <t>90820</t>
  </si>
  <si>
    <t>PORTA DE MADEIRA PARA PINTURA, SEMI-OCA (LEVE OU MÉDIA), 60X210CM, ESPESSURA DE 3,5CM, INCLUSO DOBRADIÇAS - FORNECIMENTO E INSTALAÇÃO. AF_12/2019</t>
  </si>
  <si>
    <t>324,57</t>
  </si>
  <si>
    <t>90822</t>
  </si>
  <si>
    <t>PORTA DE MADEIRA PARA PINTURA, SEMI-OCA (LEVE OU MÉDIA), 80X210CM, ESPESSURA DE 3,5CM, INCLUSO DOBRADIÇAS - FORNECIMENTO E INSTALAÇÃO. AF_12/2019</t>
  </si>
  <si>
    <t>350,15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</si>
  <si>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</si>
  <si>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</si>
  <si>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0,5300000</t>
  </si>
  <si>
    <t>2,16</t>
  </si>
  <si>
    <t>91173</t>
  </si>
  <si>
    <t>FIXAÇÃO DE TUBOS VERTICAIS DE PPR DIÂMETROS MENORES OU IGUAIS A 40 MM COM ABRAÇADEIRA METÁLICA RÍGIDA TIPO D 1/2", FIXADA EM PERFILADO EM ALVENARIA. AF_05/2015</t>
  </si>
  <si>
    <t>1,7344000</t>
  </si>
  <si>
    <t>1,09</t>
  </si>
  <si>
    <t>91341</t>
  </si>
  <si>
    <t>PORTA EM ALUMÍNIO DE ABRIR TIPO VENEZIANA COM GUARNIÇÃO, FIXAÇÃO COM PARAFUSOS - FORNECIMENTO E INSTALAÇÃO. AF_12/2019</t>
  </si>
  <si>
    <t>0,0324000</t>
  </si>
  <si>
    <t>701,69</t>
  </si>
  <si>
    <t>91862</t>
  </si>
  <si>
    <t>ELETRODUTO RÍGIDO ROSCÁVEL, PVC, DN 20 MM (1/2"), PARA CIRCUITOS TERMINAIS, INSTALADO EM FORRO - FORNECIMENTO E INSTALAÇÃO. AF_12/2015</t>
  </si>
  <si>
    <t>6,31</t>
  </si>
  <si>
    <t>91870</t>
  </si>
  <si>
    <t>ELETRODUTO RÍGIDO ROSCÁVEL, PVC, DN 20 MM (1/2"), PARA CIRCUITOS TERMINAIS, INSTALADO EM PAREDE - FORNECIMENTO E INSTALAÇÃO. AF_12/2015</t>
  </si>
  <si>
    <t>6,99</t>
  </si>
  <si>
    <t>91911</t>
  </si>
  <si>
    <t>CURVA 90 GRAUS PARA ELETRODUTO, PVC, ROSCÁVEL, DN 20 MM (1/2"), PARA CIRCUITOS TERMINAIS, INSTALADA EM PAREDE - FORNECIMENTO E INSTALAÇÃO. AF_12/2015</t>
  </si>
  <si>
    <t>0,1927000</t>
  </si>
  <si>
    <t>8,97</t>
  </si>
  <si>
    <t>91924</t>
  </si>
  <si>
    <t>CABO DE COBRE FLEXÍVEL ISOLADO, 1,5 MM², ANTI-CHAMA 450/750 V, PARA CIRCUITOS TERMINAIS - FORNECIMENTO E INSTALAÇÃO. AF_12/2015</t>
  </si>
  <si>
    <t>1,4165000</t>
  </si>
  <si>
    <t>1,89</t>
  </si>
  <si>
    <t>91926</t>
  </si>
  <si>
    <t>CABO DE COBRE FLEXÍVEL ISOLADO, 2,5 MM², ANTI-CHAMA 450/750 V, PARA CIRCUITOS TERMINAIS - FORNECIMENTO E INSTALAÇÃO. AF_12/2015</t>
  </si>
  <si>
    <t>3,4689000</t>
  </si>
  <si>
    <t>2,73</t>
  </si>
  <si>
    <t>91928</t>
  </si>
  <si>
    <t>CABO DE COBRE FLEXÍVEL ISOLADO, 4 MM², ANTI-CHAMA 450/750 V, PARA CIRCUITOS TERMINAIS - FORNECIMENTO E INSTALAÇÃO. AF_12/2015</t>
  </si>
  <si>
    <t>2,0235000</t>
  </si>
  <si>
    <t>4,42</t>
  </si>
  <si>
    <t>91937</t>
  </si>
  <si>
    <t>CAIXA OCTOGONAL 3" X 3", PVC, INSTALADA EM LAJE - FORNECIMENTO E INSTALAÇÃO. AF_12/2015</t>
  </si>
  <si>
    <t>91945</t>
  </si>
  <si>
    <t>SUPORTE PARAFUSADO COM PLACA DE ENCAIXE 4" X 2" ALTO (2,00 M DO PISO) PARA PONTO ELÉTRICO - FORNECIMENTO E INSTALAÇÃO. AF_12/2015</t>
  </si>
  <si>
    <t>5,89</t>
  </si>
  <si>
    <t>92000</t>
  </si>
  <si>
    <t>TOMADA BAIXA DE EMBUTIR (1 MÓDULO), 2P+T 10 A, INCLUINDO SUPORTE E PLACA - FORNECIMENTO E INSTALAÇÃO. AF_12/2015</t>
  </si>
  <si>
    <t>17,01</t>
  </si>
  <si>
    <t>92008</t>
  </si>
  <si>
    <t>0,1542000</t>
  </si>
  <si>
    <t>27,23</t>
  </si>
  <si>
    <t>92023</t>
  </si>
  <si>
    <t>INTERRUPTOR SIMPLES (1 MÓDULO) COM 1 TOMADA DE EMBUTIR 2P+T 10 A,  INCLUINDO SUPORTE E PLACA - FORNECIMENTO E INSTALAÇÃO. AF_12/2015</t>
  </si>
  <si>
    <t>0,1349000</t>
  </si>
  <si>
    <t>28,74</t>
  </si>
  <si>
    <t>92543</t>
  </si>
  <si>
    <t>TRAMA DE MADEIRA COMPOSTA POR TERÇAS PARA TELHADOS DE ATÉ 2 ÁGUAS PARA TELHA ONDULADA DE FIBROCIMENTO, METÁLICA, PLÁSTICA OU TERMOACÚSTICA, INCLUSO TRANSPORTE VERTICAL. AF_07/2019</t>
  </si>
  <si>
    <t>1,3621000</t>
  </si>
  <si>
    <t>10,52</t>
  </si>
  <si>
    <t>92981</t>
  </si>
  <si>
    <t>10,30</t>
  </si>
  <si>
    <t>93358</t>
  </si>
  <si>
    <t>0,0233000</t>
  </si>
  <si>
    <t>56,84</t>
  </si>
  <si>
    <t>94210</t>
  </si>
  <si>
    <t>TELHAMENTO COM TELHA ONDULADA DE FIBROCIMENTO E = 6 MM, COM RECOBRIMENTO LATERAL DE 1 1/4 DE ONDA PARA TELHADO COM INCLINAÇÃO MÁXIMA DE 10°, COM ATÉ 2 ÁGUAS, INCLUSO IÇAMENTO. AF_07/2019</t>
  </si>
  <si>
    <t>35,90</t>
  </si>
  <si>
    <t>94559</t>
  </si>
  <si>
    <t>JANELA DE AÇO TIPO BASCULANTE PARA VIDROS, COM BATENTE, FERRAGENS E PINTURA ANTICORROSIVA. EXCLUSIVE VIDROS, ACABAMENTO, ALIZAR E CONTRAMARCO. FORNECIMENTO E INSTALAÇÃO. AF_12/2019</t>
  </si>
  <si>
    <t>0,0289000</t>
  </si>
  <si>
    <t>566,87</t>
  </si>
  <si>
    <t>95240</t>
  </si>
  <si>
    <t>LASTRO DE CONCRETO MAGRO, APLICADO EM PISOS OU RADIERS, ESPESSURA DE 3 CM. AF_07/2016</t>
  </si>
  <si>
    <t>0,0054000</t>
  </si>
  <si>
    <t>12,13</t>
  </si>
  <si>
    <t>95241</t>
  </si>
  <si>
    <t>LASTRO DE CONCRETO MAGRO, APLICADO EM PISOS OU RADIERS, ESPESSURA DE 5 CM. AF_07/2016</t>
  </si>
  <si>
    <t>1,3559000</t>
  </si>
  <si>
    <t>20,23</t>
  </si>
  <si>
    <t>95805</t>
  </si>
  <si>
    <t>CONDULETE DE PVC, TIPO B, PARA ELETRODUTO DE PVC SOLDÁVEL DN 25 MM (3/4''), APARENTE - FORNECIMENTO E INSTALAÇÃO. AF_11/2016</t>
  </si>
  <si>
    <t>0,2891000</t>
  </si>
  <si>
    <t>16,92</t>
  </si>
  <si>
    <t>95811</t>
  </si>
  <si>
    <t>CONDULETE DE PVC, TIPO LB, PARA ELETRODUTO DE PVC SOLDÁVEL DN 25 MM (3/4''), APARENTE - FORNECIMENTO E INSTALAÇÃO. AF_11/2016</t>
  </si>
  <si>
    <t>10,95</t>
  </si>
  <si>
    <t>96985</t>
  </si>
  <si>
    <t>HASTE DE ATERRAMENTO 5/8  PARA SPDA - FORNECIMENTO E INSTALAÇÃO. AF_12/2017</t>
  </si>
  <si>
    <t>44,95</t>
  </si>
  <si>
    <t>96995</t>
  </si>
  <si>
    <t>0,0060000</t>
  </si>
  <si>
    <t>34,46</t>
  </si>
  <si>
    <t>97586</t>
  </si>
  <si>
    <t>LUMINÁRIA TIPO CALHA, DE SOBREPOR, COM 2 LÂMPADAS TUBULARES FLUORESCENTES DE 36 W, COM REATOR DE PARTIDA RÁPIDA - FORNECIMENTO E INSTALAÇÃO. AF_02/2020</t>
  </si>
  <si>
    <t>0,1156000</t>
  </si>
  <si>
    <t>88,35</t>
  </si>
  <si>
    <t>97593</t>
  </si>
  <si>
    <t>LUMINÁRIA TIPO SPOT, DE SOBREPOR, COM 1 LÂMPADA FLUORESCENTE DE 15 W, SEM REATOR - FORNECIMENTO E INSTALAÇÃO. AF_02/2020</t>
  </si>
  <si>
    <t>80,74</t>
  </si>
  <si>
    <t>97611</t>
  </si>
  <si>
    <t>LÂMPADA COMPACTA FLUORESCENTE DE 15 W, BASE E27 - FORNECIMENTO E INSTALAÇÃO. AF_02/2020</t>
  </si>
  <si>
    <t>14,98</t>
  </si>
  <si>
    <t>97612</t>
  </si>
  <si>
    <t>LÂMPADA COMPACTA FLUORESCENTE DE 20 W, BASE E27 - FORNECIMENTO E INSTALAÇÃO. AF_02/2020</t>
  </si>
  <si>
    <t>16,15</t>
  </si>
  <si>
    <t>97886</t>
  </si>
  <si>
    <t>CAIXA ENTERRADA ELÉTRICA RETANGULAR, EM ALVENARIA COM TIJOLOS CERÂMICOS MACIÇOS, FUNDO COM BRITA, DIMENSÕES INTERNAS: 0,3X0,3X0,3 M. AF_05/2018</t>
  </si>
  <si>
    <t>130,65</t>
  </si>
  <si>
    <t>97906</t>
  </si>
  <si>
    <t>CAIXA ENTERRADA HIDRÁULICA RETANGULAR, EM ALVENARIA COM BLOCOS DE CONCRETO, DIMENSÕES INTERNAS: 0,6X0,6X0,6 M PARA REDE DE ESGOTO. AF_05/2018</t>
  </si>
  <si>
    <t>314,44</t>
  </si>
  <si>
    <t>98283</t>
  </si>
  <si>
    <t>CABO TELEFÔNICO CCI-50 4 PARES, SEM BLINDAGEM, INSTALADO EM DISTRIBUIÇÃO DE EDIFICAÇÃO RESIDENCIAL - FORNECIMENTO E INSTALAÇÃO. AF_11/2019</t>
  </si>
  <si>
    <t>0,6167000</t>
  </si>
  <si>
    <t>7,29</t>
  </si>
  <si>
    <t>98441</t>
  </si>
  <si>
    <t>PAREDE DE MADEIRA COMPENSADA PARA CONSTRUÇÃO TEMPORÁRIA EM CHAPA SIMPLES, EXTERNA, COM ÁREA LÍQUIDA MAIOR OU IGUAL A 6 M², SEM VÃO. AF_05/2018</t>
  </si>
  <si>
    <t>0,2979000</t>
  </si>
  <si>
    <t>70,31</t>
  </si>
  <si>
    <t>98442</t>
  </si>
  <si>
    <t>PAREDE DE MADEIRA COMPENSADA PARA CONSTRUÇÃO TEMPORÁRIA EM CHAPA SIMPLES, EXTERNA, COM ÁREA LÍQUIDA MENOR QUE 6 M², SEM VÃO. AF_05/2018</t>
  </si>
  <si>
    <t>0,3429000</t>
  </si>
  <si>
    <t>72,53</t>
  </si>
  <si>
    <t>98443</t>
  </si>
  <si>
    <t>PAREDE DE MADEIRA COMPENSADA PARA CONSTRUÇÃO TEMPORÁRIA EM CHAPA SIMPLES, INTERNA, COM ÁREA LÍQUIDA MAIOR OU IGUAL A 6 M², SEM VÃO. AF_05/2018</t>
  </si>
  <si>
    <t>0,1581000</t>
  </si>
  <si>
    <t>60,04</t>
  </si>
  <si>
    <t>98444</t>
  </si>
  <si>
    <t>PAREDE DE MADEIRA COMPENSADA PARA CONSTRUÇÃO TEMPORÁRIA EM CHAPA SIMPLES, INTERNA, COM ÁREA LÍQUIDA MENOR QUE 6 M², SEM VÃO. AF_05/2018</t>
  </si>
  <si>
    <t>0,1820000</t>
  </si>
  <si>
    <t>61,62</t>
  </si>
  <si>
    <t>98445</t>
  </si>
  <si>
    <t>PAREDE DE MADEIRA COMPENSADA PARA CONSTRUÇÃO TEMPORÁRIA EM CHAPA SIMPLES, EXTERNA, COM ÁREA LÍQUIDA MAIOR OU IGUAL A 6 M², COM VÃO. AF_05/2018</t>
  </si>
  <si>
    <t>0,4654000</t>
  </si>
  <si>
    <t>84,26</t>
  </si>
  <si>
    <t>98446</t>
  </si>
  <si>
    <t>PAREDE DE MADEIRA COMPENSADA PARA CONSTRUÇÃO TEMPORÁRIA EM CHAPA SIMPLES, EXTERNA, COM ÁREA LÍQUIDA MENOR QUE 6 M², COM VÃO. AF_05/2018</t>
  </si>
  <si>
    <t>0,3629000</t>
  </si>
  <si>
    <t>109,26</t>
  </si>
  <si>
    <t>98447</t>
  </si>
  <si>
    <t>PAREDE DE MADEIRA COMPENSADA PARA CONSTRUÇÃO TEMPORÁRIA EM CHAPA SIMPLES, INTERNA, COM ÁREA LÍQUIDA MAIOR OU IGUAL A 6 M², COM VÃO. AF_05/2018</t>
  </si>
  <si>
    <t>0,2470000</t>
  </si>
  <si>
    <t>70,13</t>
  </si>
  <si>
    <t>98448</t>
  </si>
  <si>
    <t>PAREDE DE MADEIRA COMPENSADA PARA CONSTRUÇÃO TEMPORÁRIA EM CHAPA SIMPLES, INTERNA, COM ÁREA LÍQUIDA MENOR QUE 6 M², COM VÃO. AF_05/2018</t>
  </si>
  <si>
    <t>0,1926000</t>
  </si>
  <si>
    <t>88,97</t>
  </si>
  <si>
    <t>100556</t>
  </si>
  <si>
    <t>CAIXA DE PASSAGEM PARA TELEFONE 15X15X10CM (SOBREPOR), FORNECIMENTO E INSTALACAO. AF_11/2019</t>
  </si>
  <si>
    <t>29,60</t>
  </si>
  <si>
    <t>100665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</si>
  <si>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</si>
  <si>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>696,49</t>
  </si>
  <si>
    <t>101165</t>
  </si>
  <si>
    <t>ALVENARIA DE EMBASAMENTO COM BLOCO ESTRUTURAL DE CONCRETO, DE 14X19X29CM E ARGAMASSA DE ASSENTAMENTO COM PREPARO EM BETONEIRA. AF_05/2020</t>
  </si>
  <si>
    <t>0,0239000</t>
  </si>
  <si>
    <t>629,05</t>
  </si>
  <si>
    <t>4513</t>
  </si>
  <si>
    <t>CAIBRO DE MADEIRA NAO APARELHADA 5 X 5 CM (2 X 2 ") PINUS, MISTA OU EQUIVALENTE DA REGIAO</t>
  </si>
  <si>
    <t>3,4844000</t>
  </si>
  <si>
    <t>4,91</t>
  </si>
  <si>
    <t>6193</t>
  </si>
  <si>
    <t>TABUA DE MADEIRA NAO APARELHADA *2,5 X 20* CM, CEDRINHO OU EQUIVALENTE DA REGIAO</t>
  </si>
  <si>
    <t>3,9174000</t>
  </si>
  <si>
    <t>5,94</t>
  </si>
  <si>
    <t>0,0252000</t>
  </si>
  <si>
    <t>11455</t>
  </si>
  <si>
    <t>FECHO / TRINCO / FERROLHO FIO REDONDO, DE SOBREPOR, 8", EM ACO GALVANIZADO / ZINCADO</t>
  </si>
  <si>
    <t>9,08</t>
  </si>
  <si>
    <t>1,0000000</t>
  </si>
  <si>
    <t>0,0504000</t>
  </si>
  <si>
    <t>84402</t>
  </si>
  <si>
    <t>QUADRO DE DISTRIBUICAO DE ENERGIA P/ 6 DISJUNTORES TERMOMAGNETICOS MONOPOLARES SEM BARRAMENTO, DE EMBUTIR, EM PVC - FORNECIMENTO E INSTALACAO</t>
  </si>
  <si>
    <t>76,49</t>
  </si>
  <si>
    <t>0,9794000</t>
  </si>
  <si>
    <t>3,7457000</t>
  </si>
  <si>
    <t>0,2518000</t>
  </si>
  <si>
    <t>0,2266000</t>
  </si>
  <si>
    <t>0,0634000</t>
  </si>
  <si>
    <t>0,0755000</t>
  </si>
  <si>
    <t>0,6219000</t>
  </si>
  <si>
    <t>0,6798000</t>
  </si>
  <si>
    <t>0,1259000</t>
  </si>
  <si>
    <t>92025</t>
  </si>
  <si>
    <t>INTERRUPTOR SIMPLES (1 MÓDULO) COM 2 TOMADAS DE EMBUTIR 2P+T 10 A,  INCLUINDO SUPORTE E PLACA - FORNECIMENTO E INSTALAÇÃO. AF_12/2015</t>
  </si>
  <si>
    <t>41,37</t>
  </si>
  <si>
    <t>1,4396000</t>
  </si>
  <si>
    <t>0,0262000</t>
  </si>
  <si>
    <t>0,0067000</t>
  </si>
  <si>
    <t>0,1007000</t>
  </si>
  <si>
    <t>0,3517000</t>
  </si>
  <si>
    <t>0,4048000</t>
  </si>
  <si>
    <t>0,0281000</t>
  </si>
  <si>
    <t>0,0323000</t>
  </si>
  <si>
    <t>0,5495000</t>
  </si>
  <si>
    <t>0,4284000</t>
  </si>
  <si>
    <t>0,0439000</t>
  </si>
  <si>
    <t>0,0342000</t>
  </si>
  <si>
    <t>0,0269000</t>
  </si>
  <si>
    <t>TOTAL PARCIAL DO SERVIÇO SEM BDI</t>
  </si>
  <si>
    <t>0,0348000</t>
  </si>
  <si>
    <t>3659</t>
  </si>
  <si>
    <t>JUNCAO SIMPLES, PVC, DN 100 X 50 MM, SERIE NORMAL PARA ESGOTO PREDIAL</t>
  </si>
  <si>
    <t>0,0174000</t>
  </si>
  <si>
    <t>11,66</t>
  </si>
  <si>
    <t>3670</t>
  </si>
  <si>
    <t>JUNCAO SIMPLES, PVC, 45 GRAUS, DN 100 X 100 MM, SERIE NORMAL PARA ESGOTO PREDIAL</t>
  </si>
  <si>
    <t>15,51</t>
  </si>
  <si>
    <t>11367</t>
  </si>
  <si>
    <t>!EM PROCESSO DE DESATIVACAO! PORTA DE MADEIRA, FOLHA LEVE (NBR 15930), E = 35 MM, NUCLEO COLMEIA, CAPA LISA EM HDF, ACABAMENTO MELAMINICO EM PADRAO MADEIRA</t>
  </si>
  <si>
    <t>0,0564000</t>
  </si>
  <si>
    <t>112,42</t>
  </si>
  <si>
    <t>0,9762000</t>
  </si>
  <si>
    <t>11697</t>
  </si>
  <si>
    <t>MICTORIO COLETIVO ACO INOX (AISI 304), E = 0,8 MM, DE *100 X 40 X 30* CM (C X A X P)</t>
  </si>
  <si>
    <t>510,00</t>
  </si>
  <si>
    <t>11712</t>
  </si>
  <si>
    <t>CAIXA SIFONADA PVC, 150 X 150 X 50 MM, COM GRELHA QUADRADA BRANCA (NBR 5688)</t>
  </si>
  <si>
    <t>26,99</t>
  </si>
  <si>
    <t>21112</t>
  </si>
  <si>
    <t>VALVULA DE DESCARGA EM METAL CROMADO PARA MICTORIO COM ACIONAMENTO POR PRESSAO E FECHAMENTO AUTOMATICO</t>
  </si>
  <si>
    <t>136,94</t>
  </si>
  <si>
    <t>0,1044000</t>
  </si>
  <si>
    <t>0,0522000</t>
  </si>
  <si>
    <t>0,1894000</t>
  </si>
  <si>
    <t>87777</t>
  </si>
  <si>
    <t>EMBOÇO OU MASSA ÚNICA EM ARGAMASSA TRAÇO 1:2:8, PREPARO MANUAL, APLICADA MANUALMENTE EM PANOS DE FACHADA COM PRESENÇA DE VÃOS, ESPESSURA DE 25 MM. AF_06/2014</t>
  </si>
  <si>
    <t>0,1681000</t>
  </si>
  <si>
    <t>41,04</t>
  </si>
  <si>
    <t>0,7679000</t>
  </si>
  <si>
    <t>87903</t>
  </si>
  <si>
    <t>CHAPISCO APLICADO EM ALVENARIA (COM PRESENÇA DE VÃOS) E ESTRUTURAS DE CONCRETO DE FACHADA, COM ROLO PARA TEXTURA ACRÍLICA.  ARGAMASSA INDUSTRIALIZADA COM PREPARO EM MISTURADOR 300 KG. AF_06/2014</t>
  </si>
  <si>
    <t>9,11</t>
  </si>
  <si>
    <t>2,4442000</t>
  </si>
  <si>
    <t>0,4675000</t>
  </si>
  <si>
    <t>0,4628000</t>
  </si>
  <si>
    <t>89709</t>
  </si>
  <si>
    <t>RALO SIFONADO, PVC, DN 100 X 40 MM, JUNTA SOLDÁVEL, FORNECIDO E INSTALADO EM RAMAL DE DESCARGA OU EM RAMAL DE ESGOTO SANITÁRIO. AF_12/2014</t>
  </si>
  <si>
    <t>0,0696000</t>
  </si>
  <si>
    <t>9,14</t>
  </si>
  <si>
    <t>0,1631000</t>
  </si>
  <si>
    <t>0,2235000</t>
  </si>
  <si>
    <t>0,0470000</t>
  </si>
  <si>
    <t>0,1740000</t>
  </si>
  <si>
    <t>89970</t>
  </si>
  <si>
    <t>KIT DE REGISTRO DE PRESSÃO BRUTO DE LATÃO ¾", INCLUSIVE CONEXÕES, ROSCÁVEL, INSTALADO EM RAMAL DE ÁGUA FRIA - FORNECIMENTO E INSTALAÇÃO. AF_12/2014</t>
  </si>
  <si>
    <t>0,0722000</t>
  </si>
  <si>
    <t>0,4612000</t>
  </si>
  <si>
    <t>0,1827000</t>
  </si>
  <si>
    <t>91305</t>
  </si>
  <si>
    <t>FECHADURA DE EMBUTIR PARA PORTA DE BANHEIRO, COMPLETA, ACABAMENTO PADRÃO POPULAR, INCLUSO EXECUÇÃO DE FURO - FORNECIMENTO E INSTALAÇÃO. AF_12/2019</t>
  </si>
  <si>
    <t>53,25</t>
  </si>
  <si>
    <t>0,3307000</t>
  </si>
  <si>
    <t>91863</t>
  </si>
  <si>
    <t>ELETRODUTO RÍGIDO ROSCÁVEL, PVC, DN 25 MM (3/4"), PARA CIRCUITOS TERMINAIS, INSTALADO EM FORRO - FORNECIMENTO E INSTALAÇÃO. AF_12/2015</t>
  </si>
  <si>
    <t>0,1305000</t>
  </si>
  <si>
    <t>7,36</t>
  </si>
  <si>
    <t>0,1566000</t>
  </si>
  <si>
    <t>91871</t>
  </si>
  <si>
    <t>ELETRODUTO RÍGIDO ROSCÁVEL, PVC, DN 25 MM (3/4"), PARA CIRCUITOS TERMINAIS, INSTALADO EM PAREDE - FORNECIMENTO E INSTALAÇÃO. AF_12/2015</t>
  </si>
  <si>
    <t>0,0261000</t>
  </si>
  <si>
    <t>8,08</t>
  </si>
  <si>
    <t>91875</t>
  </si>
  <si>
    <t>LUVA PARA ELETRODUTO, PVC, ROSCÁVEL, DN 25 MM (3/4"), PARA CIRCUITOS TERMINAIS, INSTALADA EM FORRO - FORNECIMENTO E INSTALAÇÃO. AF_12/2015</t>
  </si>
  <si>
    <t>4,34</t>
  </si>
  <si>
    <t>91882</t>
  </si>
  <si>
    <t>LUVA PARA ELETRODUTO, PVC, ROSCÁVEL, DN 20 MM (1/2"), PARA CIRCUITOS TERMINAIS, INSTALADA EM PAREDE - FORNECIMENTO E INSTALAÇÃO. AF_12/2015</t>
  </si>
  <si>
    <t>5,23</t>
  </si>
  <si>
    <t>91890</t>
  </si>
  <si>
    <t>CURVA 90 GRAUS PARA ELETRODUTO, PVC, ROSCÁVEL, DN 25 MM (3/4"), PARA CIRCUITOS TERMINAIS, INSTALADA EM FORRO - FORNECIMENTO E INSTALAÇÃO. AF_12/2015</t>
  </si>
  <si>
    <t>7,19</t>
  </si>
  <si>
    <t>1,2530000</t>
  </si>
  <si>
    <t>0,4699000</t>
  </si>
  <si>
    <t>1,0442000</t>
  </si>
  <si>
    <t>0,1392000</t>
  </si>
  <si>
    <t>91959</t>
  </si>
  <si>
    <t>INTERRUPTOR SIMPLES (2 MÓDULOS), 10A/250V, INCLUINDO SUPORTE E PLACA - FORNECIMENTO E INSTALAÇÃO. AF_12/2015</t>
  </si>
  <si>
    <t>25,50</t>
  </si>
  <si>
    <t>91967</t>
  </si>
  <si>
    <t>INTERRUPTOR SIMPLES (3 MÓDULOS), 10A/250V, INCLUINDO SUPORTE E PLACA - FORNECIMENTO E INSTALAÇÃO. AF_12/2015</t>
  </si>
  <si>
    <t>34,88</t>
  </si>
  <si>
    <t>1,3566000</t>
  </si>
  <si>
    <t>0,2611000</t>
  </si>
  <si>
    <t>0,0279000</t>
  </si>
  <si>
    <t>0,0905000</t>
  </si>
  <si>
    <t>0,0064000</t>
  </si>
  <si>
    <t>1,3328000</t>
  </si>
  <si>
    <t>0,0072000</t>
  </si>
  <si>
    <t>0,2612000</t>
  </si>
  <si>
    <t>0,3007000</t>
  </si>
  <si>
    <t>0,0830000</t>
  </si>
  <si>
    <t>0,0956000</t>
  </si>
  <si>
    <t>0,4081000</t>
  </si>
  <si>
    <t>0,3182000</t>
  </si>
  <si>
    <t>0,1297000</t>
  </si>
  <si>
    <t>0,1011000</t>
  </si>
  <si>
    <t>98679</t>
  </si>
  <si>
    <t>PISO CIMENTADO, TRAÇO 1:3 (CIMENTO E AREIA), ACABAMENTO LISO, ESPESSURA 2,0 CM, PREPARO MECÂNICO DA ARGAMASSA. AF_06/2018</t>
  </si>
  <si>
    <t>0,5134000</t>
  </si>
  <si>
    <t>23,53</t>
  </si>
  <si>
    <t>100860</t>
  </si>
  <si>
    <t>CHUVEIRO ELÉTRICO COMUM CORPO PLÁSTICO, TIPO DUCHA  FORNECIMENTO E INSTALAÇÃO. AF_01/2020</t>
  </si>
  <si>
    <t>73,79</t>
  </si>
  <si>
    <t>0,0286000</t>
  </si>
  <si>
    <t>0,0255000</t>
  </si>
  <si>
    <t>4496</t>
  </si>
  <si>
    <t>CAIBRO DE MADEIRA NAO APARELHADA 5 X 5 CM, CEDRINHO OU EQUIVALENTE DA REGIAO</t>
  </si>
  <si>
    <t>2,0724000</t>
  </si>
  <si>
    <t>3,86</t>
  </si>
  <si>
    <t>0,9020000</t>
  </si>
  <si>
    <t>37525</t>
  </si>
  <si>
    <t>TELA PLASTICA TECIDA LISTRADA BRANCA E LARANJA, TIPO GUARDA CORPO, EM POLIETILENO MONOFILADO, ROLO 1,20 X 50 M (L X C)</t>
  </si>
  <si>
    <t>1,2146000</t>
  </si>
  <si>
    <t>2,28</t>
  </si>
  <si>
    <t>0,1020000</t>
  </si>
  <si>
    <t>87794</t>
  </si>
  <si>
    <t>EMBOÇO OU MASSA ÚNICA EM ARGAMASSA TRAÇO 1:2:8, PREPARO MANUAL, APLICADA MANUALMENTE EM PANOS CEGOS DE FACHADA (SEM PRESENÇA DE VÃOS), ESPESSURA DE 25 MM. AF_06/2014</t>
  </si>
  <si>
    <t>0,6791000</t>
  </si>
  <si>
    <t>28,19</t>
  </si>
  <si>
    <t>87892</t>
  </si>
  <si>
    <t>CHAPISCO APLICADO EM ALVENARIA (SEM PRESENÇA DE VÃOS) E ESTRUTURAS DE CONCRETO DE FACHADA, COM ROLO PARA TEXTURA ACRÍLICA.  ARGAMASSA INDUSTRIALIZADA COM PREPARO EM MISTURADOR 300 KG. AF_06/2014</t>
  </si>
  <si>
    <t>8,23</t>
  </si>
  <si>
    <t>1,0600000</t>
  </si>
  <si>
    <t>1,3582000</t>
  </si>
  <si>
    <t>0,0842000</t>
  </si>
  <si>
    <t>0,1352000</t>
  </si>
  <si>
    <t>0,0510000</t>
  </si>
  <si>
    <t>90447</t>
  </si>
  <si>
    <t>0,5102000</t>
  </si>
  <si>
    <t>4,45</t>
  </si>
  <si>
    <t>90456</t>
  </si>
  <si>
    <t>QUEBRA EM ALVENARIA PARA INSTALAÇÃO DE CAIXA DE TOMADA (4X4 OU 4X2). AF_05/2015</t>
  </si>
  <si>
    <t>0,1786000</t>
  </si>
  <si>
    <t>2,87</t>
  </si>
  <si>
    <t>90457</t>
  </si>
  <si>
    <t>QUEBRA EM ALVENARIA PARA INSTALAÇÃO DE QUADRO DISTRIBUIÇÃO PEQUENO (19X25 CM). AF_05/2015</t>
  </si>
  <si>
    <t>6,55</t>
  </si>
  <si>
    <t>0,3061000</t>
  </si>
  <si>
    <t>91831</t>
  </si>
  <si>
    <t>ELETRODUTO FLEXÍVEL CORRUGADO, PVC, DN 20 MM (1/2"), PARA CIRCUITOS TERMINAIS, INSTALADO EM FORRO - FORNECIMENTO E INSTALAÇÃO. AF_12/2015</t>
  </si>
  <si>
    <t>5,28</t>
  </si>
  <si>
    <t>91852</t>
  </si>
  <si>
    <t>ELETRODUTO FLEXÍVEL CORRUGADO, PVC, DN 20 MM (1/2"), PARA CIRCUITOS TERMINAIS, INSTALADO EM PAREDE - FORNECIMENTO E INSTALAÇÃO. AF_12/2015</t>
  </si>
  <si>
    <t>5,44</t>
  </si>
  <si>
    <t>0,8163000</t>
  </si>
  <si>
    <t>2,4235000</t>
  </si>
  <si>
    <t>91940</t>
  </si>
  <si>
    <t>CAIXA RETANGULAR 4" X 2" MÉDIA (1,30 M DO PISO), PVC, INSTALADA EM PAREDE - FORNECIMENTO E INSTALAÇÃO. AF_12/2015</t>
  </si>
  <si>
    <t>10,13</t>
  </si>
  <si>
    <t>91941</t>
  </si>
  <si>
    <t>0,1531000</t>
  </si>
  <si>
    <t>6,80</t>
  </si>
  <si>
    <t>0,1276000</t>
  </si>
  <si>
    <t>1,4378000</t>
  </si>
  <si>
    <t>0,0260000</t>
  </si>
  <si>
    <t>0,0061000</t>
  </si>
  <si>
    <t>1,3429000</t>
  </si>
  <si>
    <t>0,0066000</t>
  </si>
  <si>
    <t>98102</t>
  </si>
  <si>
    <t>CAIXA DE GORDURA SIMPLES, CIRCULAR, EM CONCRETO PRÉ-MOLDADO, DIÂMETRO INTERNO = 0,4 M, ALTURA INTERNA = 0,4 M. AF_05/2018</t>
  </si>
  <si>
    <t>95,33</t>
  </si>
  <si>
    <t>0,0268000</t>
  </si>
  <si>
    <t>41898</t>
  </si>
  <si>
    <t>MARTELO DEMOLIDOR PNEUMATICO MANUAL, PESO  DE 28 KG, COM SILENCIADOR</t>
  </si>
  <si>
    <t>0,0000640</t>
  </si>
  <si>
    <t>24.554,35</t>
  </si>
  <si>
    <t>2706</t>
  </si>
  <si>
    <t>ENGENHEIRO CIVIL DE OBRA JUNIOR</t>
  </si>
  <si>
    <t>77,39</t>
  </si>
  <si>
    <t>37372</t>
  </si>
  <si>
    <t>EXAMES - HORISTA (COLETADO CAIXA)</t>
  </si>
  <si>
    <t>0,35</t>
  </si>
  <si>
    <t>37373</t>
  </si>
  <si>
    <t>SEGURO - HORISTA (COLETADO CAIXA)</t>
  </si>
  <si>
    <t>0,07</t>
  </si>
  <si>
    <t>43462</t>
  </si>
  <si>
    <t>FERRAMENTAS - FAMILIA ENGENHEIRO CIVIL - HORISTA (ENCARGOS COMPLEMENTARES - COLETADO CAIXA)</t>
  </si>
  <si>
    <t>0,01</t>
  </si>
  <si>
    <t>43486</t>
  </si>
  <si>
    <t>EPI - FAMILIA ENGENHEIRO CIVIL - HORISTA (ENCARGOS COMPLEMENTARES - COLETADO CAIXA)</t>
  </si>
  <si>
    <t>0,57</t>
  </si>
  <si>
    <t>95402</t>
  </si>
  <si>
    <t>CURSO DE CAPACITAÇÃO PARA ENGENHEIRO CIVIL DE OBRA JÚNIOR (ENCARGOS COMPLEMENTARES) - HORISTA</t>
  </si>
  <si>
    <t>0,78</t>
  </si>
  <si>
    <t>2707</t>
  </si>
  <si>
    <t>ENGENHEIRO CIVIL DE OBRA PLENO</t>
  </si>
  <si>
    <t>88,09</t>
  </si>
  <si>
    <t>95403</t>
  </si>
  <si>
    <t>CURSO DE CAPACITAÇÃO PARA ENGENHEIRO CIVIL DE OBRA PLENO (ENCARGOS COMPLEMENTARES) - HORISTA</t>
  </si>
  <si>
    <t>0,89</t>
  </si>
  <si>
    <t>4083</t>
  </si>
  <si>
    <t>ENCARREGADO GERAL DE OBRAS</t>
  </si>
  <si>
    <t>17,13</t>
  </si>
  <si>
    <t>43463</t>
  </si>
  <si>
    <t>FERRAMENTAS - FAMILIA ENCARREGADO GERAL - HORISTA (ENCARGOS COMPLEMENTARES - COLETADO CAIXA)</t>
  </si>
  <si>
    <t>0,08</t>
  </si>
  <si>
    <t>43487</t>
  </si>
  <si>
    <t>EPI - FAMILIA ENCARREGADO GERAL - HORISTA (ENCARGOS COMPLEMENTARES - COLETADO CAIXA)</t>
  </si>
  <si>
    <t>0,95</t>
  </si>
  <si>
    <t>95401</t>
  </si>
  <si>
    <t>CURSO DE CAPACITAÇÃO PARA ENCARREGADO GERAL (ENCARGOS COMPLEMENTARES) - HORISTA</t>
  </si>
  <si>
    <t>0,25</t>
  </si>
  <si>
    <t>88256</t>
  </si>
  <si>
    <t>AZULEJISTA OU LADRILHISTA COM ENCARGOS COMPLEMENTARES</t>
  </si>
  <si>
    <t>0,2553000</t>
  </si>
  <si>
    <t>17,71</t>
  </si>
  <si>
    <t>88316</t>
  </si>
  <si>
    <t>0,7195000</t>
  </si>
  <si>
    <t>14,37</t>
  </si>
  <si>
    <t>88309</t>
  </si>
  <si>
    <t>PEDREIRO COM ENCARGOS COMPLEMENTARES</t>
  </si>
  <si>
    <t>0,1315000</t>
  </si>
  <si>
    <t>17,76</t>
  </si>
  <si>
    <t>0,2582000</t>
  </si>
  <si>
    <t>88267</t>
  </si>
  <si>
    <t>ENCANADOR OU BOMBEIRO HIDRÁULICO COM ENCARGOS COMPLEMENTARES</t>
  </si>
  <si>
    <t>0,1755000</t>
  </si>
  <si>
    <t>17,79</t>
  </si>
  <si>
    <t>0,3448000</t>
  </si>
  <si>
    <t>0,1280000</t>
  </si>
  <si>
    <t>0,2514000</t>
  </si>
  <si>
    <t>0,2250000</t>
  </si>
  <si>
    <t>2,3248000</t>
  </si>
  <si>
    <t>88261</t>
  </si>
  <si>
    <t>CARPINTEIRO DE ESQUADRIA COM ENCARGOS COMPLEMENTARES</t>
  </si>
  <si>
    <t>1,2000000</t>
  </si>
  <si>
    <t>18,84</t>
  </si>
  <si>
    <t>90806</t>
  </si>
  <si>
    <t>BATENTE PARA PORTA DE MADEIRA, FIXAÇÃO COM ARGAMASSA, PADRÃO MÉDIO - FORNECIMENTO E INSTALAÇÃO. AF_12/2019_P</t>
  </si>
  <si>
    <t>242,43</t>
  </si>
  <si>
    <t>90830</t>
  </si>
  <si>
    <t>FECHADURA DE EMBUTIR COM CILINDRO, EXTERNA, COMPLETA, ACABAMENTO PADRÃO MÉDIO, INCLUSO EXECUÇÃO DE FURO - FORNECIMENTO E INSTALAÇÃO. AF_12/2019</t>
  </si>
  <si>
    <t>93,41</t>
  </si>
  <si>
    <t>100659</t>
  </si>
  <si>
    <t>ALIZAR DE 5X1,5CM PARA PORTA FIXADO COM PREGOS, PADRÃO MÉDIO - FORNECIMENTO E INSTALAÇÃO. AF_12/2019</t>
  </si>
  <si>
    <t>10,0000000</t>
  </si>
  <si>
    <t>5,67</t>
  </si>
  <si>
    <t>2692</t>
  </si>
  <si>
    <t>DESMOLDANTE PROTETOR PARA FORMAS DE MADEIRA, DE BASE OLEOSA EMULSIONADA EM AGUA</t>
  </si>
  <si>
    <t>L</t>
  </si>
  <si>
    <t>0,0050000</t>
  </si>
  <si>
    <t>4,84</t>
  </si>
  <si>
    <t>39017</t>
  </si>
  <si>
    <t>ESPACADOR / DISTANCIADOR CIRCULAR COM ENTRADA LATERAL, EM PLASTICO, PARA VERGALHAO *4,2 A 12,5* MM, COBRIMENTO 20 MM</t>
  </si>
  <si>
    <t>6,0000000</t>
  </si>
  <si>
    <t>0,13</t>
  </si>
  <si>
    <t>87294</t>
  </si>
  <si>
    <t>ARGAMASSA TRAÇO 1:2:9 (EM VOLUME DE CIMENTO, CAL E AREIA MÉDIA ÚMIDA) PARA EMBOÇO/MASSA ÚNICA/ASSENTAMENTO DE ALVENARIA DE VEDAÇÃO, PREPARO MECÂNICO COM BETONEIRA 600 L. AF_08/2019</t>
  </si>
  <si>
    <t>0,0019000</t>
  </si>
  <si>
    <t>333,92</t>
  </si>
  <si>
    <t>0,0940000</t>
  </si>
  <si>
    <t>0,1070000</t>
  </si>
  <si>
    <t>92270</t>
  </si>
  <si>
    <t>FABRICAÇÃO DE FÔRMA PARA VIGAS, COM MADEIRA SERRADA, E = 25 MM. AF_12/2015</t>
  </si>
  <si>
    <t>0,1220000</t>
  </si>
  <si>
    <t>51,18</t>
  </si>
  <si>
    <t>92791</t>
  </si>
  <si>
    <t>CORTE E DOBRA DE AÇO CA-60, DIÂMETRO DE 5,0 MM, UTILIZADO EM ESTRUTURAS DIVERSAS, EXCETO LAJES. AF_12/2015</t>
  </si>
  <si>
    <t>0,3080000</t>
  </si>
  <si>
    <t>7,44</t>
  </si>
  <si>
    <t>94970</t>
  </si>
  <si>
    <t>CONCRETO FCK = 20MPA, TRAÇO 1:2,7:3 (CIMENTO/ AREIA MÉDIA/ BRITA 1)  - PREPARO MECÂNICO COM BETONEIRA 600 L. AF_07/2016</t>
  </si>
  <si>
    <t>0,0120000</t>
  </si>
  <si>
    <t>303,12</t>
  </si>
  <si>
    <t>142</t>
  </si>
  <si>
    <t>SELANTE ELASTICO MONOCOMPONENTE A BASE DE POLIURETANO (PU) PARA JUNTAS DIVERSAS</t>
  </si>
  <si>
    <t>310ML</t>
  </si>
  <si>
    <t>0,8829000</t>
  </si>
  <si>
    <t>24,17</t>
  </si>
  <si>
    <t>4914</t>
  </si>
  <si>
    <t>PORTA DE ABRIR EM ALUMINIO COM LAMBRI HORIZONTAL/LAMINADA, ACABAMENTO ANODIZADO NATURAL, SEM GUARNICAO/ALIZAR/VISTA</t>
  </si>
  <si>
    <t>890,30</t>
  </si>
  <si>
    <t>7568</t>
  </si>
  <si>
    <t>BUCHA DE NYLON SEM ABA S10, COM PARAFUSO DE 6,10 X 65 MM EM ACO ZINCADO COM ROSCA SOBERBA, CABECA CHATA E FENDA PHILLIPS</t>
  </si>
  <si>
    <t>4,8166000</t>
  </si>
  <si>
    <t>0,55</t>
  </si>
  <si>
    <t>36888</t>
  </si>
  <si>
    <t>GUARNICAO/MOLDURA DE ACABAMENTO PARA ESQUADRIA DE ALUMINIO ANODIZADO NATURAL, PARA 1 FACE</t>
  </si>
  <si>
    <t>6,8504000</t>
  </si>
  <si>
    <t>7,59</t>
  </si>
  <si>
    <t>0,3563000</t>
  </si>
  <si>
    <t>0,1779000</t>
  </si>
  <si>
    <t>5961</t>
  </si>
  <si>
    <t>CAMINHÃO BASCULANTE 6 M3, PESO BRUTO TOTAL 16.000 KG, CARGA ÚTIL MÁXIMA 13.071 KG, DISTÂNCIA ENTRE EIXOS 4,80 M, POTÊNCIA 230 CV INCLUSIVE CAÇAMBA METÁLICA - CHI DIURNO. AF_06/2014</t>
  </si>
  <si>
    <t>CHI</t>
  </si>
  <si>
    <t>0,2500000</t>
  </si>
  <si>
    <t>0,7000000</t>
  </si>
  <si>
    <t>28,72</t>
  </si>
  <si>
    <t>536</t>
  </si>
  <si>
    <t>REVESTIMENTO EM CERAMICA ESMALTADA EXTRA, PEI MENOR OU IGUAL A 3, FORMATO MENOR OU IGUAL A 2025 CM2</t>
  </si>
  <si>
    <t>17,90</t>
  </si>
  <si>
    <t>1381</t>
  </si>
  <si>
    <t>ARGAMASSA COLANTE AC I PARA CERAMICAS</t>
  </si>
  <si>
    <t>4,8600000</t>
  </si>
  <si>
    <t>0,65</t>
  </si>
  <si>
    <t>34357</t>
  </si>
  <si>
    <t>REJUNTE CIMENTICIO, QUALQUER COR</t>
  </si>
  <si>
    <t>0,4200000</t>
  </si>
  <si>
    <t>3,81</t>
  </si>
  <si>
    <t>0,8000000</t>
  </si>
  <si>
    <t>34557</t>
  </si>
  <si>
    <t>TELA DE ACO SOLDADA GALVANIZADA/ZINCADA PARA ALVENARIA, FIO D = *1,20 A 1,70* MM, MALHA 15 X 15 MM, (C X L) *50 X 7,5* CM</t>
  </si>
  <si>
    <t>2,05</t>
  </si>
  <si>
    <t>37395</t>
  </si>
  <si>
    <t>PINO DE ACO COM FURO, HASTE = 27 MM (ACAO DIRETA)</t>
  </si>
  <si>
    <t>CENTO</t>
  </si>
  <si>
    <t>34,13</t>
  </si>
  <si>
    <t>37592</t>
  </si>
  <si>
    <t>BLOCO CERAMICO DE VEDACAO COM FUROS NA VERTICAL, 9 X 19 X 39 CM - 4,5 MPA (NBR 15270)</t>
  </si>
  <si>
    <t>13,3500000</t>
  </si>
  <si>
    <t>1,82</t>
  </si>
  <si>
    <t>87292</t>
  </si>
  <si>
    <t>ARGAMASSA TRAÇO 1:2:8 (EM VOLUME DE CIMENTO, CAL E AREIA MÉDIA ÚMIDA) PARA EMBOÇO/MASSA ÚNICA/ASSENTAMENTO DE ALVENARIA DE VEDAÇÃO, PREPARO MECÂNICO COM BETONEIRA 400 L. AF_08/2019</t>
  </si>
  <si>
    <t>0,0104000</t>
  </si>
  <si>
    <t>348,97</t>
  </si>
  <si>
    <t>0,4800000</t>
  </si>
  <si>
    <t>0,2400000</t>
  </si>
  <si>
    <t>0,0213000</t>
  </si>
  <si>
    <t>0,6600000</t>
  </si>
  <si>
    <t>0,2430000</t>
  </si>
  <si>
    <t>1,1118000</t>
  </si>
  <si>
    <t>11,4882000</t>
  </si>
  <si>
    <t>3777</t>
  </si>
  <si>
    <t>LONA PLASTICA PRETA, E= 150 MICRA</t>
  </si>
  <si>
    <t>1,1280000</t>
  </si>
  <si>
    <t>0,92</t>
  </si>
  <si>
    <t>4517</t>
  </si>
  <si>
    <t>SARRAFO DE MADEIRA NAO APARELHADA *2,5 X 7,5* CM (1 X 3 ") PINUS, MISTA OU EQUIVALENTE DA REGIAO</t>
  </si>
  <si>
    <t>0,4500000</t>
  </si>
  <si>
    <t>2,02</t>
  </si>
  <si>
    <t>7156</t>
  </si>
  <si>
    <t>TELA DE ACO SOLDADA NERVURADA, CA-60, Q-196, (3,11 KG/M2), DIAMETRO DO FIO = 5,0 MM, LARGURA = 2,45 M, ESPACAMENTO DA MALHA = 10 X 10 CM</t>
  </si>
  <si>
    <t>1,1224000</t>
  </si>
  <si>
    <t>23,19</t>
  </si>
  <si>
    <t>34492</t>
  </si>
  <si>
    <t>CONCRETO USINADO BOMBEAVEL, CLASSE DE RESISTENCIA C20, COM BRITA 0 E 1, SLUMP = 100 +/- 20 MM, EXCLUI SERVICO DE BOMBEAMENTO (NBR 8953)</t>
  </si>
  <si>
    <t>0,0728000</t>
  </si>
  <si>
    <t>369,11</t>
  </si>
  <si>
    <t>0,1354000</t>
  </si>
  <si>
    <t>0,1183000</t>
  </si>
  <si>
    <t>0,2537000</t>
  </si>
  <si>
    <t>10931</t>
  </si>
  <si>
    <t>TELA DE ARAME GALVANIZADA, HEXAGONAL, FIO 0,56 MM (24 BWG), MALHA 1/2", H = 1 M</t>
  </si>
  <si>
    <t>1,1639000</t>
  </si>
  <si>
    <t>9,55</t>
  </si>
  <si>
    <t>38545</t>
  </si>
  <si>
    <t>MANTA DE POLIETILENO EXPANDIDO (PEBD), E = 5 MM</t>
  </si>
  <si>
    <t>1,5068000</t>
  </si>
  <si>
    <t>3,97</t>
  </si>
  <si>
    <t>87399</t>
  </si>
  <si>
    <t>ARGAMASSA PRONTA PARA CONTRAPISO, PREPARO MANUAL. AF_08/2019</t>
  </si>
  <si>
    <t>0,0661000</t>
  </si>
  <si>
    <t>1.742,12</t>
  </si>
  <si>
    <t>0,6740000</t>
  </si>
  <si>
    <t>0,3370000</t>
  </si>
  <si>
    <t>3671</t>
  </si>
  <si>
    <t>JUNTA PLASTICA DE DILATACAO PARA PISOS, COR CINZA, 17 X 3 MM (ALTURA X ESPESSURA)</t>
  </si>
  <si>
    <t>0,88</t>
  </si>
  <si>
    <t>4786</t>
  </si>
  <si>
    <t>PISO EM GRANILITE, MARMORITE OU GRANITINA, AGREGADO COR PRETO, CINZA, PALHA OU BRANCO, E=  *8* MM (INCLUSO EXECUCAO)</t>
  </si>
  <si>
    <t>87373</t>
  </si>
  <si>
    <t>ARGAMASSA TRAÇO 1:4 (EM VOLUME DE CIMENTO E AREIA MÉDIA ÚMIDA) PARA CONTRAPISO, PREPARO MANUAL. AF_08/2019</t>
  </si>
  <si>
    <t>0,0200000</t>
  </si>
  <si>
    <t>465,46</t>
  </si>
  <si>
    <t>0,6000000</t>
  </si>
  <si>
    <t>0,3000000</t>
  </si>
  <si>
    <t>4460</t>
  </si>
  <si>
    <t>SARRAFO DE MADEIRA NAO APARELHADA *2,5 X 10 CM, MACARANDUBA, ANGELIM OU EQUIVALENTE DA REGIAO</t>
  </si>
  <si>
    <t>2,5000000</t>
  </si>
  <si>
    <t>5,22</t>
  </si>
  <si>
    <t>2,0000000</t>
  </si>
  <si>
    <t>1,2130000</t>
  </si>
  <si>
    <t>2,2560000</t>
  </si>
  <si>
    <t>0,2600000</t>
  </si>
  <si>
    <t>2,5160000</t>
  </si>
  <si>
    <t>0,2000000</t>
  </si>
  <si>
    <t>0,1805000</t>
  </si>
  <si>
    <t>0,2767000</t>
  </si>
  <si>
    <t>0,4572000</t>
  </si>
  <si>
    <t>94964</t>
  </si>
  <si>
    <t>CONCRETO FCK = 20MPA, TRAÇO 1:2,7:3 (CIMENTO/ AREIA MÉDIA/ BRITA 1)  - PREPARO MECÂNICO COM BETONEIRA 400 L. AF_07/2016</t>
  </si>
  <si>
    <t>0,0970000</t>
  </si>
  <si>
    <t>310,82</t>
  </si>
  <si>
    <t>370</t>
  </si>
  <si>
    <t>AREIA MEDIA - POSTO JAZIDA/FORNECEDOR (RETIRADO NA JAZIDA, SEM TRANSPORTE)</t>
  </si>
  <si>
    <t>0,0100000</t>
  </si>
  <si>
    <t>62,50</t>
  </si>
  <si>
    <t>1379</t>
  </si>
  <si>
    <t>CIMENTO PORTLAND COMPOSTO CP II-32</t>
  </si>
  <si>
    <t>4,2000000</t>
  </si>
  <si>
    <t>0,49</t>
  </si>
  <si>
    <t>4824</t>
  </si>
  <si>
    <t>GRANILHA/ GRANA/ PEDRISCO OU AGREGADO EM MARMORE/ GRANITO/ QUARTZO E CALCARIO, PRETO, CINZA, PALHA OU BRANCO</t>
  </si>
  <si>
    <t>3,2000000</t>
  </si>
  <si>
    <t>0,44</t>
  </si>
  <si>
    <t>0,5400000</t>
  </si>
  <si>
    <t>10492</t>
  </si>
  <si>
    <t>VIDRO LISO INCOLOR 4MM - SEM COLOCACAO</t>
  </si>
  <si>
    <t>131,59</t>
  </si>
  <si>
    <t>10498</t>
  </si>
  <si>
    <t>MASSA PARA VIDRO</t>
  </si>
  <si>
    <t>1,6000000</t>
  </si>
  <si>
    <t>8,36</t>
  </si>
  <si>
    <t>88325</t>
  </si>
  <si>
    <t>VIDRACEIRO COM ENCARGOS COMPLEMENTARES</t>
  </si>
  <si>
    <t>17,14</t>
  </si>
  <si>
    <t>0,1400000</t>
  </si>
  <si>
    <t>37595</t>
  </si>
  <si>
    <t>ARGAMASSA COLANTE TIPO AC III</t>
  </si>
  <si>
    <t>8,6200000</t>
  </si>
  <si>
    <t>1,99</t>
  </si>
  <si>
    <t>38195</t>
  </si>
  <si>
    <t>PISO PORCELANATO, BORDA RETA, EXTRA, FORMATO MAIOR QUE 2025 CM2</t>
  </si>
  <si>
    <t>1,0800000</t>
  </si>
  <si>
    <t>54,52</t>
  </si>
  <si>
    <t>11499</t>
  </si>
  <si>
    <t>MOLA HIDRAULICA DE PISO P/ VIDRO TEMPERADO 10MM</t>
  </si>
  <si>
    <t>0,7500000</t>
  </si>
  <si>
    <t>3104</t>
  </si>
  <si>
    <t>JOGO DE FERRAGENS CROMADAS P/ PORTA DE VIDRO TEMPERADO, UMA FOLHA COMPOSTA: DOBRADICA SUPERIOR (101) E INFERIOR (103),TRINCO (502), FECHADURA (520),CONTRA FECHADURA (531),COM CAPUCHINHO</t>
  </si>
  <si>
    <t>376,14</t>
  </si>
  <si>
    <t>4,3000000</t>
  </si>
  <si>
    <t>6,1000000</t>
  </si>
  <si>
    <t>3,3600000</t>
  </si>
  <si>
    <t>38877</t>
  </si>
  <si>
    <t>MASSA PARA TEXTURA LISA DE BASE ACRILICA, USO INTERNO E EXTERNO</t>
  </si>
  <si>
    <t>88310</t>
  </si>
  <si>
    <t>PINTOR COM ENCARGOS COMPLEMENTARES</t>
  </si>
  <si>
    <t>0,1760000</t>
  </si>
  <si>
    <t>18,88</t>
  </si>
  <si>
    <t>0,0440000</t>
  </si>
  <si>
    <t>3767</t>
  </si>
  <si>
    <t>LIXA EM FOLHA PARA PAREDE OU MADEIRA, NUMERO 120 (COR VERMELHA)</t>
  </si>
  <si>
    <t>0,1000000</t>
  </si>
  <si>
    <t>4051</t>
  </si>
  <si>
    <t>!EM PROCESSO DE DESATIVACAO! MASSA CORRIDA PVA PARA PAREDES INTERNAS</t>
  </si>
  <si>
    <t>18L</t>
  </si>
  <si>
    <t>0,0489000</t>
  </si>
  <si>
    <t>0,6720000</t>
  </si>
  <si>
    <t>7356</t>
  </si>
  <si>
    <t>TINTA ACRILICA PREMIUM, COR BRANCO FOSCO</t>
  </si>
  <si>
    <t>0,3300000</t>
  </si>
  <si>
    <t>0,0690000</t>
  </si>
  <si>
    <t>0,4000000</t>
  </si>
  <si>
    <t>5318</t>
  </si>
  <si>
    <t>SOLVENTE DILUENTE A BASE DE AGUARRAS</t>
  </si>
  <si>
    <t>0,0400000</t>
  </si>
  <si>
    <t>12,42</t>
  </si>
  <si>
    <t>7311</t>
  </si>
  <si>
    <t>TINTA ESMALTE SINTETICO PREMIUM ACETINADO</t>
  </si>
  <si>
    <t>0,1600000</t>
  </si>
  <si>
    <t>0,0624000</t>
  </si>
  <si>
    <t>7293</t>
  </si>
  <si>
    <t>TINTA ESMALTE SINTETICO GRAFITE COM PROTECAO PARA METAIS FERROSOS</t>
  </si>
  <si>
    <t>0,2078000</t>
  </si>
  <si>
    <t>0,5266000</t>
  </si>
  <si>
    <t>96308</t>
  </si>
  <si>
    <t>COMPRESSOR DE AR, VAZAO DE 10 PCM, RESERVATORIO 100 L, PRESSAO DE TRABALHO ENTRE 6,9 E 9,7 BAR  POTENCIA 2 HP, TENSAO 110/220 V  CHI DIURNO. AF_05/2017</t>
  </si>
  <si>
    <t>0,3732000</t>
  </si>
  <si>
    <t>96309</t>
  </si>
  <si>
    <t>COMPRESSOR DE AR, VAZAO DE 10 PCM, RESERVATORIO 100 L, PRESSAO DE TRABALHO ENTRE 6,9 E 9,7 BAR, POTENCIA 2 HP, TENSAO 110/220 V - CHP DIURNO. AF_05/2017</t>
  </si>
  <si>
    <t>0,1534000</t>
  </si>
  <si>
    <t>24,85</t>
  </si>
  <si>
    <t>0,14</t>
  </si>
  <si>
    <t>1,35</t>
  </si>
  <si>
    <t>5330</t>
  </si>
  <si>
    <t>DILUENTE EPOXI</t>
  </si>
  <si>
    <t>0,0296000</t>
  </si>
  <si>
    <t>36,73</t>
  </si>
  <si>
    <t>11149</t>
  </si>
  <si>
    <t>PRIMER EPOXI</t>
  </si>
  <si>
    <t>GL</t>
  </si>
  <si>
    <t>0,0548000</t>
  </si>
  <si>
    <t>175,70</t>
  </si>
  <si>
    <t>88312</t>
  </si>
  <si>
    <t>PINTOR PARA TINTA EPÓXI COM ENCARGOS COMPLEMENTARES</t>
  </si>
  <si>
    <t>0,0635000</t>
  </si>
  <si>
    <t>19,84</t>
  </si>
  <si>
    <t>0,0185000</t>
  </si>
  <si>
    <t>7343</t>
  </si>
  <si>
    <t>TINTA A BASE DE RESINA ACRILICA, PARA SINALIZACAO HORIZONTAL VIARIA (NBR 11862)</t>
  </si>
  <si>
    <t>0,3500000</t>
  </si>
  <si>
    <t>7,11</t>
  </si>
  <si>
    <t>0,5000000</t>
  </si>
  <si>
    <t>980</t>
  </si>
  <si>
    <t>CABO DE COBRE, FLEXIVEL, CLASSE 4 OU 5, ISOLACAO EM PVC/A, ANTICHAMA BWF-B, 1 CONDUTOR, 450/750 V, SECAO NOMINAL 10 MM2</t>
  </si>
  <si>
    <t>1,1900000</t>
  </si>
  <si>
    <t>6,23</t>
  </si>
  <si>
    <t>21127</t>
  </si>
  <si>
    <t>FITA ISOLANTE ADESIVA ANTICHAMA, USO ATE 750 V, EM ROLO DE 19 MM X 5 M</t>
  </si>
  <si>
    <t>0,0090000</t>
  </si>
  <si>
    <t>3,78</t>
  </si>
  <si>
    <t>0,0770000</t>
  </si>
  <si>
    <t>14,33</t>
  </si>
  <si>
    <t>18,38</t>
  </si>
  <si>
    <t>982</t>
  </si>
  <si>
    <t>CABO DE COBRE, FLEXIVEL, CLASSE 4 OU 5, ISOLACAO EM PVC/A, ANTICHAMA BWF-B, 1 CONDUTOR, 450/750 V, SECAO NOMINAL 6 MM2</t>
  </si>
  <si>
    <t>3,65</t>
  </si>
  <si>
    <t>0,0520000</t>
  </si>
  <si>
    <t>981</t>
  </si>
  <si>
    <t>CABO DE COBRE, FLEXIVEL, CLASSE 4 OU 5, ISOLACAO EM PVC/A, ANTICHAMA BWF-B, 1 CONDUTOR, 450/750 V, SECAO NOMINAL 4 MM2</t>
  </si>
  <si>
    <t>2,60</t>
  </si>
  <si>
    <t>1022</t>
  </si>
  <si>
    <t>CABO DE COBRE, FLEXIVEL, CLASSE 4 OU 5, ISOLACAO EM PVC/A, ANTICHAMA BWF-B, COBERTURA PVC-ST1, ANTICHAMA BWF-B, 1 CONDUTOR, 0,6/1 KV, SECAO NOMINAL 2,5 MM2</t>
  </si>
  <si>
    <t>0,0300000</t>
  </si>
  <si>
    <t>0,0340000</t>
  </si>
  <si>
    <t>0,2160000</t>
  </si>
  <si>
    <t>2690</t>
  </si>
  <si>
    <t>ELETRODUTO PVC FLEXIVEL CORRUGADO, COR AMARELA, DE 32 MM</t>
  </si>
  <si>
    <t>1,1000000</t>
  </si>
  <si>
    <t>2,24</t>
  </si>
  <si>
    <t>0,0900000</t>
  </si>
  <si>
    <t>2684</t>
  </si>
  <si>
    <t>ELETRODUTO DE PVC RIGIDO ROSCAVEL DE 1 1/4 ", SEM LUVA</t>
  </si>
  <si>
    <t>1,0170000</t>
  </si>
  <si>
    <t>5,18</t>
  </si>
  <si>
    <t>43132</t>
  </si>
  <si>
    <t>ARAME RECOZIDO 16 BWG, D = 1,65 MM (0,016 KG/M) OU 18 BWG, D = 1,25 MM (0,01 KG/M)</t>
  </si>
  <si>
    <t>0,0023000</t>
  </si>
  <si>
    <t>13,90</t>
  </si>
  <si>
    <t>0,1540000</t>
  </si>
  <si>
    <t>38101</t>
  </si>
  <si>
    <t>TOMADA 2P+T 10A, 250V  (APENAS MODULO)</t>
  </si>
  <si>
    <t>4,52</t>
  </si>
  <si>
    <t>0,4960000</t>
  </si>
  <si>
    <t>38102</t>
  </si>
  <si>
    <t>TOMADA 2P+T 20A, 250V  (APENAS MODULO)</t>
  </si>
  <si>
    <t>5,78</t>
  </si>
  <si>
    <t>1872</t>
  </si>
  <si>
    <t>CAIXA DE PASSAGEM, EM PVC, DE 4" X 2", PARA ELETRODUTO FLEXIVEL CORRUGADO</t>
  </si>
  <si>
    <t>1,69</t>
  </si>
  <si>
    <t>0,1450000</t>
  </si>
  <si>
    <t>88629</t>
  </si>
  <si>
    <t>ARGAMASSA TRAÇO 1:3 (EM VOLUME DE CIMENTO E AREIA MÉDIA ÚMIDA), PREPARO MANUAL. AF_08/2019</t>
  </si>
  <si>
    <t>0,0009000</t>
  </si>
  <si>
    <t>426,67</t>
  </si>
  <si>
    <t>2559</t>
  </si>
  <si>
    <t>CONDULETE DE ALUMINIO TIPO C, PARA ELETRODUTO ROSCAVEL DE 3/4", COM TAMPA CEGA</t>
  </si>
  <si>
    <t>8,69</t>
  </si>
  <si>
    <t>11950</t>
  </si>
  <si>
    <t>BUCHA DE NYLON SEM ABA S6, COM PARAFUSO DE 4,20 X 40 MM EM ACO ZINCADO COM ROSCA SOBERBA, CABECA CHATA E FENDA PHILLIPS</t>
  </si>
  <si>
    <t>0,18</t>
  </si>
  <si>
    <t>0,3434000</t>
  </si>
  <si>
    <t>39598</t>
  </si>
  <si>
    <t>1,0500000</t>
  </si>
  <si>
    <t>1,05</t>
  </si>
  <si>
    <t>0,0169000</t>
  </si>
  <si>
    <t>39599</t>
  </si>
  <si>
    <t>CABO DE PAR TRANCADO UTP, 4 PARES, CATEGORIA 6</t>
  </si>
  <si>
    <t>1,58</t>
  </si>
  <si>
    <t>39596</t>
  </si>
  <si>
    <t>PATCH PANEL, 24 PORTAS, CATEGORIA 6, COM RACKS DE 19" E 1 U DE ALTURA</t>
  </si>
  <si>
    <t>6,2007000</t>
  </si>
  <si>
    <t>294,85</t>
  </si>
  <si>
    <t>39595</t>
  </si>
  <si>
    <t>PATCH PANEL, 48 PORTAS, CATEGORIA 5E, COM RACKS DE 19" E 2 U DE ALTURA</t>
  </si>
  <si>
    <t>247,50</t>
  </si>
  <si>
    <t>12,3236000</t>
  </si>
  <si>
    <t>38082</t>
  </si>
  <si>
    <t>TOMADA RJ11, 2 FIOS, CONJUNTO MONTADO PARA EMBUTIR 4" X 2" (PLACA + SUPORTE + MODULO)</t>
  </si>
  <si>
    <t>11,70</t>
  </si>
  <si>
    <t>0,2062000</t>
  </si>
  <si>
    <t>38083</t>
  </si>
  <si>
    <t>TOMADA RJ45, 8 FIOS, CAT 5E, CONJUNTO MONTADO PARA EMBUTIR 4" X 2" (PLACA + SUPORTE + MODULO)</t>
  </si>
  <si>
    <t>20,65</t>
  </si>
  <si>
    <t>11250</t>
  </si>
  <si>
    <t>CAIXA DE PASSAGEM/ LUZ / TELEFONIA, DE EMBUTIR,  EM CHAPA DE ACO GALVANIZADO, DIMENSOES 20 X 20 X *12* CM (PADRAO CONCESSIONARIA LOCAL)</t>
  </si>
  <si>
    <t>49,76</t>
  </si>
  <si>
    <t>87367</t>
  </si>
  <si>
    <t>ARGAMASSA TRAÇO 1:1:6 (EM VOLUME DE CIMENTO, CAL E AREIA MÉDIA ÚMIDA) PARA EMBOÇO/MASSA ÚNICA/ASSENTAMENTO DE ALVENARIA DE VEDAÇÃO, PREPARO MANUAL. AF_08/2019</t>
  </si>
  <si>
    <t>0,0043000</t>
  </si>
  <si>
    <t>442,50</t>
  </si>
  <si>
    <t>0,8800000</t>
  </si>
  <si>
    <t>88248</t>
  </si>
  <si>
    <t>AUXILIAR DE ENCANADOR OU BOMBEIRO HIDRÁULICO COM ENCARGOS COMPLEMENTARES</t>
  </si>
  <si>
    <t>0,0700000</t>
  </si>
  <si>
    <t>13,87</t>
  </si>
  <si>
    <t>0,4490000</t>
  </si>
  <si>
    <t>4823</t>
  </si>
  <si>
    <t>MASSA PLASTICA PARA MARMORE/GRANITO</t>
  </si>
  <si>
    <t>0,3844000</t>
  </si>
  <si>
    <t>37,02</t>
  </si>
  <si>
    <t>11795</t>
  </si>
  <si>
    <t>GRANITO PARA BANCADA, POLIDO, TIPO ANDORINHA/ QUARTZ/ CASTELO/ CORUMBA OU OUTROS EQUIVALENTES DA REGIAO, E=  *2,5* CM</t>
  </si>
  <si>
    <t>0,3770000</t>
  </si>
  <si>
    <t>483,01</t>
  </si>
  <si>
    <t>37329</t>
  </si>
  <si>
    <t>REJUNTE EPOXI, QUALQUER COR</t>
  </si>
  <si>
    <t>0,0154000</t>
  </si>
  <si>
    <t>80,38</t>
  </si>
  <si>
    <t>37590</t>
  </si>
  <si>
    <t>SUPORTE MAO-FRANCESA EM ACO, ABAS IGUAIS 30 CM, CAPACIDADE MINIMA 60 KG, BRANCO</t>
  </si>
  <si>
    <t>9,86</t>
  </si>
  <si>
    <t>88274</t>
  </si>
  <si>
    <t>MARMORISTA/GRANITEIRO COM ENCARGOS COMPLEMENTARES</t>
  </si>
  <si>
    <t>1,9209000</t>
  </si>
  <si>
    <t>17,98</t>
  </si>
  <si>
    <t>0,9811000</t>
  </si>
  <si>
    <t>0,5271000</t>
  </si>
  <si>
    <t>20269</t>
  </si>
  <si>
    <t>LAVATORIO/CUBA DE EMBUTIR OVAL LOUCA BRANCA SEM LADRAO *50 X 35* CM</t>
  </si>
  <si>
    <t>69,92</t>
  </si>
  <si>
    <t>0,8458000</t>
  </si>
  <si>
    <t>0,2665000</t>
  </si>
  <si>
    <t>3146</t>
  </si>
  <si>
    <t>FITA VEDA ROSCA EM ROLOS DE 18 MM X 10 M (L X C)</t>
  </si>
  <si>
    <t>0,0210000</t>
  </si>
  <si>
    <t>4,24</t>
  </si>
  <si>
    <t>36791</t>
  </si>
  <si>
    <t>TORNEIRA CROMADA DE MESA PARA LAVATORIO, BICA ALTA (REF 1195)</t>
  </si>
  <si>
    <t>82,57</t>
  </si>
  <si>
    <t>0,0960000</t>
  </si>
  <si>
    <t>0,0303000</t>
  </si>
  <si>
    <t>3148</t>
  </si>
  <si>
    <t>FITA VEDA ROSCA EM ROLOS DE 18 MM X 50 M (L X C)</t>
  </si>
  <si>
    <t>0,0190000</t>
  </si>
  <si>
    <t>15,63</t>
  </si>
  <si>
    <t>10228</t>
  </si>
  <si>
    <t>VALVULA DE DESCARGA METALICA, BASE 1 1/2 " E ACABAMENTO METALICO CROMADO</t>
  </si>
  <si>
    <t>159,09</t>
  </si>
  <si>
    <t>0,7890000</t>
  </si>
  <si>
    <t>122</t>
  </si>
  <si>
    <t>ADESIVO PLASTICO PARA PVC, FRASCO COM 850 GR</t>
  </si>
  <si>
    <t>0,0363000</t>
  </si>
  <si>
    <t>82,65</t>
  </si>
  <si>
    <t>9836</t>
  </si>
  <si>
    <t>TUBO PVC  SERIE NORMAL, DN 100 MM, PARA ESGOTO  PREDIAL (NBR 5688)</t>
  </si>
  <si>
    <t>10,49</t>
  </si>
  <si>
    <t>20083</t>
  </si>
  <si>
    <t>SOLUCAO LIMPADORA PARA PVC, FRASCO COM 1000 CM3</t>
  </si>
  <si>
    <t>0,0593000</t>
  </si>
  <si>
    <t>71,78</t>
  </si>
  <si>
    <t>38383</t>
  </si>
  <si>
    <t>LIXA D'AGUA EM FOLHA, GRAO 100</t>
  </si>
  <si>
    <t>0,7400000</t>
  </si>
  <si>
    <t>0,0108000</t>
  </si>
  <si>
    <t>9838</t>
  </si>
  <si>
    <t>TUBO PVC SERIE NORMAL, DN 50 MM, PARA ESGOTO PREDIAL (NBR 5688)</t>
  </si>
  <si>
    <t>6,44</t>
  </si>
  <si>
    <t>0,0163000</t>
  </si>
  <si>
    <t>0,1270000</t>
  </si>
  <si>
    <t>0,3800000</t>
  </si>
  <si>
    <t>301</t>
  </si>
  <si>
    <t>ANEL BORRACHA PARA TUBO ESGOTO PREDIAL, DN 100 MM (NBR 5688)</t>
  </si>
  <si>
    <t>3,63</t>
  </si>
  <si>
    <t>20078</t>
  </si>
  <si>
    <t>PASTA LUBRIFICANTE PARA TUBOS E CONEXOES COM JUNTA ELASTICA (USO EM PVC, ACO, POLIETILENO E OUTROS) ( DE *400* G)</t>
  </si>
  <si>
    <t>0,0920000</t>
  </si>
  <si>
    <t>30,26</t>
  </si>
  <si>
    <t>20144</t>
  </si>
  <si>
    <t>JUNCAO SIMPLES, PVC SERIE R, DN 100 X 100 MM, PARA ESGOTO PREDIAL</t>
  </si>
  <si>
    <t>42,06</t>
  </si>
  <si>
    <t>0,1850000</t>
  </si>
  <si>
    <t>296</t>
  </si>
  <si>
    <t>ANEL BORRACHA PARA TUBO ESGOTO PREDIAL DN 50 MM (NBR 5688)</t>
  </si>
  <si>
    <t>3526</t>
  </si>
  <si>
    <t>JOELHO PVC, SOLDAVEL, PB, 90 GRAUS, DN 50 MM, PARA ESGOTO PREDIAL</t>
  </si>
  <si>
    <t>1,80</t>
  </si>
  <si>
    <t>0,1300000</t>
  </si>
  <si>
    <t>3520</t>
  </si>
  <si>
    <t>JOELHO PVC, SOLDAVEL, PB, 90 GRAUS, DN 100 MM, PARA ESGOTO PREDIAL</t>
  </si>
  <si>
    <t>5,96</t>
  </si>
  <si>
    <t>0,0460000</t>
  </si>
  <si>
    <t>11703</t>
  </si>
  <si>
    <t>PAPELEIRA DE PAREDE EM METAL CROMADO SEM TAMPA</t>
  </si>
  <si>
    <t>23,16</t>
  </si>
  <si>
    <t>0,3162000</t>
  </si>
  <si>
    <t>0,0996000</t>
  </si>
  <si>
    <t>11757</t>
  </si>
  <si>
    <t>SABONETEIRA DE PAREDE EM METAL CROMADO</t>
  </si>
  <si>
    <t>22,58</t>
  </si>
  <si>
    <t>4384</t>
  </si>
  <si>
    <t>PARAFUSO NIQUELADO COM ACABAMENTO CROMADO PARA FIXAR PECA SANITARIA, INCLUI PORCA CEGA, ARRUELA E BUCHA DE NYLON TAMANHO S-10</t>
  </si>
  <si>
    <t>15,58</t>
  </si>
  <si>
    <t>6138</t>
  </si>
  <si>
    <t>VEDACAO PVC, 100 MM, PARA SAIDA VASO SANITARIO</t>
  </si>
  <si>
    <t>1,83</t>
  </si>
  <si>
    <t>36520</t>
  </si>
  <si>
    <t>BACIA SANITARIA (VASO) CONVENCIONAL PARA PCD SEM FURO FRONTAL, DE LOUCA BRANCA, SEM ASSENTO</t>
  </si>
  <si>
    <t>543,05</t>
  </si>
  <si>
    <t>0,0881000</t>
  </si>
  <si>
    <t>1,1540000</t>
  </si>
  <si>
    <t>0,5565000</t>
  </si>
  <si>
    <t>UM</t>
  </si>
  <si>
    <t>6142</t>
  </si>
  <si>
    <t>CONJUNTO DE LIGACAO PARA BACIA SANITARIA AJUSTAVEL, EM PLASTICO BRANCO, COM TUBO, CANOPLA E ESPUDE</t>
  </si>
  <si>
    <t>6,61</t>
  </si>
  <si>
    <t>95469</t>
  </si>
  <si>
    <t>VASO SANITARIO SIFONADO CONVENCIONAL COM  LOUÇA BRANCA - FORNECIMENTO E INSTALAÇÃO. AF_01/2020</t>
  </si>
  <si>
    <t>162,92</t>
  </si>
  <si>
    <t>39413</t>
  </si>
  <si>
    <t>CHAPA DE GESSO ACARTONADO, STANDARD (ST), COR BRANCA, E = 12,5 MM, 1200 X 2400 MM (L X C)</t>
  </si>
  <si>
    <t>19,97</t>
  </si>
  <si>
    <t>39427</t>
  </si>
  <si>
    <t>PERFIL CANALETA, FORMATO C, EM ACO ZINCADO, PARA ESTRUTURA FORRO DRYWALL, E = 0,5 MM, *46 X 18* (L X H), COMPRIMENTO 3 M</t>
  </si>
  <si>
    <t>3,93</t>
  </si>
  <si>
    <t>39430</t>
  </si>
  <si>
    <t>PENDURAL OU PRESILHA REGULADORA, EM ACO GALVANIZADO, COM CORPO, MOLA E REBITE, PARA PERFIL TIPO CANALETA DE ESTRUTURA EM FORROS DRYWALL</t>
  </si>
  <si>
    <t>1,48</t>
  </si>
  <si>
    <t>39432</t>
  </si>
  <si>
    <t>FITA DE PAPEL REFORCADA COM LAMINA DE METAL PARA REFORCO DE CANTOS DE CHAPA DE GESSO PARA DRYWALL</t>
  </si>
  <si>
    <t>2,96</t>
  </si>
  <si>
    <t>39434</t>
  </si>
  <si>
    <t>MASSA DE REJUNTE EM PO PARA DRYWALL, A BASE DE GESSO, SECAGEM RAPIDA, PARA TRATAMENTO DE JUNTAS DE CHAPA DE GESSO (COM ADICAO DE AGUA)</t>
  </si>
  <si>
    <t>39435</t>
  </si>
  <si>
    <t>PARAFUSO DRY WALL, EM ACO FOSFATIZADO, CABECA TROMBETA E PONTA AGULHA (TA), COMPRIMENTO 25 MM</t>
  </si>
  <si>
    <t>39443</t>
  </si>
  <si>
    <t>PARAFUSO DRY WALL, EM ACO ZINCADO, CABECA LENTILHA E PONTA BROCA (LB), LARGURA 4,2 MM, COMPRIMENTO 13 MM</t>
  </si>
  <si>
    <t>0,16</t>
  </si>
  <si>
    <t>40547</t>
  </si>
  <si>
    <t>PARAFUSO ZINCADO, AUTOBROCANTE, FLANGEADO, 4,2 MM X 19 MM</t>
  </si>
  <si>
    <t>0,0132000</t>
  </si>
  <si>
    <t>18,93</t>
  </si>
  <si>
    <t>43131</t>
  </si>
  <si>
    <t>ARAME GALVANIZADO 6 BWG, D = 5,16 MM (0,157 KG/M), OU 8 BWG, D = 4,19 MM (0,101 KG/M), OU 10 BWG, D = 3,40 MM (0,0713 KG/M)</t>
  </si>
  <si>
    <t>0,0426000</t>
  </si>
  <si>
    <t>16,14</t>
  </si>
  <si>
    <t>88278</t>
  </si>
  <si>
    <t>MONTADOR DE ESTRUTURA METÁLICA COM ENCARGOS COMPLEMENTARES</t>
  </si>
  <si>
    <t>12,82</t>
  </si>
  <si>
    <t>1380</t>
  </si>
  <si>
    <t>CIMENTO BRANCO</t>
  </si>
  <si>
    <t>2,93</t>
  </si>
  <si>
    <t>25976</t>
  </si>
  <si>
    <t>DIVISORIA EM GRANITO, COM DUAS FACES POLIDAS, TIPO ANDORINHA/ QUARTZ/ CASTELO/ CORUMBA OU OUTROS EQUIVALENTES DA REGIAO, E=  *3,0* CM</t>
  </si>
  <si>
    <t>535,34</t>
  </si>
  <si>
    <t>4,8000000</t>
  </si>
  <si>
    <t>2,3000000</t>
  </si>
  <si>
    <t>88631</t>
  </si>
  <si>
    <t>ARGAMASSA TRAÇO 1:4 (EM VOLUME DE CIMENTO E AREIA MÉDIA ÚMIDA), PREPARO MANUAL. AF_08/2019</t>
  </si>
  <si>
    <t>0,0033000</t>
  </si>
  <si>
    <t>381,86</t>
  </si>
  <si>
    <t>91946</t>
  </si>
  <si>
    <t>SUPORTE PARAFUSADO COM PLACA DE ENCAIXE 4" X 2" MÉDIO (1,30 M DO PISO) PARA PONTO ELÉTRICO - FORNECIMENTO E INSTALAÇÃO. AF_12/2015</t>
  </si>
  <si>
    <t>4,82</t>
  </si>
  <si>
    <t>91952</t>
  </si>
  <si>
    <t>INTERRUPTOR SIMPLES (1 MÓDULO), 10A/250V, SEM SUPORTE E SEM PLACA - FORNECIMENTO E INSTALAÇÃO. AF_12/2015</t>
  </si>
  <si>
    <t>11,32</t>
  </si>
  <si>
    <t>91958</t>
  </si>
  <si>
    <t>INTERRUPTOR SIMPLES (2 MÓDULOS), 10A/250V, SEM SUPORTE E SEM PLACA - FORNECIMENTO E INSTALAÇÃO. AF_12/2015</t>
  </si>
  <si>
    <t>20,68</t>
  </si>
  <si>
    <t>1570</t>
  </si>
  <si>
    <t>TERMINAL A COMPRESSAO EM COBRE ESTANHADO PARA CABO 2,5 MM2, 1 FURO E 1 COMPRESSAO, PARA PARAFUSO DE FIXACAO M5</t>
  </si>
  <si>
    <t>0,69</t>
  </si>
  <si>
    <t>34653</t>
  </si>
  <si>
    <t>DISJUNTOR TIPO DIN/IEC, MONOPOLAR DE 6  ATE  32A</t>
  </si>
  <si>
    <t>7,54</t>
  </si>
  <si>
    <t>0,0350000</t>
  </si>
  <si>
    <t>1571</t>
  </si>
  <si>
    <t>TERMINAL A COMPRESSAO EM COBRE ESTANHADO PARA CABO 4 MM2, 1 FURO E 1 COMPRESSAO, PARA PARAFUSO DE FIXACAO M5</t>
  </si>
  <si>
    <t>0,90</t>
  </si>
  <si>
    <t>0,0660000</t>
  </si>
  <si>
    <t>1573</t>
  </si>
  <si>
    <t>TERMINAL A COMPRESSAO EM COBRE ESTANHADO PARA CABO 6 MM2, 1 FURO E 1 COMPRESSAO, PARA PARAFUSO DE FIXACAO M6</t>
  </si>
  <si>
    <t>1,08</t>
  </si>
  <si>
    <t>0,0910000</t>
  </si>
  <si>
    <t>34616</t>
  </si>
  <si>
    <t>DISJUNTOR TIPO DIN/IEC, BIPOLAR DE 6 ATE 32A</t>
  </si>
  <si>
    <t>43,24</t>
  </si>
  <si>
    <t>0,1330000</t>
  </si>
  <si>
    <t>1575</t>
  </si>
  <si>
    <t>TERMINAL A COMPRESSAO EM COBRE ESTANHADO PARA CABO 16 MM2, 1 FURO E 1 COMPRESSAO, PARA PARAFUSO DE FIXACAO M6</t>
  </si>
  <si>
    <t>3,0000000</t>
  </si>
  <si>
    <t>1,38</t>
  </si>
  <si>
    <t>34709</t>
  </si>
  <si>
    <t>DISJUNTOR TIPO DIN/IEC, TRIPOLAR DE 10 ATE 50A</t>
  </si>
  <si>
    <t>52,98</t>
  </si>
  <si>
    <t>0,5680000</t>
  </si>
  <si>
    <t>0,1050000</t>
  </si>
  <si>
    <t>0,1990000</t>
  </si>
  <si>
    <t>1873</t>
  </si>
  <si>
    <t>CAIXA DE PASSAGEM, EM PVC, DE 4" X 4", PARA ELETRODUTO FLEXIVEL CORRUGADO</t>
  </si>
  <si>
    <t>0,1660000</t>
  </si>
  <si>
    <t>0,0012000</t>
  </si>
  <si>
    <t>13393</t>
  </si>
  <si>
    <t>QUADRO DE DISTRIBUICAO COM BARRAMENTO TRIFASICO, DE EMBUTIR, EM CHAPA DE ACO GALVANIZADO, PARA 12 DISJUNTORES DIN, 100 A</t>
  </si>
  <si>
    <t>291,10</t>
  </si>
  <si>
    <t>12041</t>
  </si>
  <si>
    <t>QUADRO DE DISTRIBUICAO COM BARRAMENTO TRIFASICO, DE EMBUTIR, EM CHAPA DE ACO GALVANIZADO, PARA 30 DISJUNTORES DIN, 150 A</t>
  </si>
  <si>
    <t>491,65</t>
  </si>
  <si>
    <t>3,5000000</t>
  </si>
  <si>
    <t>2683</t>
  </si>
  <si>
    <t>ELETRODUTO DE PVC RIGIDO ROSCAVEL DE 4 ", SEM LUVA</t>
  </si>
  <si>
    <t>26,83</t>
  </si>
  <si>
    <t>0,2130000</t>
  </si>
  <si>
    <t>12042</t>
  </si>
  <si>
    <t>QUADRO DE DISTRIBUICAO COM BARRAMENTO TRIFASICO, DE EMBUTIR, EM CHAPA DE ACO GALVANIZADO, PARA 40 DISJUNTORES DIN, 100 A</t>
  </si>
  <si>
    <t>721,43</t>
  </si>
  <si>
    <t>4,0000000</t>
  </si>
  <si>
    <t>37586</t>
  </si>
  <si>
    <t>PINO DE ACO COM ARRUELA CONICA, DIAMETRO ARRUELA = *23* MM E COMP HASTE = *27* MM (ACAO INDIRETA)</t>
  </si>
  <si>
    <t>0,0290000</t>
  </si>
  <si>
    <t>39,70</t>
  </si>
  <si>
    <t>39419</t>
  </si>
  <si>
    <t>PERFIL GUIA, FORMATO U, EM ACO ZINCADO, PARA ESTRUTURA PAREDE DRYWALL, E = 0,5 MM, 70 X 3000 MM (L X C)</t>
  </si>
  <si>
    <t>0,9093000</t>
  </si>
  <si>
    <t>5,35</t>
  </si>
  <si>
    <t>39422</t>
  </si>
  <si>
    <t>PERFIL MONTANTE, FORMATO C, EM ACO ZINCADO, PARA ESTRUTURA PAREDE DRYWALL, E = 0,5 MM, 70 X 3000 MM (L X C)</t>
  </si>
  <si>
    <t>6,07</t>
  </si>
  <si>
    <t>39431</t>
  </si>
  <si>
    <t>FITA DE PAPEL MICROPERFURADO, 50 X 150 MM, PARA TRATAMENTO DE JUNTAS DE CHAPA DE GESSO PARA DRYWALL</t>
  </si>
  <si>
    <t>0,23</t>
  </si>
  <si>
    <t>0,9149000</t>
  </si>
  <si>
    <t>87313</t>
  </si>
  <si>
    <t>ARGAMASSA TRAÇO 1:3 (EM VOLUME DE CIMENTO E AREIA GROSSA ÚMIDA) PARA CHAPISCO CONVENCIONAL, PREPARO MECÂNICO COM BETONEIRA 400 L. AF_08/2019</t>
  </si>
  <si>
    <t>0,0042000</t>
  </si>
  <si>
    <t>330,11</t>
  </si>
  <si>
    <t>0,0070000</t>
  </si>
  <si>
    <t>1,5000000</t>
  </si>
  <si>
    <t>10507</t>
  </si>
  <si>
    <t>VIDRO TEMPERADO INCOLOR E = 10 MM, SEM COLOCACAO</t>
  </si>
  <si>
    <t>7345</t>
  </si>
  <si>
    <t>!EM PROCESSO DE DESATIVACAO! TINTA LATEX PVA PREMIUM, COR BRANCA</t>
  </si>
  <si>
    <t>0,1700000</t>
  </si>
  <si>
    <t>0,0620000</t>
  </si>
  <si>
    <t>86884</t>
  </si>
  <si>
    <t>ENGATE FLEXÍVEL EM PLÁSTICO BRANCO, 1/2 X 30CM - FORNECIMENTO E INSTALAÇÃO. AF_01/2020</t>
  </si>
  <si>
    <t>7,08</t>
  </si>
  <si>
    <t>86889</t>
  </si>
  <si>
    <t>BANCADA DE GRANITO CINZA POLIDO, DE 1,50 X 0,60 M, PARA PIA DE COZINHA - FORNECIMENTO E INSTALAÇÃO. AF_01/2020</t>
  </si>
  <si>
    <t>574,45</t>
  </si>
  <si>
    <t>86911</t>
  </si>
  <si>
    <t>TORNEIRA CROMADA LONGA, DE PAREDE, 1/2 OU 3/4, PARA PIA DE COZINHA, PADRÃO POPULAR - FORNECIMENTO E INSTALAÇÃO. AF_01/2020</t>
  </si>
  <si>
    <t>42,42</t>
  </si>
  <si>
    <t>86935</t>
  </si>
  <si>
    <t>CUBA DE EMBUTIR DE AÇO INOXIDÁVEL MÉDIA, INCLUSO VÁLVULA TIPO AMERICANA EM METAL CROMADO E SIFÃO FLEXÍVEL EM PVC - FORNECIMENTO E INSTALAÇÃO. AF_01/2020</t>
  </si>
  <si>
    <t>219,72</t>
  </si>
  <si>
    <t>0,5228000</t>
  </si>
  <si>
    <t>1,0050000</t>
  </si>
  <si>
    <t>0,0211000</t>
  </si>
  <si>
    <t>37591</t>
  </si>
  <si>
    <t>SUPORTE MAO-FRANCESA EM ACO, ABAS IGUAIS 40 CM, CAPACIDADE MINIMA 70 KG, BRANCO</t>
  </si>
  <si>
    <t>11,85</t>
  </si>
  <si>
    <t>1,4944000</t>
  </si>
  <si>
    <t>0,9834000</t>
  </si>
  <si>
    <t>1368</t>
  </si>
  <si>
    <t>CHUVEIRO COMUM EM PLASTICO BRANCO, COM CANO, 3 TEMPERATURAS, 5500 W (110/220 V)</t>
  </si>
  <si>
    <t>63,75</t>
  </si>
  <si>
    <t>0,4467000</t>
  </si>
  <si>
    <t>0,1407000</t>
  </si>
  <si>
    <t>0,0130000</t>
  </si>
  <si>
    <t>6006</t>
  </si>
  <si>
    <t>REGISTRO GAVETA COM ACABAMENTO E CANOPLA CROMADOS, SIMPLES, BITOLA 1/2 " (REF 1509)</t>
  </si>
  <si>
    <t>43,43</t>
  </si>
  <si>
    <t>0,2300000</t>
  </si>
  <si>
    <t>6021</t>
  </si>
  <si>
    <t>REGISTRO PRESSAO COM ACABAMENTO E CANOPLA CROMADA, SIMPLES, BITOLA 1/2 " (REF 1416)</t>
  </si>
  <si>
    <t>44,71</t>
  </si>
  <si>
    <t>0,0332000</t>
  </si>
  <si>
    <t>6136</t>
  </si>
  <si>
    <t>SIFAO EM METAL CROMADO PARA PIA OU LAVATORIO, 1 X 1.1/2 "</t>
  </si>
  <si>
    <t>149,69</t>
  </si>
  <si>
    <t>0,2734000</t>
  </si>
  <si>
    <t>0,0862000</t>
  </si>
  <si>
    <t>0,0480000</t>
  </si>
  <si>
    <t>37588</t>
  </si>
  <si>
    <t>VALVULA EM METAL CROMADO PARA TANQUE, 1.1/2 " SEM LADRAO</t>
  </si>
  <si>
    <t>21,69</t>
  </si>
  <si>
    <t>11684</t>
  </si>
  <si>
    <t>ENGATE / RABICHO FLEXIVEL INOX 1/2 " X 40 CM</t>
  </si>
  <si>
    <t>37,57</t>
  </si>
  <si>
    <t>0,1525000</t>
  </si>
  <si>
    <t>0,0481000</t>
  </si>
  <si>
    <t>0,0148000</t>
  </si>
  <si>
    <t>5103</t>
  </si>
  <si>
    <t>CAIXA SIFONADA PVC, 100 X 100 X 50 MM, COM GRELHA REDONDA BRANCA</t>
  </si>
  <si>
    <t>11,59</t>
  </si>
  <si>
    <t>0,0225000</t>
  </si>
  <si>
    <t>0,0640000</t>
  </si>
  <si>
    <t>0,7850000</t>
  </si>
  <si>
    <t>0,0094000</t>
  </si>
  <si>
    <t>1743</t>
  </si>
  <si>
    <t>CUBA ACO INOX (AISI 304) DE EMBUTIR COM VALVULA 3 1/2 ", DE *46 X 30 X 12* CM</t>
  </si>
  <si>
    <t>132,77</t>
  </si>
  <si>
    <t>0,2974000</t>
  </si>
  <si>
    <t>0,4774000</t>
  </si>
  <si>
    <t>0,1504000</t>
  </si>
  <si>
    <t>11772</t>
  </si>
  <si>
    <t>TORNEIRA CROMADA DE MESA PARA COZINHA BICA MOVEL COM AREJADOR 1/2 " OU 3/4 " (REF 1167)</t>
  </si>
  <si>
    <t>96,78</t>
  </si>
  <si>
    <t>0,1667000</t>
  </si>
  <si>
    <t>0,0525000</t>
  </si>
  <si>
    <t>95471</t>
  </si>
  <si>
    <t>VASO SANITARIO SIFONADO CONVENCIONAL PARA PCD SEM FURO FRONTAL COM  LOUÇA BRANCA SEM ASSENTO -  FORNECIMENTO E INSTALAÇÃO. AF_01/2020</t>
  </si>
  <si>
    <t>6157</t>
  </si>
  <si>
    <t>VALVULA EM METAL CROMADO PARA PIA AMERICANA 3.1/2 X 1.1/2 "</t>
  </si>
  <si>
    <t>51,12</t>
  </si>
  <si>
    <t>4930</t>
  </si>
  <si>
    <t>PORTA DE ABRIR EM GRADIL COM BARRA CHATA 3 CM X 1/4", COM REQUADRO E GUARNICAO - COMPLETO - ACABAMENTO NATURAL</t>
  </si>
  <si>
    <t>463,18</t>
  </si>
  <si>
    <t>0,4570000</t>
  </si>
  <si>
    <t>0,2290000</t>
  </si>
  <si>
    <t>88627</t>
  </si>
  <si>
    <t>ARGAMASSA TRAÇO 1:0,5:4,5 (EM VOLUME DE CIMENTO, CAL E AREIA MÉDIA ÚMIDA) PARA ASSENTAMENTO DE ALVENARIA, PREPARO MANUAL. AF_08/2019</t>
  </si>
  <si>
    <t>415,26</t>
  </si>
  <si>
    <t>0,0376000</t>
  </si>
  <si>
    <t>0,4700000</t>
  </si>
  <si>
    <t>0,1710000</t>
  </si>
  <si>
    <t>0,4900000</t>
  </si>
  <si>
    <t>0,2900000</t>
  </si>
  <si>
    <t>4791</t>
  </si>
  <si>
    <t>ADESIVO ACRILICO/COLA DE CONTATO</t>
  </si>
  <si>
    <t>0,0950000</t>
  </si>
  <si>
    <t>12,52</t>
  </si>
  <si>
    <t>4792</t>
  </si>
  <si>
    <t>PLACA VINILICA SEMIFLEXIVEL PARA PISOS, E = 3,2 MM, 30 X 30 CM (SEM COLOCACAO)</t>
  </si>
  <si>
    <t>0,2610000</t>
  </si>
  <si>
    <t>95276</t>
  </si>
  <si>
    <t>POLIDORA DE PISO (POLITRIZ), PESO DE 100KG, DIÂMETRO 450 MM, MOTOR ELÉTRICO, POTÊNCIA 4 HP - CHP DIURNO. AF_09/2016</t>
  </si>
  <si>
    <t>0,0250000</t>
  </si>
  <si>
    <t>2,83</t>
  </si>
  <si>
    <t>95277</t>
  </si>
  <si>
    <t>POLIDORA DE PISO (POLITRIZ), PESO DE 100KG, DIÂMETRO 450 MM, MOTOR ELÉTRICO, POTÊNCIA 4 HP - CHI DIURNO. AF_09/2016</t>
  </si>
  <si>
    <t>0,2360000</t>
  </si>
  <si>
    <t>7334</t>
  </si>
  <si>
    <t>ADITIVO ADESIVO LIQUIDO PARA ARGAMASSAS DE REVESTIMENTOS CIMENTICIOS</t>
  </si>
  <si>
    <t>0,4350000</t>
  </si>
  <si>
    <t>9,95</t>
  </si>
  <si>
    <t>87301</t>
  </si>
  <si>
    <t>ARGAMASSA TRAÇO 1:4 (EM VOLUME DE CIMENTO E AREIA MÉDIA ÚMIDA) PARA CONTRAPISO, PREPARO MECÂNICO COM BETONEIRA 400 L. AF_08/2019</t>
  </si>
  <si>
    <t>0,0310000</t>
  </si>
  <si>
    <t>375,39</t>
  </si>
  <si>
    <t>1,0700000</t>
  </si>
  <si>
    <t>0,4400000</t>
  </si>
  <si>
    <t>979</t>
  </si>
  <si>
    <t>CABO DE COBRE, FLEXIVEL, CLASSE 4 OU 5, ISOLACAO EM PVC/A, ANTICHAMA BWF-B, 1 CONDUTOR, 450/750 V, SECAO NOMINAL 16 MM2</t>
  </si>
  <si>
    <t>1,0270000</t>
  </si>
  <si>
    <t>9,61</t>
  </si>
  <si>
    <t>39233</t>
  </si>
  <si>
    <t>CABO DE COBRE, FLEXIVEL, CLASSE 4 OU 5, ISOLACAO EM PVC/A, ANTICHAMA BWF-B, 1 CONDUTOR, 450/750 V, SECAO NOMINAL 35 MM2</t>
  </si>
  <si>
    <t>1,0150000</t>
  </si>
  <si>
    <t>0,0730000</t>
  </si>
  <si>
    <t>92002</t>
  </si>
  <si>
    <t>TOMADA MÉDIA DE EMBUTIR (2 MÓDULOS), 2P+T 10 A, SEM SUPORTE E SEM PLACA - FORNECIMENTO E INSTALAÇÃO. AF_12/2015</t>
  </si>
  <si>
    <t>27,19</t>
  </si>
  <si>
    <t>92006</t>
  </si>
  <si>
    <t>TOMADA BAIXA DE EMBUTIR (2 MÓDULOS), 2P+T 10 A, SEM SUPORTE E SEM PLACA - FORNECIMENTO E INSTALAÇÃO. AF_12/2015</t>
  </si>
  <si>
    <t>22,41</t>
  </si>
  <si>
    <t>12038</t>
  </si>
  <si>
    <t>QUADRO DE DISTRIBUICAO COM BARRAMENTO TRIFASICO, DE SOBREPOR, EM CHAPA DE ACO GALVANIZADO, PARA 18 DISJUNTORES DIN, 100 A</t>
  </si>
  <si>
    <t>377,57</t>
  </si>
  <si>
    <t>2680</t>
  </si>
  <si>
    <t>ELETRODUTO DE PVC RIGIDO ROSCAVEL DE 1 1/2 ", SEM LUVA</t>
  </si>
  <si>
    <t>5,69</t>
  </si>
  <si>
    <t>0,1120000</t>
  </si>
  <si>
    <t>2688</t>
  </si>
  <si>
    <t>ELETRODUTO PVC FLEXIVEL CORRUGADO, COR AMARELA, DE 25 MM</t>
  </si>
  <si>
    <t>1,31</t>
  </si>
  <si>
    <t>0,0018000</t>
  </si>
  <si>
    <t>0,0870000</t>
  </si>
  <si>
    <t>3,9560000</t>
  </si>
  <si>
    <t>135</t>
  </si>
  <si>
    <t>ARGAMASSA POLIMERICA IMPERMEABILIZANTE SEMIFLEXIVEL, BICOMPONENTE (MEMBRANA IMPERMEABILIZANTE ACRILICA)</t>
  </si>
  <si>
    <t>2,31</t>
  </si>
  <si>
    <t>88243</t>
  </si>
  <si>
    <t>AJUDANTE ESPECIALIZADO COM ENCARGOS COMPLEMENTARES</t>
  </si>
  <si>
    <t>0,1080000</t>
  </si>
  <si>
    <t>17,15</t>
  </si>
  <si>
    <t>88270</t>
  </si>
  <si>
    <t>IMPERMEABILIZADOR COM ENCARGOS COMPLEMENTARES</t>
  </si>
  <si>
    <t>0,5320000</t>
  </si>
  <si>
    <t>18,52</t>
  </si>
  <si>
    <t>2392</t>
  </si>
  <si>
    <t>DISJUNTOR TIPO NEMA, TRIPOLAR 10  ATE  50A, TENSAO MAXIMA DE 415 V</t>
  </si>
  <si>
    <t>2388</t>
  </si>
  <si>
    <t>DISJUNTOR TIPO NEMA, BIPOLAR 10  ATE  50 A, TENSAO MAXIMA 415 V</t>
  </si>
  <si>
    <t>0,1500000</t>
  </si>
  <si>
    <t>2373</t>
  </si>
  <si>
    <t>DISJUNTOR TIPO NEMA, TRIPOLAR 60 ATE 100 A, TENSAO MAXIMA DE 415 V</t>
  </si>
  <si>
    <t>2370</t>
  </si>
  <si>
    <t>DISJUNTOR TIPO NEMA, MONOPOLAR 10 ATE 30A, TENSAO MAXIMA DE 240 V</t>
  </si>
  <si>
    <t>0,1250000</t>
  </si>
  <si>
    <t>2377</t>
  </si>
  <si>
    <t>DISJUNTOR TERMOMAGNETICO TRIPOLAR 200 A / 600 V, TIPO FXD / ICC - 35 KA</t>
  </si>
  <si>
    <t>0,0365000</t>
  </si>
  <si>
    <t>4351</t>
  </si>
  <si>
    <t>PARAFUSO NIQUELADO 3 1/2" COM ACABAMENTO CROMADO PARA FIXAR PECA SANITARIA, INCLUI PORCA CEGA, ARRUELA E BUCHA DE NYLON TAMANHO S-8</t>
  </si>
  <si>
    <t>11,55</t>
  </si>
  <si>
    <t>10432</t>
  </si>
  <si>
    <t>MICTORIO SIFONADO LOUCA BRANCA SEM COMPLEMENTOS</t>
  </si>
  <si>
    <t>247,80</t>
  </si>
  <si>
    <t>1,0090000</t>
  </si>
  <si>
    <t>0,3179000</t>
  </si>
  <si>
    <t>13416</t>
  </si>
  <si>
    <t>TORNEIRA CROMADA DE PAREDE PARA COZINHA SEM AREJADOR, PADRAO POPULAR, 1/2 " OU 3/4 " (REF 1158)</t>
  </si>
  <si>
    <t>39,75</t>
  </si>
  <si>
    <t>0,1164000</t>
  </si>
  <si>
    <t>0,0367000</t>
  </si>
  <si>
    <t>89356</t>
  </si>
  <si>
    <t>TUBO, PVC, SOLDÁVEL, DN 25MM, INSTALADO EM RAMAL OU SUB-RAMAL DE ÁGUA - FORNECIMENTO E INSTALAÇÃO. AF_12/2014</t>
  </si>
  <si>
    <t>0,7940000</t>
  </si>
  <si>
    <t>14,90</t>
  </si>
  <si>
    <t>89362</t>
  </si>
  <si>
    <t>JOELHO 90 GRAUS, PVC, SOLDÁVEL, DN 25MM, INSTALADO EM RAMAL OU SUB-RAMAL DE ÁGUA - FORNECIMENTO E INSTALAÇÃO. AF_12/2014</t>
  </si>
  <si>
    <t>0,6543000</t>
  </si>
  <si>
    <t>6,52</t>
  </si>
  <si>
    <t>89366</t>
  </si>
  <si>
    <t>JOELHO 90 GRAUS COM BUCHA DE LATÃO, PVC, SOLDÁVEL, DN 25MM, X 3/4 INSTALADO EM RAMAL OU SUB-RAMAL DE ÁGUA - FORNECIMENTO E INSTALAÇÃO. AF_12/2014</t>
  </si>
  <si>
    <t>0,1694000</t>
  </si>
  <si>
    <t>11,47</t>
  </si>
  <si>
    <t>89378</t>
  </si>
  <si>
    <t>LUVA, PVC, SOLDÁVEL, DN 25MM, INSTALADO EM RAMAL OU SUB-RAMAL DE ÁGUA - FORNECIMENTO E INSTALAÇÃO. AF_12/2014</t>
  </si>
  <si>
    <t>0,0773000</t>
  </si>
  <si>
    <t>4,97</t>
  </si>
  <si>
    <t>89383</t>
  </si>
  <si>
    <t>ADAPTADOR CURTO COM BOLSA E ROSCA PARA REGISTRO, PVC, SOLDÁVEL, DN 25MM X 3/4, INSTALADO EM RAMAL OU SUB-RAMAL DE ÁGUA - FORNECIMENTO E INSTALAÇÃO. AF_12/2014</t>
  </si>
  <si>
    <t>0,6522000</t>
  </si>
  <si>
    <t>5,05</t>
  </si>
  <si>
    <t>89395</t>
  </si>
  <si>
    <t>TE, PVC, SOLDÁVEL, DN 25MM, INSTALADO EM RAMAL OU SUB-RAMAL DE ÁGUA - FORNECIMENTO E INSTALAÇÃO. AF_12/2014</t>
  </si>
  <si>
    <t>0,3037000</t>
  </si>
  <si>
    <t>9,16</t>
  </si>
  <si>
    <t>89396</t>
  </si>
  <si>
    <t>TÊ COM BUCHA DE LATÃO NA BOLSA CENTRAL, PVC, SOLDÁVEL, DN 25MM X 1/2, INSTALADO EM RAMAL OU SUB-RAMAL DE ÁGUA - FORNECIMENTO E INSTALAÇÃO. AF_12/2014</t>
  </si>
  <si>
    <t>0,0168000</t>
  </si>
  <si>
    <t>89400</t>
  </si>
  <si>
    <t>TÊ DE REDUÇÃO, PVC, SOLDÁVEL, DN 32MM X 25MM, INSTALADO EM RAMAL OU SUB-RAMAL DE ÁGUA - FORNECIMENTO E INSTALAÇÃO. AF_12/2014</t>
  </si>
  <si>
    <t>0,0115000</t>
  </si>
  <si>
    <t>14,72</t>
  </si>
  <si>
    <t>89402</t>
  </si>
  <si>
    <t>TUBO, PVC, SOLDÁVEL, DN 25MM, INSTALADO EM RAMAL DE DISTRIBUIÇÃO DE ÁGUA - FORNECIMENTO E INSTALAÇÃO. AF_12/2014</t>
  </si>
  <si>
    <t>0,0780000</t>
  </si>
  <si>
    <t>6,63</t>
  </si>
  <si>
    <t>89408</t>
  </si>
  <si>
    <t>JOELHO 90 GRAUS, PVC, SOLDÁVEL, DN 25MM, INSTALADO EM RAMAL DE DISTRIBUIÇÃO DE ÁGUA - FORNECIMENTO E INSTALAÇÃO. AF_12/2014</t>
  </si>
  <si>
    <t>0,0076000</t>
  </si>
  <si>
    <t>4,58</t>
  </si>
  <si>
    <t>89424</t>
  </si>
  <si>
    <t>LUVA, PVC, SOLDÁVEL, DN 25MM, INSTALADO EM RAMAL DE DISTRIBUIÇÃO DE ÁGUA - FORNECIMENTO E INSTALAÇÃO. AF_12/2014</t>
  </si>
  <si>
    <t>0,0135000</t>
  </si>
  <si>
    <t>3,67</t>
  </si>
  <si>
    <t>89440</t>
  </si>
  <si>
    <t>TE, PVC, SOLDÁVEL, DN 25MM, INSTALADO EM RAMAL DE DISTRIBUIÇÃO DE ÁGUA - FORNECIMENTO E INSTALAÇÃO. AF_12/2014</t>
  </si>
  <si>
    <t>0,0017000</t>
  </si>
  <si>
    <t>6,57</t>
  </si>
  <si>
    <t>89445</t>
  </si>
  <si>
    <t>TÊ DE REDUÇÃO, PVC, SOLDÁVEL, DN 32MM X 25MM, INSTALADO EM RAMAL DE DISTRIBUIÇÃO DE ÁGUA - FORNECIMENTO E INSTALAÇÃO. AF_12/2014</t>
  </si>
  <si>
    <t>0,0034000</t>
  </si>
  <si>
    <t>11,64</t>
  </si>
  <si>
    <t>89446</t>
  </si>
  <si>
    <t>TUBO, PVC, SOLDÁVEL, DN 25MM, INSTALADO EM PRUMADA DE ÁGUA - FORNECIMENTO E INSTALAÇÃO. AF_12/2014</t>
  </si>
  <si>
    <t>3,49</t>
  </si>
  <si>
    <t>89481</t>
  </si>
  <si>
    <t>JOELHO 90 GRAUS, PVC, SOLDÁVEL, DN 25MM, INSTALADO EM PRUMADA DE ÁGUA - FORNECIMENTO E INSTALAÇÃO. AF_12/2014</t>
  </si>
  <si>
    <t>0,0670000</t>
  </si>
  <si>
    <t>3,60</t>
  </si>
  <si>
    <t>89528</t>
  </si>
  <si>
    <t>LUVA, PVC, SOLDÁVEL, DN 25MM, INSTALADO EM PRUMADA DE ÁGUA - FORNECIMENTO E INSTALAÇÃO. AF_12/2014</t>
  </si>
  <si>
    <t>3,01</t>
  </si>
  <si>
    <t>89532</t>
  </si>
  <si>
    <t>LUVA DE REDUÇÃO, PVC, SOLDÁVEL, DN 32MM X 25MM, INSTALADO EM PRUMADA DE ÁGUA - FORNECIMENTO E INSTALAÇÃO. AF_12/2014</t>
  </si>
  <si>
    <t>0,0461000</t>
  </si>
  <si>
    <t>5,21</t>
  </si>
  <si>
    <t>89622</t>
  </si>
  <si>
    <t>TÊ DE REDUÇÃO, PVC, SOLDÁVEL, DN 32MM X 25MM, INSTALADO EM PRUMADA DE ÁGUA - FORNECIMENTO E INSTALAÇÃO. AF_12/2014</t>
  </si>
  <si>
    <t>10,15</t>
  </si>
  <si>
    <t>89627</t>
  </si>
  <si>
    <t>TÊ DE REDUÇÃO, PVC, SOLDÁVEL, DN 50MM X 25MM, INSTALADO EM PRUMADA DE ÁGUA - FORNECIMENTO E INSTALAÇÃO. AF_12/2014</t>
  </si>
  <si>
    <t>0,0031000</t>
  </si>
  <si>
    <t>15,90</t>
  </si>
  <si>
    <t>90436</t>
  </si>
  <si>
    <t>FURO EM ALVENARIA PARA DIÂMETROS MENORES OU IGUAIS A 40 MM. AF_05/2015</t>
  </si>
  <si>
    <t>0,0083000</t>
  </si>
  <si>
    <t>9,84</t>
  </si>
  <si>
    <t>0,2006000</t>
  </si>
  <si>
    <t>90453</t>
  </si>
  <si>
    <t>PASSANTE TIPO TUBO DE DIÂMETRO MENOR OU IGUAL A 40 MM, FIXADO EM LAJE. AF_05/2015</t>
  </si>
  <si>
    <t>0,0071000</t>
  </si>
  <si>
    <t>1,92</t>
  </si>
  <si>
    <t>91185</t>
  </si>
  <si>
    <t>FIXAÇÃO DE TUBOS HORIZONTAIS DE PVC, CPVC OU COBRE DIÂMETROS MENORES OU IGUAIS A 40 MM COM ABRAÇADEIRA METÁLICA FLEXÍVEL 18 MM, FIXADA DIRETAMENTE NA LAJE. AF_05/2015</t>
  </si>
  <si>
    <t>0,0092000</t>
  </si>
  <si>
    <t>4,95</t>
  </si>
  <si>
    <t>20097</t>
  </si>
  <si>
    <t>CURVA PVC, SERIE R, 87.30 GRAUS, CURTA, 100 MM, PARA ESGOTO PREDIAL (PARA PE-DE-COLUNA)</t>
  </si>
  <si>
    <t>31,38</t>
  </si>
  <si>
    <t>91994</t>
  </si>
  <si>
    <t>TOMADA MÉDIA DE EMBUTIR (1 MÓDULO), 2P+T 10 A, SEM SUPORTE E SEM PLACA - FORNECIMENTO E INSTALAÇÃO. AF_12/2015</t>
  </si>
  <si>
    <t>14,59</t>
  </si>
  <si>
    <t>91991</t>
  </si>
  <si>
    <t>TOMADA ALTA DE EMBUTIR (1 MÓDULO), 2P+T 20 A, SEM SUPORTE E SEM PLACA - FORNECIMENTO E INSTALAÇÃO. AF_12/2015</t>
  </si>
  <si>
    <t>21,99</t>
  </si>
  <si>
    <t>32</t>
  </si>
  <si>
    <t>ACO CA-50, 6,3 MM, VERGALHAO</t>
  </si>
  <si>
    <t>3,7800000</t>
  </si>
  <si>
    <t>6,21</t>
  </si>
  <si>
    <t>0,0110000</t>
  </si>
  <si>
    <t>87447</t>
  </si>
  <si>
    <t>ALVENARIA DE VEDAÇÃO DE BLOCOS VAZADOS DE CONCRETO DE 9X19X39CM (ESPESSURA 9CM) DE PAREDES COM ÁREA LÍQUIDA MENOR QUE 6M² SEM VÃOS E ARGAMASSA DE ASSENTAMENTO COM PREPARO EM BETONEIRA. AF_06/2014</t>
  </si>
  <si>
    <t>1,1500000</t>
  </si>
  <si>
    <t>49,67</t>
  </si>
  <si>
    <t>87545</t>
  </si>
  <si>
    <t>EMBOÇO, PARA RECEBIMENTO DE CERÂMICA, EM ARGAMASSA TRAÇO 1:2:8, PREPARO MECÂNICO COM BETONEIRA 400L, APLICADO MANUALMENTE EM FACES INTERNAS DE PAREDES, PARA AMBIENTE COM ÁREA MENOR QUE 5M2, ESPESSURA DE 10MM, COM EXECUÇÃO DE TALISCAS. AF_06/2014</t>
  </si>
  <si>
    <t>0,9500000</t>
  </si>
  <si>
    <t>87879</t>
  </si>
  <si>
    <t>CHAPISCO APLICADO EM ALVENARIAS E ESTRUTURAS DE CONCRETO INTERNAS, COM COLHER DE PEDREIRO.  ARGAMASSA TRAÇO 1:3 COM PREPARO EM BETONEIRA 400L. AF_06/2014</t>
  </si>
  <si>
    <t>2,72</t>
  </si>
  <si>
    <t>88245</t>
  </si>
  <si>
    <t>ARMADOR COM ENCARGOS COMPLEMENTARES</t>
  </si>
  <si>
    <t>17,68</t>
  </si>
  <si>
    <t>0,9200000</t>
  </si>
  <si>
    <t>92410</t>
  </si>
  <si>
    <t>MONTAGEM E DESMONTAGEM DE FÔRMA DE PILARES RETANGULARES E ESTRUTURAS SIMILARES COM ÁREA MÉDIA DAS SEÇÕES MENOR OU IGUAL A 0,25 M², PÉ-DIREITO SIMPLES, EM MADEIRA SERRADA, 2 UTILIZAÇÕES. AF_12/2015</t>
  </si>
  <si>
    <t>96,90</t>
  </si>
  <si>
    <t>94962</t>
  </si>
  <si>
    <t>CONCRETO MAGRO PARA LASTRO, TRAÇO 1:4,5:4,5 (CIMENTO/ AREIA MÉDIA/ BRITA 1)  - PREPARO MECÂNICO COM BETONEIRA 400 L. AF_07/2016</t>
  </si>
  <si>
    <t>0,0380000</t>
  </si>
  <si>
    <t>255,79</t>
  </si>
  <si>
    <t>94969</t>
  </si>
  <si>
    <t>CONCRETO FCK = 15MPA, TRAÇO 1:3,4:3,5 (CIMENTO/ AREIA MÉDIA/ BRITA 1)  - PREPARO MECÂNICO COM BETONEIRA 600 L. AF_07/2016</t>
  </si>
  <si>
    <t>0,0220000</t>
  </si>
  <si>
    <t>280,22</t>
  </si>
  <si>
    <t>14112</t>
  </si>
  <si>
    <t>TAMPAO FOFO SIMPLES COM BASE, CLASSE A15 CARGA MAX 1,5 T, *400 X 600* MM, REDE TELEFONE</t>
  </si>
  <si>
    <t>207,66</t>
  </si>
  <si>
    <t>87316</t>
  </si>
  <si>
    <t>ARGAMASSA TRAÇO 1:4 (EM VOLUME DE CIMENTO E AREIA GROSSA ÚMIDA) PARA CHAPISCO CONVENCIONAL, PREPARO MECÂNICO COM BETONEIRA 400 L. AF_08/2019</t>
  </si>
  <si>
    <t>0,0045000</t>
  </si>
  <si>
    <t>298,40</t>
  </si>
  <si>
    <t>11190</t>
  </si>
  <si>
    <t>JANELA BASCULANTE, ACO, COM BATENTE/REQUADRO, 60 X 60 CM (SEM VIDROS)</t>
  </si>
  <si>
    <t>2,7780000</t>
  </si>
  <si>
    <t>159,70</t>
  </si>
  <si>
    <t>4,5810000</t>
  </si>
  <si>
    <t>2,2910000</t>
  </si>
  <si>
    <t>11197</t>
  </si>
  <si>
    <t>!EM PROCESSO DE DESATIVACAO! JANELA DE CORRER, ACO, COM BATENTE/REQUADRO DE 6 A 14 CM, SEM DIVISAO, PINT ANTICORROSIVA, PINT ACABAMENTO, COM VIDRO, SEM BANDEIRA, 2 FLS, 120  X 150 CM (A X L)</t>
  </si>
  <si>
    <t>0,5553000</t>
  </si>
  <si>
    <t>853,49</t>
  </si>
  <si>
    <t>1,6970000</t>
  </si>
  <si>
    <t>0,8480000</t>
  </si>
  <si>
    <t>87325</t>
  </si>
  <si>
    <t>ARGAMASSA TRAÇO 1:4 (EM VOLUME DE CIMENTO E AREIA GROSSA ÚMIDA) COM ADIÇÃO DE EMULSÃO POLIMÉRICA PARA CHAPISCO ROLADO, PREPARO MECÂNICO COM BETONEIRA 400 L. AF_08/2019</t>
  </si>
  <si>
    <t>0,0015000</t>
  </si>
  <si>
    <t>2.128,88</t>
  </si>
  <si>
    <t>0,0420000</t>
  </si>
  <si>
    <t>87369</t>
  </si>
  <si>
    <t>ARGAMASSA TRAÇO 1:2:8 (EM VOLUME DE CIMENTO, CAL E AREIA MÉDIA ÚMIDA) PARA EMBOÇO/MASSA ÚNICA/ASSENTAMENTO DE ALVENARIA DE VEDAÇÃO, PREPARO MANUAL. AF_08/2019</t>
  </si>
  <si>
    <t>443,15</t>
  </si>
  <si>
    <t>6085</t>
  </si>
  <si>
    <t>SELADOR ACRILICO PAREDES INTERNAS/EXTERNAS</t>
  </si>
  <si>
    <t>3,89</t>
  </si>
  <si>
    <t>0,0540000</t>
  </si>
  <si>
    <t>0,0140000</t>
  </si>
  <si>
    <t>7348</t>
  </si>
  <si>
    <t>TINTA ACRILICA PREMIUM PARA PISO</t>
  </si>
  <si>
    <t>13,72</t>
  </si>
  <si>
    <t>4274</t>
  </si>
  <si>
    <t>PARA-RAIOS TIPO FRANKLIN 350 MM, EM LATAO CROMADO, DUAS DESCIDAS, PARA PROTECAO DE EDIFICACOES CONTRA DESCARGAS ATMOSFERICAS</t>
  </si>
  <si>
    <t>99,26</t>
  </si>
  <si>
    <t>0,1264000</t>
  </si>
  <si>
    <t>4356</t>
  </si>
  <si>
    <t>PARAFUSO DE ACO ZINCADO COM ROSCA SOBERBA, CABECA CHATA E FENDA SIMPLES, DIAMETRO 4,8 MM, COMPRIMENTO 45 MM</t>
  </si>
  <si>
    <t>7572</t>
  </si>
  <si>
    <t>SUPORTE ISOLADOR REFORCADO DIAMETRO NOMINAL 5/16", COM ROSCA SOBERBA E BUCHA</t>
  </si>
  <si>
    <t>8,57</t>
  </si>
  <si>
    <t>0,3164000</t>
  </si>
  <si>
    <t>863</t>
  </si>
  <si>
    <t>CABO DE COBRE NU 35 MM2 MEIO-DURO</t>
  </si>
  <si>
    <t>20,25</t>
  </si>
  <si>
    <t>0,2533000</t>
  </si>
  <si>
    <t>98463</t>
  </si>
  <si>
    <t>SUPORTE ISOLADOR PARA CORDOALHA DE COBRE - FORNECIMENTO E INSTALAÇÃO. AF_12/2017</t>
  </si>
  <si>
    <t>19,27</t>
  </si>
  <si>
    <t>867</t>
  </si>
  <si>
    <t>CABO DE COBRE NU 50 MM2 MEIO-DURO</t>
  </si>
  <si>
    <t>28,20</t>
  </si>
  <si>
    <t>0,3251000</t>
  </si>
  <si>
    <t>3379</t>
  </si>
  <si>
    <t>!EM PROCESSO DE DESATIVACAO! HASTE DE ATERRAMENTO EM ACO COM 3,00 M DE COMPRIMENTO E DN = 5/8", REVESTIDA COM BAIXA CAMADA DE COBRE, SEM CONECTOR</t>
  </si>
  <si>
    <t>36,68</t>
  </si>
  <si>
    <t>0,2531000</t>
  </si>
  <si>
    <t>0,0653000</t>
  </si>
  <si>
    <t>1106</t>
  </si>
  <si>
    <t>CAL HIDRATADA CH-I PARA ARGAMASSAS</t>
  </si>
  <si>
    <t>3,0096000</t>
  </si>
  <si>
    <t>1358</t>
  </si>
  <si>
    <t>CHAPA DE MADEIRA COMPENSADA RESINADA PARA FORMA DE CONCRETO, DE *2,2 X 1,1* M, E = 17 MM</t>
  </si>
  <si>
    <t>0,0600000</t>
  </si>
  <si>
    <t>26,96</t>
  </si>
  <si>
    <t>18,5084000</t>
  </si>
  <si>
    <t>4721</t>
  </si>
  <si>
    <t>PEDRA BRITADA N. 1 (9,5 a 19 MM) POSTO PEDREIRA/FORNECEDOR, SEM FRETE</t>
  </si>
  <si>
    <t>80,00</t>
  </si>
  <si>
    <t>4722</t>
  </si>
  <si>
    <t>PEDRA BRITADA N. 3 (38 A 50 MM) POSTO PEDREIRA/FORNECEDOR, SEM FRETE</t>
  </si>
  <si>
    <t>0,0040000</t>
  </si>
  <si>
    <t>7258</t>
  </si>
  <si>
    <t>TIJOLO CERAMICO MACICO COMUM *5 X 10 X 20* CM (L X A X C)</t>
  </si>
  <si>
    <t>60,4800000</t>
  </si>
  <si>
    <t>0,60</t>
  </si>
  <si>
    <t>43059</t>
  </si>
  <si>
    <t>ACO CA-60, 4,2 MM, OU 5,0 MM, OU 6,0 MM, OU 7,0 MM, VERGALHAO</t>
  </si>
  <si>
    <t>2,1560000</t>
  </si>
  <si>
    <t>5,57</t>
  </si>
  <si>
    <t>1,6789000</t>
  </si>
  <si>
    <t>4,4832000</t>
  </si>
  <si>
    <t>5678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</si>
  <si>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</si>
  <si>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0,0087000</t>
  </si>
  <si>
    <t>83,02</t>
  </si>
  <si>
    <t>5679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</si>
  <si>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</si>
  <si>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0,0294000</t>
  </si>
  <si>
    <t>32,77</t>
  </si>
  <si>
    <t>166,0916000</t>
  </si>
  <si>
    <t>0,0014000</t>
  </si>
  <si>
    <t>6,0895000</t>
  </si>
  <si>
    <t>94097</t>
  </si>
  <si>
    <t>0,8100000</t>
  </si>
  <si>
    <t>4,17</t>
  </si>
  <si>
    <t>0,0744000</t>
  </si>
  <si>
    <t>97735</t>
  </si>
  <si>
    <t>PEÇA RETANGULAR PRÉ-MOLDADA, VOLUME DE CONCRETO DE 30 A 100 LITROS, TAXA DE AÇO APROXIMADA DE 30KG/M³. AF_01/2018</t>
  </si>
  <si>
    <t>0,0448000</t>
  </si>
  <si>
    <t>1.636,95</t>
  </si>
  <si>
    <t>100475</t>
  </si>
  <si>
    <t>ARGAMASSA TRAÇO 1:3 (EM VOLUME DE CIMENTO E AREIA MÉDIA ÚMIDA) COM ADIÇÃO DE IMPERMEABILIZANTE, PREPARO MECÂNICO COM BETONEIRA 400 L. AF_08/2019</t>
  </si>
  <si>
    <t>453,92</t>
  </si>
  <si>
    <t>1019</t>
  </si>
  <si>
    <t>CABO DE COBRE, FLEXIVEL, CLASSE 4 OU 5, ISOLACAO EM PVC/A, ANTICHAMA BWF-B, COBERTURA PVC-ST1, ANTICHAMA BWF-B, 1 CONDUTOR, 0,6/1 KV, SECAO NOMINAL 35 MM2</t>
  </si>
  <si>
    <t>21,88</t>
  </si>
  <si>
    <t>0,1440000</t>
  </si>
  <si>
    <t>0,2210000</t>
  </si>
  <si>
    <t>2681</t>
  </si>
  <si>
    <t>ELETRODUTO DE PVC RIGIDO ROSCAVEL DE 2 ", SEM LUVA</t>
  </si>
  <si>
    <t>9,30</t>
  </si>
  <si>
    <t>0,1290000</t>
  </si>
  <si>
    <t>91966</t>
  </si>
  <si>
    <t>INTERRUPTOR SIMPLES (3 MÓDULOS), 10A/250V, SEM SUPORTE E SEM PLACA - FORNECIMENTO E INSTALAÇÃO. AF_12/2015</t>
  </si>
  <si>
    <t>30,06</t>
  </si>
  <si>
    <t>39385</t>
  </si>
  <si>
    <t>LUMINARIA LED PLAFON REDONDO DE SOBREPOR BIVOLT 12/13 W,  D = *17* CM</t>
  </si>
  <si>
    <t>17,23</t>
  </si>
  <si>
    <t>0,2231000</t>
  </si>
  <si>
    <t>0,5355000</t>
  </si>
  <si>
    <t>12039</t>
  </si>
  <si>
    <t>QUADRO DE DISTRIBUICAO COM BARRAMENTO TRIFASICO, DE EMBUTIR, EM CHAPA DE ACO GALVANIZADO, PARA 24 DISJUNTORES DIN, 100 A</t>
  </si>
  <si>
    <t>428,72</t>
  </si>
  <si>
    <t>34643</t>
  </si>
  <si>
    <t>CAIXA INSPECAO EM POLIETILENO PARA ATERRAMENTO E PARA RAIOS DIAMETRO = 300 MM</t>
  </si>
  <si>
    <t>12,33</t>
  </si>
  <si>
    <t>0,1693000</t>
  </si>
  <si>
    <t>94102</t>
  </si>
  <si>
    <t>LASTRO DE VALA COM PREPARO DE FUNDO, LARGURA MENOR QUE 1,5 M, COM CAMADA DE AREIA, LANÇAMENTO MANUAL, EM LOCAL COM NÍVEL BAIXO DE INTERFERÊNCIA. AF_06/2016</t>
  </si>
  <si>
    <t>0,0141000</t>
  </si>
  <si>
    <t>152,15</t>
  </si>
  <si>
    <t>2510</t>
  </si>
  <si>
    <t>RELE FOTOELETRICO INTERNO E EXTERNO BIVOLT 1000 W, DE CONECTOR, SEM BASE</t>
  </si>
  <si>
    <t>20,30</t>
  </si>
  <si>
    <t>20254</t>
  </si>
  <si>
    <t>CAIXA DE PASSAGEM METALICA, DE SOBREPOR, COM TAMPA APARAFUSADA, DIMENSOES 15 X 15 X *10* CM</t>
  </si>
  <si>
    <t>0,3460000</t>
  </si>
  <si>
    <t>20271</t>
  </si>
  <si>
    <t>TANQUE LOUCA BRANCA COM COLUNA *30* L</t>
  </si>
  <si>
    <t>475,91</t>
  </si>
  <si>
    <t>0,0702000</t>
  </si>
  <si>
    <t>1,7689000</t>
  </si>
  <si>
    <t>0,7111000</t>
  </si>
  <si>
    <t>13417</t>
  </si>
  <si>
    <t>TORNEIRA CROMADA SEM BICO PARA TANQUE 1/2 " OU 3/4 " (REF 1143)</t>
  </si>
  <si>
    <t>35,06</t>
  </si>
  <si>
    <t>6010</t>
  </si>
  <si>
    <t>REGISTRO GAVETA BRUTO EM LATAO FORJADO, BITOLA 1 1/2 " (REF 1509)</t>
  </si>
  <si>
    <t>54,55</t>
  </si>
  <si>
    <t>9875</t>
  </si>
  <si>
    <t>TUBO PVC, SOLDAVEL, DN 50 MM, PARA AGUA FRIA (NBR-5648)</t>
  </si>
  <si>
    <t>1,0610000</t>
  </si>
  <si>
    <t>10,56</t>
  </si>
  <si>
    <t>9868</t>
  </si>
  <si>
    <t>TUBO PVC, SOLDAVEL, DN 25 MM, AGUA FRIA (NBR-5648)</t>
  </si>
  <si>
    <t>2,82</t>
  </si>
  <si>
    <t>0,1130000</t>
  </si>
  <si>
    <t>208,3507000</t>
  </si>
  <si>
    <t>7,8612000</t>
  </si>
  <si>
    <t>0,0502000</t>
  </si>
  <si>
    <t>97733</t>
  </si>
  <si>
    <t>PEÇA RETANGULAR PRÉ-MOLDADA, VOLUME DE CONCRETO DE ATÉ 10 LITROS, TAXA DE AÇO APROXIMADA DE 30KG/M³. AF_01/2018</t>
  </si>
  <si>
    <t>0,0112000</t>
  </si>
  <si>
    <t>2.269,42</t>
  </si>
  <si>
    <t>97734</t>
  </si>
  <si>
    <t>PEÇA RETANGULAR PRÉ-MOLDADA, VOLUME DE CONCRETO DE 10 A 30 LITROS, TAXA DE AÇO APROXIMADA DE 30KG/M³. AF_01/2018</t>
  </si>
  <si>
    <t>1.971,60</t>
  </si>
  <si>
    <t>0,1584000</t>
  </si>
  <si>
    <t>1932</t>
  </si>
  <si>
    <t>CURVA PVC CURTA 90 G, DN 50 MM, PARA ESGOTO PREDIAL</t>
  </si>
  <si>
    <t>7,01</t>
  </si>
  <si>
    <t>3</t>
  </si>
  <si>
    <t>ACIDO MURIATICO, DILUICAO 10% A 12% PARA USO EM LIMPEZA</t>
  </si>
  <si>
    <t>5,00</t>
  </si>
  <si>
    <t>0,1530000</t>
  </si>
  <si>
    <t>INTERRUPTOR SIMPLES (2 MÓDULOS), 10A/250V, INCLUINDO SUPORTE E PLACA -FORNECIMENTO E INSTALAÇÃO. AF_12/2015</t>
  </si>
  <si>
    <t>5,1120000</t>
  </si>
  <si>
    <t>7,9330000</t>
  </si>
  <si>
    <t>0,6490000</t>
  </si>
  <si>
    <t>88313</t>
  </si>
  <si>
    <t>POCEIRO COM ENCARGOS COMPLEMENTARES</t>
  </si>
  <si>
    <t>10,0190000</t>
  </si>
  <si>
    <t>13,01</t>
  </si>
  <si>
    <t>1,5960000</t>
  </si>
  <si>
    <t>90776</t>
  </si>
  <si>
    <t>2,5050000</t>
  </si>
  <si>
    <t>18,83</t>
  </si>
  <si>
    <t>90778</t>
  </si>
  <si>
    <t>0,8350000</t>
  </si>
  <si>
    <t>89,98</t>
  </si>
  <si>
    <t>94971</t>
  </si>
  <si>
    <t>CONCRETO FCK = 25MPA, TRAÇO 1:2,3:2,7 (CIMENTO/ AREIA MÉDIA/ BRITA 1)  - PREPARO MECÂNICO COM BETONEIRA 600 L. AF_07/2016</t>
  </si>
  <si>
    <t>1,2200000</t>
  </si>
  <si>
    <t>319,78</t>
  </si>
  <si>
    <t>95576</t>
  </si>
  <si>
    <t>MONTAGEM DE ARMADURA LONGITUDINAL/TRANSVERSAL DE ESTACAS DE SEÇÃO CIRCULAR, DIÂMETRO = 8,0 MM. AF_11/2016</t>
  </si>
  <si>
    <t>2,5850000</t>
  </si>
  <si>
    <t>9,28</t>
  </si>
  <si>
    <t>95579</t>
  </si>
  <si>
    <t>MONTAGEM DE ARMADURA LONGITUDINAL DE ESTACAS DE SEÇÃO CIRCULAR, DIÂMETRO = 16,0 MM. AF_11/2016</t>
  </si>
  <si>
    <t>12,3010000</t>
  </si>
  <si>
    <t>6,82</t>
  </si>
  <si>
    <t>97913</t>
  </si>
  <si>
    <t>TRANSPORTE COM CAMINHÃO BASCULANTE DE 6 M³, EM VIA URBANA EM REVESTIMENTO PRIMÁRIO (UNIDADE: M3XKM). AF_07/2020</t>
  </si>
  <si>
    <t>M3XKM</t>
  </si>
  <si>
    <t>0,3750000</t>
  </si>
  <si>
    <t>1,68</t>
  </si>
  <si>
    <t>100206</t>
  </si>
  <si>
    <t>TRANSPORTE HORIZONTAL COM JERICA DE 90 L, DE MASSA/ GRANEL (UNIDADE: M3XKM). AF_07/2019</t>
  </si>
  <si>
    <t>0,0375000</t>
  </si>
  <si>
    <t>709,50</t>
  </si>
  <si>
    <t>100973</t>
  </si>
  <si>
    <t>CARGA, MANOBRA E DESCARGA DE SOLOS E MATERIAIS GRANULARES EM CAMINHÃO BASCULANTE 6 M³ - CARGA COM PÁ CARREGADEIRA (CAÇAMBA DE 1,7 A 2,8 M³ / 128 HP) E DESCARGA LIVRE (UNIDADE: M3). AF_07/2020</t>
  </si>
  <si>
    <t>1,2500000</t>
  </si>
  <si>
    <t>4,68</t>
  </si>
  <si>
    <t>5851</t>
  </si>
  <si>
    <t>TRATOR DE ESTEIRAS, POTÊNCIA 150 HP, PESO OPERACIONAL 16,7 T, COM RODA MOTRIZ ELEVADA E LÂMINA 3,18 M3 - CHP DIURNO. AF_06/2014</t>
  </si>
  <si>
    <t>0,0093458</t>
  </si>
  <si>
    <t>145,24</t>
  </si>
  <si>
    <t>5944</t>
  </si>
  <si>
    <t>PÁ CARREGADEIRA SOBRE RODAS, POTÊNCIA 197 HP, CAPACIDADE DA CAÇAMBA 2,5 A 3,5 M3, PESO OPERACIONAL 18338 KG - CHP DIURNO. AF_06/2014</t>
  </si>
  <si>
    <t>0,0054206</t>
  </si>
  <si>
    <t>124,79</t>
  </si>
  <si>
    <t>5946</t>
  </si>
  <si>
    <t>PÁ CARREGADEIRA SOBRE RODAS, POTÊNCIA 197 HP, CAPACIDADE DA CAÇAMBA 2,5 A 3,5 M3, PESO OPERACIONAL 18338 KG - CHI DIURNO. AF_06/2014</t>
  </si>
  <si>
    <t>0,0039252</t>
  </si>
  <si>
    <t>46,64</t>
  </si>
  <si>
    <t>0,0186916</t>
  </si>
  <si>
    <t>0,0030000</t>
  </si>
  <si>
    <t>5853</t>
  </si>
  <si>
    <t>TRATOR DE ESTEIRAS, POTÊNCIA 150 HP, PESO OPERACIONAL 16,7 T, COM RODA MOTRIZ ELEVADA E LÂMINA 3,18 M3 - CHI DIURNO. AF_06/2014</t>
  </si>
  <si>
    <t>44,04</t>
  </si>
  <si>
    <t>0,0450000</t>
  </si>
  <si>
    <t>95264</t>
  </si>
  <si>
    <t>COMPACTADOR DE SOLOS DE PERCUSÃO (SOQUETE) COM MOTOR A GASOLINA, POTÊNCIA 3 CV - CHP DIURNO. AF_09/2016</t>
  </si>
  <si>
    <t>5,37</t>
  </si>
  <si>
    <t>95265</t>
  </si>
  <si>
    <t>COMPACTADOR DE SOLOS DE PERCUSÃO (SOQUETE) COM MOTOR A GASOLINA, POTÊNCIA 3 CV - CHI DIURNO. AF_09/2016</t>
  </si>
  <si>
    <t>0,63</t>
  </si>
  <si>
    <t>2,3986000</t>
  </si>
  <si>
    <t>0,1040000</t>
  </si>
  <si>
    <t>0,1560000</t>
  </si>
  <si>
    <t>91533</t>
  </si>
  <si>
    <t>COMPACTADOR DE SOLOS DE PERCUSSÃO (SOQUETE) COM MOTOR A GASOLINA 4 TEMPOS, POTÊNCIA 4 CV - CHP DIURNO. AF_08/2015</t>
  </si>
  <si>
    <t>19,30</t>
  </si>
  <si>
    <t>91534</t>
  </si>
  <si>
    <t>COMPACTADOR DE SOLOS DE PERCUSSÃO (SOQUETE) COM MOTOR A GASOLINA 4 TEMPOS, POTÊNCIA 4 CV - CHI DIURNO. AF_08/2015</t>
  </si>
  <si>
    <t>14,16</t>
  </si>
  <si>
    <t>0,8270000</t>
  </si>
  <si>
    <t>212,0200000</t>
  </si>
  <si>
    <t>0,5780000</t>
  </si>
  <si>
    <t>2,3400000</t>
  </si>
  <si>
    <t>88377</t>
  </si>
  <si>
    <t>OPERADOR DE BETONEIRA ESTACIONÁRIA/MISTURADOR COM ENCARGOS COMPLEMENTARES</t>
  </si>
  <si>
    <t>1,4800000</t>
  </si>
  <si>
    <t>12,88</t>
  </si>
  <si>
    <t>88830</t>
  </si>
  <si>
    <t>BETONEIRA CAPACIDADE NOMINAL DE 400 L, CAPACIDADE DE MISTURA 280 L, MOTOR ELÉTRICO TRIFÁSICO POTÊNCIA DE 2 CV, SEM CARREGADOR - CHP DIURNO. AF_10/2014</t>
  </si>
  <si>
    <t>0,7600000</t>
  </si>
  <si>
    <t>1,49</t>
  </si>
  <si>
    <t>88831</t>
  </si>
  <si>
    <t>BETONEIRA CAPACIDADE NOMINAL DE 400 L, CAPACIDADE DE MISTURA 280 L, MOTOR ELÉTRICO TRIFÁSICO POTÊNCIA DE 2 CV, SEM CARREGADOR - CHI DIURNO. AF_10/2014</t>
  </si>
  <si>
    <t>0,7200000</t>
  </si>
  <si>
    <t>0,0170000</t>
  </si>
  <si>
    <t>4491</t>
  </si>
  <si>
    <t>PONTALETE DE MADEIRA NAO APARELHADA *7,5 X 7,5* CM (3 X 3 ") PINUS, MISTA OU EQUIVALENTE DA REGIAO</t>
  </si>
  <si>
    <t>1,1660000</t>
  </si>
  <si>
    <t>5,63</t>
  </si>
  <si>
    <t>1,0930000</t>
  </si>
  <si>
    <t>5073</t>
  </si>
  <si>
    <t>PREGO DE ACO POLIDO COM CABECA 17 X 24 (2 1/4 X 11)</t>
  </si>
  <si>
    <t>0,0490000</t>
  </si>
  <si>
    <t>11,82</t>
  </si>
  <si>
    <t>6189</t>
  </si>
  <si>
    <t>TABUA DE MADEIRA NAO APARELHADA *2,5 X 30* CM, CEDRINHO OU EQUIVALENTE DA REGIAO</t>
  </si>
  <si>
    <t>1,9430000</t>
  </si>
  <si>
    <t>8,68</t>
  </si>
  <si>
    <t>40304</t>
  </si>
  <si>
    <t>PREGO DE ACO POLIDO COM CABECA DUPLA 17 X 27 (2 1/2 X 11)</t>
  </si>
  <si>
    <t>14,31</t>
  </si>
  <si>
    <t>1,2890000</t>
  </si>
  <si>
    <t>0,0320000</t>
  </si>
  <si>
    <t>91693</t>
  </si>
  <si>
    <t>SERRA CIRCULAR DE BANCADA COM MOTOR ELÉTRICO POTÊNCIA DE 5HP, COM COIFA PARA DISCO 10" - CHI DIURNO. AF_08/2015</t>
  </si>
  <si>
    <t>0,0280000</t>
  </si>
  <si>
    <t>13,59</t>
  </si>
  <si>
    <t>0,7230000</t>
  </si>
  <si>
    <t>362,6600000</t>
  </si>
  <si>
    <t>0,5930000</t>
  </si>
  <si>
    <t>2,3100000</t>
  </si>
  <si>
    <t>1,4600000</t>
  </si>
  <si>
    <t>0,7100000</t>
  </si>
  <si>
    <t>1,8460000</t>
  </si>
  <si>
    <t>5,5380000</t>
  </si>
  <si>
    <t>90586</t>
  </si>
  <si>
    <t>VIBRADOR DE IMERSÃO, DIÂMETRO DE PONTEIRA 45MM, MOTOR ELÉTRICO TRIFÁSICO POTÊNCIA DE 2 CV - CHP DIURNO. AF_06/2015</t>
  </si>
  <si>
    <t>1,53</t>
  </si>
  <si>
    <t>90587</t>
  </si>
  <si>
    <t>VIBRADOR DE IMERSÃO, DIÂMETRO DE PONTEIRA 45MM, MOTOR ELÉTRICO TRIFÁSICO POTÊNCIA DE 2 CV - CHI DIURNO. AF_06/2015</t>
  </si>
  <si>
    <t>1,1740000</t>
  </si>
  <si>
    <t>0,30</t>
  </si>
  <si>
    <t>0,5430000</t>
  </si>
  <si>
    <t>88238</t>
  </si>
  <si>
    <t>AJUDANTE DE ARMADOR COM ENCARGOS COMPLEMENTARES</t>
  </si>
  <si>
    <t>0,0121000</t>
  </si>
  <si>
    <t>13,76</t>
  </si>
  <si>
    <t>0,0743000</t>
  </si>
  <si>
    <t>92794</t>
  </si>
  <si>
    <t>CORTE E DOBRA DE AÇO CA-50, DIÂMETRO DE 10,0 MM, UTILIZADO EM ESTRUTURAS DIVERSAS, EXCETO LAJES. AF_12/2015</t>
  </si>
  <si>
    <t>6,77</t>
  </si>
  <si>
    <t>0,9700000</t>
  </si>
  <si>
    <t>0,0218000</t>
  </si>
  <si>
    <t>92792</t>
  </si>
  <si>
    <t>CORTE E DOBRA DE AÇO CA-50, DIÂMETRO DE 6,3 MM, UTILIZADO EM ESTRUTURAS DIVERSAS, EXCETO LAJES. AF_12/2015</t>
  </si>
  <si>
    <t>7,46</t>
  </si>
  <si>
    <t>123</t>
  </si>
  <si>
    <t>ADITIVO IMPERMEABILIZANTE DE PEGA NORMAL PARA ARGAMASSAS E CONCRETOS SEM ARMACAO, LIQUIDO E ISENTO DE CLORETOS</t>
  </si>
  <si>
    <t>0,3870000</t>
  </si>
  <si>
    <t>5,04</t>
  </si>
  <si>
    <t>87286</t>
  </si>
  <si>
    <t>ARGAMASSA TRAÇO 1:1:6 (EM VOLUME DE CIMENTO, CAL E AREIA MÉDIA ÚMIDA) PARA EMBOÇO/MASSA ÚNICA/ASSENTAMENTO DE ALVENARIA DE VEDAÇÃO, PREPARO MECÂNICO COM BETONEIRA 400 L. AF_08/2019</t>
  </si>
  <si>
    <t>352,46</t>
  </si>
  <si>
    <t>0,8670000</t>
  </si>
  <si>
    <t>7267</t>
  </si>
  <si>
    <t>BLOCO CERAMICO VAZADO PARA ALVENARIA DE VEDACAO, 6 FUROS, DE 9 X 14 X 19 CM (L X A X C)</t>
  </si>
  <si>
    <t>56,6200000</t>
  </si>
  <si>
    <t>0,64</t>
  </si>
  <si>
    <t>34547</t>
  </si>
  <si>
    <t>TELA DE ACO SOLDADA GALVANIZADA/ZINCADA PARA ALVENARIA, FIO  D = *1,20 A 1,70* MM, MALHA 15 X 15 MM, (C X L) *50 X 12* CM</t>
  </si>
  <si>
    <t>1,5100000</t>
  </si>
  <si>
    <t>3,24</t>
  </si>
  <si>
    <t>3,6310000</t>
  </si>
  <si>
    <t>1,8160000</t>
  </si>
  <si>
    <t>1,3350000</t>
  </si>
  <si>
    <t>2,3070000</t>
  </si>
  <si>
    <t>8,2910000</t>
  </si>
  <si>
    <t>5068</t>
  </si>
  <si>
    <t>PREGO DE ACO POLIDO COM CABECA 17 X 21 (2 X 11)</t>
  </si>
  <si>
    <t>0,2150000</t>
  </si>
  <si>
    <t>0,2760000</t>
  </si>
  <si>
    <t>1,3800000</t>
  </si>
  <si>
    <t>0,2140000</t>
  </si>
  <si>
    <t>3741</t>
  </si>
  <si>
    <t>LAJE PRE-MOLDADA CONVENCIONAL (LAJOTAS + VIGOTAS) PARA FORRO, UNIDIRECIONAL, SOBRECARGA DE 100 KG/M2, VAO ATE 4,50 M (SEM COLOCACAO)</t>
  </si>
  <si>
    <t>41,17</t>
  </si>
  <si>
    <t>5075</t>
  </si>
  <si>
    <t>PREGO DE ACO POLIDO COM CABECA 18 X 30 (2 3/4 X 10)</t>
  </si>
  <si>
    <t>92874</t>
  </si>
  <si>
    <t>LANÇAMENTO COM USO DE BOMBA, ADENSAMENTO E ACABAMENTO DE CONCRETO EM ESTRUTURAS. AF_12/2015</t>
  </si>
  <si>
    <t>24,29</t>
  </si>
  <si>
    <t>7266</t>
  </si>
  <si>
    <t>BLOCO CERAMICO VAZADO PARA ALVENARIA DE VEDACAO, DE 9 X 19 X 19 CM (L X A X C)</t>
  </si>
  <si>
    <t>MIL</t>
  </si>
  <si>
    <t>0,0279300</t>
  </si>
  <si>
    <t>705,00</t>
  </si>
  <si>
    <t>0,0098000</t>
  </si>
  <si>
    <t>1,6900000</t>
  </si>
  <si>
    <t>0,8450000</t>
  </si>
  <si>
    <t>0,0840000</t>
  </si>
  <si>
    <t>0,0180000</t>
  </si>
  <si>
    <t>40549</t>
  </si>
  <si>
    <t>PARAFUSO, COMUM, ASTM A307, SEXTAVADO, DIAMETRO 1/2" (12,7 MM), COMPRIMENTO 1" (25,4 MM)</t>
  </si>
  <si>
    <t>128,51</t>
  </si>
  <si>
    <t>43083</t>
  </si>
  <si>
    <t>PERFIL "U" ENRIJECIDO DE ACO GALVANIZADO, DOBRADO, 150 X 60 X 20 MM, E = 3,00 MM OU 200 X 75 X 25 MM, E = 3,75 MM</t>
  </si>
  <si>
    <t>4,3330000</t>
  </si>
  <si>
    <t>5,06</t>
  </si>
  <si>
    <t>0,1060000</t>
  </si>
  <si>
    <t>93281</t>
  </si>
  <si>
    <t>GUINCHO ELÉTRICO DE COLUNA, CAPACIDADE 400 KG, COM MOTO FREIO, MOTOR TRIFÁSICO DE 1,25 CV - CHP DIURNO. AF_03/2016</t>
  </si>
  <si>
    <t>0,0068000</t>
  </si>
  <si>
    <t>14,19</t>
  </si>
  <si>
    <t>93282</t>
  </si>
  <si>
    <t>GUINCHO ELÉTRICO DE COLUNA, CAPACIDADE 400 KG, COM MOTO FREIO, MOTOR TRIFÁSICO DE 1,25 CV - CHI DIURNO. AF_03/2016</t>
  </si>
  <si>
    <t>13,30</t>
  </si>
  <si>
    <t>11029</t>
  </si>
  <si>
    <t>HASTE RETA PARA GANCHO DE FERRO GALVANIZADO, COM ROSCA 1/4 " X 30 CM PARA FIXACAO DE TELHA METALICA, INCLUI PORCA E ARRUELAS DE VEDACAO</t>
  </si>
  <si>
    <t>4,1500000</t>
  </si>
  <si>
    <t>1,13</t>
  </si>
  <si>
    <t>40740</t>
  </si>
  <si>
    <t>TELHA GALVALUME COM ISOLAMENTO TERMOACUSTICO EM ESPUMA RIGIDA DE POLIURETANO (PU) INJETADO, ESPESSURA DE 30 MM, DENSIDADE DE 35 KG/M3, COM DUAS FACES TRAPEZOIDAIS, ACABAMENTO NATURAL (NAO INCLUI ACESSORIOS DE FIXACAO)</t>
  </si>
  <si>
    <t>1,1460000</t>
  </si>
  <si>
    <t>108,16</t>
  </si>
  <si>
    <t>88323</t>
  </si>
  <si>
    <t>TELHADISTA COM ENCARGOS COMPLEMENTARES</t>
  </si>
  <si>
    <t>0,0560000</t>
  </si>
  <si>
    <t>18,81</t>
  </si>
  <si>
    <t>0,1980000</t>
  </si>
  <si>
    <t>5104</t>
  </si>
  <si>
    <t>REBITE DE ALUMINIO VAZADO DE REPUXO, 3,2 X 8 MM (1KG = 1025 UNIDADES)</t>
  </si>
  <si>
    <t>47,55</t>
  </si>
  <si>
    <t>13388</t>
  </si>
  <si>
    <t>SOLDA EM BARRA DE ESTANHO-CHUMBO 50/50</t>
  </si>
  <si>
    <t>64,23</t>
  </si>
  <si>
    <t>40873</t>
  </si>
  <si>
    <t>RUFO INTERNO/EXTERNO DE CHAPA DE ACO GALVANIZADA NUM 24, CORTE 25 CM</t>
  </si>
  <si>
    <t>21,84</t>
  </si>
  <si>
    <t>0,2070000</t>
  </si>
  <si>
    <t>0,0183000</t>
  </si>
  <si>
    <t>0,0810000</t>
  </si>
  <si>
    <t>0,0024000</t>
  </si>
  <si>
    <t>40783</t>
  </si>
  <si>
    <t>CALHA QUADRADA DE CHAPA DE ACO GALVANIZADA NUM 24, CORTE 50 CM</t>
  </si>
  <si>
    <t>39,35</t>
  </si>
  <si>
    <t>0,3710000</t>
  </si>
  <si>
    <t>0,2770000</t>
  </si>
  <si>
    <r>
      <t>BLOCO 1 - PRESIDÊNCIA                                                                                               414,33 m</t>
    </r>
    <r>
      <rPr>
        <sz val="12"/>
        <rFont val="Tw Cen MT Condensed"/>
        <family val="2"/>
      </rPr>
      <t>²</t>
    </r>
  </si>
  <si>
    <t>COMPOSIÇÃO DOS ENCARGOS SOCIAIS</t>
  </si>
  <si>
    <t xml:space="preserve"> DESONERADO</t>
  </si>
  <si>
    <t>BDI</t>
  </si>
  <si>
    <t>LOCAL: CUIABÁ-MT</t>
  </si>
  <si>
    <t xml:space="preserve">ENCARGOS SOCIAIS SOBRE A MÃO DE OBRA </t>
  </si>
  <si>
    <t>COM DESONERAÇÃO</t>
  </si>
  <si>
    <t>HORISTA    %</t>
  </si>
  <si>
    <t>MENSALISTA  %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</si>
  <si>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</si>
  <si>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</si>
  <si>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</si>
  <si>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</si>
  <si>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</si>
  <si>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</si>
  <si>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</si>
  <si>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</si>
  <si>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</si>
  <si>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</si>
  <si>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</si>
  <si>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</si>
  <si>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</si>
  <si>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</si>
  <si>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</si>
  <si>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</si>
  <si>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</si>
  <si>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</si>
  <si>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REPOUSO SEMANAL REMUNERADO</t>
  </si>
  <si>
    <t>NÃO INCIDE</t>
  </si>
  <si>
    <t>FERIADOS</t>
  </si>
  <si>
    <t>AUXÍLIO - ENFERMIDADE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</si>
  <si>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</si>
  <si>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</si>
  <si>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</si>
  <si>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</si>
  <si>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</si>
  <si>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</si>
  <si>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</si>
  <si>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</si>
  <si>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</si>
  <si>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</si>
  <si>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</si>
  <si>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</si>
  <si>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</si>
  <si>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</si>
  <si>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</si>
  <si>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</si>
  <si>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</si>
  <si>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</si>
  <si>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</si>
  <si>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C</t>
  </si>
  <si>
    <t>GRUPO D</t>
  </si>
  <si>
    <t>D1</t>
  </si>
  <si>
    <r>
      <t xml:space="preserve">REINCIDÊNCIA DE GRUPO </t>
    </r>
    <r>
      <rPr>
        <b/>
        <sz val="12"/>
        <rFont val="Tw Cen MT Condensed"/>
        <family val="2"/>
      </rPr>
      <t>A</t>
    </r>
    <r>
      <rPr>
        <sz val="12"/>
        <rFont val="Tw Cen MT Condensed"/>
        <family val="2"/>
      </rPr>
      <t xml:space="preserve"> SOBRE GRUPO </t>
    </r>
    <r>
      <rPr>
        <b/>
        <sz val="12"/>
        <rFont val="Tw Cen MT Condensed"/>
        <family val="2"/>
      </rPr>
      <t xml:space="preserve">B </t>
    </r>
  </si>
  <si>
    <t>D2</t>
  </si>
  <si>
    <t>REINCIDÊNCIA DE GRUPO A SOBRE AVISO PRÉVIO TRABALHADO E REINCIDÊNCIA DO FGTS SOBRE AVISO PRÉVIO INDENIZADO</t>
  </si>
  <si>
    <t>D</t>
  </si>
  <si>
    <t>Ref.: Tabela de Serviços SINAPI (agosto/2020) e/ou composições PiniTCPO</t>
  </si>
  <si>
    <t>ESCALA SALARIAL DE MÃO-DE-OBRA</t>
  </si>
  <si>
    <t>COMPOSIÇÃO DA MÃO-DE-OBRA USADA NA COMPOSIÇÃO DE PREÇOS UNITARIOS</t>
  </si>
  <si>
    <t>SALARIOS</t>
  </si>
  <si>
    <t>CODIGO</t>
  </si>
  <si>
    <t>TIPO</t>
  </si>
  <si>
    <t>HORISTA</t>
  </si>
  <si>
    <t>MENSALISTA</t>
  </si>
  <si>
    <t>ENGENHEIRO CIVIL DE OBRA JUNIOR COM ENCARGOS COMPLEMENTARES</t>
  </si>
  <si>
    <t>Mão de Obra</t>
  </si>
  <si>
    <t>MESTRE DE OBRAS COM ENCARGOS COMPLEMENTARES</t>
  </si>
  <si>
    <t>88315</t>
  </si>
  <si>
    <t>SERRALHEIRO COM ENCARGOS COMPLEMENTARES</t>
  </si>
  <si>
    <t>88251</t>
  </si>
  <si>
    <t>AUXILIAR DE SERRALHEIRO COM ENCARGOS COMPLEMENTARES</t>
  </si>
  <si>
    <t>88242</t>
  </si>
  <si>
    <t>AJUDANTE DE PEDREIRO COM ENCARGOS COMPLEMENTARES</t>
  </si>
  <si>
    <t xml:space="preserve"> 88317 </t>
  </si>
  <si>
    <t>SOLDADOR COM ENCARGOS COMPLEMENTARES</t>
  </si>
  <si>
    <t>OPERADOR DE MÁQUINAS E EQUIPAMENTOS COM ENCARGOS COMPLEMENTARES</t>
  </si>
  <si>
    <t>88269</t>
  </si>
  <si>
    <t>GESSEIRO COM ENCARGOS COMPLEMENTARES</t>
  </si>
  <si>
    <r>
      <t xml:space="preserve">(AC) ADMINISTRAÇÃO CENTRAL - </t>
    </r>
    <r>
      <rPr>
        <sz val="12"/>
        <color indexed="8"/>
        <rFont val="Tw Cen MT Condensed"/>
        <family val="2"/>
      </rPr>
      <t>VARIA CONFORME O PORTE DA NÚMERO DE OBRAS EM ANDAMENTO, VOLUME FINANCEIRO DAS OBRAS A INICIAREM, ETC,  EM CADA   EM CADA EMPRESA - (ACORDAO 2622/2013 - 3,0% A 5,5%)</t>
    </r>
  </si>
  <si>
    <r>
      <t xml:space="preserve">(DF) DESPESAS FINANCEIRAS - </t>
    </r>
    <r>
      <rPr>
        <sz val="12"/>
        <color indexed="8"/>
        <rFont val="Tw Cen MT Condensed"/>
        <family val="2"/>
      </rPr>
      <t>(ACORDAO 2622/2013 - 0,59% A 1,39%)</t>
    </r>
  </si>
  <si>
    <r>
      <t xml:space="preserve">(S)   SEGUROS - </t>
    </r>
    <r>
      <rPr>
        <sz val="12"/>
        <color indexed="8"/>
        <rFont val="Tw Cen MT Condensed"/>
        <family val="2"/>
      </rPr>
      <t xml:space="preserve">(ACORDAO 2622/2013 </t>
    </r>
    <r>
      <rPr>
        <b/>
        <u/>
        <sz val="12"/>
        <color indexed="8"/>
        <rFont val="Tw Cen MT Condensed"/>
        <family val="2"/>
      </rPr>
      <t>SEGURO + GARANTIA</t>
    </r>
    <r>
      <rPr>
        <b/>
        <sz val="12"/>
        <color indexed="8"/>
        <rFont val="Tw Cen MT Condensed"/>
        <family val="2"/>
      </rPr>
      <t xml:space="preserve"> </t>
    </r>
    <r>
      <rPr>
        <sz val="12"/>
        <color indexed="8"/>
        <rFont val="Tw Cen MT Condensed"/>
        <family val="2"/>
      </rPr>
      <t>- 0,8% A 1,0%)</t>
    </r>
  </si>
  <si>
    <r>
      <t xml:space="preserve">(G)   GARANTIAS - </t>
    </r>
    <r>
      <rPr>
        <sz val="12"/>
        <color indexed="8"/>
        <rFont val="Tw Cen MT Condensed"/>
        <family val="2"/>
      </rPr>
      <t xml:space="preserve">(ACORDAO 2622/2013 </t>
    </r>
    <r>
      <rPr>
        <b/>
        <u/>
        <sz val="12"/>
        <color indexed="8"/>
        <rFont val="Tw Cen MT Condensed"/>
        <family val="2"/>
      </rPr>
      <t>SEGURO + GARANTIA</t>
    </r>
    <r>
      <rPr>
        <sz val="12"/>
        <color indexed="8"/>
        <rFont val="Tw Cen MT Condensed"/>
        <family val="2"/>
      </rPr>
      <t xml:space="preserve"> - 0,8% A 1,0%)</t>
    </r>
  </si>
  <si>
    <r>
      <t xml:space="preserve">(R)   TAXA DE RISCO E IMPREVISTOS - </t>
    </r>
    <r>
      <rPr>
        <sz val="12"/>
        <color indexed="8"/>
        <rFont val="Tw Cen MT Condensed"/>
        <family val="2"/>
      </rPr>
      <t>(ACORDAO 2622/2013 0,97% A 1,27%)</t>
    </r>
  </si>
  <si>
    <r>
      <t xml:space="preserve">(L)    LUCRO </t>
    </r>
    <r>
      <rPr>
        <sz val="12"/>
        <color indexed="8"/>
        <rFont val="Tw Cen MT Condensed"/>
        <family val="2"/>
      </rPr>
      <t>(ACORDAO 2622/2013 6,16% A 8,96%)</t>
    </r>
  </si>
  <si>
    <r>
      <t xml:space="preserve">ISS - </t>
    </r>
    <r>
      <rPr>
        <sz val="12"/>
        <color indexed="8"/>
        <rFont val="Tw Cen MT Condensed"/>
        <family val="2"/>
      </rPr>
      <t>(ISS% CONSIDERANDO 40% DE MATRIAL) - LEI do Múnicipio da Execução da Obra</t>
    </r>
  </si>
  <si>
    <r>
      <t xml:space="preserve"> BDI = </t>
    </r>
    <r>
      <rPr>
        <u/>
        <sz val="12"/>
        <color indexed="8"/>
        <rFont val="Tw Cen MT Condensed"/>
        <family val="2"/>
      </rPr>
      <t>(1+AC+S+R+G)x(1+DF)X(1+L))</t>
    </r>
    <r>
      <rPr>
        <sz val="12"/>
        <color indexed="8"/>
        <rFont val="Tw Cen MT Condensed"/>
        <family val="2"/>
      </rPr>
      <t xml:space="preserve">  -1
                                  1-I
Onde: 
AC = taxa representativa das despesas de rateio da Administração Central;
S = taxa representativa de Seguros;
R = taxa representativa de Riscos;
G = taxa representativa de Garantias;
DF = taxa representativa das Despesas Financeiras;
L = taxa representativa do Lucro;
I = taxa representativa da incidência de Impostos. 
 </t>
    </r>
  </si>
  <si>
    <t xml:space="preserve">BDI </t>
  </si>
  <si>
    <t>DATA:   NOV/2020</t>
  </si>
  <si>
    <r>
      <t xml:space="preserve">(AC) ADMINISTRAÇÃO CENTRAL - </t>
    </r>
    <r>
      <rPr>
        <sz val="12"/>
        <color indexed="8"/>
        <rFont val="Arial Narrow"/>
        <family val="2"/>
      </rPr>
      <t>VARIA CONFORME O PORTE DA NÚMERO DE OBRAS EM ANDAMENTO, VOLUME FINANCEIRO DAS OBRAS A INICIAREM, ETC,  EM CADA   EM CADA EMPRESA - (ACORDAO 2622/2013 - 3,0% A 5,5%)</t>
    </r>
  </si>
  <si>
    <r>
      <t xml:space="preserve">(DF) DESPESAS FINANCEIRAS - </t>
    </r>
    <r>
      <rPr>
        <sz val="12"/>
        <color indexed="8"/>
        <rFont val="Arial Narrow"/>
        <family val="2"/>
      </rPr>
      <t>(ACORDAO 2622/2013 - 0,59% A 1,39%)</t>
    </r>
  </si>
  <si>
    <r>
      <t xml:space="preserve">(S)   SEGUROS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>- 0,8% A 1,0%)</t>
    </r>
  </si>
  <si>
    <r>
      <t xml:space="preserve">(G)   GARANTIAS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sz val="12"/>
        <color indexed="8"/>
        <rFont val="Arial Narrow"/>
        <family val="2"/>
      </rPr>
      <t xml:space="preserve"> - 0,8% A 1,0%)</t>
    </r>
  </si>
  <si>
    <r>
      <t xml:space="preserve">(R)   TAXA DE RISCO E IMPREVISTOS - </t>
    </r>
    <r>
      <rPr>
        <sz val="12"/>
        <color indexed="8"/>
        <rFont val="Arial Narrow"/>
        <family val="2"/>
      </rPr>
      <t>(ACORDAO 2622/2013 0,97% A 1,27%)</t>
    </r>
  </si>
  <si>
    <r>
      <t xml:space="preserve">(L)    LUCRO </t>
    </r>
    <r>
      <rPr>
        <sz val="12"/>
        <color indexed="8"/>
        <rFont val="Arial Narrow"/>
        <family val="2"/>
      </rPr>
      <t>(ACORDAO 2622/2013 6,16% A 8,96%)</t>
    </r>
  </si>
  <si>
    <r>
      <t xml:space="preserve">ISS - </t>
    </r>
    <r>
      <rPr>
        <sz val="12"/>
        <color indexed="8"/>
        <rFont val="Arial Narrow"/>
        <family val="2"/>
      </rPr>
      <t>(ISS% CONSIDERANDO 40% DE MATRIAL) - LEI do Múnicipio da Execução da Obra</t>
    </r>
  </si>
  <si>
    <r>
      <t xml:space="preserve"> BDI = </t>
    </r>
    <r>
      <rPr>
        <u/>
        <sz val="12"/>
        <color indexed="8"/>
        <rFont val="Cambria"/>
        <family val="1"/>
      </rPr>
      <t>(1+AC+S+R+G)x(1+DF)X(1+L))</t>
    </r>
    <r>
      <rPr>
        <sz val="12"/>
        <color indexed="8"/>
        <rFont val="Cambria"/>
        <family val="1"/>
      </rPr>
      <t xml:space="preserve">  -1
                                  1-I
Onde: 
AC = taxa representativa das despesas de rateio da Administração Central;
S = taxa representativa de Seguros;
R = taxa representativa de Riscos;
G = taxa representativa de Garantias;
DF = taxa representativa das Despesas Financeiras;
L = taxa representativa do Lucro;
I = taxa representativa da incidência de Impostos. 
 </t>
    </r>
  </si>
  <si>
    <t>HUM MILHÃO, OITOCENTOS E SESSENTA MIL, CENTO E UM REAIS E DEIS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</si>
</sst>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#,##0.0000"/>
    <numFmt numFmtId="167" formatCode="_(* #,##0.00_);_(* \(#,##0.00\);_(* &quot;-&quot;??_);_(@_)"/>
    <numFmt numFmtId="168" formatCode="_(* #,##0.00_);_(* \(#,##0.00\);_(* \-??_);_(@_)"/>
    <numFmt numFmtId="169" formatCode="0.0000"/>
    <numFmt numFmtId="170" formatCode="_-* #,##0.000000_-;\-* #,##0.000000_-;_-* &quot;-&quot;??_-;_-@_-"/>
    <numFmt numFmtId="171" formatCode="_-* #,##0.0000000_-;\-* #,##0.0000000_-;_-* &quot;-&quot;??_-;_-@_-"/>
    <numFmt numFmtId="172" formatCode="0.000000"/>
    <numFmt numFmtId="173" formatCode="0.0000000"/>
    <numFmt numFmtId="174" formatCode="0.00000000"/>
    <numFmt numFmtId="175" formatCode="_-* #,##0.00000000_-;\-* #,##0.00000000_-;_-* &quot;-&quot;??_-;_-@_-"/>
    <numFmt numFmtId="176" formatCode="0.00000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Tw Cen MT Condensed"/>
      <family val="2"/>
    </font>
    <font>
      <sz val="10"/>
      <name val="Tw Cen MT Condensed"/>
      <family val="2"/>
    </font>
    <font>
      <sz val="11"/>
      <name val="Tw Cen MT Condensed"/>
      <family val="2"/>
    </font>
    <font>
      <b/>
      <sz val="11"/>
      <color theme="1"/>
      <name val="Tw Cen MT Condensed"/>
      <family val="2"/>
    </font>
    <font>
      <sz val="8"/>
      <name val="Tw Cen MT Condensed"/>
      <family val="2"/>
    </font>
    <font>
      <sz val="10"/>
      <color rgb="FFFF0000"/>
      <name val="Tw Cen MT Condensed"/>
      <family val="2"/>
    </font>
    <font>
      <b/>
      <sz val="10"/>
      <name val="Tw Cen MT Condensed"/>
      <family val="2"/>
    </font>
    <font>
      <b/>
      <sz val="11"/>
      <name val="Tw Cen MT Condensed"/>
      <family val="2"/>
    </font>
    <font>
      <sz val="9"/>
      <name val="Tw Cen MT Condensed"/>
      <family val="2"/>
    </font>
    <font>
      <sz val="10"/>
      <name val="Courier New"/>
      <family val="3"/>
    </font>
    <font>
      <b/>
      <sz val="10"/>
      <color theme="0"/>
      <name val="Arial"/>
      <family val="2"/>
    </font>
    <font>
      <sz val="12"/>
      <name val="Tw Cen MT Condensed"/>
      <family val="2"/>
    </font>
    <font>
      <b/>
      <sz val="12"/>
      <name val="Tw Cen MT Condensed"/>
      <family val="2"/>
    </font>
    <font>
      <b/>
      <sz val="12"/>
      <color theme="1"/>
      <name val="Tw Cen MT Condensed"/>
      <family val="2"/>
    </font>
    <font>
      <sz val="12"/>
      <color theme="1"/>
      <name val="Tw Cen MT Condensed"/>
      <family val="2"/>
    </font>
    <font>
      <sz val="12"/>
      <color rgb="FFFF0000"/>
      <name val="Tw Cen MT Condensed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rgb="FF000000"/>
      <name val="Tw Cen MT Condensed"/>
      <family val="2"/>
    </font>
    <font>
      <b/>
      <sz val="12"/>
      <color rgb="FF363435"/>
      <name val="Tw Cen MT Condensed"/>
      <family val="2"/>
    </font>
    <font>
      <sz val="10"/>
      <name val="Arial Narrow"/>
      <family val="2"/>
    </font>
    <font>
      <b/>
      <sz val="16"/>
      <name val="Tw Cen MT Condensed"/>
      <family val="2"/>
    </font>
    <font>
      <b/>
      <sz val="14"/>
      <name val="Tw Cen MT Condensed"/>
      <family val="2"/>
    </font>
    <font>
      <sz val="12"/>
      <color indexed="8"/>
      <name val="Tw Cen MT Condensed"/>
      <family val="2"/>
    </font>
    <font>
      <b/>
      <u/>
      <sz val="12"/>
      <color indexed="8"/>
      <name val="Tw Cen MT Condensed"/>
      <family val="2"/>
    </font>
    <font>
      <b/>
      <sz val="12"/>
      <color indexed="8"/>
      <name val="Tw Cen MT Condensed"/>
      <family val="2"/>
    </font>
    <font>
      <u/>
      <sz val="12"/>
      <color indexed="8"/>
      <name val="Tw Cen MT Condensed"/>
      <family val="2"/>
    </font>
    <font>
      <b/>
      <sz val="18"/>
      <color theme="1"/>
      <name val="Tw Cen MT Condensed"/>
      <family val="2"/>
    </font>
    <font>
      <sz val="12"/>
      <color theme="0"/>
      <name val="Tw Cen MT Condensed"/>
      <family val="2"/>
    </font>
    <font>
      <b/>
      <sz val="18"/>
      <name val="Tw Cen MT Condensed"/>
      <family val="2"/>
    </font>
    <font>
      <b/>
      <sz val="16"/>
      <color rgb="FF000000"/>
      <name val="Tw Cen MT Condensed"/>
      <family val="2"/>
    </font>
    <font>
      <b/>
      <sz val="14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 Light"/>
      <family val="1"/>
      <scheme val="major"/>
    </font>
    <font>
      <u/>
      <sz val="12"/>
      <color indexed="8"/>
      <name val="Cambria"/>
      <family val="1"/>
    </font>
    <font>
      <sz val="12"/>
      <color indexed="8"/>
      <name val="Cambria"/>
      <family val="1"/>
    </font>
    <font>
      <b/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590BF"/>
      </right>
      <top style="thin">
        <color indexed="64"/>
      </top>
      <bottom/>
      <diagonal/>
    </border>
    <border>
      <left style="thin">
        <color rgb="FF7590BF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7590BF"/>
      </bottom>
      <diagonal/>
    </border>
    <border>
      <left/>
      <right/>
      <top style="thin">
        <color indexed="64"/>
      </top>
      <bottom style="thin">
        <color rgb="FF7590BF"/>
      </bottom>
      <diagonal/>
    </border>
    <border>
      <left/>
      <right style="medium">
        <color indexed="64"/>
      </right>
      <top style="thin">
        <color indexed="64"/>
      </top>
      <bottom style="thin">
        <color rgb="FF7590BF"/>
      </bottom>
      <diagonal/>
    </border>
    <border>
      <left style="medium">
        <color indexed="64"/>
      </left>
      <right style="thin">
        <color rgb="FF7590BF"/>
      </right>
      <top style="thin">
        <color rgb="FF7590BF"/>
      </top>
      <bottom style="thin">
        <color rgb="FF7590BF"/>
      </bottom>
      <diagonal/>
    </border>
    <border>
      <left style="thin">
        <color rgb="FF7590BF"/>
      </left>
      <right style="thin">
        <color rgb="FF7590BF"/>
      </right>
      <top style="thin">
        <color rgb="FF7590BF"/>
      </top>
      <bottom style="thin">
        <color rgb="FF7590BF"/>
      </bottom>
      <diagonal/>
    </border>
    <border>
      <left style="thin">
        <color rgb="FF7590BF"/>
      </left>
      <right style="medium">
        <color indexed="64"/>
      </right>
      <top style="thin">
        <color rgb="FF7590BF"/>
      </top>
      <bottom style="thin">
        <color rgb="FF7590BF"/>
      </bottom>
      <diagonal/>
    </border>
    <border>
      <left/>
      <right style="thin">
        <color rgb="FF7590BF"/>
      </right>
      <top style="thin">
        <color rgb="FF7590BF"/>
      </top>
      <bottom style="thin">
        <color rgb="FF7590BF"/>
      </bottom>
      <diagonal/>
    </border>
    <border>
      <left style="medium">
        <color indexed="64"/>
      </left>
      <right/>
      <top style="thin">
        <color rgb="FF7590BF"/>
      </top>
      <bottom style="thin">
        <color rgb="FF7590BF"/>
      </bottom>
      <diagonal/>
    </border>
    <border>
      <left/>
      <right/>
      <top style="thin">
        <color rgb="FF7590BF"/>
      </top>
      <bottom style="thin">
        <color rgb="FF7590BF"/>
      </bottom>
      <diagonal/>
    </border>
    <border>
      <left/>
      <right style="medium">
        <color indexed="64"/>
      </right>
      <top style="thin">
        <color rgb="FF7590BF"/>
      </top>
      <bottom style="thin">
        <color rgb="FF7590BF"/>
      </bottom>
      <diagonal/>
    </border>
    <border>
      <left style="medium">
        <color indexed="64"/>
      </left>
      <right style="thin">
        <color rgb="FF7590BF"/>
      </right>
      <top style="thin">
        <color rgb="FF7590BF"/>
      </top>
      <bottom/>
      <diagonal/>
    </border>
    <border>
      <left style="thin">
        <color rgb="FF7590BF"/>
      </left>
      <right style="thin">
        <color rgb="FF7590BF"/>
      </right>
      <top style="thin">
        <color rgb="FF7590BF"/>
      </top>
      <bottom/>
      <diagonal/>
    </border>
    <border>
      <left style="thin">
        <color rgb="FF7590BF"/>
      </left>
      <right style="medium">
        <color indexed="64"/>
      </right>
      <top style="thin">
        <color rgb="FF7590B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</cellStyleXfs>
  <cellXfs count="732">
    <xf numFmtId="0" fontId="0" fillId="0" borderId="0" xfId="0"/>
    <xf numFmtId="4" fontId="2" fillId="0" borderId="0" xfId="1" applyNumberFormat="1" applyFont="1" applyAlignment="1"/>
    <xf numFmtId="4" fontId="2" fillId="0" borderId="0" xfId="1" applyNumberFormat="1" applyFont="1"/>
    <xf numFmtId="2" fontId="2" fillId="0" borderId="0" xfId="1" applyNumberFormat="1" applyFont="1"/>
    <xf numFmtId="4" fontId="1" fillId="0" borderId="0" xfId="1" applyNumberFormat="1"/>
    <xf numFmtId="0" fontId="1" fillId="0" borderId="0" xfId="1"/>
    <xf numFmtId="4" fontId="3" fillId="0" borderId="0" xfId="1" applyNumberFormat="1" applyFont="1" applyAlignment="1">
      <alignment horizontal="center"/>
    </xf>
    <xf numFmtId="4" fontId="2" fillId="0" borderId="0" xfId="1" applyNumberFormat="1" applyFont="1" applyBorder="1" applyAlignment="1"/>
    <xf numFmtId="166" fontId="2" fillId="0" borderId="0" xfId="1" applyNumberFormat="1" applyFont="1" applyAlignment="1"/>
    <xf numFmtId="4" fontId="2" fillId="0" borderId="0" xfId="1" applyNumberFormat="1" applyFont="1" applyAlignment="1">
      <alignment horizontal="center"/>
    </xf>
    <xf numFmtId="4" fontId="3" fillId="3" borderId="0" xfId="1" applyNumberFormat="1" applyFont="1" applyFill="1" applyBorder="1" applyAlignment="1"/>
    <xf numFmtId="4" fontId="3" fillId="0" borderId="0" xfId="1" applyNumberFormat="1" applyFont="1" applyBorder="1" applyAlignment="1"/>
    <xf numFmtId="4" fontId="3" fillId="0" borderId="0" xfId="1" applyNumberFormat="1" applyFont="1"/>
    <xf numFmtId="0" fontId="3" fillId="0" borderId="0" xfId="1" applyFont="1"/>
    <xf numFmtId="4" fontId="2" fillId="4" borderId="0" xfId="1" applyNumberFormat="1" applyFont="1" applyFill="1" applyBorder="1"/>
    <xf numFmtId="4" fontId="4" fillId="4" borderId="0" xfId="1" applyNumberFormat="1" applyFont="1" applyFill="1" applyBorder="1" applyAlignment="1">
      <alignment vertical="center" wrapText="1"/>
    </xf>
    <xf numFmtId="4" fontId="4" fillId="4" borderId="3" xfId="1" applyNumberFormat="1" applyFont="1" applyFill="1" applyBorder="1" applyAlignment="1">
      <alignment horizontal="right" vertical="center"/>
    </xf>
    <xf numFmtId="4" fontId="2" fillId="5" borderId="0" xfId="1" applyNumberFormat="1" applyFont="1" applyFill="1" applyBorder="1" applyAlignment="1">
      <alignment horizontal="center"/>
    </xf>
    <xf numFmtId="4" fontId="6" fillId="0" borderId="0" xfId="1" applyNumberFormat="1" applyFont="1" applyBorder="1" applyAlignment="1"/>
    <xf numFmtId="4" fontId="6" fillId="0" borderId="0" xfId="1" applyNumberFormat="1" applyFont="1" applyFill="1"/>
    <xf numFmtId="4" fontId="6" fillId="4" borderId="0" xfId="1" applyNumberFormat="1" applyFont="1" applyFill="1" applyBorder="1" applyAlignment="1" applyProtection="1">
      <alignment horizontal="right" vertical="top"/>
    </xf>
    <xf numFmtId="2" fontId="6" fillId="0" borderId="0" xfId="1" applyNumberFormat="1" applyFont="1" applyFill="1"/>
    <xf numFmtId="4" fontId="6" fillId="0" borderId="0" xfId="1" applyNumberFormat="1" applyFont="1"/>
    <xf numFmtId="0" fontId="6" fillId="0" borderId="0" xfId="1" applyFont="1" applyFill="1"/>
    <xf numFmtId="4" fontId="2" fillId="3" borderId="0" xfId="1" applyNumberFormat="1" applyFont="1" applyFill="1" applyBorder="1" applyAlignment="1"/>
    <xf numFmtId="4" fontId="2" fillId="6" borderId="0" xfId="1" applyNumberFormat="1" applyFont="1" applyFill="1" applyBorder="1" applyAlignment="1"/>
    <xf numFmtId="4" fontId="9" fillId="6" borderId="0" xfId="1" applyNumberFormat="1" applyFont="1" applyFill="1" applyBorder="1" applyAlignment="1"/>
    <xf numFmtId="4" fontId="2" fillId="6" borderId="0" xfId="1" applyNumberFormat="1" applyFont="1" applyFill="1"/>
    <xf numFmtId="2" fontId="2" fillId="6" borderId="0" xfId="1" applyNumberFormat="1" applyFont="1" applyFill="1"/>
    <xf numFmtId="4" fontId="3" fillId="6" borderId="0" xfId="1" applyNumberFormat="1" applyFont="1" applyFill="1"/>
    <xf numFmtId="4" fontId="1" fillId="6" borderId="0" xfId="1" applyNumberFormat="1" applyFill="1"/>
    <xf numFmtId="0" fontId="3" fillId="6" borderId="0" xfId="1" applyFont="1" applyFill="1"/>
    <xf numFmtId="4" fontId="2" fillId="6" borderId="0" xfId="1" quotePrefix="1" applyNumberFormat="1" applyFont="1" applyFill="1" applyBorder="1" applyAlignment="1"/>
    <xf numFmtId="4" fontId="2" fillId="0" borderId="0" xfId="1" applyNumberFormat="1" applyFont="1" applyFill="1" applyBorder="1" applyAlignment="1"/>
    <xf numFmtId="4" fontId="9" fillId="0" borderId="0" xfId="1" applyNumberFormat="1" applyFont="1" applyFill="1" applyBorder="1" applyAlignment="1"/>
    <xf numFmtId="4" fontId="2" fillId="0" borderId="0" xfId="1" applyNumberFormat="1" applyFont="1" applyFill="1"/>
    <xf numFmtId="4" fontId="3" fillId="0" borderId="0" xfId="1" applyNumberFormat="1" applyFont="1" applyFill="1"/>
    <xf numFmtId="4" fontId="1" fillId="0" borderId="0" xfId="1" applyNumberFormat="1" applyFill="1"/>
    <xf numFmtId="0" fontId="3" fillId="0" borderId="0" xfId="1" applyFont="1" applyFill="1"/>
    <xf numFmtId="0" fontId="2" fillId="6" borderId="0" xfId="1" applyFont="1" applyFill="1"/>
    <xf numFmtId="2" fontId="2" fillId="0" borderId="0" xfId="1" applyNumberFormat="1" applyFont="1" applyFill="1"/>
    <xf numFmtId="4" fontId="1" fillId="0" borderId="0" xfId="1" applyNumberFormat="1" applyFont="1" applyFill="1"/>
    <xf numFmtId="4" fontId="1" fillId="4" borderId="0" xfId="1" applyNumberFormat="1" applyFont="1" applyFill="1" applyBorder="1"/>
    <xf numFmtId="4" fontId="7" fillId="0" borderId="0" xfId="1" applyNumberFormat="1" applyFont="1" applyFill="1"/>
    <xf numFmtId="2" fontId="7" fillId="0" borderId="0" xfId="1" applyNumberFormat="1" applyFont="1" applyFill="1"/>
    <xf numFmtId="0" fontId="3" fillId="4" borderId="0" xfId="1" applyFont="1" applyFill="1" applyBorder="1"/>
    <xf numFmtId="4" fontId="3" fillId="4" borderId="0" xfId="1" applyNumberFormat="1" applyFont="1" applyFill="1" applyBorder="1"/>
    <xf numFmtId="2" fontId="3" fillId="0" borderId="0" xfId="1" applyNumberFormat="1" applyFont="1"/>
    <xf numFmtId="0" fontId="2" fillId="0" borderId="0" xfId="1" applyFont="1" applyFill="1"/>
    <xf numFmtId="2" fontId="3" fillId="0" borderId="0" xfId="1" applyNumberFormat="1" applyFont="1" applyFill="1"/>
    <xf numFmtId="2" fontId="3" fillId="6" borderId="0" xfId="1" applyNumberFormat="1" applyFont="1" applyFill="1"/>
    <xf numFmtId="4" fontId="7" fillId="4" borderId="0" xfId="1" applyNumberFormat="1" applyFont="1" applyFill="1" applyBorder="1"/>
    <xf numFmtId="0" fontId="1" fillId="0" borderId="0" xfId="1" applyFill="1"/>
    <xf numFmtId="4" fontId="10" fillId="4" borderId="0" xfId="1" applyNumberFormat="1" applyFont="1" applyFill="1" applyBorder="1" applyAlignment="1" applyProtection="1">
      <alignment horizontal="right" vertical="top"/>
    </xf>
    <xf numFmtId="4" fontId="6" fillId="0" borderId="0" xfId="1" applyNumberFormat="1" applyFont="1" applyFill="1" applyBorder="1" applyAlignment="1" applyProtection="1">
      <alignment horizontal="right" vertical="top"/>
    </xf>
    <xf numFmtId="4" fontId="2" fillId="4" borderId="6" xfId="1" applyNumberFormat="1" applyFont="1" applyFill="1" applyBorder="1" applyAlignment="1">
      <alignment horizontal="center"/>
    </xf>
    <xf numFmtId="4" fontId="6" fillId="4" borderId="6" xfId="1" applyNumberFormat="1" applyFont="1" applyFill="1" applyBorder="1" applyAlignment="1"/>
    <xf numFmtId="4" fontId="6" fillId="4" borderId="6" xfId="1" applyNumberFormat="1" applyFont="1" applyFill="1" applyBorder="1"/>
    <xf numFmtId="4" fontId="6" fillId="4" borderId="6" xfId="1" applyNumberFormat="1" applyFont="1" applyFill="1" applyBorder="1" applyAlignment="1" applyProtection="1">
      <alignment horizontal="right" vertical="top"/>
    </xf>
    <xf numFmtId="2" fontId="6" fillId="4" borderId="6" xfId="1" applyNumberFormat="1" applyFont="1" applyFill="1" applyBorder="1"/>
    <xf numFmtId="0" fontId="6" fillId="4" borderId="6" xfId="1" applyFont="1" applyFill="1" applyBorder="1"/>
    <xf numFmtId="4" fontId="10" fillId="0" borderId="0" xfId="1" applyNumberFormat="1" applyFont="1" applyFill="1" applyBorder="1" applyAlignment="1" applyProtection="1">
      <alignment horizontal="right" vertical="top"/>
    </xf>
    <xf numFmtId="4" fontId="2" fillId="4" borderId="0" xfId="1" applyNumberFormat="1" applyFont="1" applyFill="1" applyBorder="1" applyAlignment="1"/>
    <xf numFmtId="4" fontId="2" fillId="4" borderId="0" xfId="1" applyNumberFormat="1" applyFont="1" applyFill="1"/>
    <xf numFmtId="2" fontId="2" fillId="4" borderId="0" xfId="1" applyNumberFormat="1" applyFont="1" applyFill="1"/>
    <xf numFmtId="4" fontId="1" fillId="4" borderId="0" xfId="1" applyNumberFormat="1" applyFill="1"/>
    <xf numFmtId="0" fontId="1" fillId="4" borderId="0" xfId="1" applyFill="1"/>
    <xf numFmtId="4" fontId="5" fillId="5" borderId="0" xfId="1" applyNumberFormat="1" applyFont="1" applyFill="1" applyBorder="1" applyAlignment="1">
      <alignment horizontal="center"/>
    </xf>
    <xf numFmtId="4" fontId="12" fillId="5" borderId="0" xfId="1" applyNumberFormat="1" applyFont="1" applyFill="1" applyBorder="1" applyAlignment="1">
      <alignment horizontal="center"/>
    </xf>
    <xf numFmtId="4" fontId="2" fillId="3" borderId="0" xfId="1" quotePrefix="1" applyNumberFormat="1" applyFont="1" applyFill="1" applyBorder="1" applyAlignment="1"/>
    <xf numFmtId="4" fontId="3" fillId="3" borderId="0" xfId="1" applyNumberFormat="1" applyFont="1" applyFill="1" applyBorder="1" applyAlignment="1">
      <alignment horizontal="left"/>
    </xf>
    <xf numFmtId="4" fontId="3" fillId="0" borderId="0" xfId="1" quotePrefix="1" applyNumberFormat="1" applyFont="1" applyBorder="1" applyAlignment="1"/>
    <xf numFmtId="4" fontId="2" fillId="6" borderId="0" xfId="1" applyNumberFormat="1" applyFont="1" applyFill="1" applyBorder="1" applyAlignment="1">
      <alignment horizontal="left"/>
    </xf>
    <xf numFmtId="4" fontId="2" fillId="3" borderId="0" xfId="1" applyNumberFormat="1" applyFont="1" applyFill="1" applyBorder="1" applyAlignment="1">
      <alignment horizontal="left"/>
    </xf>
    <xf numFmtId="168" fontId="2" fillId="6" borderId="6" xfId="4" applyFont="1" applyFill="1" applyBorder="1" applyAlignment="1">
      <alignment horizontal="center" vertical="top"/>
    </xf>
    <xf numFmtId="168" fontId="2" fillId="0" borderId="6" xfId="4" applyFont="1" applyFill="1" applyBorder="1" applyAlignment="1" applyProtection="1">
      <alignment vertical="top"/>
    </xf>
    <xf numFmtId="168" fontId="13" fillId="6" borderId="6" xfId="4" applyFont="1" applyFill="1" applyBorder="1" applyAlignment="1">
      <alignment horizontal="center" vertical="top"/>
    </xf>
    <xf numFmtId="168" fontId="2" fillId="6" borderId="0" xfId="4" applyFont="1" applyFill="1" applyBorder="1" applyAlignment="1">
      <alignment horizontal="center" vertical="top"/>
    </xf>
    <xf numFmtId="4" fontId="9" fillId="6" borderId="0" xfId="1" applyNumberFormat="1" applyFont="1" applyFill="1"/>
    <xf numFmtId="168" fontId="2" fillId="0" borderId="6" xfId="4" applyFont="1" applyFill="1" applyBorder="1" applyAlignment="1">
      <alignment horizontal="center" vertical="top"/>
    </xf>
    <xf numFmtId="4" fontId="2" fillId="0" borderId="0" xfId="1" applyNumberFormat="1" applyFont="1" applyFill="1" applyBorder="1" applyAlignment="1">
      <alignment horizontal="left"/>
    </xf>
    <xf numFmtId="4" fontId="14" fillId="4" borderId="3" xfId="1" applyNumberFormat="1" applyFont="1" applyFill="1" applyBorder="1" applyAlignment="1">
      <alignment horizontal="right" vertical="center"/>
    </xf>
    <xf numFmtId="167" fontId="2" fillId="6" borderId="6" xfId="2" applyFont="1" applyFill="1" applyBorder="1" applyAlignment="1" applyProtection="1">
      <alignment horizontal="center" vertical="top"/>
    </xf>
    <xf numFmtId="4" fontId="2" fillId="0" borderId="0" xfId="1" applyNumberFormat="1" applyFont="1" applyFill="1" applyBorder="1"/>
    <xf numFmtId="4" fontId="2" fillId="0" borderId="0" xfId="2" applyNumberFormat="1" applyFont="1" applyFill="1" applyBorder="1" applyAlignment="1">
      <alignment horizontal="right" vertical="top"/>
    </xf>
    <xf numFmtId="4" fontId="2" fillId="6" borderId="0" xfId="1" applyNumberFormat="1" applyFont="1" applyFill="1" applyBorder="1" applyAlignment="1">
      <alignment horizontal="right"/>
    </xf>
    <xf numFmtId="0" fontId="1" fillId="0" borderId="0" xfId="1" applyFont="1"/>
    <xf numFmtId="10" fontId="1" fillId="0" borderId="0" xfId="1" applyNumberFormat="1"/>
    <xf numFmtId="0" fontId="15" fillId="0" borderId="0" xfId="1" applyFont="1"/>
    <xf numFmtId="10" fontId="15" fillId="0" borderId="0" xfId="1" applyNumberFormat="1" applyFont="1"/>
    <xf numFmtId="2" fontId="15" fillId="0" borderId="0" xfId="1" applyNumberFormat="1" applyFont="1"/>
    <xf numFmtId="0" fontId="16" fillId="0" borderId="0" xfId="1" applyFont="1"/>
    <xf numFmtId="10" fontId="16" fillId="0" borderId="0" xfId="1" applyNumberFormat="1" applyFont="1"/>
    <xf numFmtId="0" fontId="16" fillId="6" borderId="0" xfId="1" applyFont="1" applyFill="1"/>
    <xf numFmtId="10" fontId="16" fillId="6" borderId="0" xfId="1" applyNumberFormat="1" applyFont="1" applyFill="1"/>
    <xf numFmtId="10" fontId="1" fillId="0" borderId="0" xfId="1" applyNumberFormat="1" applyFill="1"/>
    <xf numFmtId="0" fontId="2" fillId="0" borderId="0" xfId="1" applyFont="1"/>
    <xf numFmtId="168" fontId="1" fillId="0" borderId="0" xfId="1" applyNumberFormat="1"/>
    <xf numFmtId="2" fontId="1" fillId="0" borderId="0" xfId="1" applyNumberFormat="1"/>
    <xf numFmtId="4" fontId="3" fillId="3" borderId="0" xfId="1" applyNumberFormat="1" applyFont="1" applyFill="1" applyBorder="1" applyAlignment="1">
      <alignment horizontal="right"/>
    </xf>
    <xf numFmtId="0" fontId="1" fillId="4" borderId="0" xfId="1" applyFill="1" applyBorder="1"/>
    <xf numFmtId="164" fontId="1" fillId="0" borderId="0" xfId="1" applyNumberFormat="1"/>
    <xf numFmtId="0" fontId="19" fillId="4" borderId="0" xfId="7" applyFont="1" applyFill="1" applyBorder="1" applyAlignment="1" applyProtection="1">
      <alignment horizontal="center" vertical="center" wrapText="1"/>
      <protection hidden="1"/>
    </xf>
    <xf numFmtId="0" fontId="19" fillId="4" borderId="0" xfId="7" applyFont="1" applyFill="1" applyBorder="1" applyAlignment="1" applyProtection="1">
      <alignment horizontal="left" vertical="center" wrapText="1"/>
      <protection hidden="1"/>
    </xf>
    <xf numFmtId="165" fontId="19" fillId="4" borderId="0" xfId="9" applyFont="1" applyFill="1" applyBorder="1" applyAlignment="1" applyProtection="1">
      <alignment horizontal="center" vertical="center"/>
      <protection hidden="1"/>
    </xf>
    <xf numFmtId="0" fontId="19" fillId="4" borderId="0" xfId="7" applyFont="1" applyFill="1" applyBorder="1" applyAlignment="1" applyProtection="1">
      <alignment horizontal="center" vertical="center"/>
      <protection hidden="1"/>
    </xf>
    <xf numFmtId="0" fontId="19" fillId="4" borderId="0" xfId="10" applyNumberFormat="1" applyFont="1" applyFill="1" applyBorder="1" applyAlignment="1" applyProtection="1">
      <alignment horizontal="center" vertical="center"/>
      <protection hidden="1"/>
    </xf>
    <xf numFmtId="4" fontId="19" fillId="4" borderId="0" xfId="10" applyNumberFormat="1" applyFont="1" applyFill="1" applyBorder="1" applyAlignment="1" applyProtection="1">
      <alignment horizontal="center" vertical="center"/>
      <protection hidden="1"/>
    </xf>
    <xf numFmtId="0" fontId="18" fillId="4" borderId="0" xfId="7" applyFont="1" applyFill="1" applyBorder="1" applyAlignment="1" applyProtection="1">
      <alignment horizontal="center" vertical="center" wrapText="1"/>
      <protection hidden="1"/>
    </xf>
    <xf numFmtId="169" fontId="18" fillId="4" borderId="0" xfId="7" applyNumberFormat="1" applyFont="1" applyFill="1" applyBorder="1" applyAlignment="1" applyProtection="1">
      <alignment horizontal="center" vertical="center" wrapText="1"/>
      <protection hidden="1"/>
    </xf>
    <xf numFmtId="43" fontId="18" fillId="4" borderId="0" xfId="8" applyFont="1" applyFill="1" applyBorder="1" applyAlignment="1" applyProtection="1">
      <alignment horizontal="center" vertical="center" wrapText="1"/>
      <protection hidden="1"/>
    </xf>
    <xf numFmtId="1" fontId="18" fillId="4" borderId="0" xfId="7" applyNumberFormat="1" applyFont="1" applyFill="1" applyBorder="1" applyAlignment="1" applyProtection="1">
      <alignment horizontal="center" vertical="center" wrapText="1"/>
      <protection hidden="1"/>
    </xf>
    <xf numFmtId="0" fontId="18" fillId="4" borderId="0" xfId="7" applyFont="1" applyFill="1" applyBorder="1" applyAlignment="1" applyProtection="1">
      <alignment horizontal="center" vertical="center"/>
      <protection hidden="1"/>
    </xf>
    <xf numFmtId="165" fontId="18" fillId="4" borderId="0" xfId="11" applyFont="1" applyFill="1" applyBorder="1" applyAlignment="1" applyProtection="1">
      <alignment horizontal="right" vertical="center"/>
      <protection hidden="1"/>
    </xf>
    <xf numFmtId="0" fontId="20" fillId="0" borderId="0" xfId="12"/>
    <xf numFmtId="10" fontId="20" fillId="0" borderId="0" xfId="12" applyNumberFormat="1"/>
    <xf numFmtId="10" fontId="21" fillId="4" borderId="6" xfId="5" applyNumberFormat="1" applyFont="1" applyFill="1" applyBorder="1" applyAlignment="1">
      <alignment horizontal="center" vertical="center"/>
    </xf>
    <xf numFmtId="10" fontId="13" fillId="0" borderId="0" xfId="12" applyNumberFormat="1" applyFont="1"/>
    <xf numFmtId="0" fontId="22" fillId="0" borderId="6" xfId="0" applyFont="1" applyBorder="1" applyAlignment="1">
      <alignment horizontal="center"/>
    </xf>
    <xf numFmtId="0" fontId="22" fillId="0" borderId="6" xfId="0" applyFont="1" applyBorder="1"/>
    <xf numFmtId="43" fontId="22" fillId="0" borderId="6" xfId="6" applyFont="1" applyBorder="1"/>
    <xf numFmtId="0" fontId="24" fillId="0" borderId="6" xfId="0" applyFont="1" applyBorder="1" applyAlignment="1">
      <alignment horizontal="center"/>
    </xf>
    <xf numFmtId="0" fontId="26" fillId="4" borderId="6" xfId="1" applyNumberFormat="1" applyFont="1" applyFill="1" applyBorder="1" applyAlignment="1">
      <alignment horizontal="center" vertical="center"/>
    </xf>
    <xf numFmtId="0" fontId="23" fillId="0" borderId="6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43" fontId="22" fillId="0" borderId="6" xfId="6" applyFont="1" applyBorder="1" applyAlignment="1">
      <alignment vertical="center"/>
    </xf>
    <xf numFmtId="0" fontId="24" fillId="0" borderId="0" xfId="1" applyFont="1" applyAlignment="1">
      <alignment horizontal="center" vertical="center" wrapText="1"/>
    </xf>
    <xf numFmtId="43" fontId="24" fillId="0" borderId="6" xfId="6" applyFont="1" applyBorder="1" applyAlignment="1">
      <alignment horizontal="right" vertical="center"/>
    </xf>
    <xf numFmtId="167" fontId="24" fillId="0" borderId="6" xfId="2" applyFont="1" applyBorder="1" applyAlignment="1">
      <alignment horizontal="right"/>
    </xf>
    <xf numFmtId="43" fontId="24" fillId="0" borderId="6" xfId="6" applyFont="1" applyBorder="1" applyAlignment="1">
      <alignment horizontal="right"/>
    </xf>
    <xf numFmtId="43" fontId="22" fillId="0" borderId="6" xfId="6" applyFont="1" applyBorder="1" applyAlignment="1">
      <alignment horizontal="right"/>
    </xf>
    <xf numFmtId="170" fontId="24" fillId="0" borderId="6" xfId="6" applyNumberFormat="1" applyFont="1" applyBorder="1" applyAlignment="1">
      <alignment horizontal="left" vertical="center" wrapText="1"/>
    </xf>
    <xf numFmtId="2" fontId="1" fillId="4" borderId="0" xfId="1" applyNumberFormat="1" applyFill="1" applyBorder="1"/>
    <xf numFmtId="43" fontId="22" fillId="17" borderId="6" xfId="6" applyFont="1" applyFill="1" applyBorder="1" applyAlignment="1">
      <alignment horizontal="right"/>
    </xf>
    <xf numFmtId="167" fontId="24" fillId="4" borderId="6" xfId="2" applyFont="1" applyFill="1" applyBorder="1" applyAlignment="1">
      <alignment horizontal="right"/>
    </xf>
    <xf numFmtId="0" fontId="27" fillId="9" borderId="0" xfId="1" applyFont="1" applyFill="1" applyAlignment="1">
      <alignment vertical="center"/>
    </xf>
    <xf numFmtId="0" fontId="23" fillId="9" borderId="0" xfId="1" applyFont="1" applyFill="1" applyAlignment="1">
      <alignment vertical="center"/>
    </xf>
    <xf numFmtId="0" fontId="23" fillId="0" borderId="0" xfId="1" applyFont="1" applyAlignment="1">
      <alignment horizontal="center" vertical="center"/>
    </xf>
    <xf numFmtId="0" fontId="23" fillId="10" borderId="0" xfId="1" applyFont="1" applyFill="1" applyAlignment="1">
      <alignment horizontal="center" vertical="center"/>
    </xf>
    <xf numFmtId="0" fontId="28" fillId="10" borderId="0" xfId="1" applyFont="1" applyFill="1" applyAlignment="1">
      <alignment horizontal="left" vertical="center" wrapText="1"/>
    </xf>
    <xf numFmtId="0" fontId="23" fillId="10" borderId="0" xfId="1" applyFont="1" applyFill="1" applyAlignment="1">
      <alignment horizontal="center" vertical="center" wrapText="1"/>
    </xf>
    <xf numFmtId="2" fontId="28" fillId="10" borderId="0" xfId="1" applyNumberFormat="1" applyFont="1" applyFill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2" fontId="23" fillId="0" borderId="0" xfId="1" applyNumberFormat="1" applyFont="1" applyAlignment="1">
      <alignment horizontal="center" vertical="center" wrapText="1"/>
    </xf>
    <xf numFmtId="2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10" borderId="0" xfId="1" applyFont="1" applyFill="1" applyAlignment="1">
      <alignment vertical="center"/>
    </xf>
    <xf numFmtId="0" fontId="28" fillId="0" borderId="0" xfId="1" applyFont="1" applyAlignment="1">
      <alignment horizontal="left" vertical="center" wrapText="1"/>
    </xf>
    <xf numFmtId="49" fontId="29" fillId="11" borderId="0" xfId="1" applyNumberFormat="1" applyFont="1" applyFill="1" applyBorder="1" applyAlignment="1">
      <alignment horizontal="center" vertical="center"/>
    </xf>
    <xf numFmtId="0" fontId="29" fillId="11" borderId="0" xfId="1" applyFont="1" applyFill="1" applyBorder="1" applyAlignment="1">
      <alignment vertical="center" wrapText="1"/>
    </xf>
    <xf numFmtId="2" fontId="29" fillId="11" borderId="0" xfId="1" applyNumberFormat="1" applyFont="1" applyFill="1" applyBorder="1" applyAlignment="1">
      <alignment vertical="center" wrapText="1"/>
    </xf>
    <xf numFmtId="0" fontId="28" fillId="10" borderId="0" xfId="1" applyFont="1" applyFill="1" applyAlignment="1">
      <alignment horizontal="center" vertical="center" wrapText="1"/>
    </xf>
    <xf numFmtId="2" fontId="23" fillId="0" borderId="0" xfId="1" applyNumberFormat="1" applyFont="1" applyAlignment="1">
      <alignment horizontal="left" vertical="center" wrapText="1"/>
    </xf>
    <xf numFmtId="0" fontId="23" fillId="5" borderId="0" xfId="1" applyFont="1" applyFill="1" applyAlignment="1">
      <alignment vertical="center"/>
    </xf>
    <xf numFmtId="0" fontId="23" fillId="5" borderId="0" xfId="1" applyFont="1" applyFill="1" applyAlignment="1">
      <alignment horizontal="left" vertical="center" wrapText="1"/>
    </xf>
    <xf numFmtId="0" fontId="23" fillId="5" borderId="0" xfId="1" applyFont="1" applyFill="1" applyAlignment="1">
      <alignment horizontal="center" vertical="center" wrapText="1"/>
    </xf>
    <xf numFmtId="0" fontId="23" fillId="5" borderId="0" xfId="1" applyFont="1" applyFill="1" applyAlignment="1">
      <alignment horizontal="center" vertical="center"/>
    </xf>
    <xf numFmtId="2" fontId="23" fillId="5" borderId="0" xfId="1" applyNumberFormat="1" applyFont="1" applyFill="1" applyAlignment="1">
      <alignment horizontal="center" vertical="center" wrapText="1"/>
    </xf>
    <xf numFmtId="2" fontId="23" fillId="10" borderId="0" xfId="1" applyNumberFormat="1" applyFont="1" applyFill="1" applyAlignment="1">
      <alignment vertical="center"/>
    </xf>
    <xf numFmtId="0" fontId="23" fillId="0" borderId="0" xfId="1" applyFont="1" applyBorder="1" applyAlignment="1">
      <alignment vertical="center"/>
    </xf>
    <xf numFmtId="4" fontId="26" fillId="4" borderId="0" xfId="1" applyNumberFormat="1" applyFont="1" applyFill="1" applyBorder="1" applyAlignment="1">
      <alignment vertical="center" wrapText="1"/>
    </xf>
    <xf numFmtId="2" fontId="23" fillId="5" borderId="0" xfId="1" applyNumberFormat="1" applyFont="1" applyFill="1" applyAlignment="1">
      <alignment horizontal="left" vertical="center" wrapText="1"/>
    </xf>
    <xf numFmtId="2" fontId="28" fillId="10" borderId="0" xfId="1" applyNumberFormat="1" applyFont="1" applyFill="1" applyAlignment="1">
      <alignment horizontal="left" vertical="center" wrapText="1"/>
    </xf>
    <xf numFmtId="0" fontId="30" fillId="4" borderId="0" xfId="7" applyFont="1" applyFill="1" applyBorder="1" applyAlignment="1" applyProtection="1">
      <alignment horizontal="center" vertical="center" wrapText="1"/>
      <protection hidden="1"/>
    </xf>
    <xf numFmtId="43" fontId="23" fillId="0" borderId="0" xfId="6" applyFont="1" applyAlignment="1">
      <alignment horizontal="left" vertical="center" wrapText="1"/>
    </xf>
    <xf numFmtId="0" fontId="30" fillId="4" borderId="0" xfId="7" applyFont="1" applyFill="1" applyBorder="1" applyAlignment="1" applyProtection="1">
      <alignment horizontal="center" vertical="center"/>
      <protection hidden="1"/>
    </xf>
    <xf numFmtId="0" fontId="23" fillId="4" borderId="0" xfId="1" applyFont="1" applyFill="1" applyAlignment="1">
      <alignment horizontal="left" vertical="center" wrapText="1"/>
    </xf>
    <xf numFmtId="0" fontId="30" fillId="4" borderId="0" xfId="10" applyNumberFormat="1" applyFont="1" applyFill="1" applyBorder="1" applyAlignment="1" applyProtection="1">
      <alignment horizontal="center" vertical="center"/>
      <protection hidden="1"/>
    </xf>
    <xf numFmtId="4" fontId="30" fillId="4" borderId="0" xfId="10" applyNumberFormat="1" applyFont="1" applyFill="1" applyBorder="1" applyAlignment="1" applyProtection="1">
      <alignment horizontal="center" vertical="center"/>
      <protection hidden="1"/>
    </xf>
    <xf numFmtId="43" fontId="23" fillId="0" borderId="0" xfId="1" applyNumberFormat="1" applyFont="1" applyAlignment="1">
      <alignment vertical="center"/>
    </xf>
    <xf numFmtId="43" fontId="28" fillId="10" borderId="0" xfId="1" applyNumberFormat="1" applyFont="1" applyFill="1" applyAlignment="1">
      <alignment horizontal="left" vertical="center" wrapText="1"/>
    </xf>
    <xf numFmtId="49" fontId="29" fillId="13" borderId="14" xfId="1" applyNumberFormat="1" applyFont="1" applyFill="1" applyBorder="1" applyAlignment="1">
      <alignment horizontal="center" vertical="center"/>
    </xf>
    <xf numFmtId="0" fontId="29" fillId="13" borderId="14" xfId="1" applyFont="1" applyFill="1" applyBorder="1" applyAlignment="1">
      <alignment vertical="center" wrapText="1"/>
    </xf>
    <xf numFmtId="2" fontId="29" fillId="13" borderId="14" xfId="1" applyNumberFormat="1" applyFont="1" applyFill="1" applyBorder="1" applyAlignment="1">
      <alignment vertical="center" wrapText="1"/>
    </xf>
    <xf numFmtId="49" fontId="23" fillId="13" borderId="23" xfId="1" applyNumberFormat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vertical="center" wrapText="1"/>
    </xf>
    <xf numFmtId="0" fontId="28" fillId="12" borderId="14" xfId="1" applyFont="1" applyFill="1" applyBorder="1" applyAlignment="1">
      <alignment vertical="center"/>
    </xf>
    <xf numFmtId="168" fontId="28" fillId="12" borderId="24" xfId="1" applyNumberFormat="1" applyFont="1" applyFill="1" applyBorder="1" applyAlignment="1">
      <alignment horizontal="right" vertical="center"/>
    </xf>
    <xf numFmtId="0" fontId="28" fillId="12" borderId="14" xfId="1" applyFont="1" applyFill="1" applyBorder="1" applyAlignment="1">
      <alignment horizontal="left" vertical="center"/>
    </xf>
    <xf numFmtId="168" fontId="28" fillId="12" borderId="14" xfId="1" applyNumberFormat="1" applyFont="1" applyFill="1" applyBorder="1" applyAlignment="1">
      <alignment horizontal="right" vertical="center"/>
    </xf>
    <xf numFmtId="0" fontId="29" fillId="12" borderId="14" xfId="1" applyFont="1" applyFill="1" applyBorder="1" applyAlignment="1">
      <alignment vertical="center" wrapText="1"/>
    </xf>
    <xf numFmtId="0" fontId="24" fillId="12" borderId="14" xfId="1" applyFont="1" applyFill="1" applyBorder="1" applyAlignment="1">
      <alignment vertical="center" wrapText="1"/>
    </xf>
    <xf numFmtId="0" fontId="23" fillId="12" borderId="14" xfId="1" applyFont="1" applyFill="1" applyBorder="1" applyAlignment="1">
      <alignment vertical="center"/>
    </xf>
    <xf numFmtId="168" fontId="23" fillId="12" borderId="14" xfId="1" applyNumberFormat="1" applyFont="1" applyFill="1" applyBorder="1" applyAlignment="1">
      <alignment horizontal="right" vertical="center"/>
    </xf>
    <xf numFmtId="0" fontId="24" fillId="0" borderId="14" xfId="1" applyFont="1" applyFill="1" applyBorder="1" applyAlignment="1">
      <alignment vertical="center" wrapText="1"/>
    </xf>
    <xf numFmtId="0" fontId="23" fillId="0" borderId="14" xfId="1" applyFont="1" applyBorder="1" applyAlignment="1">
      <alignment vertical="center"/>
    </xf>
    <xf numFmtId="0" fontId="23" fillId="0" borderId="14" xfId="1" applyFont="1" applyBorder="1" applyAlignment="1">
      <alignment horizontal="center" vertical="center"/>
    </xf>
    <xf numFmtId="168" fontId="23" fillId="0" borderId="14" xfId="4" applyFont="1" applyFill="1" applyBorder="1" applyAlignment="1" applyProtection="1">
      <alignment horizontal="center" vertical="center"/>
    </xf>
    <xf numFmtId="168" fontId="23" fillId="0" borderId="14" xfId="4" applyFont="1" applyFill="1" applyBorder="1" applyAlignment="1" applyProtection="1">
      <alignment vertical="center"/>
    </xf>
    <xf numFmtId="0" fontId="23" fillId="9" borderId="0" xfId="1" applyFont="1" applyFill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49" fontId="28" fillId="0" borderId="14" xfId="1" applyNumberFormat="1" applyFont="1" applyBorder="1" applyAlignment="1">
      <alignment horizontal="center" vertical="center"/>
    </xf>
    <xf numFmtId="49" fontId="23" fillId="0" borderId="14" xfId="1" applyNumberFormat="1" applyFont="1" applyBorder="1" applyAlignment="1">
      <alignment horizontal="center" vertical="center"/>
    </xf>
    <xf numFmtId="170" fontId="22" fillId="0" borderId="6" xfId="6" applyNumberFormat="1" applyFont="1" applyBorder="1"/>
    <xf numFmtId="43" fontId="2" fillId="0" borderId="0" xfId="6" applyFont="1" applyBorder="1" applyAlignment="1">
      <alignment vertical="center"/>
    </xf>
    <xf numFmtId="43" fontId="4" fillId="4" borderId="3" xfId="6" applyFont="1" applyFill="1" applyBorder="1" applyAlignment="1">
      <alignment horizontal="right" vertical="center"/>
    </xf>
    <xf numFmtId="43" fontId="2" fillId="0" borderId="0" xfId="6" applyFont="1" applyAlignment="1">
      <alignment vertical="center"/>
    </xf>
    <xf numFmtId="0" fontId="24" fillId="4" borderId="6" xfId="7" applyFont="1" applyFill="1" applyBorder="1" applyAlignment="1" applyProtection="1">
      <alignment horizontal="center" vertical="center" wrapText="1"/>
      <protection hidden="1"/>
    </xf>
    <xf numFmtId="0" fontId="24" fillId="4" borderId="6" xfId="7" applyFont="1" applyFill="1" applyBorder="1" applyAlignment="1" applyProtection="1">
      <alignment horizontal="center" vertical="center"/>
      <protection hidden="1"/>
    </xf>
    <xf numFmtId="0" fontId="24" fillId="4" borderId="6" xfId="1" applyFont="1" applyFill="1" applyBorder="1" applyAlignment="1">
      <alignment horizontal="left" vertical="center" wrapText="1"/>
    </xf>
    <xf numFmtId="172" fontId="24" fillId="4" borderId="6" xfId="7" applyNumberFormat="1" applyFont="1" applyFill="1" applyBorder="1" applyAlignment="1" applyProtection="1">
      <alignment horizontal="center" vertical="center" wrapText="1"/>
      <protection hidden="1"/>
    </xf>
    <xf numFmtId="172" fontId="24" fillId="4" borderId="6" xfId="10" applyNumberFormat="1" applyFont="1" applyFill="1" applyBorder="1" applyAlignment="1" applyProtection="1">
      <alignment horizontal="center" vertical="center"/>
      <protection hidden="1"/>
    </xf>
    <xf numFmtId="43" fontId="24" fillId="4" borderId="6" xfId="6" applyFont="1" applyFill="1" applyBorder="1" applyAlignment="1" applyProtection="1">
      <alignment horizontal="center" vertical="center"/>
      <protection hidden="1"/>
    </xf>
    <xf numFmtId="43" fontId="22" fillId="19" borderId="6" xfId="6" applyFont="1" applyFill="1" applyBorder="1"/>
    <xf numFmtId="43" fontId="4" fillId="19" borderId="6" xfId="6" applyFont="1" applyFill="1" applyBorder="1" applyAlignment="1">
      <alignment horizontal="right" vertical="center"/>
    </xf>
    <xf numFmtId="4" fontId="2" fillId="3" borderId="0" xfId="1" applyNumberFormat="1" applyFont="1" applyFill="1" applyBorder="1" applyAlignment="1">
      <alignment vertical="center"/>
    </xf>
    <xf numFmtId="43" fontId="23" fillId="0" borderId="6" xfId="6" applyFont="1" applyBorder="1" applyAlignment="1">
      <alignment horizontal="center" vertical="center" wrapText="1"/>
    </xf>
    <xf numFmtId="43" fontId="23" fillId="16" borderId="6" xfId="6" applyFont="1" applyFill="1" applyBorder="1" applyAlignment="1">
      <alignment horizontal="right" vertical="center"/>
    </xf>
    <xf numFmtId="43" fontId="0" fillId="0" borderId="0" xfId="0" applyNumberFormat="1"/>
    <xf numFmtId="170" fontId="24" fillId="16" borderId="6" xfId="6" applyNumberFormat="1" applyFont="1" applyFill="1" applyBorder="1" applyAlignment="1">
      <alignment horizontal="center" vertical="center" wrapText="1"/>
    </xf>
    <xf numFmtId="43" fontId="24" fillId="16" borderId="6" xfId="6" applyFont="1" applyFill="1" applyBorder="1" applyAlignment="1">
      <alignment horizontal="right" vertical="center"/>
    </xf>
    <xf numFmtId="0" fontId="23" fillId="17" borderId="0" xfId="1" applyFont="1" applyFill="1" applyAlignment="1">
      <alignment horizontal="center" vertical="center"/>
    </xf>
    <xf numFmtId="43" fontId="0" fillId="0" borderId="0" xfId="6" applyFont="1"/>
    <xf numFmtId="170" fontId="22" fillId="17" borderId="6" xfId="6" applyNumberFormat="1" applyFont="1" applyFill="1" applyBorder="1"/>
    <xf numFmtId="2" fontId="23" fillId="0" borderId="6" xfId="1" applyNumberFormat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left" vertical="center" wrapText="1"/>
    </xf>
    <xf numFmtId="43" fontId="23" fillId="19" borderId="6" xfId="6" applyFont="1" applyFill="1" applyBorder="1" applyAlignment="1">
      <alignment horizontal="center" vertical="center" wrapText="1"/>
    </xf>
    <xf numFmtId="174" fontId="23" fillId="0" borderId="6" xfId="1" applyNumberFormat="1" applyFont="1" applyBorder="1" applyAlignment="1">
      <alignment horizontal="center" vertical="center" wrapText="1"/>
    </xf>
    <xf numFmtId="174" fontId="23" fillId="19" borderId="6" xfId="1" applyNumberFormat="1" applyFont="1" applyFill="1" applyBorder="1" applyAlignment="1">
      <alignment horizontal="center" vertical="center" wrapText="1"/>
    </xf>
    <xf numFmtId="43" fontId="0" fillId="0" borderId="0" xfId="6" applyFont="1" applyAlignment="1">
      <alignment vertical="center"/>
    </xf>
    <xf numFmtId="43" fontId="3" fillId="0" borderId="0" xfId="6" applyFont="1" applyAlignment="1">
      <alignment horizontal="center" vertical="center"/>
    </xf>
    <xf numFmtId="43" fontId="2" fillId="0" borderId="0" xfId="6" applyFont="1" applyAlignment="1">
      <alignment horizontal="center" vertical="center"/>
    </xf>
    <xf numFmtId="43" fontId="3" fillId="0" borderId="0" xfId="6" applyFont="1" applyBorder="1" applyAlignment="1">
      <alignment vertical="center"/>
    </xf>
    <xf numFmtId="43" fontId="5" fillId="0" borderId="0" xfId="6" applyFont="1" applyBorder="1" applyAlignment="1">
      <alignment vertical="center"/>
    </xf>
    <xf numFmtId="43" fontId="8" fillId="0" borderId="0" xfId="6" applyFont="1" applyBorder="1" applyAlignment="1">
      <alignment vertical="center"/>
    </xf>
    <xf numFmtId="43" fontId="9" fillId="6" borderId="0" xfId="6" applyFont="1" applyFill="1" applyBorder="1" applyAlignment="1">
      <alignment vertical="center"/>
    </xf>
    <xf numFmtId="43" fontId="2" fillId="6" borderId="0" xfId="6" applyFont="1" applyFill="1" applyBorder="1" applyAlignment="1">
      <alignment vertical="center"/>
    </xf>
    <xf numFmtId="43" fontId="2" fillId="6" borderId="0" xfId="6" quotePrefix="1" applyFont="1" applyFill="1" applyBorder="1" applyAlignment="1">
      <alignment vertical="center"/>
    </xf>
    <xf numFmtId="43" fontId="1" fillId="6" borderId="0" xfId="6" quotePrefix="1" applyFont="1" applyFill="1" applyBorder="1" applyAlignment="1">
      <alignment vertical="center"/>
    </xf>
    <xf numFmtId="43" fontId="2" fillId="0" borderId="0" xfId="6" applyFont="1" applyFill="1" applyBorder="1" applyAlignment="1">
      <alignment vertical="center"/>
    </xf>
    <xf numFmtId="43" fontId="9" fillId="0" borderId="0" xfId="6" applyFont="1" applyFill="1" applyBorder="1" applyAlignment="1">
      <alignment vertical="center"/>
    </xf>
    <xf numFmtId="43" fontId="3" fillId="0" borderId="0" xfId="6" applyFont="1" applyFill="1" applyAlignment="1">
      <alignment vertical="center"/>
    </xf>
    <xf numFmtId="43" fontId="2" fillId="5" borderId="0" xfId="6" applyFont="1" applyFill="1" applyBorder="1" applyAlignment="1">
      <alignment vertical="center"/>
    </xf>
    <xf numFmtId="43" fontId="1" fillId="0" borderId="0" xfId="6" applyFont="1" applyFill="1" applyAlignment="1">
      <alignment vertical="center"/>
    </xf>
    <xf numFmtId="43" fontId="8" fillId="4" borderId="6" xfId="6" applyFont="1" applyFill="1" applyBorder="1" applyAlignment="1">
      <alignment vertical="center"/>
    </xf>
    <xf numFmtId="43" fontId="11" fillId="0" borderId="0" xfId="6" applyFont="1" applyBorder="1" applyAlignment="1">
      <alignment vertical="center"/>
    </xf>
    <xf numFmtId="43" fontId="2" fillId="4" borderId="0" xfId="6" applyFont="1" applyFill="1" applyBorder="1" applyAlignment="1">
      <alignment vertical="center"/>
    </xf>
    <xf numFmtId="43" fontId="2" fillId="0" borderId="0" xfId="6" quotePrefix="1" applyFont="1" applyBorder="1" applyAlignment="1">
      <alignment vertical="center"/>
    </xf>
    <xf numFmtId="43" fontId="2" fillId="3" borderId="0" xfId="6" applyFont="1" applyFill="1" applyBorder="1" applyAlignment="1">
      <alignment vertical="center"/>
    </xf>
    <xf numFmtId="43" fontId="2" fillId="0" borderId="0" xfId="6" quotePrefix="1" applyFont="1" applyFill="1" applyBorder="1" applyAlignment="1">
      <alignment vertical="center"/>
    </xf>
    <xf numFmtId="43" fontId="1" fillId="0" borderId="0" xfId="6" applyFont="1" applyAlignment="1">
      <alignment vertical="center"/>
    </xf>
    <xf numFmtId="43" fontId="13" fillId="6" borderId="6" xfId="6" applyFont="1" applyFill="1" applyBorder="1" applyAlignment="1">
      <alignment horizontal="center" vertical="center"/>
    </xf>
    <xf numFmtId="43" fontId="14" fillId="4" borderId="3" xfId="6" applyFont="1" applyFill="1" applyBorder="1" applyAlignment="1">
      <alignment horizontal="right" vertical="center"/>
    </xf>
    <xf numFmtId="43" fontId="14" fillId="5" borderId="0" xfId="6" applyFont="1" applyFill="1" applyBorder="1" applyAlignment="1">
      <alignment horizontal="center" vertical="center"/>
    </xf>
    <xf numFmtId="43" fontId="9" fillId="0" borderId="0" xfId="6" applyFont="1" applyFill="1" applyBorder="1" applyAlignment="1">
      <alignment horizontal="left" vertical="center"/>
    </xf>
    <xf numFmtId="43" fontId="6" fillId="0" borderId="0" xfId="6" applyFont="1" applyBorder="1" applyAlignment="1">
      <alignment vertical="center"/>
    </xf>
    <xf numFmtId="0" fontId="24" fillId="4" borderId="6" xfId="1" applyFont="1" applyFill="1" applyBorder="1" applyAlignment="1">
      <alignment horizontal="center" vertical="center" wrapText="1"/>
    </xf>
    <xf numFmtId="174" fontId="24" fillId="4" borderId="6" xfId="1" applyNumberFormat="1" applyFont="1" applyFill="1" applyBorder="1" applyAlignment="1">
      <alignment horizontal="center" vertical="center" wrapText="1"/>
    </xf>
    <xf numFmtId="43" fontId="24" fillId="4" borderId="6" xfId="6" applyFont="1" applyFill="1" applyBorder="1" applyAlignment="1">
      <alignment horizontal="center" vertical="center" wrapText="1"/>
    </xf>
    <xf numFmtId="43" fontId="22" fillId="4" borderId="6" xfId="6" applyFont="1" applyFill="1" applyBorder="1" applyAlignment="1">
      <alignment vertical="center"/>
    </xf>
    <xf numFmtId="0" fontId="24" fillId="0" borderId="0" xfId="1" applyFont="1" applyAlignment="1">
      <alignment horizontal="left" vertical="center" wrapText="1"/>
    </xf>
    <xf numFmtId="2" fontId="24" fillId="0" borderId="0" xfId="1" applyNumberFormat="1" applyFont="1" applyAlignment="1">
      <alignment horizontal="center" vertical="center" wrapText="1"/>
    </xf>
    <xf numFmtId="173" fontId="24" fillId="0" borderId="6" xfId="1" applyNumberFormat="1" applyFont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43" fontId="24" fillId="0" borderId="0" xfId="6" applyFont="1" applyAlignment="1">
      <alignment horizontal="left" vertical="center" wrapText="1"/>
    </xf>
    <xf numFmtId="43" fontId="24" fillId="0" borderId="6" xfId="6" applyFont="1" applyBorder="1" applyAlignment="1">
      <alignment horizontal="left" vertical="center" wrapText="1"/>
    </xf>
    <xf numFmtId="170" fontId="24" fillId="19" borderId="6" xfId="6" applyNumberFormat="1" applyFont="1" applyFill="1" applyBorder="1" applyAlignment="1">
      <alignment horizontal="right" vertical="center"/>
    </xf>
    <xf numFmtId="43" fontId="24" fillId="19" borderId="6" xfId="6" applyFont="1" applyFill="1" applyBorder="1" applyAlignment="1">
      <alignment horizontal="left" vertical="center" wrapText="1"/>
    </xf>
    <xf numFmtId="43" fontId="0" fillId="0" borderId="6" xfId="6" applyFont="1" applyBorder="1"/>
    <xf numFmtId="0" fontId="0" fillId="0" borderId="0" xfId="0" applyAlignment="1"/>
    <xf numFmtId="43" fontId="0" fillId="0" borderId="0" xfId="6" applyFont="1" applyAlignment="1"/>
    <xf numFmtId="43" fontId="23" fillId="0" borderId="0" xfId="6" applyFont="1" applyAlignment="1">
      <alignment horizontal="right" vertical="center" wrapText="1"/>
    </xf>
    <xf numFmtId="0" fontId="24" fillId="0" borderId="6" xfId="0" applyFont="1" applyBorder="1" applyAlignment="1">
      <alignment horizontal="center" vertical="center"/>
    </xf>
    <xf numFmtId="43" fontId="28" fillId="0" borderId="0" xfId="6" applyFont="1" applyAlignment="1">
      <alignment horizontal="right" vertical="center" wrapText="1"/>
    </xf>
    <xf numFmtId="2" fontId="23" fillId="5" borderId="0" xfId="1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43" fontId="24" fillId="5" borderId="6" xfId="6" applyFont="1" applyFill="1" applyBorder="1" applyAlignment="1">
      <alignment horizontal="right" vertical="center" wrapText="1"/>
    </xf>
    <xf numFmtId="0" fontId="30" fillId="5" borderId="0" xfId="7" applyFont="1" applyFill="1" applyBorder="1" applyAlignment="1" applyProtection="1">
      <alignment horizontal="center" vertical="center" wrapText="1"/>
      <protection hidden="1"/>
    </xf>
    <xf numFmtId="43" fontId="23" fillId="5" borderId="0" xfId="6" applyFont="1" applyFill="1" applyAlignment="1">
      <alignment horizontal="left" vertical="center" wrapText="1"/>
    </xf>
    <xf numFmtId="43" fontId="23" fillId="5" borderId="0" xfId="6" applyFont="1" applyFill="1" applyAlignment="1">
      <alignment horizontal="right" vertical="center" wrapText="1"/>
    </xf>
    <xf numFmtId="0" fontId="24" fillId="5" borderId="0" xfId="1" applyFont="1" applyFill="1" applyAlignment="1">
      <alignment horizontal="center" vertical="center" wrapText="1"/>
    </xf>
    <xf numFmtId="0" fontId="24" fillId="5" borderId="0" xfId="1" applyFont="1" applyFill="1" applyAlignment="1">
      <alignment horizontal="left" vertical="center" wrapText="1"/>
    </xf>
    <xf numFmtId="43" fontId="24" fillId="5" borderId="0" xfId="6" applyFont="1" applyFill="1" applyAlignment="1">
      <alignment horizontal="right" vertical="center" wrapText="1"/>
    </xf>
    <xf numFmtId="43" fontId="24" fillId="5" borderId="0" xfId="6" applyFont="1" applyFill="1" applyAlignment="1">
      <alignment horizontal="left" vertical="center" wrapText="1"/>
    </xf>
    <xf numFmtId="4" fontId="2" fillId="20" borderId="0" xfId="1" applyNumberFormat="1" applyFont="1" applyFill="1" applyBorder="1" applyAlignment="1"/>
    <xf numFmtId="4" fontId="6" fillId="21" borderId="6" xfId="1" applyNumberFormat="1" applyFont="1" applyFill="1" applyBorder="1" applyAlignment="1"/>
    <xf numFmtId="4" fontId="34" fillId="4" borderId="6" xfId="1" applyNumberFormat="1" applyFont="1" applyFill="1" applyBorder="1" applyAlignment="1">
      <alignment horizontal="center" vertical="center"/>
    </xf>
    <xf numFmtId="0" fontId="33" fillId="4" borderId="6" xfId="1" applyNumberFormat="1" applyFont="1" applyFill="1" applyBorder="1" applyAlignment="1">
      <alignment horizontal="center" vertical="center"/>
    </xf>
    <xf numFmtId="4" fontId="33" fillId="4" borderId="6" xfId="1" applyNumberFormat="1" applyFont="1" applyFill="1" applyBorder="1" applyAlignment="1">
      <alignment vertical="center" wrapText="1"/>
    </xf>
    <xf numFmtId="4" fontId="33" fillId="4" borderId="6" xfId="1" applyNumberFormat="1" applyFont="1" applyFill="1" applyBorder="1" applyAlignment="1">
      <alignment horizontal="center" vertical="center"/>
    </xf>
    <xf numFmtId="43" fontId="33" fillId="4" borderId="6" xfId="6" applyFont="1" applyFill="1" applyBorder="1" applyAlignment="1">
      <alignment horizontal="right" vertical="center"/>
    </xf>
    <xf numFmtId="4" fontId="33" fillId="4" borderId="3" xfId="1" applyNumberFormat="1" applyFont="1" applyFill="1" applyBorder="1" applyAlignment="1">
      <alignment horizontal="right" vertical="center"/>
    </xf>
    <xf numFmtId="4" fontId="33" fillId="4" borderId="6" xfId="1" applyNumberFormat="1" applyFont="1" applyFill="1" applyBorder="1" applyAlignment="1">
      <alignment horizontal="right" vertical="center"/>
    </xf>
    <xf numFmtId="1" fontId="33" fillId="4" borderId="6" xfId="1" applyNumberFormat="1" applyFont="1" applyFill="1" applyBorder="1" applyAlignment="1">
      <alignment horizontal="center" vertical="center"/>
    </xf>
    <xf numFmtId="4" fontId="33" fillId="4" borderId="3" xfId="1" applyNumberFormat="1" applyFont="1" applyFill="1" applyBorder="1" applyAlignment="1">
      <alignment horizontal="center" vertical="center"/>
    </xf>
    <xf numFmtId="4" fontId="33" fillId="4" borderId="6" xfId="1" applyNumberFormat="1" applyFont="1" applyFill="1" applyBorder="1" applyAlignment="1">
      <alignment vertical="center"/>
    </xf>
    <xf numFmtId="0" fontId="33" fillId="4" borderId="6" xfId="1" applyFont="1" applyFill="1" applyBorder="1" applyAlignment="1">
      <alignment vertical="center" wrapText="1"/>
    </xf>
    <xf numFmtId="167" fontId="33" fillId="4" borderId="6" xfId="2" applyFont="1" applyFill="1" applyBorder="1" applyAlignment="1">
      <alignment vertical="center"/>
    </xf>
    <xf numFmtId="4" fontId="33" fillId="4" borderId="6" xfId="1" applyNumberFormat="1" applyFont="1" applyFill="1" applyBorder="1" applyAlignment="1">
      <alignment horizontal="left" vertical="center" wrapText="1"/>
    </xf>
    <xf numFmtId="0" fontId="33" fillId="4" borderId="6" xfId="1" applyNumberFormat="1" applyFont="1" applyFill="1" applyBorder="1" applyAlignment="1">
      <alignment horizontal="center" vertical="center" wrapText="1"/>
    </xf>
    <xf numFmtId="0" fontId="33" fillId="4" borderId="6" xfId="1" applyFont="1" applyFill="1" applyBorder="1" applyAlignment="1">
      <alignment vertical="center"/>
    </xf>
    <xf numFmtId="4" fontId="34" fillId="4" borderId="6" xfId="1" applyNumberFormat="1" applyFont="1" applyFill="1" applyBorder="1" applyAlignment="1">
      <alignment vertical="center"/>
    </xf>
    <xf numFmtId="4" fontId="33" fillId="14" borderId="2" xfId="0" applyNumberFormat="1" applyFont="1" applyFill="1" applyBorder="1" applyAlignment="1">
      <alignment horizontal="center" vertical="center"/>
    </xf>
    <xf numFmtId="4" fontId="34" fillId="4" borderId="6" xfId="1" applyNumberFormat="1" applyFont="1" applyFill="1" applyBorder="1" applyAlignment="1">
      <alignment horizontal="right" vertical="center"/>
    </xf>
    <xf numFmtId="43" fontId="33" fillId="4" borderId="6" xfId="6" applyFont="1" applyFill="1" applyBorder="1" applyAlignment="1">
      <alignment vertical="center"/>
    </xf>
    <xf numFmtId="4" fontId="33" fillId="4" borderId="3" xfId="1" applyNumberFormat="1" applyFont="1" applyFill="1" applyBorder="1" applyAlignment="1">
      <alignment vertical="center"/>
    </xf>
    <xf numFmtId="4" fontId="33" fillId="4" borderId="1" xfId="1" applyNumberFormat="1" applyFont="1" applyFill="1" applyBorder="1" applyAlignment="1">
      <alignment horizontal="right" vertical="center"/>
    </xf>
    <xf numFmtId="43" fontId="33" fillId="4" borderId="1" xfId="6" applyFont="1" applyFill="1" applyBorder="1" applyAlignment="1">
      <alignment horizontal="right" vertical="center"/>
    </xf>
    <xf numFmtId="4" fontId="33" fillId="4" borderId="2" xfId="1" applyNumberFormat="1" applyFont="1" applyFill="1" applyBorder="1" applyAlignment="1">
      <alignment horizontal="right" vertical="center"/>
    </xf>
    <xf numFmtId="4" fontId="33" fillId="4" borderId="6" xfId="1" applyNumberFormat="1" applyFont="1" applyFill="1" applyBorder="1" applyAlignment="1">
      <alignment horizontal="center" vertical="center" wrapText="1"/>
    </xf>
    <xf numFmtId="4" fontId="33" fillId="4" borderId="1" xfId="1" applyNumberFormat="1" applyFont="1" applyFill="1" applyBorder="1" applyAlignment="1">
      <alignment horizontal="center" vertical="center"/>
    </xf>
    <xf numFmtId="43" fontId="33" fillId="4" borderId="0" xfId="6" applyFont="1" applyFill="1" applyBorder="1" applyAlignment="1">
      <alignment vertical="center" wrapText="1"/>
    </xf>
    <xf numFmtId="43" fontId="33" fillId="4" borderId="3" xfId="6" applyFont="1" applyFill="1" applyBorder="1" applyAlignment="1">
      <alignment horizontal="right" vertical="center"/>
    </xf>
    <xf numFmtId="4" fontId="33" fillId="7" borderId="6" xfId="3" applyNumberFormat="1" applyFont="1" applyFill="1" applyBorder="1" applyAlignment="1">
      <alignment vertical="center" wrapText="1"/>
    </xf>
    <xf numFmtId="3" fontId="33" fillId="4" borderId="6" xfId="1" applyNumberFormat="1" applyFont="1" applyFill="1" applyBorder="1" applyAlignment="1">
      <alignment vertical="center" wrapText="1"/>
    </xf>
    <xf numFmtId="0" fontId="33" fillId="4" borderId="4" xfId="1" applyNumberFormat="1" applyFont="1" applyFill="1" applyBorder="1" applyAlignment="1">
      <alignment horizontal="center" vertical="center"/>
    </xf>
    <xf numFmtId="4" fontId="33" fillId="4" borderId="4" xfId="1" applyNumberFormat="1" applyFont="1" applyFill="1" applyBorder="1" applyAlignment="1">
      <alignment vertical="center" wrapText="1"/>
    </xf>
    <xf numFmtId="4" fontId="33" fillId="4" borderId="4" xfId="1" applyNumberFormat="1" applyFont="1" applyFill="1" applyBorder="1" applyAlignment="1">
      <alignment horizontal="right" vertical="center"/>
    </xf>
    <xf numFmtId="43" fontId="33" fillId="4" borderId="4" xfId="6" applyFont="1" applyFill="1" applyBorder="1" applyAlignment="1">
      <alignment horizontal="right" vertical="center"/>
    </xf>
    <xf numFmtId="43" fontId="33" fillId="4" borderId="6" xfId="6" applyFont="1" applyFill="1" applyBorder="1" applyAlignment="1">
      <alignment horizontal="center" vertical="center"/>
    </xf>
    <xf numFmtId="4" fontId="34" fillId="4" borderId="0" xfId="1" applyNumberFormat="1" applyFont="1" applyFill="1" applyBorder="1" applyAlignment="1">
      <alignment vertical="center"/>
    </xf>
    <xf numFmtId="4" fontId="34" fillId="4" borderId="0" xfId="1" applyNumberFormat="1" applyFont="1" applyFill="1" applyBorder="1" applyAlignment="1">
      <alignment horizontal="center" vertical="center"/>
    </xf>
    <xf numFmtId="43" fontId="34" fillId="4" borderId="0" xfId="6" applyFont="1" applyFill="1" applyBorder="1" applyAlignment="1">
      <alignment vertical="center"/>
    </xf>
    <xf numFmtId="43" fontId="32" fillId="0" borderId="0" xfId="6" applyFont="1" applyBorder="1" applyAlignment="1"/>
    <xf numFmtId="4" fontId="32" fillId="0" borderId="0" xfId="1" applyNumberFormat="1" applyFont="1" applyBorder="1" applyAlignment="1"/>
    <xf numFmtId="4" fontId="32" fillId="0" borderId="0" xfId="1" applyNumberFormat="1" applyFont="1" applyFill="1"/>
    <xf numFmtId="4" fontId="32" fillId="4" borderId="6" xfId="1" applyNumberFormat="1" applyFont="1" applyFill="1" applyBorder="1" applyAlignment="1"/>
    <xf numFmtId="4" fontId="32" fillId="0" borderId="0" xfId="1" applyNumberFormat="1" applyFont="1" applyAlignment="1"/>
    <xf numFmtId="4" fontId="32" fillId="4" borderId="0" xfId="1" applyNumberFormat="1" applyFont="1" applyFill="1" applyBorder="1" applyAlignment="1"/>
    <xf numFmtId="4" fontId="32" fillId="0" borderId="0" xfId="1" applyNumberFormat="1" applyFont="1" applyFill="1" applyBorder="1" applyAlignment="1"/>
    <xf numFmtId="4" fontId="32" fillId="6" borderId="0" xfId="1" applyNumberFormat="1" applyFont="1" applyFill="1" applyBorder="1" applyAlignment="1"/>
    <xf numFmtId="4" fontId="38" fillId="0" borderId="0" xfId="1" applyNumberFormat="1" applyFont="1" applyBorder="1" applyAlignment="1"/>
    <xf numFmtId="43" fontId="38" fillId="0" borderId="0" xfId="6" applyFont="1" applyBorder="1" applyAlignment="1"/>
    <xf numFmtId="167" fontId="24" fillId="18" borderId="6" xfId="2" applyFont="1" applyFill="1" applyBorder="1" applyAlignment="1">
      <alignment horizontal="right"/>
    </xf>
    <xf numFmtId="4" fontId="32" fillId="3" borderId="0" xfId="1" applyNumberFormat="1" applyFont="1" applyFill="1" applyBorder="1" applyAlignment="1"/>
    <xf numFmtId="10" fontId="3" fillId="3" borderId="0" xfId="14" applyNumberFormat="1" applyFont="1" applyFill="1" applyBorder="1" applyAlignment="1"/>
    <xf numFmtId="4" fontId="34" fillId="4" borderId="0" xfId="1" applyNumberFormat="1" applyFont="1" applyFill="1" applyBorder="1" applyAlignment="1">
      <alignment horizontal="right" vertical="center"/>
    </xf>
    <xf numFmtId="43" fontId="39" fillId="0" borderId="0" xfId="6" applyFont="1" applyBorder="1" applyAlignment="1">
      <alignment vertical="center"/>
    </xf>
    <xf numFmtId="0" fontId="34" fillId="4" borderId="6" xfId="15" applyFont="1" applyFill="1" applyBorder="1" applyAlignment="1">
      <alignment horizontal="center" vertical="center"/>
    </xf>
    <xf numFmtId="10" fontId="34" fillId="4" borderId="32" xfId="15" applyNumberFormat="1" applyFont="1" applyFill="1" applyBorder="1" applyAlignment="1">
      <alignment horizontal="center" vertical="center"/>
    </xf>
    <xf numFmtId="4" fontId="34" fillId="4" borderId="0" xfId="0" applyNumberFormat="1" applyFont="1" applyFill="1" applyAlignment="1">
      <alignment vertical="center"/>
    </xf>
    <xf numFmtId="0" fontId="41" fillId="0" borderId="4" xfId="0" applyFont="1" applyBorder="1" applyAlignment="1">
      <alignment vertical="center" wrapText="1"/>
    </xf>
    <xf numFmtId="0" fontId="41" fillId="0" borderId="33" xfId="0" applyFont="1" applyBorder="1" applyAlignment="1">
      <alignment vertical="center" wrapText="1"/>
    </xf>
    <xf numFmtId="0" fontId="34" fillId="0" borderId="31" xfId="1" applyFont="1" applyBorder="1" applyAlignment="1">
      <alignment vertical="center" readingOrder="1"/>
    </xf>
    <xf numFmtId="0" fontId="34" fillId="0" borderId="5" xfId="1" applyFont="1" applyBorder="1" applyAlignment="1">
      <alignment vertical="center" readingOrder="1"/>
    </xf>
    <xf numFmtId="44" fontId="34" fillId="4" borderId="6" xfId="13" applyFont="1" applyFill="1" applyBorder="1" applyAlignment="1">
      <alignment horizontal="center" vertical="center"/>
    </xf>
    <xf numFmtId="10" fontId="34" fillId="4" borderId="32" xfId="5" applyNumberFormat="1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vertical="center" wrapText="1"/>
    </xf>
    <xf numFmtId="0" fontId="34" fillId="4" borderId="35" xfId="0" applyFont="1" applyFill="1" applyBorder="1" applyAlignment="1">
      <alignment vertical="center" wrapText="1"/>
    </xf>
    <xf numFmtId="0" fontId="34" fillId="4" borderId="36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32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left" vertical="center"/>
    </xf>
    <xf numFmtId="10" fontId="33" fillId="4" borderId="41" xfId="5" applyNumberFormat="1" applyFont="1" applyFill="1" applyBorder="1" applyAlignment="1">
      <alignment horizontal="center" vertical="center" wrapText="1"/>
    </xf>
    <xf numFmtId="10" fontId="33" fillId="4" borderId="42" xfId="5" applyNumberFormat="1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left" vertical="center" wrapText="1"/>
    </xf>
    <xf numFmtId="10" fontId="42" fillId="4" borderId="43" xfId="5" applyNumberFormat="1" applyFont="1" applyFill="1" applyBorder="1" applyAlignment="1">
      <alignment horizontal="center" vertical="center" wrapText="1"/>
    </xf>
    <xf numFmtId="10" fontId="42" fillId="4" borderId="42" xfId="5" applyNumberFormat="1" applyFont="1" applyFill="1" applyBorder="1" applyAlignment="1">
      <alignment horizontal="center" vertical="center" wrapText="1"/>
    </xf>
    <xf numFmtId="10" fontId="42" fillId="4" borderId="43" xfId="5" applyNumberFormat="1" applyFont="1" applyFill="1" applyBorder="1" applyAlignment="1">
      <alignment horizontal="center" vertical="center"/>
    </xf>
    <xf numFmtId="10" fontId="42" fillId="4" borderId="42" xfId="5" applyNumberFormat="1" applyFont="1" applyFill="1" applyBorder="1" applyAlignment="1">
      <alignment horizontal="center" vertical="center"/>
    </xf>
    <xf numFmtId="10" fontId="33" fillId="4" borderId="41" xfId="5" applyNumberFormat="1" applyFont="1" applyFill="1" applyBorder="1" applyAlignment="1">
      <alignment horizontal="center" vertical="center"/>
    </xf>
    <xf numFmtId="10" fontId="33" fillId="4" borderId="42" xfId="5" applyNumberFormat="1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 wrapText="1"/>
    </xf>
    <xf numFmtId="10" fontId="34" fillId="4" borderId="41" xfId="5" applyNumberFormat="1" applyFont="1" applyFill="1" applyBorder="1" applyAlignment="1">
      <alignment horizontal="center" vertical="center" wrapText="1"/>
    </xf>
    <xf numFmtId="10" fontId="34" fillId="4" borderId="42" xfId="5" applyNumberFormat="1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/>
    </xf>
    <xf numFmtId="0" fontId="34" fillId="4" borderId="47" xfId="0" applyFont="1" applyFill="1" applyBorder="1" applyAlignment="1">
      <alignment horizontal="center" vertical="center"/>
    </xf>
    <xf numFmtId="0" fontId="34" fillId="4" borderId="48" xfId="0" applyFont="1" applyFill="1" applyBorder="1" applyAlignment="1">
      <alignment horizontal="center" vertical="center" wrapText="1"/>
    </xf>
    <xf numFmtId="10" fontId="34" fillId="4" borderId="48" xfId="5" applyNumberFormat="1" applyFont="1" applyFill="1" applyBorder="1" applyAlignment="1">
      <alignment horizontal="center" vertical="center" wrapText="1"/>
    </xf>
    <xf numFmtId="10" fontId="34" fillId="4" borderId="49" xfId="5" applyNumberFormat="1" applyFont="1" applyFill="1" applyBorder="1" applyAlignment="1">
      <alignment horizontal="center" vertical="center" wrapText="1"/>
    </xf>
    <xf numFmtId="10" fontId="34" fillId="4" borderId="21" xfId="0" applyNumberFormat="1" applyFont="1" applyFill="1" applyBorder="1" applyAlignment="1">
      <alignment horizontal="center" vertical="center" wrapText="1"/>
    </xf>
    <xf numFmtId="10" fontId="34" fillId="4" borderId="50" xfId="0" applyNumberFormat="1" applyFont="1" applyFill="1" applyBorder="1" applyAlignment="1">
      <alignment horizontal="center" vertical="center" wrapText="1"/>
    </xf>
    <xf numFmtId="4" fontId="34" fillId="4" borderId="51" xfId="0" applyNumberFormat="1" applyFont="1" applyFill="1" applyBorder="1" applyAlignment="1">
      <alignment vertical="center"/>
    </xf>
    <xf numFmtId="0" fontId="43" fillId="0" borderId="4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6" xfId="0" applyFont="1" applyBorder="1"/>
    <xf numFmtId="0" fontId="34" fillId="0" borderId="6" xfId="0" applyFont="1" applyBorder="1" applyAlignment="1">
      <alignment horizontal="center" vertical="center"/>
    </xf>
    <xf numFmtId="43" fontId="34" fillId="0" borderId="6" xfId="6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3" fillId="0" borderId="6" xfId="0" applyFont="1" applyBorder="1" applyAlignment="1">
      <alignment horizontal="center" vertical="center"/>
    </xf>
    <xf numFmtId="43" fontId="23" fillId="0" borderId="6" xfId="6" applyFont="1" applyBorder="1" applyAlignment="1">
      <alignment horizontal="right"/>
    </xf>
    <xf numFmtId="0" fontId="24" fillId="0" borderId="6" xfId="0" applyFont="1" applyBorder="1"/>
    <xf numFmtId="0" fontId="23" fillId="0" borderId="6" xfId="0" applyFont="1" applyBorder="1" applyAlignment="1">
      <alignment horizontal="left"/>
    </xf>
    <xf numFmtId="0" fontId="23" fillId="5" borderId="6" xfId="1" applyFont="1" applyFill="1" applyBorder="1" applyAlignment="1">
      <alignment horizontal="center" vertical="center"/>
    </xf>
    <xf numFmtId="0" fontId="23" fillId="5" borderId="6" xfId="1" applyFont="1" applyFill="1" applyBorder="1" applyAlignment="1">
      <alignment horizontal="left" vertical="center" wrapText="1"/>
    </xf>
    <xf numFmtId="0" fontId="23" fillId="5" borderId="6" xfId="1" applyFont="1" applyFill="1" applyBorder="1" applyAlignment="1">
      <alignment horizontal="center" vertical="center" wrapText="1"/>
    </xf>
    <xf numFmtId="2" fontId="23" fillId="5" borderId="6" xfId="1" applyNumberFormat="1" applyFont="1" applyFill="1" applyBorder="1" applyAlignment="1">
      <alignment horizontal="center" vertical="center" wrapText="1"/>
    </xf>
    <xf numFmtId="0" fontId="25" fillId="15" borderId="6" xfId="12" applyFont="1" applyFill="1" applyBorder="1" applyAlignment="1">
      <alignment horizontal="center" vertical="center"/>
    </xf>
    <xf numFmtId="10" fontId="36" fillId="4" borderId="6" xfId="5" applyNumberFormat="1" applyFont="1" applyFill="1" applyBorder="1" applyAlignment="1">
      <alignment horizontal="center"/>
    </xf>
    <xf numFmtId="0" fontId="35" fillId="4" borderId="6" xfId="12" applyFont="1" applyFill="1" applyBorder="1" applyAlignment="1">
      <alignment horizontal="center" vertical="center"/>
    </xf>
    <xf numFmtId="0" fontId="35" fillId="4" borderId="6" xfId="12" applyFont="1" applyFill="1" applyBorder="1" applyAlignment="1">
      <alignment vertical="center" wrapText="1"/>
    </xf>
    <xf numFmtId="10" fontId="35" fillId="4" borderId="6" xfId="5" applyNumberFormat="1" applyFont="1" applyFill="1" applyBorder="1" applyAlignment="1">
      <alignment horizontal="center" vertical="center"/>
    </xf>
    <xf numFmtId="0" fontId="35" fillId="4" borderId="6" xfId="12" applyFont="1" applyFill="1" applyBorder="1" applyAlignment="1">
      <alignment horizontal="right" vertical="center" wrapText="1"/>
    </xf>
    <xf numFmtId="0" fontId="35" fillId="4" borderId="6" xfId="12" applyFont="1" applyFill="1" applyBorder="1" applyAlignment="1">
      <alignment vertical="center"/>
    </xf>
    <xf numFmtId="0" fontId="36" fillId="4" borderId="6" xfId="12" applyFont="1" applyFill="1" applyBorder="1" applyAlignment="1">
      <alignment horizontal="right" vertical="center"/>
    </xf>
    <xf numFmtId="9" fontId="36" fillId="4" borderId="6" xfId="12" applyNumberFormat="1" applyFont="1" applyFill="1" applyBorder="1" applyAlignment="1">
      <alignment horizontal="right" vertical="center"/>
    </xf>
    <xf numFmtId="9" fontId="35" fillId="4" borderId="6" xfId="12" applyNumberFormat="1" applyFont="1" applyFill="1" applyBorder="1" applyAlignment="1">
      <alignment horizontal="right" vertical="center"/>
    </xf>
    <xf numFmtId="10" fontId="36" fillId="4" borderId="6" xfId="5" applyNumberFormat="1" applyFont="1" applyFill="1" applyBorder="1" applyAlignment="1">
      <alignment horizontal="center" vertical="center"/>
    </xf>
    <xf numFmtId="0" fontId="36" fillId="4" borderId="6" xfId="12" applyFont="1" applyFill="1" applyBorder="1" applyAlignment="1"/>
    <xf numFmtId="0" fontId="23" fillId="4" borderId="0" xfId="12" applyFont="1" applyFill="1"/>
    <xf numFmtId="0" fontId="23" fillId="4" borderId="0" xfId="12" applyFont="1" applyFill="1" applyAlignment="1">
      <alignment horizontal="right"/>
    </xf>
    <xf numFmtId="0" fontId="23" fillId="0" borderId="0" xfId="12" applyFont="1"/>
    <xf numFmtId="43" fontId="33" fillId="4" borderId="6" xfId="6" applyFont="1" applyFill="1" applyBorder="1" applyAlignment="1">
      <alignment vertical="center" wrapText="1"/>
    </xf>
    <xf numFmtId="43" fontId="34" fillId="4" borderId="6" xfId="6" applyFont="1" applyFill="1" applyBorder="1" applyAlignment="1">
      <alignment horizontal="right" vertical="center"/>
    </xf>
    <xf numFmtId="43" fontId="33" fillId="4" borderId="3" xfId="6" applyFont="1" applyFill="1" applyBorder="1" applyAlignment="1">
      <alignment vertical="center"/>
    </xf>
    <xf numFmtId="43" fontId="34" fillId="4" borderId="3" xfId="6" applyFont="1" applyFill="1" applyBorder="1" applyAlignment="1">
      <alignment vertical="center"/>
    </xf>
    <xf numFmtId="43" fontId="34" fillId="4" borderId="6" xfId="6" applyFont="1" applyFill="1" applyBorder="1" applyAlignment="1">
      <alignment vertical="center"/>
    </xf>
    <xf numFmtId="43" fontId="34" fillId="4" borderId="3" xfId="6" applyFont="1" applyFill="1" applyBorder="1" applyAlignment="1">
      <alignment horizontal="right" vertical="center"/>
    </xf>
    <xf numFmtId="43" fontId="50" fillId="4" borderId="0" xfId="6" applyFont="1" applyFill="1" applyBorder="1" applyAlignment="1">
      <alignment vertical="center"/>
    </xf>
    <xf numFmtId="4" fontId="33" fillId="0" borderId="0" xfId="1" applyNumberFormat="1" applyFont="1"/>
    <xf numFmtId="4" fontId="33" fillId="0" borderId="0" xfId="1" applyNumberFormat="1" applyFont="1" applyFill="1"/>
    <xf numFmtId="10" fontId="33" fillId="0" borderId="0" xfId="1" applyNumberFormat="1" applyFont="1" applyFill="1"/>
    <xf numFmtId="4" fontId="33" fillId="0" borderId="0" xfId="1" applyNumberFormat="1" applyFont="1" applyAlignment="1">
      <alignment horizontal="center"/>
    </xf>
    <xf numFmtId="4" fontId="33" fillId="0" borderId="0" xfId="1" applyNumberFormat="1" applyFont="1" applyFill="1" applyAlignment="1">
      <alignment horizontal="center"/>
    </xf>
    <xf numFmtId="0" fontId="33" fillId="0" borderId="0" xfId="1" applyFont="1" applyFill="1"/>
    <xf numFmtId="0" fontId="33" fillId="0" borderId="0" xfId="1" applyFont="1"/>
    <xf numFmtId="9" fontId="34" fillId="2" borderId="20" xfId="1" applyNumberFormat="1" applyFont="1" applyFill="1" applyBorder="1" applyAlignment="1">
      <alignment horizontal="center"/>
    </xf>
    <xf numFmtId="0" fontId="34" fillId="2" borderId="21" xfId="1" applyNumberFormat="1" applyFont="1" applyFill="1" applyBorder="1" applyAlignment="1">
      <alignment horizontal="center"/>
    </xf>
    <xf numFmtId="10" fontId="34" fillId="2" borderId="21" xfId="1" applyNumberFormat="1" applyFont="1" applyFill="1" applyBorder="1" applyAlignment="1">
      <alignment horizontal="center"/>
    </xf>
    <xf numFmtId="10" fontId="34" fillId="2" borderId="22" xfId="1" applyNumberFormat="1" applyFont="1" applyFill="1" applyBorder="1" applyAlignment="1">
      <alignment horizontal="center"/>
    </xf>
    <xf numFmtId="4" fontId="33" fillId="0" borderId="6" xfId="1" applyNumberFormat="1" applyFont="1" applyBorder="1" applyAlignment="1">
      <alignment horizontal="center"/>
    </xf>
    <xf numFmtId="4" fontId="33" fillId="0" borderId="6" xfId="1" applyNumberFormat="1" applyFont="1" applyBorder="1"/>
    <xf numFmtId="9" fontId="33" fillId="0" borderId="6" xfId="1" applyNumberFormat="1" applyFont="1" applyFill="1" applyBorder="1"/>
    <xf numFmtId="4" fontId="33" fillId="0" borderId="6" xfId="1" applyNumberFormat="1" applyFont="1" applyFill="1" applyBorder="1"/>
    <xf numFmtId="167" fontId="33" fillId="0" borderId="6" xfId="2" applyFont="1" applyBorder="1"/>
    <xf numFmtId="4" fontId="33" fillId="8" borderId="6" xfId="1" applyNumberFormat="1" applyFont="1" applyFill="1" applyBorder="1"/>
    <xf numFmtId="9" fontId="33" fillId="4" borderId="6" xfId="1" applyNumberFormat="1" applyFont="1" applyFill="1" applyBorder="1"/>
    <xf numFmtId="4" fontId="33" fillId="4" borderId="6" xfId="1" applyNumberFormat="1" applyFont="1" applyFill="1" applyBorder="1"/>
    <xf numFmtId="0" fontId="33" fillId="0" borderId="6" xfId="1" applyFont="1" applyBorder="1" applyAlignment="1">
      <alignment horizontal="center"/>
    </xf>
    <xf numFmtId="4" fontId="33" fillId="0" borderId="6" xfId="1" applyNumberFormat="1" applyFont="1" applyBorder="1" applyAlignment="1">
      <alignment wrapText="1"/>
    </xf>
    <xf numFmtId="9" fontId="37" fillId="8" borderId="6" xfId="1" applyNumberFormat="1" applyFont="1" applyFill="1" applyBorder="1"/>
    <xf numFmtId="4" fontId="37" fillId="8" borderId="6" xfId="1" applyNumberFormat="1" applyFont="1" applyFill="1" applyBorder="1"/>
    <xf numFmtId="0" fontId="33" fillId="6" borderId="6" xfId="1" applyFont="1" applyFill="1" applyBorder="1" applyAlignment="1">
      <alignment horizontal="center"/>
    </xf>
    <xf numFmtId="4" fontId="33" fillId="6" borderId="6" xfId="1" applyNumberFormat="1" applyFont="1" applyFill="1" applyBorder="1"/>
    <xf numFmtId="10" fontId="33" fillId="0" borderId="6" xfId="5" applyNumberFormat="1" applyFont="1" applyFill="1" applyBorder="1"/>
    <xf numFmtId="0" fontId="33" fillId="0" borderId="6" xfId="1" applyFont="1" applyBorder="1"/>
    <xf numFmtId="10" fontId="33" fillId="2" borderId="6" xfId="1" applyNumberFormat="1" applyFont="1" applyFill="1" applyBorder="1"/>
    <xf numFmtId="4" fontId="33" fillId="2" borderId="6" xfId="1" applyNumberFormat="1" applyFont="1" applyFill="1" applyBorder="1"/>
    <xf numFmtId="9" fontId="33" fillId="0" borderId="6" xfId="1" applyNumberFormat="1" applyFont="1" applyFill="1" applyBorder="1" applyAlignment="1">
      <alignment horizontal="center"/>
    </xf>
    <xf numFmtId="4" fontId="33" fillId="8" borderId="6" xfId="1" applyNumberFormat="1" applyFont="1" applyFill="1" applyBorder="1" applyAlignment="1">
      <alignment horizontal="center"/>
    </xf>
    <xf numFmtId="9" fontId="37" fillId="8" borderId="6" xfId="1" applyNumberFormat="1" applyFont="1" applyFill="1" applyBorder="1" applyAlignment="1">
      <alignment horizontal="center"/>
    </xf>
    <xf numFmtId="10" fontId="33" fillId="2" borderId="6" xfId="1" applyNumberFormat="1" applyFont="1" applyFill="1" applyBorder="1" applyAlignment="1">
      <alignment horizontal="center"/>
    </xf>
    <xf numFmtId="0" fontId="33" fillId="0" borderId="0" xfId="1" applyFont="1" applyFill="1" applyAlignment="1">
      <alignment horizontal="center"/>
    </xf>
    <xf numFmtId="10" fontId="33" fillId="0" borderId="0" xfId="1" applyNumberFormat="1" applyFont="1" applyFill="1" applyAlignment="1">
      <alignment horizontal="center"/>
    </xf>
    <xf numFmtId="4" fontId="33" fillId="4" borderId="6" xfId="1" applyNumberFormat="1" applyFont="1" applyFill="1" applyBorder="1" applyAlignment="1">
      <alignment horizontal="center"/>
    </xf>
    <xf numFmtId="10" fontId="33" fillId="0" borderId="6" xfId="1" applyNumberFormat="1" applyFont="1" applyFill="1" applyBorder="1" applyAlignment="1">
      <alignment horizontal="center"/>
    </xf>
    <xf numFmtId="4" fontId="37" fillId="8" borderId="6" xfId="1" applyNumberFormat="1" applyFont="1" applyFill="1" applyBorder="1" applyAlignment="1">
      <alignment horizontal="center"/>
    </xf>
    <xf numFmtId="10" fontId="33" fillId="0" borderId="6" xfId="5" applyNumberFormat="1" applyFont="1" applyFill="1" applyBorder="1" applyAlignment="1">
      <alignment horizontal="center"/>
    </xf>
    <xf numFmtId="10" fontId="37" fillId="8" borderId="6" xfId="1" applyNumberFormat="1" applyFont="1" applyFill="1" applyBorder="1" applyAlignment="1">
      <alignment horizontal="center"/>
    </xf>
    <xf numFmtId="9" fontId="33" fillId="0" borderId="6" xfId="5" applyFont="1" applyFill="1" applyBorder="1" applyAlignment="1">
      <alignment horizontal="center"/>
    </xf>
    <xf numFmtId="4" fontId="33" fillId="0" borderId="6" xfId="1" applyNumberFormat="1" applyFont="1" applyFill="1" applyBorder="1" applyAlignment="1">
      <alignment horizontal="center"/>
    </xf>
    <xf numFmtId="9" fontId="33" fillId="2" borderId="6" xfId="5" applyFont="1" applyFill="1" applyBorder="1" applyAlignment="1">
      <alignment horizontal="center"/>
    </xf>
    <xf numFmtId="4" fontId="33" fillId="2" borderId="6" xfId="1" applyNumberFormat="1" applyFont="1" applyFill="1" applyBorder="1" applyAlignment="1">
      <alignment horizontal="center"/>
    </xf>
    <xf numFmtId="10" fontId="33" fillId="0" borderId="6" xfId="1" applyNumberFormat="1" applyFont="1" applyBorder="1" applyAlignment="1">
      <alignment horizontal="center"/>
    </xf>
    <xf numFmtId="9" fontId="33" fillId="0" borderId="0" xfId="1" applyNumberFormat="1" applyFont="1" applyFill="1" applyAlignment="1">
      <alignment horizontal="center"/>
    </xf>
    <xf numFmtId="9" fontId="33" fillId="0" borderId="0" xfId="1" applyNumberFormat="1" applyFont="1" applyAlignment="1">
      <alignment horizontal="center"/>
    </xf>
    <xf numFmtId="4" fontId="33" fillId="6" borderId="6" xfId="1" applyNumberFormat="1" applyFont="1" applyFill="1" applyBorder="1" applyAlignment="1">
      <alignment horizontal="center"/>
    </xf>
    <xf numFmtId="9" fontId="33" fillId="4" borderId="6" xfId="1" applyNumberFormat="1" applyFont="1" applyFill="1" applyBorder="1" applyAlignment="1">
      <alignment horizontal="center"/>
    </xf>
    <xf numFmtId="10" fontId="33" fillId="0" borderId="1" xfId="1" applyNumberFormat="1" applyFont="1" applyFill="1" applyBorder="1" applyAlignment="1">
      <alignment horizontal="center"/>
    </xf>
    <xf numFmtId="10" fontId="34" fillId="2" borderId="6" xfId="1" applyNumberFormat="1" applyFont="1" applyFill="1" applyBorder="1" applyAlignment="1">
      <alignment horizontal="center"/>
    </xf>
    <xf numFmtId="0" fontId="34" fillId="2" borderId="19" xfId="1" applyFont="1" applyFill="1" applyBorder="1" applyAlignment="1"/>
    <xf numFmtId="4" fontId="33" fillId="0" borderId="26" xfId="1" applyNumberFormat="1" applyFont="1" applyBorder="1" applyAlignment="1">
      <alignment horizontal="center"/>
    </xf>
    <xf numFmtId="4" fontId="34" fillId="0" borderId="0" xfId="1" applyNumberFormat="1" applyFont="1" applyBorder="1" applyAlignment="1">
      <alignment horizontal="center"/>
    </xf>
    <xf numFmtId="10" fontId="34" fillId="0" borderId="0" xfId="1" applyNumberFormat="1" applyFont="1" applyBorder="1" applyAlignment="1">
      <alignment horizontal="center"/>
    </xf>
    <xf numFmtId="4" fontId="33" fillId="0" borderId="0" xfId="1" applyNumberFormat="1" applyFont="1" applyBorder="1"/>
    <xf numFmtId="0" fontId="33" fillId="0" borderId="0" xfId="1" applyFont="1" applyFill="1" applyBorder="1" applyAlignment="1">
      <alignment horizontal="center"/>
    </xf>
    <xf numFmtId="4" fontId="33" fillId="0" borderId="0" xfId="1" applyNumberFormat="1" applyFont="1" applyBorder="1" applyAlignment="1">
      <alignment horizontal="center"/>
    </xf>
    <xf numFmtId="4" fontId="33" fillId="0" borderId="27" xfId="1" applyNumberFormat="1" applyFont="1" applyBorder="1" applyAlignment="1">
      <alignment horizontal="center"/>
    </xf>
    <xf numFmtId="4" fontId="33" fillId="0" borderId="26" xfId="1" applyNumberFormat="1" applyFont="1" applyBorder="1" applyAlignment="1"/>
    <xf numFmtId="4" fontId="33" fillId="0" borderId="0" xfId="1" applyNumberFormat="1" applyFont="1" applyBorder="1" applyAlignment="1"/>
    <xf numFmtId="4" fontId="33" fillId="0" borderId="0" xfId="1" applyNumberFormat="1" applyFont="1" applyFill="1" applyBorder="1"/>
    <xf numFmtId="10" fontId="33" fillId="0" borderId="0" xfId="1" applyNumberFormat="1" applyFont="1" applyFill="1" applyBorder="1"/>
    <xf numFmtId="0" fontId="33" fillId="0" borderId="0" xfId="1" applyFont="1" applyBorder="1"/>
    <xf numFmtId="4" fontId="33" fillId="0" borderId="26" xfId="1" applyNumberFormat="1" applyFont="1" applyBorder="1"/>
    <xf numFmtId="9" fontId="33" fillId="0" borderId="0" xfId="1" applyNumberFormat="1" applyFont="1" applyBorder="1"/>
    <xf numFmtId="0" fontId="33" fillId="0" borderId="0" xfId="1" applyFont="1" applyFill="1" applyBorder="1"/>
    <xf numFmtId="4" fontId="34" fillId="0" borderId="0" xfId="1" applyNumberFormat="1" applyFont="1" applyFill="1" applyBorder="1" applyAlignment="1">
      <alignment horizontal="center"/>
    </xf>
    <xf numFmtId="4" fontId="33" fillId="0" borderId="27" xfId="1" applyNumberFormat="1" applyFont="1" applyBorder="1"/>
    <xf numFmtId="0" fontId="55" fillId="15" borderId="6" xfId="12" applyFont="1" applyFill="1" applyBorder="1" applyAlignment="1">
      <alignment horizontal="center" vertical="center"/>
    </xf>
    <xf numFmtId="10" fontId="21" fillId="4" borderId="6" xfId="5" applyNumberFormat="1" applyFont="1" applyFill="1" applyBorder="1" applyAlignment="1">
      <alignment horizontal="center"/>
    </xf>
    <xf numFmtId="0" fontId="56" fillId="4" borderId="6" xfId="12" applyFont="1" applyFill="1" applyBorder="1" applyAlignment="1">
      <alignment horizontal="center" vertical="center"/>
    </xf>
    <xf numFmtId="0" fontId="56" fillId="4" borderId="6" xfId="12" applyFont="1" applyFill="1" applyBorder="1" applyAlignment="1">
      <alignment vertical="center" wrapText="1"/>
    </xf>
    <xf numFmtId="10" fontId="56" fillId="4" borderId="6" xfId="5" applyNumberFormat="1" applyFont="1" applyFill="1" applyBorder="1" applyAlignment="1">
      <alignment horizontal="center" vertical="center"/>
    </xf>
    <xf numFmtId="0" fontId="56" fillId="4" borderId="6" xfId="12" applyFont="1" applyFill="1" applyBorder="1" applyAlignment="1">
      <alignment horizontal="right" vertical="center" wrapText="1"/>
    </xf>
    <xf numFmtId="0" fontId="56" fillId="4" borderId="6" xfId="12" applyFont="1" applyFill="1" applyBorder="1" applyAlignment="1">
      <alignment vertical="center"/>
    </xf>
    <xf numFmtId="0" fontId="21" fillId="4" borderId="6" xfId="12" applyFont="1" applyFill="1" applyBorder="1" applyAlignment="1">
      <alignment horizontal="right" vertical="center"/>
    </xf>
    <xf numFmtId="9" fontId="21" fillId="4" borderId="6" xfId="12" applyNumberFormat="1" applyFont="1" applyFill="1" applyBorder="1" applyAlignment="1">
      <alignment horizontal="right" vertical="center"/>
    </xf>
    <xf numFmtId="9" fontId="56" fillId="4" borderId="6" xfId="12" applyNumberFormat="1" applyFont="1" applyFill="1" applyBorder="1" applyAlignment="1">
      <alignment horizontal="right" vertical="center"/>
    </xf>
    <xf numFmtId="0" fontId="21" fillId="4" borderId="6" xfId="12" applyFont="1" applyFill="1" applyBorder="1"/>
    <xf numFmtId="4" fontId="4" fillId="4" borderId="6" xfId="1" applyNumberFormat="1" applyFont="1" applyFill="1" applyBorder="1" applyAlignment="1">
      <alignment vertical="center" wrapText="1"/>
    </xf>
    <xf numFmtId="4" fontId="4" fillId="4" borderId="6" xfId="1" applyNumberFormat="1" applyFont="1" applyFill="1" applyBorder="1" applyAlignment="1">
      <alignment horizontal="right" vertical="center"/>
    </xf>
    <xf numFmtId="2" fontId="1" fillId="0" borderId="0" xfId="1" applyNumberFormat="1" applyFont="1" applyFill="1"/>
    <xf numFmtId="4" fontId="1" fillId="0" borderId="0" xfId="1" applyNumberFormat="1" applyFont="1"/>
    <xf numFmtId="0" fontId="1" fillId="0" borderId="0" xfId="1" applyFont="1" applyFill="1"/>
    <xf numFmtId="43" fontId="1" fillId="6" borderId="0" xfId="6" applyFont="1" applyFill="1" applyAlignment="1">
      <alignment vertical="center"/>
    </xf>
    <xf numFmtId="43" fontId="7" fillId="0" borderId="0" xfId="6" applyFont="1" applyFill="1" applyAlignment="1">
      <alignment vertical="center"/>
    </xf>
    <xf numFmtId="43" fontId="1" fillId="0" borderId="0" xfId="6" applyFont="1" applyFill="1"/>
    <xf numFmtId="43" fontId="1" fillId="6" borderId="0" xfId="6" applyFont="1" applyFill="1"/>
    <xf numFmtId="43" fontId="4" fillId="4" borderId="6" xfId="6" applyFont="1" applyFill="1" applyBorder="1" applyAlignment="1">
      <alignment horizontal="right" vertical="center"/>
    </xf>
    <xf numFmtId="43" fontId="1" fillId="4" borderId="6" xfId="6" applyFont="1" applyFill="1" applyBorder="1"/>
    <xf numFmtId="43" fontId="1" fillId="4" borderId="6" xfId="6" applyFont="1" applyFill="1" applyBorder="1" applyAlignment="1">
      <alignment vertical="center"/>
    </xf>
    <xf numFmtId="43" fontId="1" fillId="4" borderId="0" xfId="6" applyFont="1" applyFill="1" applyAlignment="1">
      <alignment vertical="center"/>
    </xf>
    <xf numFmtId="43" fontId="2" fillId="0" borderId="0" xfId="6" applyFont="1" applyFill="1" applyAlignment="1">
      <alignment vertical="center"/>
    </xf>
    <xf numFmtId="43" fontId="32" fillId="4" borderId="0" xfId="6" applyFont="1" applyFill="1" applyAlignment="1">
      <alignment vertical="center"/>
    </xf>
    <xf numFmtId="43" fontId="32" fillId="0" borderId="0" xfId="6" applyFont="1" applyFill="1" applyAlignment="1">
      <alignment vertical="center"/>
    </xf>
    <xf numFmtId="43" fontId="63" fillId="4" borderId="6" xfId="6" applyFont="1" applyFill="1" applyBorder="1" applyAlignment="1">
      <alignment horizontal="right" vertical="center"/>
    </xf>
    <xf numFmtId="10" fontId="6" fillId="0" borderId="0" xfId="14" applyNumberFormat="1" applyFont="1" applyFill="1"/>
    <xf numFmtId="10" fontId="32" fillId="0" borderId="0" xfId="14" applyNumberFormat="1" applyFont="1" applyFill="1"/>
    <xf numFmtId="4" fontId="34" fillId="4" borderId="7" xfId="1" applyNumberFormat="1" applyFont="1" applyFill="1" applyBorder="1" applyAlignment="1">
      <alignment horizontal="center" vertical="center"/>
    </xf>
    <xf numFmtId="4" fontId="34" fillId="4" borderId="8" xfId="1" applyNumberFormat="1" applyFont="1" applyFill="1" applyBorder="1" applyAlignment="1">
      <alignment horizontal="center" vertical="center"/>
    </xf>
    <xf numFmtId="4" fontId="34" fillId="4" borderId="8" xfId="1" applyNumberFormat="1" applyFont="1" applyFill="1" applyBorder="1" applyAlignment="1">
      <alignment horizontal="right" vertical="center"/>
    </xf>
    <xf numFmtId="4" fontId="34" fillId="4" borderId="8" xfId="1" applyNumberFormat="1" applyFont="1" applyFill="1" applyBorder="1" applyAlignment="1">
      <alignment vertical="center"/>
    </xf>
    <xf numFmtId="43" fontId="34" fillId="4" borderId="8" xfId="6" applyFont="1" applyFill="1" applyBorder="1" applyAlignment="1">
      <alignment vertical="center"/>
    </xf>
    <xf numFmtId="43" fontId="34" fillId="4" borderId="25" xfId="6" applyFont="1" applyFill="1" applyBorder="1" applyAlignment="1">
      <alignment vertical="center"/>
    </xf>
    <xf numFmtId="4" fontId="34" fillId="4" borderId="2" xfId="1" applyNumberFormat="1" applyFont="1" applyFill="1" applyBorder="1" applyAlignment="1">
      <alignment horizontal="center" vertical="center"/>
    </xf>
    <xf numFmtId="4" fontId="34" fillId="4" borderId="52" xfId="1" applyNumberFormat="1" applyFont="1" applyFill="1" applyBorder="1" applyAlignment="1">
      <alignment horizontal="center" vertical="center"/>
    </xf>
    <xf numFmtId="4" fontId="34" fillId="4" borderId="52" xfId="1" applyNumberFormat="1" applyFont="1" applyFill="1" applyBorder="1" applyAlignment="1">
      <alignment horizontal="right" vertical="center"/>
    </xf>
    <xf numFmtId="4" fontId="34" fillId="4" borderId="52" xfId="1" applyNumberFormat="1" applyFont="1" applyFill="1" applyBorder="1" applyAlignment="1">
      <alignment vertical="center"/>
    </xf>
    <xf numFmtId="43" fontId="34" fillId="4" borderId="52" xfId="6" applyFont="1" applyFill="1" applyBorder="1" applyAlignment="1">
      <alignment vertical="center"/>
    </xf>
    <xf numFmtId="43" fontId="34" fillId="4" borderId="53" xfId="6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3" fontId="3" fillId="0" borderId="0" xfId="1" applyNumberFormat="1" applyFont="1"/>
    <xf numFmtId="4" fontId="2" fillId="0" borderId="0" xfId="1" applyNumberFormat="1" applyFont="1" applyFill="1" applyAlignment="1"/>
    <xf numFmtId="2" fontId="2" fillId="0" borderId="0" xfId="1" applyNumberFormat="1" applyFont="1" applyFill="1" applyAlignment="1"/>
    <xf numFmtId="4" fontId="1" fillId="0" borderId="0" xfId="1" applyNumberFormat="1" applyFill="1" applyAlignment="1"/>
    <xf numFmtId="4" fontId="1" fillId="0" borderId="0" xfId="1" applyNumberFormat="1" applyAlignment="1"/>
    <xf numFmtId="0" fontId="1" fillId="0" borderId="0" xfId="1" applyFill="1" applyAlignment="1"/>
    <xf numFmtId="0" fontId="24" fillId="4" borderId="6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left" vertical="center" wrapText="1"/>
    </xf>
    <xf numFmtId="167" fontId="24" fillId="4" borderId="6" xfId="2" applyFont="1" applyFill="1" applyBorder="1" applyAlignment="1">
      <alignment horizontal="right" vertical="center"/>
    </xf>
    <xf numFmtId="43" fontId="25" fillId="4" borderId="6" xfId="6" applyFont="1" applyFill="1" applyBorder="1" applyAlignment="1">
      <alignment vertical="center"/>
    </xf>
    <xf numFmtId="43" fontId="24" fillId="4" borderId="6" xfId="6" applyFont="1" applyFill="1" applyBorder="1" applyAlignment="1">
      <alignment horizontal="righ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vertical="center" wrapText="1"/>
    </xf>
    <xf numFmtId="43" fontId="22" fillId="4" borderId="6" xfId="6" applyFont="1" applyFill="1" applyBorder="1" applyAlignment="1">
      <alignment horizontal="right" vertical="center"/>
    </xf>
    <xf numFmtId="0" fontId="33" fillId="4" borderId="0" xfId="1" applyFont="1" applyFill="1" applyBorder="1" applyAlignment="1">
      <alignment horizontal="center" vertical="center"/>
    </xf>
    <xf numFmtId="0" fontId="33" fillId="4" borderId="0" xfId="1" applyFont="1" applyFill="1" applyBorder="1" applyAlignment="1">
      <alignment vertical="center"/>
    </xf>
    <xf numFmtId="43" fontId="33" fillId="4" borderId="0" xfId="6" applyFont="1" applyFill="1" applyBorder="1" applyAlignment="1">
      <alignment vertical="center"/>
    </xf>
    <xf numFmtId="4" fontId="34" fillId="4" borderId="26" xfId="1" applyNumberFormat="1" applyFont="1" applyFill="1" applyBorder="1" applyAlignment="1">
      <alignment horizontal="center" vertical="center"/>
    </xf>
    <xf numFmtId="43" fontId="34" fillId="4" borderId="0" xfId="6" applyFont="1" applyFill="1" applyBorder="1" applyAlignment="1">
      <alignment horizontal="center" vertical="center"/>
    </xf>
    <xf numFmtId="43" fontId="34" fillId="4" borderId="27" xfId="6" applyFont="1" applyFill="1" applyBorder="1" applyAlignment="1">
      <alignment horizontal="center" vertical="center"/>
    </xf>
    <xf numFmtId="4" fontId="33" fillId="4" borderId="0" xfId="1" applyNumberFormat="1" applyFont="1" applyFill="1" applyBorder="1" applyAlignment="1">
      <alignment vertical="center"/>
    </xf>
    <xf numFmtId="43" fontId="33" fillId="4" borderId="27" xfId="6" applyFont="1" applyFill="1" applyBorder="1" applyAlignment="1">
      <alignment vertical="center"/>
    </xf>
    <xf numFmtId="4" fontId="33" fillId="4" borderId="0" xfId="1" applyNumberFormat="1" applyFont="1" applyFill="1" applyBorder="1" applyAlignment="1">
      <alignment horizontal="center" vertical="center"/>
    </xf>
    <xf numFmtId="4" fontId="34" fillId="4" borderId="0" xfId="1" quotePrefix="1" applyNumberFormat="1" applyFont="1" applyFill="1" applyBorder="1" applyAlignment="1">
      <alignment horizontal="center" vertical="center"/>
    </xf>
    <xf numFmtId="0" fontId="33" fillId="4" borderId="2" xfId="1" applyFont="1" applyFill="1" applyBorder="1" applyAlignment="1">
      <alignment horizontal="center" vertical="center"/>
    </xf>
    <xf numFmtId="4" fontId="33" fillId="4" borderId="52" xfId="1" applyNumberFormat="1" applyFont="1" applyFill="1" applyBorder="1" applyAlignment="1">
      <alignment horizontal="center" vertical="center"/>
    </xf>
    <xf numFmtId="4" fontId="33" fillId="4" borderId="52" xfId="1" applyNumberFormat="1" applyFont="1" applyFill="1" applyBorder="1" applyAlignment="1">
      <alignment horizontal="center" vertical="center" wrapText="1"/>
    </xf>
    <xf numFmtId="43" fontId="33" fillId="4" borderId="52" xfId="6" applyFont="1" applyFill="1" applyBorder="1" applyAlignment="1">
      <alignment vertical="center"/>
    </xf>
    <xf numFmtId="4" fontId="33" fillId="4" borderId="52" xfId="1" applyNumberFormat="1" applyFont="1" applyFill="1" applyBorder="1" applyAlignment="1">
      <alignment vertical="center"/>
    </xf>
    <xf numFmtId="43" fontId="33" fillId="4" borderId="53" xfId="6" applyFont="1" applyFill="1" applyBorder="1" applyAlignment="1">
      <alignment horizontal="center" vertical="center"/>
    </xf>
    <xf numFmtId="43" fontId="34" fillId="4" borderId="6" xfId="6" applyFont="1" applyFill="1" applyBorder="1" applyAlignment="1">
      <alignment horizontal="center" vertical="center" wrapText="1"/>
    </xf>
    <xf numFmtId="4" fontId="34" fillId="4" borderId="6" xfId="1" applyNumberFormat="1" applyFont="1" applyFill="1" applyBorder="1" applyAlignment="1">
      <alignment horizontal="center" vertical="center" wrapText="1"/>
    </xf>
    <xf numFmtId="4" fontId="34" fillId="4" borderId="3" xfId="1" applyNumberFormat="1" applyFont="1" applyFill="1" applyBorder="1" applyAlignment="1">
      <alignment horizontal="center" vertical="center"/>
    </xf>
    <xf numFmtId="4" fontId="34" fillId="4" borderId="4" xfId="1" applyNumberFormat="1" applyFont="1" applyFill="1" applyBorder="1" applyAlignment="1">
      <alignment horizontal="center" vertical="center"/>
    </xf>
    <xf numFmtId="43" fontId="34" fillId="4" borderId="4" xfId="6" applyFont="1" applyFill="1" applyBorder="1" applyAlignment="1">
      <alignment horizontal="center" vertical="center" wrapText="1"/>
    </xf>
    <xf numFmtId="43" fontId="34" fillId="4" borderId="3" xfId="6" applyFont="1" applyFill="1" applyBorder="1" applyAlignment="1">
      <alignment horizontal="center" vertical="center" wrapText="1"/>
    </xf>
    <xf numFmtId="4" fontId="34" fillId="4" borderId="3" xfId="1" applyNumberFormat="1" applyFont="1" applyFill="1" applyBorder="1" applyAlignment="1">
      <alignment horizontal="left" vertical="center"/>
    </xf>
    <xf numFmtId="4" fontId="34" fillId="4" borderId="4" xfId="1" applyNumberFormat="1" applyFont="1" applyFill="1" applyBorder="1" applyAlignment="1">
      <alignment vertical="center"/>
    </xf>
    <xf numFmtId="43" fontId="34" fillId="4" borderId="4" xfId="6" applyFont="1" applyFill="1" applyBorder="1" applyAlignment="1">
      <alignment vertical="center"/>
    </xf>
    <xf numFmtId="4" fontId="34" fillId="4" borderId="5" xfId="1" applyNumberFormat="1" applyFont="1" applyFill="1" applyBorder="1" applyAlignment="1">
      <alignment vertical="center"/>
    </xf>
    <xf numFmtId="4" fontId="34" fillId="4" borderId="3" xfId="1" applyNumberFormat="1" applyFont="1" applyFill="1" applyBorder="1" applyAlignment="1">
      <alignment vertical="center"/>
    </xf>
    <xf numFmtId="43" fontId="34" fillId="4" borderId="6" xfId="6" applyFont="1" applyFill="1" applyBorder="1" applyAlignment="1">
      <alignment horizontal="center" vertical="center"/>
    </xf>
    <xf numFmtId="4" fontId="34" fillId="4" borderId="6" xfId="1" applyNumberFormat="1" applyFont="1" applyFill="1" applyBorder="1" applyAlignment="1">
      <alignment vertical="center" wrapText="1"/>
    </xf>
    <xf numFmtId="4" fontId="34" fillId="4" borderId="7" xfId="1" applyNumberFormat="1" applyFont="1" applyFill="1" applyBorder="1" applyAlignment="1">
      <alignment horizontal="left" vertical="center"/>
    </xf>
    <xf numFmtId="4" fontId="34" fillId="4" borderId="7" xfId="1" applyNumberFormat="1" applyFont="1" applyFill="1" applyBorder="1" applyAlignment="1">
      <alignment vertical="center"/>
    </xf>
    <xf numFmtId="43" fontId="34" fillId="4" borderId="8" xfId="6" applyFont="1" applyFill="1" applyBorder="1" applyAlignment="1">
      <alignment vertical="center" wrapText="1"/>
    </xf>
    <xf numFmtId="4" fontId="34" fillId="4" borderId="8" xfId="1" applyNumberFormat="1" applyFont="1" applyFill="1" applyBorder="1" applyAlignment="1">
      <alignment vertical="center" wrapText="1"/>
    </xf>
    <xf numFmtId="43" fontId="34" fillId="4" borderId="9" xfId="6" applyFont="1" applyFill="1" applyBorder="1" applyAlignment="1">
      <alignment horizontal="right" vertical="center"/>
    </xf>
    <xf numFmtId="43" fontId="34" fillId="4" borderId="3" xfId="6" applyFont="1" applyFill="1" applyBorder="1" applyAlignment="1">
      <alignment horizontal="center" vertical="center"/>
    </xf>
    <xf numFmtId="4" fontId="34" fillId="4" borderId="10" xfId="1" applyNumberFormat="1" applyFont="1" applyFill="1" applyBorder="1" applyAlignment="1">
      <alignment horizontal="center" vertical="center"/>
    </xf>
    <xf numFmtId="4" fontId="34" fillId="4" borderId="11" xfId="1" applyNumberFormat="1" applyFont="1" applyFill="1" applyBorder="1" applyAlignment="1">
      <alignment horizontal="center" vertical="center"/>
    </xf>
    <xf numFmtId="4" fontId="34" fillId="4" borderId="11" xfId="1" applyNumberFormat="1" applyFont="1" applyFill="1" applyBorder="1" applyAlignment="1">
      <alignment vertical="center"/>
    </xf>
    <xf numFmtId="4" fontId="34" fillId="4" borderId="12" xfId="1" applyNumberFormat="1" applyFont="1" applyFill="1" applyBorder="1" applyAlignment="1">
      <alignment vertical="center"/>
    </xf>
    <xf numFmtId="43" fontId="34" fillId="4" borderId="11" xfId="6" applyFont="1" applyFill="1" applyBorder="1" applyAlignment="1">
      <alignment vertical="center"/>
    </xf>
    <xf numFmtId="43" fontId="34" fillId="4" borderId="13" xfId="6" applyFont="1" applyFill="1" applyBorder="1" applyAlignment="1">
      <alignment vertical="center"/>
    </xf>
    <xf numFmtId="0" fontId="33" fillId="4" borderId="1" xfId="1" applyNumberFormat="1" applyFont="1" applyFill="1" applyBorder="1" applyAlignment="1">
      <alignment horizontal="center" vertical="center"/>
    </xf>
    <xf numFmtId="4" fontId="33" fillId="4" borderId="1" xfId="1" applyNumberFormat="1" applyFont="1" applyFill="1" applyBorder="1" applyAlignment="1">
      <alignment vertical="center" wrapText="1"/>
    </xf>
    <xf numFmtId="43" fontId="33" fillId="4" borderId="1" xfId="6" applyFont="1" applyFill="1" applyBorder="1" applyAlignment="1">
      <alignment vertical="center"/>
    </xf>
    <xf numFmtId="4" fontId="34" fillId="4" borderId="6" xfId="1" applyNumberFormat="1" applyFont="1" applyFill="1" applyBorder="1" applyAlignment="1">
      <alignment horizontal="left" vertical="center"/>
    </xf>
    <xf numFmtId="1" fontId="33" fillId="7" borderId="6" xfId="3" applyNumberFormat="1" applyFont="1" applyFill="1" applyBorder="1" applyAlignment="1">
      <alignment horizontal="center" vertical="center"/>
    </xf>
    <xf numFmtId="43" fontId="33" fillId="4" borderId="3" xfId="6" applyFont="1" applyFill="1" applyBorder="1" applyAlignment="1">
      <alignment horizontal="center" vertical="center"/>
    </xf>
    <xf numFmtId="43" fontId="44" fillId="4" borderId="6" xfId="6" applyFont="1" applyFill="1" applyBorder="1" applyAlignment="1">
      <alignment vertical="center"/>
    </xf>
    <xf numFmtId="0" fontId="33" fillId="4" borderId="0" xfId="1" applyFont="1" applyFill="1" applyAlignment="1">
      <alignment horizontal="center" vertical="center"/>
    </xf>
    <xf numFmtId="4" fontId="33" fillId="4" borderId="0" xfId="1" applyNumberFormat="1" applyFont="1" applyFill="1" applyAlignment="1">
      <alignment horizontal="center" vertical="center"/>
    </xf>
    <xf numFmtId="4" fontId="33" fillId="4" borderId="0" xfId="1" applyNumberFormat="1" applyFont="1" applyFill="1" applyAlignment="1">
      <alignment vertical="center" wrapText="1"/>
    </xf>
    <xf numFmtId="4" fontId="33" fillId="4" borderId="0" xfId="1" applyNumberFormat="1" applyFont="1" applyFill="1" applyAlignment="1">
      <alignment vertical="center"/>
    </xf>
    <xf numFmtId="43" fontId="33" fillId="4" borderId="0" xfId="6" applyFont="1" applyFill="1" applyAlignment="1">
      <alignment vertical="center"/>
    </xf>
    <xf numFmtId="0" fontId="25" fillId="4" borderId="6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/>
    </xf>
    <xf numFmtId="43" fontId="25" fillId="4" borderId="6" xfId="6" applyFont="1" applyFill="1" applyBorder="1" applyAlignment="1">
      <alignment horizontal="right" vertical="center"/>
    </xf>
    <xf numFmtId="10" fontId="25" fillId="4" borderId="6" xfId="6" applyNumberFormat="1" applyFont="1" applyFill="1" applyBorder="1" applyAlignment="1">
      <alignment horizontal="right" vertical="center"/>
    </xf>
    <xf numFmtId="43" fontId="25" fillId="4" borderId="6" xfId="6" applyFont="1" applyFill="1" applyBorder="1" applyAlignment="1">
      <alignment horizontal="center" vertical="center" wrapText="1"/>
    </xf>
    <xf numFmtId="0" fontId="23" fillId="4" borderId="6" xfId="1" applyFont="1" applyFill="1" applyBorder="1" applyAlignment="1">
      <alignment horizontal="left" vertical="center" wrapText="1"/>
    </xf>
    <xf numFmtId="0" fontId="23" fillId="4" borderId="6" xfId="1" applyFont="1" applyFill="1" applyBorder="1" applyAlignment="1">
      <alignment horizontal="center" vertical="center" wrapText="1"/>
    </xf>
    <xf numFmtId="172" fontId="23" fillId="4" borderId="6" xfId="1" applyNumberFormat="1" applyFont="1" applyFill="1" applyBorder="1" applyAlignment="1">
      <alignment horizontal="center" vertical="center" wrapText="1"/>
    </xf>
    <xf numFmtId="43" fontId="23" fillId="4" borderId="6" xfId="6" applyFont="1" applyFill="1" applyBorder="1" applyAlignment="1">
      <alignment horizontal="right" vertical="center" wrapText="1"/>
    </xf>
    <xf numFmtId="0" fontId="23" fillId="4" borderId="6" xfId="1" applyFont="1" applyFill="1" applyBorder="1" applyAlignment="1">
      <alignment horizontal="center" vertical="center"/>
    </xf>
    <xf numFmtId="172" fontId="23" fillId="4" borderId="6" xfId="1" applyNumberFormat="1" applyFont="1" applyFill="1" applyBorder="1" applyAlignment="1">
      <alignment horizontal="center" vertical="center"/>
    </xf>
    <xf numFmtId="43" fontId="23" fillId="4" borderId="6" xfId="6" applyFont="1" applyFill="1" applyBorder="1" applyAlignment="1">
      <alignment horizontal="right" vertical="center"/>
    </xf>
    <xf numFmtId="0" fontId="22" fillId="4" borderId="6" xfId="0" applyFont="1" applyFill="1" applyBorder="1" applyAlignment="1">
      <alignment vertical="center"/>
    </xf>
    <xf numFmtId="0" fontId="24" fillId="4" borderId="6" xfId="1" applyFont="1" applyFill="1" applyBorder="1" applyAlignment="1">
      <alignment vertical="center" wrapText="1"/>
    </xf>
    <xf numFmtId="171" fontId="24" fillId="4" borderId="6" xfId="6" applyNumberFormat="1" applyFont="1" applyFill="1" applyBorder="1" applyAlignment="1">
      <alignment vertical="center" wrapText="1"/>
    </xf>
    <xf numFmtId="43" fontId="24" fillId="4" borderId="6" xfId="6" applyFont="1" applyFill="1" applyBorder="1" applyAlignment="1">
      <alignment horizontal="right" vertical="center" wrapText="1"/>
    </xf>
    <xf numFmtId="170" fontId="24" fillId="4" borderId="6" xfId="6" applyNumberFormat="1" applyFont="1" applyFill="1" applyBorder="1" applyAlignment="1">
      <alignment horizontal="center" vertical="center" wrapText="1"/>
    </xf>
    <xf numFmtId="170" fontId="24" fillId="4" borderId="6" xfId="6" applyNumberFormat="1" applyFont="1" applyFill="1" applyBorder="1" applyAlignment="1">
      <alignment horizontal="left" vertical="center" wrapText="1"/>
    </xf>
    <xf numFmtId="170" fontId="24" fillId="4" borderId="6" xfId="6" applyNumberFormat="1" applyFont="1" applyFill="1" applyBorder="1" applyAlignment="1">
      <alignment horizontal="right" vertical="center"/>
    </xf>
    <xf numFmtId="173" fontId="24" fillId="4" borderId="6" xfId="0" applyNumberFormat="1" applyFont="1" applyFill="1" applyBorder="1" applyAlignment="1">
      <alignment horizontal="center" vertical="center"/>
    </xf>
    <xf numFmtId="172" fontId="24" fillId="4" borderId="6" xfId="0" applyNumberFormat="1" applyFont="1" applyFill="1" applyBorder="1" applyAlignment="1">
      <alignment horizontal="center" vertical="center"/>
    </xf>
    <xf numFmtId="170" fontId="23" fillId="4" borderId="6" xfId="6" applyNumberFormat="1" applyFont="1" applyFill="1" applyBorder="1" applyAlignment="1">
      <alignment horizontal="center" vertical="center"/>
    </xf>
    <xf numFmtId="170" fontId="22" fillId="4" borderId="6" xfId="6" applyNumberFormat="1" applyFont="1" applyFill="1" applyBorder="1" applyAlignment="1">
      <alignment vertical="center"/>
    </xf>
    <xf numFmtId="0" fontId="24" fillId="4" borderId="0" xfId="0" applyFont="1" applyFill="1" applyAlignment="1">
      <alignment horizontal="left" vertical="center" wrapText="1"/>
    </xf>
    <xf numFmtId="176" fontId="24" fillId="4" borderId="6" xfId="0" applyNumberFormat="1" applyFont="1" applyFill="1" applyBorder="1" applyAlignment="1">
      <alignment horizontal="center" vertical="center"/>
    </xf>
    <xf numFmtId="167" fontId="24" fillId="4" borderId="6" xfId="2" applyFont="1" applyFill="1" applyBorder="1" applyAlignment="1">
      <alignment horizontal="center" vertical="center"/>
    </xf>
    <xf numFmtId="173" fontId="24" fillId="4" borderId="6" xfId="1" applyNumberFormat="1" applyFont="1" applyFill="1" applyBorder="1" applyAlignment="1">
      <alignment horizontal="center" vertical="center" wrapText="1"/>
    </xf>
    <xf numFmtId="43" fontId="24" fillId="4" borderId="6" xfId="6" applyFont="1" applyFill="1" applyBorder="1" applyAlignment="1">
      <alignment horizontal="left" vertical="center" wrapText="1"/>
    </xf>
    <xf numFmtId="0" fontId="24" fillId="4" borderId="0" xfId="1" applyFont="1" applyFill="1" applyAlignment="1">
      <alignment horizontal="center" vertical="center" wrapText="1"/>
    </xf>
    <xf numFmtId="0" fontId="24" fillId="4" borderId="0" xfId="1" applyFont="1" applyFill="1" applyAlignment="1">
      <alignment horizontal="left" vertical="center" wrapText="1"/>
    </xf>
    <xf numFmtId="170" fontId="24" fillId="4" borderId="0" xfId="6" applyNumberFormat="1" applyFont="1" applyFill="1" applyAlignment="1">
      <alignment horizontal="left" vertical="center" wrapText="1"/>
    </xf>
    <xf numFmtId="43" fontId="24" fillId="4" borderId="0" xfId="6" applyFont="1" applyFill="1" applyAlignment="1">
      <alignment horizontal="left" vertical="center" wrapText="1"/>
    </xf>
    <xf numFmtId="171" fontId="23" fillId="4" borderId="6" xfId="6" applyNumberFormat="1" applyFont="1" applyFill="1" applyBorder="1" applyAlignment="1">
      <alignment horizontal="right" vertical="center"/>
    </xf>
    <xf numFmtId="170" fontId="23" fillId="4" borderId="6" xfId="6" applyNumberFormat="1" applyFont="1" applyFill="1" applyBorder="1" applyAlignment="1">
      <alignment horizontal="right" vertical="center"/>
    </xf>
    <xf numFmtId="0" fontId="22" fillId="4" borderId="6" xfId="0" applyFont="1" applyFill="1" applyBorder="1" applyAlignment="1">
      <alignment horizontal="right" vertical="center" wrapText="1"/>
    </xf>
    <xf numFmtId="170" fontId="23" fillId="4" borderId="6" xfId="6" applyNumberFormat="1" applyFont="1" applyFill="1" applyBorder="1" applyAlignment="1">
      <alignment vertical="center"/>
    </xf>
    <xf numFmtId="0" fontId="22" fillId="4" borderId="6" xfId="0" applyFont="1" applyFill="1" applyBorder="1" applyAlignment="1">
      <alignment horizontal="right" vertical="center"/>
    </xf>
    <xf numFmtId="43" fontId="23" fillId="4" borderId="6" xfId="6" applyFont="1" applyFill="1" applyBorder="1" applyAlignment="1">
      <alignment vertical="center"/>
    </xf>
    <xf numFmtId="0" fontId="24" fillId="4" borderId="3" xfId="0" applyFont="1" applyFill="1" applyBorder="1" applyAlignment="1">
      <alignment horizontal="left" vertical="center" wrapText="1"/>
    </xf>
    <xf numFmtId="171" fontId="23" fillId="4" borderId="6" xfId="6" applyNumberFormat="1" applyFont="1" applyFill="1" applyBorder="1" applyAlignment="1">
      <alignment vertical="center"/>
    </xf>
    <xf numFmtId="0" fontId="23" fillId="4" borderId="0" xfId="1" applyFont="1" applyFill="1" applyAlignment="1">
      <alignment horizontal="center" vertical="center" wrapText="1"/>
    </xf>
    <xf numFmtId="171" fontId="23" fillId="4" borderId="6" xfId="6" applyNumberFormat="1" applyFont="1" applyFill="1" applyBorder="1" applyAlignment="1">
      <alignment vertical="center" wrapText="1"/>
    </xf>
    <xf numFmtId="43" fontId="23" fillId="4" borderId="6" xfId="6" applyFont="1" applyFill="1" applyBorder="1" applyAlignment="1">
      <alignment vertical="center" wrapText="1"/>
    </xf>
    <xf numFmtId="175" fontId="23" fillId="4" borderId="6" xfId="6" applyNumberFormat="1" applyFont="1" applyFill="1" applyBorder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/>
    </xf>
    <xf numFmtId="43" fontId="22" fillId="4" borderId="0" xfId="6" applyFont="1" applyFill="1" applyAlignment="1">
      <alignment horizontal="right" vertical="center"/>
    </xf>
    <xf numFmtId="43" fontId="22" fillId="4" borderId="0" xfId="6" applyFont="1" applyFill="1" applyAlignment="1">
      <alignment vertical="center"/>
    </xf>
    <xf numFmtId="0" fontId="18" fillId="4" borderId="0" xfId="7" applyFont="1" applyFill="1" applyBorder="1" applyAlignment="1" applyProtection="1">
      <alignment horizontal="center" vertical="center"/>
      <protection hidden="1"/>
    </xf>
    <xf numFmtId="0" fontId="17" fillId="4" borderId="0" xfId="7" applyFont="1" applyFill="1" applyBorder="1" applyAlignment="1" applyProtection="1">
      <alignment horizontal="center"/>
      <protection hidden="1"/>
    </xf>
    <xf numFmtId="0" fontId="18" fillId="4" borderId="0" xfId="7" applyFont="1" applyFill="1" applyBorder="1" applyAlignment="1" applyProtection="1">
      <alignment horizontal="left" vertical="center" wrapText="1"/>
      <protection hidden="1"/>
    </xf>
    <xf numFmtId="4" fontId="33" fillId="2" borderId="3" xfId="1" applyNumberFormat="1" applyFont="1" applyFill="1" applyBorder="1" applyAlignment="1">
      <alignment horizontal="left"/>
    </xf>
    <xf numFmtId="4" fontId="33" fillId="2" borderId="5" xfId="1" applyNumberFormat="1" applyFont="1" applyFill="1" applyBorder="1" applyAlignment="1">
      <alignment horizontal="left"/>
    </xf>
    <xf numFmtId="0" fontId="34" fillId="2" borderId="15" xfId="1" applyFont="1" applyFill="1" applyBorder="1" applyAlignment="1">
      <alignment horizontal="center" vertical="center"/>
    </xf>
    <xf numFmtId="0" fontId="34" fillId="2" borderId="21" xfId="1" applyFont="1" applyFill="1" applyBorder="1" applyAlignment="1">
      <alignment horizontal="center" vertical="center"/>
    </xf>
    <xf numFmtId="4" fontId="34" fillId="2" borderId="16" xfId="1" applyNumberFormat="1" applyFont="1" applyFill="1" applyBorder="1" applyAlignment="1">
      <alignment horizontal="center" wrapText="1"/>
    </xf>
    <xf numFmtId="4" fontId="34" fillId="2" borderId="22" xfId="1" applyNumberFormat="1" applyFont="1" applyFill="1" applyBorder="1" applyAlignment="1">
      <alignment horizontal="center"/>
    </xf>
    <xf numFmtId="10" fontId="34" fillId="2" borderId="54" xfId="1" applyNumberFormat="1" applyFont="1" applyFill="1" applyBorder="1" applyAlignment="1">
      <alignment horizontal="center" vertical="center"/>
    </xf>
    <xf numFmtId="10" fontId="34" fillId="2" borderId="55" xfId="1" applyNumberFormat="1" applyFont="1" applyFill="1" applyBorder="1" applyAlignment="1">
      <alignment horizontal="center" vertical="center"/>
    </xf>
    <xf numFmtId="4" fontId="51" fillId="0" borderId="7" xfId="1" applyNumberFormat="1" applyFont="1" applyBorder="1" applyAlignment="1">
      <alignment horizontal="center"/>
    </xf>
    <xf numFmtId="4" fontId="51" fillId="0" borderId="8" xfId="1" applyNumberFormat="1" applyFont="1" applyBorder="1" applyAlignment="1">
      <alignment horizontal="center"/>
    </xf>
    <xf numFmtId="4" fontId="51" fillId="0" borderId="25" xfId="1" applyNumberFormat="1" applyFont="1" applyBorder="1" applyAlignment="1">
      <alignment horizontal="center"/>
    </xf>
    <xf numFmtId="0" fontId="34" fillId="2" borderId="17" xfId="1" applyFont="1" applyFill="1" applyBorder="1" applyAlignment="1">
      <alignment horizontal="center"/>
    </xf>
    <xf numFmtId="0" fontId="34" fillId="2" borderId="18" xfId="1" applyFont="1" applyFill="1" applyBorder="1" applyAlignment="1">
      <alignment horizontal="center"/>
    </xf>
    <xf numFmtId="0" fontId="34" fillId="2" borderId="57" xfId="1" applyFont="1" applyFill="1" applyBorder="1" applyAlignment="1">
      <alignment horizontal="center"/>
    </xf>
    <xf numFmtId="0" fontId="34" fillId="2" borderId="16" xfId="1" applyFont="1" applyFill="1" applyBorder="1" applyAlignment="1">
      <alignment horizontal="center"/>
    </xf>
    <xf numFmtId="4" fontId="34" fillId="2" borderId="57" xfId="1" applyNumberFormat="1" applyFont="1" applyFill="1" applyBorder="1" applyAlignment="1">
      <alignment horizontal="center" vertical="center"/>
    </xf>
    <xf numFmtId="4" fontId="34" fillId="2" borderId="56" xfId="1" applyNumberFormat="1" applyFont="1" applyFill="1" applyBorder="1" applyAlignment="1">
      <alignment horizontal="center" vertical="center"/>
    </xf>
    <xf numFmtId="4" fontId="43" fillId="4" borderId="7" xfId="1" applyNumberFormat="1" applyFont="1" applyFill="1" applyBorder="1" applyAlignment="1">
      <alignment horizontal="center" vertical="center"/>
    </xf>
    <xf numFmtId="4" fontId="43" fillId="4" borderId="8" xfId="1" applyNumberFormat="1" applyFont="1" applyFill="1" applyBorder="1" applyAlignment="1">
      <alignment horizontal="center" vertical="center"/>
    </xf>
    <xf numFmtId="4" fontId="43" fillId="4" borderId="25" xfId="1" applyNumberFormat="1" applyFont="1" applyFill="1" applyBorder="1" applyAlignment="1">
      <alignment horizontal="center" vertical="center"/>
    </xf>
    <xf numFmtId="4" fontId="44" fillId="4" borderId="26" xfId="1" applyNumberFormat="1" applyFont="1" applyFill="1" applyBorder="1" applyAlignment="1">
      <alignment horizontal="center" vertical="center"/>
    </xf>
    <xf numFmtId="4" fontId="44" fillId="4" borderId="0" xfId="1" applyNumberFormat="1" applyFont="1" applyFill="1" applyBorder="1" applyAlignment="1">
      <alignment horizontal="center" vertical="center"/>
    </xf>
    <xf numFmtId="4" fontId="44" fillId="4" borderId="27" xfId="1" applyNumberFormat="1" applyFont="1" applyFill="1" applyBorder="1" applyAlignment="1">
      <alignment horizontal="center" vertical="center"/>
    </xf>
    <xf numFmtId="4" fontId="34" fillId="4" borderId="26" xfId="1" applyNumberFormat="1" applyFont="1" applyFill="1" applyBorder="1" applyAlignment="1">
      <alignment horizontal="left" vertical="center"/>
    </xf>
    <xf numFmtId="4" fontId="34" fillId="4" borderId="0" xfId="1" applyNumberFormat="1" applyFont="1" applyFill="1" applyBorder="1" applyAlignment="1">
      <alignment horizontal="left" vertical="center"/>
    </xf>
    <xf numFmtId="4" fontId="34" fillId="4" borderId="3" xfId="1" applyNumberFormat="1" applyFont="1" applyFill="1" applyBorder="1" applyAlignment="1">
      <alignment horizontal="center" vertical="center" wrapText="1"/>
    </xf>
    <xf numFmtId="4" fontId="34" fillId="4" borderId="5" xfId="1" applyNumberFormat="1" applyFont="1" applyFill="1" applyBorder="1" applyAlignment="1">
      <alignment horizontal="center" vertical="center" wrapText="1"/>
    </xf>
    <xf numFmtId="4" fontId="44" fillId="4" borderId="3" xfId="1" applyNumberFormat="1" applyFont="1" applyFill="1" applyBorder="1" applyAlignment="1">
      <alignment horizontal="center" vertical="center"/>
    </xf>
    <xf numFmtId="4" fontId="44" fillId="4" borderId="4" xfId="1" applyNumberFormat="1" applyFont="1" applyFill="1" applyBorder="1" applyAlignment="1">
      <alignment horizontal="center" vertical="center"/>
    </xf>
    <xf numFmtId="4" fontId="44" fillId="4" borderId="5" xfId="1" applyNumberFormat="1" applyFont="1" applyFill="1" applyBorder="1" applyAlignment="1">
      <alignment horizontal="center" vertical="center"/>
    </xf>
    <xf numFmtId="0" fontId="35" fillId="4" borderId="6" xfId="12" applyFont="1" applyFill="1" applyBorder="1" applyAlignment="1">
      <alignment horizontal="center" vertical="center"/>
    </xf>
    <xf numFmtId="0" fontId="44" fillId="0" borderId="7" xfId="12" applyFont="1" applyBorder="1" applyAlignment="1">
      <alignment horizontal="center" vertical="center"/>
    </xf>
    <xf numFmtId="0" fontId="44" fillId="0" borderId="8" xfId="12" applyFont="1" applyBorder="1" applyAlignment="1">
      <alignment horizontal="center" vertical="center"/>
    </xf>
    <xf numFmtId="0" fontId="44" fillId="0" borderId="25" xfId="12" applyFont="1" applyBorder="1" applyAlignment="1">
      <alignment horizontal="center" vertical="center"/>
    </xf>
    <xf numFmtId="0" fontId="44" fillId="0" borderId="26" xfId="12" applyFont="1" applyBorder="1" applyAlignment="1">
      <alignment horizontal="center" vertical="center"/>
    </xf>
    <xf numFmtId="0" fontId="44" fillId="0" borderId="0" xfId="12" applyFont="1" applyBorder="1" applyAlignment="1">
      <alignment horizontal="center" vertical="center"/>
    </xf>
    <xf numFmtId="0" fontId="44" fillId="0" borderId="27" xfId="12" applyFont="1" applyBorder="1" applyAlignment="1">
      <alignment horizontal="center" vertical="center"/>
    </xf>
    <xf numFmtId="0" fontId="40" fillId="15" borderId="6" xfId="12" applyFont="1" applyFill="1" applyBorder="1" applyAlignment="1">
      <alignment horizontal="center" vertical="center" wrapText="1"/>
    </xf>
    <xf numFmtId="0" fontId="40" fillId="4" borderId="6" xfId="12" applyFont="1" applyFill="1" applyBorder="1" applyAlignment="1">
      <alignment horizontal="center" vertical="center"/>
    </xf>
    <xf numFmtId="0" fontId="36" fillId="4" borderId="6" xfId="12" applyFont="1" applyFill="1" applyBorder="1" applyAlignment="1" applyProtection="1">
      <alignment horizontal="left" vertical="center" wrapText="1"/>
    </xf>
    <xf numFmtId="0" fontId="23" fillId="4" borderId="0" xfId="12" applyFont="1" applyFill="1" applyAlignment="1">
      <alignment horizontal="center"/>
    </xf>
    <xf numFmtId="0" fontId="25" fillId="4" borderId="3" xfId="0" applyFont="1" applyFill="1" applyBorder="1" applyAlignment="1">
      <alignment horizontal="right" vertical="center"/>
    </xf>
    <xf numFmtId="0" fontId="25" fillId="4" borderId="4" xfId="0" applyFont="1" applyFill="1" applyBorder="1" applyAlignment="1">
      <alignment horizontal="right" vertical="center"/>
    </xf>
    <xf numFmtId="0" fontId="25" fillId="4" borderId="5" xfId="0" applyFont="1" applyFill="1" applyBorder="1" applyAlignment="1">
      <alignment horizontal="right" vertical="center"/>
    </xf>
    <xf numFmtId="43" fontId="22" fillId="4" borderId="3" xfId="6" applyFont="1" applyFill="1" applyBorder="1" applyAlignment="1">
      <alignment horizontal="center" vertical="center"/>
    </xf>
    <xf numFmtId="43" fontId="22" fillId="4" borderId="4" xfId="6" applyFont="1" applyFill="1" applyBorder="1" applyAlignment="1">
      <alignment horizontal="center" vertical="center"/>
    </xf>
    <xf numFmtId="43" fontId="22" fillId="4" borderId="5" xfId="6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49" fillId="4" borderId="3" xfId="0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43" fontId="25" fillId="4" borderId="3" xfId="6" applyFont="1" applyFill="1" applyBorder="1" applyAlignment="1">
      <alignment horizontal="center" vertical="center"/>
    </xf>
    <xf numFmtId="43" fontId="25" fillId="4" borderId="5" xfId="6" applyFont="1" applyFill="1" applyBorder="1" applyAlignment="1">
      <alignment horizontal="center" vertical="center"/>
    </xf>
    <xf numFmtId="0" fontId="34" fillId="4" borderId="44" xfId="0" applyFont="1" applyFill="1" applyBorder="1" applyAlignment="1">
      <alignment horizontal="center" vertical="center"/>
    </xf>
    <xf numFmtId="0" fontId="34" fillId="4" borderId="45" xfId="0" applyFont="1" applyFill="1" applyBorder="1" applyAlignment="1">
      <alignment horizontal="center" vertical="center"/>
    </xf>
    <xf numFmtId="0" fontId="34" fillId="4" borderId="46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52" fillId="4" borderId="28" xfId="0" applyFont="1" applyFill="1" applyBorder="1" applyAlignment="1">
      <alignment horizontal="center" vertical="center"/>
    </xf>
    <xf numFmtId="0" fontId="52" fillId="4" borderId="29" xfId="0" applyFont="1" applyFill="1" applyBorder="1" applyAlignment="1">
      <alignment horizontal="center" vertical="center"/>
    </xf>
    <xf numFmtId="0" fontId="34" fillId="4" borderId="15" xfId="15" applyFont="1" applyFill="1" applyBorder="1" applyAlignment="1">
      <alignment horizontal="center" vertical="center" wrapText="1"/>
    </xf>
    <xf numFmtId="0" fontId="34" fillId="4" borderId="30" xfId="15" applyFont="1" applyFill="1" applyBorder="1" applyAlignment="1">
      <alignment horizontal="center" vertical="center" wrapText="1"/>
    </xf>
    <xf numFmtId="0" fontId="34" fillId="4" borderId="31" xfId="15" applyFont="1" applyFill="1" applyBorder="1" applyAlignment="1">
      <alignment horizontal="left" vertical="center" wrapText="1"/>
    </xf>
    <xf numFmtId="0" fontId="34" fillId="4" borderId="5" xfId="15" applyFont="1" applyFill="1" applyBorder="1" applyAlignment="1">
      <alignment horizontal="left" vertical="center" wrapText="1"/>
    </xf>
    <xf numFmtId="0" fontId="34" fillId="4" borderId="31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/>
    </xf>
    <xf numFmtId="0" fontId="34" fillId="4" borderId="39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43" fontId="34" fillId="0" borderId="3" xfId="6" applyFont="1" applyBorder="1" applyAlignment="1">
      <alignment horizontal="center"/>
    </xf>
    <xf numFmtId="43" fontId="34" fillId="0" borderId="5" xfId="6" applyFont="1" applyBorder="1" applyAlignment="1">
      <alignment horizontal="center"/>
    </xf>
    <xf numFmtId="0" fontId="60" fillId="4" borderId="6" xfId="12" applyFont="1" applyFill="1" applyBorder="1" applyAlignment="1">
      <alignment horizontal="left" vertical="center" wrapText="1"/>
    </xf>
    <xf numFmtId="0" fontId="53" fillId="0" borderId="7" xfId="12" applyFont="1" applyBorder="1" applyAlignment="1">
      <alignment horizontal="center" vertical="center"/>
    </xf>
    <xf numFmtId="0" fontId="53" fillId="0" borderId="8" xfId="12" applyFont="1" applyBorder="1" applyAlignment="1">
      <alignment horizontal="center" vertical="center"/>
    </xf>
    <xf numFmtId="0" fontId="53" fillId="0" borderId="25" xfId="12" applyFont="1" applyBorder="1" applyAlignment="1">
      <alignment horizontal="center" vertical="center"/>
    </xf>
    <xf numFmtId="0" fontId="53" fillId="0" borderId="26" xfId="12" applyFont="1" applyBorder="1" applyAlignment="1">
      <alignment horizontal="center" vertical="center"/>
    </xf>
    <xf numFmtId="0" fontId="53" fillId="0" borderId="0" xfId="12" applyFont="1" applyAlignment="1">
      <alignment horizontal="center" vertical="center"/>
    </xf>
    <xf numFmtId="0" fontId="53" fillId="0" borderId="27" xfId="12" applyFont="1" applyBorder="1" applyAlignment="1">
      <alignment horizontal="center" vertical="center"/>
    </xf>
    <xf numFmtId="0" fontId="54" fillId="15" borderId="6" xfId="12" applyFont="1" applyFill="1" applyBorder="1" applyAlignment="1">
      <alignment horizontal="center" vertical="center" wrapText="1"/>
    </xf>
    <xf numFmtId="0" fontId="54" fillId="4" borderId="6" xfId="12" applyFont="1" applyFill="1" applyBorder="1" applyAlignment="1">
      <alignment horizontal="center" vertical="center"/>
    </xf>
    <xf numFmtId="0" fontId="56" fillId="4" borderId="6" xfId="12" applyFont="1" applyFill="1" applyBorder="1" applyAlignment="1">
      <alignment horizontal="center" vertical="center"/>
    </xf>
  </cellXfs>
  <cellStyles count="16">
    <cellStyle name="Moeda" xfId="13" builtinId="4"/>
    <cellStyle name="Moeda 2 10" xfId="11" xr:uid="{00000000-0005-0000-0000-000000000000}"/>
    <cellStyle name="Moeda 2 2 14" xfId="9" xr:uid="{00000000-0005-0000-0000-000001000000}"/>
    <cellStyle name="Normal" xfId="0" builtinId="0"/>
    <cellStyle name="Normal 2" xfId="1" xr:uid="{00000000-0005-0000-0000-000003000000}"/>
    <cellStyle name="Normal 3" xfId="12" xr:uid="{00000000-0005-0000-0000-000004000000}"/>
    <cellStyle name="Normal 4" xfId="3" xr:uid="{00000000-0005-0000-0000-000005000000}"/>
    <cellStyle name="Normal 5 2 2" xfId="7" xr:uid="{00000000-0005-0000-0000-000006000000}"/>
    <cellStyle name="Normal 6" xfId="15" xr:uid="{836F0F5F-475F-45E4-9F8D-1E22961381D7}"/>
    <cellStyle name="Porcentagem" xfId="14" builtinId="5"/>
    <cellStyle name="Porcentagem 2" xfId="5" xr:uid="{00000000-0005-0000-0000-000007000000}"/>
    <cellStyle name="Vírgula" xfId="6" builtinId="3"/>
    <cellStyle name="Vírgula 2" xfId="2" xr:uid="{00000000-0005-0000-0000-000009000000}"/>
    <cellStyle name="Vírgula 2 2" xfId="4" xr:uid="{00000000-0005-0000-0000-00000A000000}"/>
    <cellStyle name="Vírgula 3" xfId="8" xr:uid="{00000000-0005-0000-0000-00000B000000}"/>
    <cellStyle name="Vírgula 3 2 2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155</xdr:row>
      <xdr:rowOff>85725</xdr:rowOff>
    </xdr:from>
    <xdr:to>
      <xdr:col>18</xdr:col>
      <xdr:colOff>866775</xdr:colOff>
      <xdr:row>155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4775" y="185994675"/>
          <a:ext cx="79914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163</xdr:row>
      <xdr:rowOff>85725</xdr:rowOff>
    </xdr:from>
    <xdr:to>
      <xdr:col>18</xdr:col>
      <xdr:colOff>866775</xdr:colOff>
      <xdr:row>163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4775" y="187985400"/>
          <a:ext cx="79914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5</xdr:row>
      <xdr:rowOff>47625</xdr:rowOff>
    </xdr:from>
    <xdr:to>
      <xdr:col>3</xdr:col>
      <xdr:colOff>295275</xdr:colOff>
      <xdr:row>8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600325" y="857250"/>
          <a:ext cx="35528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1973580</xdr:colOff>
          <xdr:row>0</xdr:row>
          <xdr:rowOff>0</xdr:rowOff>
        </xdr:from>
        <xdr:to>
          <xdr:col>2</xdr:col>
          <xdr:colOff>2598420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755</xdr:row>
      <xdr:rowOff>0</xdr:rowOff>
    </xdr:from>
    <xdr:to>
      <xdr:col>14</xdr:col>
      <xdr:colOff>304800</xdr:colOff>
      <xdr:row>757</xdr:row>
      <xdr:rowOff>152400</xdr:rowOff>
    </xdr:to>
    <xdr:sp macro="" textlink="">
      <xdr:nvSpPr>
        <xdr:cNvPr id="5" name="AutoShape 1816" descr="Resultado de imagem para tabela pesos armaÃ§Ã£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755</xdr:row>
      <xdr:rowOff>0</xdr:rowOff>
    </xdr:from>
    <xdr:to>
      <xdr:col>14</xdr:col>
      <xdr:colOff>304800</xdr:colOff>
      <xdr:row>757</xdr:row>
      <xdr:rowOff>152400</xdr:rowOff>
    </xdr:to>
    <xdr:sp macro="" textlink="">
      <xdr:nvSpPr>
        <xdr:cNvPr id="6" name="AutoShape 1817" descr="Resultado de imagem para tabela pesos armaÃ§Ã£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755</xdr:row>
      <xdr:rowOff>0</xdr:rowOff>
    </xdr:from>
    <xdr:to>
      <xdr:col>14</xdr:col>
      <xdr:colOff>304800</xdr:colOff>
      <xdr:row>757</xdr:row>
      <xdr:rowOff>152400</xdr:rowOff>
    </xdr:to>
    <xdr:sp macro="" textlink="">
      <xdr:nvSpPr>
        <xdr:cNvPr id="7" name="AutoShape 1818" descr="https://www.acad.eng.br/wp-content/uploads/2018/09/tab-4-300x243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892</xdr:row>
      <xdr:rowOff>0</xdr:rowOff>
    </xdr:from>
    <xdr:to>
      <xdr:col>14</xdr:col>
      <xdr:colOff>304800</xdr:colOff>
      <xdr:row>894</xdr:row>
      <xdr:rowOff>184786</xdr:rowOff>
    </xdr:to>
    <xdr:sp macro="" textlink="">
      <xdr:nvSpPr>
        <xdr:cNvPr id="8" name="AutoShape 1816" descr="Resultado de imagem para tabela pesos armaÃ§Ã£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892</xdr:row>
      <xdr:rowOff>0</xdr:rowOff>
    </xdr:from>
    <xdr:to>
      <xdr:col>14</xdr:col>
      <xdr:colOff>304800</xdr:colOff>
      <xdr:row>894</xdr:row>
      <xdr:rowOff>184786</xdr:rowOff>
    </xdr:to>
    <xdr:sp macro="" textlink="">
      <xdr:nvSpPr>
        <xdr:cNvPr id="9" name="AutoShape 1817" descr="Resultado de imagem para tabela pesos armaÃ§Ã£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892</xdr:row>
      <xdr:rowOff>0</xdr:rowOff>
    </xdr:from>
    <xdr:to>
      <xdr:col>14</xdr:col>
      <xdr:colOff>304800</xdr:colOff>
      <xdr:row>894</xdr:row>
      <xdr:rowOff>184786</xdr:rowOff>
    </xdr:to>
    <xdr:sp macro="" textlink="">
      <xdr:nvSpPr>
        <xdr:cNvPr id="10" name="AutoShape 1818" descr="https://www.acad.eng.br/wp-content/uploads/2018/09/tab-4-300x243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danl_\Desktop\TP-005-2020-DETRAN%20-%204&#170;%20RETIFICA&#199;&#195;O%20-%2015-12-20\TP-05-20-DETRAN%20PLANILHAS%20W%20MENDES\Licita&#231;&#245;es%20Novembro%20ano%202020\TP-05%20DETRAN-MT-PLANILHA%20BRIGA%20W%20MENDES-18-11-2020\TP-005-2020%20DETRAN-03-11-2020-RETIFICADA\III%20ETAPA\EXPURGO\PLANILHA%20III%20ETAPA%2028-09-2020.xls?ECE2689E" TargetMode="External"/><Relationship Id="rId1" Type="http://schemas.openxmlformats.org/officeDocument/2006/relationships/externalLinkPath" Target="file:///\\ECE2689E\PLANILHA%20III%20ETAPA%2028-09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202\coordenadoria%20de%20engenharia%20de%20transito\0001%20-%20GERAL%20DETRAN\004%20-COORDENADORIA%20DE%20OBRAS%202019\050%20-%20REFORMA%2044&#170;%20CIRETRAN%20NOVA%20MUTUM\PLANILHAS%20EMREITEIROS\PLANILHA%20-%20CONSTRU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RONOGRAMA"/>
      <sheetName val="COMPOSIÇÃO"/>
    </sheetNames>
    <sheetDataSet>
      <sheetData sheetId="0" refreshError="1">
        <row r="11">
          <cell r="A11" t="str">
            <v>OBRA:     REVITALIZAÇÃO COM AMPLIAÇÃO DOS BLOCOS DA SEDE DO DETRAN/SEDE</v>
          </cell>
        </row>
        <row r="12">
          <cell r="A12" t="str">
            <v>LOCAL:   AV.DR. HÉLIO RIBEIRO, 100               CEP 78048-910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ADERNO DE COMPOSIÇÕES"/>
      <sheetName val="CRONOGRAMA"/>
      <sheetName val="ESCALA SALARIAL"/>
      <sheetName val="ENCARGOS SOCIAIS"/>
      <sheetName val="BDI"/>
      <sheetName val="COMPOSIÇÕES"/>
    </sheetNames>
    <sheetDataSet>
      <sheetData sheetId="0">
        <row r="51">
          <cell r="A51" t="str">
            <v>___________________________________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9"/>
  <sheetViews>
    <sheetView topLeftCell="A94" workbookViewId="0">
      <selection activeCell="M113" sqref="M113"/>
    </sheetView>
  </sheetViews>
  <sheetFormatPr defaultRowHeight="13.2" x14ac:dyDescent="0.25"/>
  <cols>
    <col min="1" max="1" width="14.6640625" style="147" customWidth="1"/>
    <col min="2" max="2" width="11" style="138" customWidth="1"/>
    <col min="3" max="3" width="57.33203125" style="147" customWidth="1"/>
    <col min="4" max="4" width="9.109375" style="147"/>
    <col min="5" max="5" width="15.33203125" style="147" customWidth="1"/>
    <col min="6" max="6" width="11.33203125" style="147" customWidth="1"/>
    <col min="7" max="7" width="12.44140625" style="147" customWidth="1"/>
    <col min="8" max="256" width="9.109375" style="5"/>
    <col min="257" max="257" width="14.6640625" style="5" customWidth="1"/>
    <col min="258" max="258" width="9.109375" style="5"/>
    <col min="259" max="259" width="57.33203125" style="5" customWidth="1"/>
    <col min="260" max="260" width="9.109375" style="5"/>
    <col min="261" max="261" width="15.33203125" style="5" customWidth="1"/>
    <col min="262" max="262" width="11.33203125" style="5" customWidth="1"/>
    <col min="263" max="263" width="12.44140625" style="5" customWidth="1"/>
    <col min="264" max="512" width="9.109375" style="5"/>
    <col min="513" max="513" width="14.6640625" style="5" customWidth="1"/>
    <col min="514" max="514" width="9.109375" style="5"/>
    <col min="515" max="515" width="57.33203125" style="5" customWidth="1"/>
    <col min="516" max="516" width="9.109375" style="5"/>
    <col min="517" max="517" width="15.33203125" style="5" customWidth="1"/>
    <col min="518" max="518" width="11.33203125" style="5" customWidth="1"/>
    <col min="519" max="519" width="12.44140625" style="5" customWidth="1"/>
    <col min="520" max="768" width="9.109375" style="5"/>
    <col min="769" max="769" width="14.6640625" style="5" customWidth="1"/>
    <col min="770" max="770" width="9.109375" style="5"/>
    <col min="771" max="771" width="57.33203125" style="5" customWidth="1"/>
    <col min="772" max="772" width="9.109375" style="5"/>
    <col min="773" max="773" width="15.33203125" style="5" customWidth="1"/>
    <col min="774" max="774" width="11.33203125" style="5" customWidth="1"/>
    <col min="775" max="775" width="12.44140625" style="5" customWidth="1"/>
    <col min="776" max="1024" width="9.109375" style="5"/>
    <col min="1025" max="1025" width="14.6640625" style="5" customWidth="1"/>
    <col min="1026" max="1026" width="9.109375" style="5"/>
    <col min="1027" max="1027" width="57.33203125" style="5" customWidth="1"/>
    <col min="1028" max="1028" width="9.109375" style="5"/>
    <col min="1029" max="1029" width="15.33203125" style="5" customWidth="1"/>
    <col min="1030" max="1030" width="11.33203125" style="5" customWidth="1"/>
    <col min="1031" max="1031" width="12.44140625" style="5" customWidth="1"/>
    <col min="1032" max="1280" width="9.109375" style="5"/>
    <col min="1281" max="1281" width="14.6640625" style="5" customWidth="1"/>
    <col min="1282" max="1282" width="9.109375" style="5"/>
    <col min="1283" max="1283" width="57.33203125" style="5" customWidth="1"/>
    <col min="1284" max="1284" width="9.109375" style="5"/>
    <col min="1285" max="1285" width="15.33203125" style="5" customWidth="1"/>
    <col min="1286" max="1286" width="11.33203125" style="5" customWidth="1"/>
    <col min="1287" max="1287" width="12.44140625" style="5" customWidth="1"/>
    <col min="1288" max="1536" width="9.109375" style="5"/>
    <col min="1537" max="1537" width="14.6640625" style="5" customWidth="1"/>
    <col min="1538" max="1538" width="9.109375" style="5"/>
    <col min="1539" max="1539" width="57.33203125" style="5" customWidth="1"/>
    <col min="1540" max="1540" width="9.109375" style="5"/>
    <col min="1541" max="1541" width="15.33203125" style="5" customWidth="1"/>
    <col min="1542" max="1542" width="11.33203125" style="5" customWidth="1"/>
    <col min="1543" max="1543" width="12.44140625" style="5" customWidth="1"/>
    <col min="1544" max="1792" width="9.109375" style="5"/>
    <col min="1793" max="1793" width="14.6640625" style="5" customWidth="1"/>
    <col min="1794" max="1794" width="9.109375" style="5"/>
    <col min="1795" max="1795" width="57.33203125" style="5" customWidth="1"/>
    <col min="1796" max="1796" width="9.109375" style="5"/>
    <col min="1797" max="1797" width="15.33203125" style="5" customWidth="1"/>
    <col min="1798" max="1798" width="11.33203125" style="5" customWidth="1"/>
    <col min="1799" max="1799" width="12.44140625" style="5" customWidth="1"/>
    <col min="1800" max="2048" width="9.109375" style="5"/>
    <col min="2049" max="2049" width="14.6640625" style="5" customWidth="1"/>
    <col min="2050" max="2050" width="9.109375" style="5"/>
    <col min="2051" max="2051" width="57.33203125" style="5" customWidth="1"/>
    <col min="2052" max="2052" width="9.109375" style="5"/>
    <col min="2053" max="2053" width="15.33203125" style="5" customWidth="1"/>
    <col min="2054" max="2054" width="11.33203125" style="5" customWidth="1"/>
    <col min="2055" max="2055" width="12.44140625" style="5" customWidth="1"/>
    <col min="2056" max="2304" width="9.109375" style="5"/>
    <col min="2305" max="2305" width="14.6640625" style="5" customWidth="1"/>
    <col min="2306" max="2306" width="9.109375" style="5"/>
    <col min="2307" max="2307" width="57.33203125" style="5" customWidth="1"/>
    <col min="2308" max="2308" width="9.109375" style="5"/>
    <col min="2309" max="2309" width="15.33203125" style="5" customWidth="1"/>
    <col min="2310" max="2310" width="11.33203125" style="5" customWidth="1"/>
    <col min="2311" max="2311" width="12.44140625" style="5" customWidth="1"/>
    <col min="2312" max="2560" width="9.109375" style="5"/>
    <col min="2561" max="2561" width="14.6640625" style="5" customWidth="1"/>
    <col min="2562" max="2562" width="9.109375" style="5"/>
    <col min="2563" max="2563" width="57.33203125" style="5" customWidth="1"/>
    <col min="2564" max="2564" width="9.109375" style="5"/>
    <col min="2565" max="2565" width="15.33203125" style="5" customWidth="1"/>
    <col min="2566" max="2566" width="11.33203125" style="5" customWidth="1"/>
    <col min="2567" max="2567" width="12.44140625" style="5" customWidth="1"/>
    <col min="2568" max="2816" width="9.109375" style="5"/>
    <col min="2817" max="2817" width="14.6640625" style="5" customWidth="1"/>
    <col min="2818" max="2818" width="9.109375" style="5"/>
    <col min="2819" max="2819" width="57.33203125" style="5" customWidth="1"/>
    <col min="2820" max="2820" width="9.109375" style="5"/>
    <col min="2821" max="2821" width="15.33203125" style="5" customWidth="1"/>
    <col min="2822" max="2822" width="11.33203125" style="5" customWidth="1"/>
    <col min="2823" max="2823" width="12.44140625" style="5" customWidth="1"/>
    <col min="2824" max="3072" width="9.109375" style="5"/>
    <col min="3073" max="3073" width="14.6640625" style="5" customWidth="1"/>
    <col min="3074" max="3074" width="9.109375" style="5"/>
    <col min="3075" max="3075" width="57.33203125" style="5" customWidth="1"/>
    <col min="3076" max="3076" width="9.109375" style="5"/>
    <col min="3077" max="3077" width="15.33203125" style="5" customWidth="1"/>
    <col min="3078" max="3078" width="11.33203125" style="5" customWidth="1"/>
    <col min="3079" max="3079" width="12.44140625" style="5" customWidth="1"/>
    <col min="3080" max="3328" width="9.109375" style="5"/>
    <col min="3329" max="3329" width="14.6640625" style="5" customWidth="1"/>
    <col min="3330" max="3330" width="9.109375" style="5"/>
    <col min="3331" max="3331" width="57.33203125" style="5" customWidth="1"/>
    <col min="3332" max="3332" width="9.109375" style="5"/>
    <col min="3333" max="3333" width="15.33203125" style="5" customWidth="1"/>
    <col min="3334" max="3334" width="11.33203125" style="5" customWidth="1"/>
    <col min="3335" max="3335" width="12.44140625" style="5" customWidth="1"/>
    <col min="3336" max="3584" width="9.109375" style="5"/>
    <col min="3585" max="3585" width="14.6640625" style="5" customWidth="1"/>
    <col min="3586" max="3586" width="9.109375" style="5"/>
    <col min="3587" max="3587" width="57.33203125" style="5" customWidth="1"/>
    <col min="3588" max="3588" width="9.109375" style="5"/>
    <col min="3589" max="3589" width="15.33203125" style="5" customWidth="1"/>
    <col min="3590" max="3590" width="11.33203125" style="5" customWidth="1"/>
    <col min="3591" max="3591" width="12.44140625" style="5" customWidth="1"/>
    <col min="3592" max="3840" width="9.109375" style="5"/>
    <col min="3841" max="3841" width="14.6640625" style="5" customWidth="1"/>
    <col min="3842" max="3842" width="9.109375" style="5"/>
    <col min="3843" max="3843" width="57.33203125" style="5" customWidth="1"/>
    <col min="3844" max="3844" width="9.109375" style="5"/>
    <col min="3845" max="3845" width="15.33203125" style="5" customWidth="1"/>
    <col min="3846" max="3846" width="11.33203125" style="5" customWidth="1"/>
    <col min="3847" max="3847" width="12.44140625" style="5" customWidth="1"/>
    <col min="3848" max="4096" width="9.109375" style="5"/>
    <col min="4097" max="4097" width="14.6640625" style="5" customWidth="1"/>
    <col min="4098" max="4098" width="9.109375" style="5"/>
    <col min="4099" max="4099" width="57.33203125" style="5" customWidth="1"/>
    <col min="4100" max="4100" width="9.109375" style="5"/>
    <col min="4101" max="4101" width="15.33203125" style="5" customWidth="1"/>
    <col min="4102" max="4102" width="11.33203125" style="5" customWidth="1"/>
    <col min="4103" max="4103" width="12.44140625" style="5" customWidth="1"/>
    <col min="4104" max="4352" width="9.109375" style="5"/>
    <col min="4353" max="4353" width="14.6640625" style="5" customWidth="1"/>
    <col min="4354" max="4354" width="9.109375" style="5"/>
    <col min="4355" max="4355" width="57.33203125" style="5" customWidth="1"/>
    <col min="4356" max="4356" width="9.109375" style="5"/>
    <col min="4357" max="4357" width="15.33203125" style="5" customWidth="1"/>
    <col min="4358" max="4358" width="11.33203125" style="5" customWidth="1"/>
    <col min="4359" max="4359" width="12.44140625" style="5" customWidth="1"/>
    <col min="4360" max="4608" width="9.109375" style="5"/>
    <col min="4609" max="4609" width="14.6640625" style="5" customWidth="1"/>
    <col min="4610" max="4610" width="9.109375" style="5"/>
    <col min="4611" max="4611" width="57.33203125" style="5" customWidth="1"/>
    <col min="4612" max="4612" width="9.109375" style="5"/>
    <col min="4613" max="4613" width="15.33203125" style="5" customWidth="1"/>
    <col min="4614" max="4614" width="11.33203125" style="5" customWidth="1"/>
    <col min="4615" max="4615" width="12.44140625" style="5" customWidth="1"/>
    <col min="4616" max="4864" width="9.109375" style="5"/>
    <col min="4865" max="4865" width="14.6640625" style="5" customWidth="1"/>
    <col min="4866" max="4866" width="9.109375" style="5"/>
    <col min="4867" max="4867" width="57.33203125" style="5" customWidth="1"/>
    <col min="4868" max="4868" width="9.109375" style="5"/>
    <col min="4869" max="4869" width="15.33203125" style="5" customWidth="1"/>
    <col min="4870" max="4870" width="11.33203125" style="5" customWidth="1"/>
    <col min="4871" max="4871" width="12.44140625" style="5" customWidth="1"/>
    <col min="4872" max="5120" width="9.109375" style="5"/>
    <col min="5121" max="5121" width="14.6640625" style="5" customWidth="1"/>
    <col min="5122" max="5122" width="9.109375" style="5"/>
    <col min="5123" max="5123" width="57.33203125" style="5" customWidth="1"/>
    <col min="5124" max="5124" width="9.109375" style="5"/>
    <col min="5125" max="5125" width="15.33203125" style="5" customWidth="1"/>
    <col min="5126" max="5126" width="11.33203125" style="5" customWidth="1"/>
    <col min="5127" max="5127" width="12.44140625" style="5" customWidth="1"/>
    <col min="5128" max="5376" width="9.109375" style="5"/>
    <col min="5377" max="5377" width="14.6640625" style="5" customWidth="1"/>
    <col min="5378" max="5378" width="9.109375" style="5"/>
    <col min="5379" max="5379" width="57.33203125" style="5" customWidth="1"/>
    <col min="5380" max="5380" width="9.109375" style="5"/>
    <col min="5381" max="5381" width="15.33203125" style="5" customWidth="1"/>
    <col min="5382" max="5382" width="11.33203125" style="5" customWidth="1"/>
    <col min="5383" max="5383" width="12.44140625" style="5" customWidth="1"/>
    <col min="5384" max="5632" width="9.109375" style="5"/>
    <col min="5633" max="5633" width="14.6640625" style="5" customWidth="1"/>
    <col min="5634" max="5634" width="9.109375" style="5"/>
    <col min="5635" max="5635" width="57.33203125" style="5" customWidth="1"/>
    <col min="5636" max="5636" width="9.109375" style="5"/>
    <col min="5637" max="5637" width="15.33203125" style="5" customWidth="1"/>
    <col min="5638" max="5638" width="11.33203125" style="5" customWidth="1"/>
    <col min="5639" max="5639" width="12.44140625" style="5" customWidth="1"/>
    <col min="5640" max="5888" width="9.109375" style="5"/>
    <col min="5889" max="5889" width="14.6640625" style="5" customWidth="1"/>
    <col min="5890" max="5890" width="9.109375" style="5"/>
    <col min="5891" max="5891" width="57.33203125" style="5" customWidth="1"/>
    <col min="5892" max="5892" width="9.109375" style="5"/>
    <col min="5893" max="5893" width="15.33203125" style="5" customWidth="1"/>
    <col min="5894" max="5894" width="11.33203125" style="5" customWidth="1"/>
    <col min="5895" max="5895" width="12.44140625" style="5" customWidth="1"/>
    <col min="5896" max="6144" width="9.109375" style="5"/>
    <col min="6145" max="6145" width="14.6640625" style="5" customWidth="1"/>
    <col min="6146" max="6146" width="9.109375" style="5"/>
    <col min="6147" max="6147" width="57.33203125" style="5" customWidth="1"/>
    <col min="6148" max="6148" width="9.109375" style="5"/>
    <col min="6149" max="6149" width="15.33203125" style="5" customWidth="1"/>
    <col min="6150" max="6150" width="11.33203125" style="5" customWidth="1"/>
    <col min="6151" max="6151" width="12.44140625" style="5" customWidth="1"/>
    <col min="6152" max="6400" width="9.109375" style="5"/>
    <col min="6401" max="6401" width="14.6640625" style="5" customWidth="1"/>
    <col min="6402" max="6402" width="9.109375" style="5"/>
    <col min="6403" max="6403" width="57.33203125" style="5" customWidth="1"/>
    <col min="6404" max="6404" width="9.109375" style="5"/>
    <col min="6405" max="6405" width="15.33203125" style="5" customWidth="1"/>
    <col min="6406" max="6406" width="11.33203125" style="5" customWidth="1"/>
    <col min="6407" max="6407" width="12.44140625" style="5" customWidth="1"/>
    <col min="6408" max="6656" width="9.109375" style="5"/>
    <col min="6657" max="6657" width="14.6640625" style="5" customWidth="1"/>
    <col min="6658" max="6658" width="9.109375" style="5"/>
    <col min="6659" max="6659" width="57.33203125" style="5" customWidth="1"/>
    <col min="6660" max="6660" width="9.109375" style="5"/>
    <col min="6661" max="6661" width="15.33203125" style="5" customWidth="1"/>
    <col min="6662" max="6662" width="11.33203125" style="5" customWidth="1"/>
    <col min="6663" max="6663" width="12.44140625" style="5" customWidth="1"/>
    <col min="6664" max="6912" width="9.109375" style="5"/>
    <col min="6913" max="6913" width="14.6640625" style="5" customWidth="1"/>
    <col min="6914" max="6914" width="9.109375" style="5"/>
    <col min="6915" max="6915" width="57.33203125" style="5" customWidth="1"/>
    <col min="6916" max="6916" width="9.109375" style="5"/>
    <col min="6917" max="6917" width="15.33203125" style="5" customWidth="1"/>
    <col min="6918" max="6918" width="11.33203125" style="5" customWidth="1"/>
    <col min="6919" max="6919" width="12.44140625" style="5" customWidth="1"/>
    <col min="6920" max="7168" width="9.109375" style="5"/>
    <col min="7169" max="7169" width="14.6640625" style="5" customWidth="1"/>
    <col min="7170" max="7170" width="9.109375" style="5"/>
    <col min="7171" max="7171" width="57.33203125" style="5" customWidth="1"/>
    <col min="7172" max="7172" width="9.109375" style="5"/>
    <col min="7173" max="7173" width="15.33203125" style="5" customWidth="1"/>
    <col min="7174" max="7174" width="11.33203125" style="5" customWidth="1"/>
    <col min="7175" max="7175" width="12.44140625" style="5" customWidth="1"/>
    <col min="7176" max="7424" width="9.109375" style="5"/>
    <col min="7425" max="7425" width="14.6640625" style="5" customWidth="1"/>
    <col min="7426" max="7426" width="9.109375" style="5"/>
    <col min="7427" max="7427" width="57.33203125" style="5" customWidth="1"/>
    <col min="7428" max="7428" width="9.109375" style="5"/>
    <col min="7429" max="7429" width="15.33203125" style="5" customWidth="1"/>
    <col min="7430" max="7430" width="11.33203125" style="5" customWidth="1"/>
    <col min="7431" max="7431" width="12.44140625" style="5" customWidth="1"/>
    <col min="7432" max="7680" width="9.109375" style="5"/>
    <col min="7681" max="7681" width="14.6640625" style="5" customWidth="1"/>
    <col min="7682" max="7682" width="9.109375" style="5"/>
    <col min="7683" max="7683" width="57.33203125" style="5" customWidth="1"/>
    <col min="7684" max="7684" width="9.109375" style="5"/>
    <col min="7685" max="7685" width="15.33203125" style="5" customWidth="1"/>
    <col min="7686" max="7686" width="11.33203125" style="5" customWidth="1"/>
    <col min="7687" max="7687" width="12.44140625" style="5" customWidth="1"/>
    <col min="7688" max="7936" width="9.109375" style="5"/>
    <col min="7937" max="7937" width="14.6640625" style="5" customWidth="1"/>
    <col min="7938" max="7938" width="9.109375" style="5"/>
    <col min="7939" max="7939" width="57.33203125" style="5" customWidth="1"/>
    <col min="7940" max="7940" width="9.109375" style="5"/>
    <col min="7941" max="7941" width="15.33203125" style="5" customWidth="1"/>
    <col min="7942" max="7942" width="11.33203125" style="5" customWidth="1"/>
    <col min="7943" max="7943" width="12.44140625" style="5" customWidth="1"/>
    <col min="7944" max="8192" width="9.109375" style="5"/>
    <col min="8193" max="8193" width="14.6640625" style="5" customWidth="1"/>
    <col min="8194" max="8194" width="9.109375" style="5"/>
    <col min="8195" max="8195" width="57.33203125" style="5" customWidth="1"/>
    <col min="8196" max="8196" width="9.109375" style="5"/>
    <col min="8197" max="8197" width="15.33203125" style="5" customWidth="1"/>
    <col min="8198" max="8198" width="11.33203125" style="5" customWidth="1"/>
    <col min="8199" max="8199" width="12.44140625" style="5" customWidth="1"/>
    <col min="8200" max="8448" width="9.109375" style="5"/>
    <col min="8449" max="8449" width="14.6640625" style="5" customWidth="1"/>
    <col min="8450" max="8450" width="9.109375" style="5"/>
    <col min="8451" max="8451" width="57.33203125" style="5" customWidth="1"/>
    <col min="8452" max="8452" width="9.109375" style="5"/>
    <col min="8453" max="8453" width="15.33203125" style="5" customWidth="1"/>
    <col min="8454" max="8454" width="11.33203125" style="5" customWidth="1"/>
    <col min="8455" max="8455" width="12.44140625" style="5" customWidth="1"/>
    <col min="8456" max="8704" width="9.109375" style="5"/>
    <col min="8705" max="8705" width="14.6640625" style="5" customWidth="1"/>
    <col min="8706" max="8706" width="9.109375" style="5"/>
    <col min="8707" max="8707" width="57.33203125" style="5" customWidth="1"/>
    <col min="8708" max="8708" width="9.109375" style="5"/>
    <col min="8709" max="8709" width="15.33203125" style="5" customWidth="1"/>
    <col min="8710" max="8710" width="11.33203125" style="5" customWidth="1"/>
    <col min="8711" max="8711" width="12.44140625" style="5" customWidth="1"/>
    <col min="8712" max="8960" width="9.109375" style="5"/>
    <col min="8961" max="8961" width="14.6640625" style="5" customWidth="1"/>
    <col min="8962" max="8962" width="9.109375" style="5"/>
    <col min="8963" max="8963" width="57.33203125" style="5" customWidth="1"/>
    <col min="8964" max="8964" width="9.109375" style="5"/>
    <col min="8965" max="8965" width="15.33203125" style="5" customWidth="1"/>
    <col min="8966" max="8966" width="11.33203125" style="5" customWidth="1"/>
    <col min="8967" max="8967" width="12.44140625" style="5" customWidth="1"/>
    <col min="8968" max="9216" width="9.109375" style="5"/>
    <col min="9217" max="9217" width="14.6640625" style="5" customWidth="1"/>
    <col min="9218" max="9218" width="9.109375" style="5"/>
    <col min="9219" max="9219" width="57.33203125" style="5" customWidth="1"/>
    <col min="9220" max="9220" width="9.109375" style="5"/>
    <col min="9221" max="9221" width="15.33203125" style="5" customWidth="1"/>
    <col min="9222" max="9222" width="11.33203125" style="5" customWidth="1"/>
    <col min="9223" max="9223" width="12.44140625" style="5" customWidth="1"/>
    <col min="9224" max="9472" width="9.109375" style="5"/>
    <col min="9473" max="9473" width="14.6640625" style="5" customWidth="1"/>
    <col min="9474" max="9474" width="9.109375" style="5"/>
    <col min="9475" max="9475" width="57.33203125" style="5" customWidth="1"/>
    <col min="9476" max="9476" width="9.109375" style="5"/>
    <col min="9477" max="9477" width="15.33203125" style="5" customWidth="1"/>
    <col min="9478" max="9478" width="11.33203125" style="5" customWidth="1"/>
    <col min="9479" max="9479" width="12.44140625" style="5" customWidth="1"/>
    <col min="9480" max="9728" width="9.109375" style="5"/>
    <col min="9729" max="9729" width="14.6640625" style="5" customWidth="1"/>
    <col min="9730" max="9730" width="9.109375" style="5"/>
    <col min="9731" max="9731" width="57.33203125" style="5" customWidth="1"/>
    <col min="9732" max="9732" width="9.109375" style="5"/>
    <col min="9733" max="9733" width="15.33203125" style="5" customWidth="1"/>
    <col min="9734" max="9734" width="11.33203125" style="5" customWidth="1"/>
    <col min="9735" max="9735" width="12.44140625" style="5" customWidth="1"/>
    <col min="9736" max="9984" width="9.109375" style="5"/>
    <col min="9985" max="9985" width="14.6640625" style="5" customWidth="1"/>
    <col min="9986" max="9986" width="9.109375" style="5"/>
    <col min="9987" max="9987" width="57.33203125" style="5" customWidth="1"/>
    <col min="9988" max="9988" width="9.109375" style="5"/>
    <col min="9989" max="9989" width="15.33203125" style="5" customWidth="1"/>
    <col min="9990" max="9990" width="11.33203125" style="5" customWidth="1"/>
    <col min="9991" max="9991" width="12.44140625" style="5" customWidth="1"/>
    <col min="9992" max="10240" width="9.109375" style="5"/>
    <col min="10241" max="10241" width="14.6640625" style="5" customWidth="1"/>
    <col min="10242" max="10242" width="9.109375" style="5"/>
    <col min="10243" max="10243" width="57.33203125" style="5" customWidth="1"/>
    <col min="10244" max="10244" width="9.109375" style="5"/>
    <col min="10245" max="10245" width="15.33203125" style="5" customWidth="1"/>
    <col min="10246" max="10246" width="11.33203125" style="5" customWidth="1"/>
    <col min="10247" max="10247" width="12.44140625" style="5" customWidth="1"/>
    <col min="10248" max="10496" width="9.109375" style="5"/>
    <col min="10497" max="10497" width="14.6640625" style="5" customWidth="1"/>
    <col min="10498" max="10498" width="9.109375" style="5"/>
    <col min="10499" max="10499" width="57.33203125" style="5" customWidth="1"/>
    <col min="10500" max="10500" width="9.109375" style="5"/>
    <col min="10501" max="10501" width="15.33203125" style="5" customWidth="1"/>
    <col min="10502" max="10502" width="11.33203125" style="5" customWidth="1"/>
    <col min="10503" max="10503" width="12.44140625" style="5" customWidth="1"/>
    <col min="10504" max="10752" width="9.109375" style="5"/>
    <col min="10753" max="10753" width="14.6640625" style="5" customWidth="1"/>
    <col min="10754" max="10754" width="9.109375" style="5"/>
    <col min="10755" max="10755" width="57.33203125" style="5" customWidth="1"/>
    <col min="10756" max="10756" width="9.109375" style="5"/>
    <col min="10757" max="10757" width="15.33203125" style="5" customWidth="1"/>
    <col min="10758" max="10758" width="11.33203125" style="5" customWidth="1"/>
    <col min="10759" max="10759" width="12.44140625" style="5" customWidth="1"/>
    <col min="10760" max="11008" width="9.109375" style="5"/>
    <col min="11009" max="11009" width="14.6640625" style="5" customWidth="1"/>
    <col min="11010" max="11010" width="9.109375" style="5"/>
    <col min="11011" max="11011" width="57.33203125" style="5" customWidth="1"/>
    <col min="11012" max="11012" width="9.109375" style="5"/>
    <col min="11013" max="11013" width="15.33203125" style="5" customWidth="1"/>
    <col min="11014" max="11014" width="11.33203125" style="5" customWidth="1"/>
    <col min="11015" max="11015" width="12.44140625" style="5" customWidth="1"/>
    <col min="11016" max="11264" width="9.109375" style="5"/>
    <col min="11265" max="11265" width="14.6640625" style="5" customWidth="1"/>
    <col min="11266" max="11266" width="9.109375" style="5"/>
    <col min="11267" max="11267" width="57.33203125" style="5" customWidth="1"/>
    <col min="11268" max="11268" width="9.109375" style="5"/>
    <col min="11269" max="11269" width="15.33203125" style="5" customWidth="1"/>
    <col min="11270" max="11270" width="11.33203125" style="5" customWidth="1"/>
    <col min="11271" max="11271" width="12.44140625" style="5" customWidth="1"/>
    <col min="11272" max="11520" width="9.109375" style="5"/>
    <col min="11521" max="11521" width="14.6640625" style="5" customWidth="1"/>
    <col min="11522" max="11522" width="9.109375" style="5"/>
    <col min="11523" max="11523" width="57.33203125" style="5" customWidth="1"/>
    <col min="11524" max="11524" width="9.109375" style="5"/>
    <col min="11525" max="11525" width="15.33203125" style="5" customWidth="1"/>
    <col min="11526" max="11526" width="11.33203125" style="5" customWidth="1"/>
    <col min="11527" max="11527" width="12.44140625" style="5" customWidth="1"/>
    <col min="11528" max="11776" width="9.109375" style="5"/>
    <col min="11777" max="11777" width="14.6640625" style="5" customWidth="1"/>
    <col min="11778" max="11778" width="9.109375" style="5"/>
    <col min="11779" max="11779" width="57.33203125" style="5" customWidth="1"/>
    <col min="11780" max="11780" width="9.109375" style="5"/>
    <col min="11781" max="11781" width="15.33203125" style="5" customWidth="1"/>
    <col min="11782" max="11782" width="11.33203125" style="5" customWidth="1"/>
    <col min="11783" max="11783" width="12.44140625" style="5" customWidth="1"/>
    <col min="11784" max="12032" width="9.109375" style="5"/>
    <col min="12033" max="12033" width="14.6640625" style="5" customWidth="1"/>
    <col min="12034" max="12034" width="9.109375" style="5"/>
    <col min="12035" max="12035" width="57.33203125" style="5" customWidth="1"/>
    <col min="12036" max="12036" width="9.109375" style="5"/>
    <col min="12037" max="12037" width="15.33203125" style="5" customWidth="1"/>
    <col min="12038" max="12038" width="11.33203125" style="5" customWidth="1"/>
    <col min="12039" max="12039" width="12.44140625" style="5" customWidth="1"/>
    <col min="12040" max="12288" width="9.109375" style="5"/>
    <col min="12289" max="12289" width="14.6640625" style="5" customWidth="1"/>
    <col min="12290" max="12290" width="9.109375" style="5"/>
    <col min="12291" max="12291" width="57.33203125" style="5" customWidth="1"/>
    <col min="12292" max="12292" width="9.109375" style="5"/>
    <col min="12293" max="12293" width="15.33203125" style="5" customWidth="1"/>
    <col min="12294" max="12294" width="11.33203125" style="5" customWidth="1"/>
    <col min="12295" max="12295" width="12.44140625" style="5" customWidth="1"/>
    <col min="12296" max="12544" width="9.109375" style="5"/>
    <col min="12545" max="12545" width="14.6640625" style="5" customWidth="1"/>
    <col min="12546" max="12546" width="9.109375" style="5"/>
    <col min="12547" max="12547" width="57.33203125" style="5" customWidth="1"/>
    <col min="12548" max="12548" width="9.109375" style="5"/>
    <col min="12549" max="12549" width="15.33203125" style="5" customWidth="1"/>
    <col min="12550" max="12550" width="11.33203125" style="5" customWidth="1"/>
    <col min="12551" max="12551" width="12.44140625" style="5" customWidth="1"/>
    <col min="12552" max="12800" width="9.109375" style="5"/>
    <col min="12801" max="12801" width="14.6640625" style="5" customWidth="1"/>
    <col min="12802" max="12802" width="9.109375" style="5"/>
    <col min="12803" max="12803" width="57.33203125" style="5" customWidth="1"/>
    <col min="12804" max="12804" width="9.109375" style="5"/>
    <col min="12805" max="12805" width="15.33203125" style="5" customWidth="1"/>
    <col min="12806" max="12806" width="11.33203125" style="5" customWidth="1"/>
    <col min="12807" max="12807" width="12.44140625" style="5" customWidth="1"/>
    <col min="12808" max="13056" width="9.109375" style="5"/>
    <col min="13057" max="13057" width="14.6640625" style="5" customWidth="1"/>
    <col min="13058" max="13058" width="9.109375" style="5"/>
    <col min="13059" max="13059" width="57.33203125" style="5" customWidth="1"/>
    <col min="13060" max="13060" width="9.109375" style="5"/>
    <col min="13061" max="13061" width="15.33203125" style="5" customWidth="1"/>
    <col min="13062" max="13062" width="11.33203125" style="5" customWidth="1"/>
    <col min="13063" max="13063" width="12.44140625" style="5" customWidth="1"/>
    <col min="13064" max="13312" width="9.109375" style="5"/>
    <col min="13313" max="13313" width="14.6640625" style="5" customWidth="1"/>
    <col min="13314" max="13314" width="9.109375" style="5"/>
    <col min="13315" max="13315" width="57.33203125" style="5" customWidth="1"/>
    <col min="13316" max="13316" width="9.109375" style="5"/>
    <col min="13317" max="13317" width="15.33203125" style="5" customWidth="1"/>
    <col min="13318" max="13318" width="11.33203125" style="5" customWidth="1"/>
    <col min="13319" max="13319" width="12.44140625" style="5" customWidth="1"/>
    <col min="13320" max="13568" width="9.109375" style="5"/>
    <col min="13569" max="13569" width="14.6640625" style="5" customWidth="1"/>
    <col min="13570" max="13570" width="9.109375" style="5"/>
    <col min="13571" max="13571" width="57.33203125" style="5" customWidth="1"/>
    <col min="13572" max="13572" width="9.109375" style="5"/>
    <col min="13573" max="13573" width="15.33203125" style="5" customWidth="1"/>
    <col min="13574" max="13574" width="11.33203125" style="5" customWidth="1"/>
    <col min="13575" max="13575" width="12.44140625" style="5" customWidth="1"/>
    <col min="13576" max="13824" width="9.109375" style="5"/>
    <col min="13825" max="13825" width="14.6640625" style="5" customWidth="1"/>
    <col min="13826" max="13826" width="9.109375" style="5"/>
    <col min="13827" max="13827" width="57.33203125" style="5" customWidth="1"/>
    <col min="13828" max="13828" width="9.109375" style="5"/>
    <col min="13829" max="13829" width="15.33203125" style="5" customWidth="1"/>
    <col min="13830" max="13830" width="11.33203125" style="5" customWidth="1"/>
    <col min="13831" max="13831" width="12.44140625" style="5" customWidth="1"/>
    <col min="13832" max="14080" width="9.109375" style="5"/>
    <col min="14081" max="14081" width="14.6640625" style="5" customWidth="1"/>
    <col min="14082" max="14082" width="9.109375" style="5"/>
    <col min="14083" max="14083" width="57.33203125" style="5" customWidth="1"/>
    <col min="14084" max="14084" width="9.109375" style="5"/>
    <col min="14085" max="14085" width="15.33203125" style="5" customWidth="1"/>
    <col min="14086" max="14086" width="11.33203125" style="5" customWidth="1"/>
    <col min="14087" max="14087" width="12.44140625" style="5" customWidth="1"/>
    <col min="14088" max="14336" width="9.109375" style="5"/>
    <col min="14337" max="14337" width="14.6640625" style="5" customWidth="1"/>
    <col min="14338" max="14338" width="9.109375" style="5"/>
    <col min="14339" max="14339" width="57.33203125" style="5" customWidth="1"/>
    <col min="14340" max="14340" width="9.109375" style="5"/>
    <col min="14341" max="14341" width="15.33203125" style="5" customWidth="1"/>
    <col min="14342" max="14342" width="11.33203125" style="5" customWidth="1"/>
    <col min="14343" max="14343" width="12.44140625" style="5" customWidth="1"/>
    <col min="14344" max="14592" width="9.109375" style="5"/>
    <col min="14593" max="14593" width="14.6640625" style="5" customWidth="1"/>
    <col min="14594" max="14594" width="9.109375" style="5"/>
    <col min="14595" max="14595" width="57.33203125" style="5" customWidth="1"/>
    <col min="14596" max="14596" width="9.109375" style="5"/>
    <col min="14597" max="14597" width="15.33203125" style="5" customWidth="1"/>
    <col min="14598" max="14598" width="11.33203125" style="5" customWidth="1"/>
    <col min="14599" max="14599" width="12.44140625" style="5" customWidth="1"/>
    <col min="14600" max="14848" width="9.109375" style="5"/>
    <col min="14849" max="14849" width="14.6640625" style="5" customWidth="1"/>
    <col min="14850" max="14850" width="9.109375" style="5"/>
    <col min="14851" max="14851" width="57.33203125" style="5" customWidth="1"/>
    <col min="14852" max="14852" width="9.109375" style="5"/>
    <col min="14853" max="14853" width="15.33203125" style="5" customWidth="1"/>
    <col min="14854" max="14854" width="11.33203125" style="5" customWidth="1"/>
    <col min="14855" max="14855" width="12.44140625" style="5" customWidth="1"/>
    <col min="14856" max="15104" width="9.109375" style="5"/>
    <col min="15105" max="15105" width="14.6640625" style="5" customWidth="1"/>
    <col min="15106" max="15106" width="9.109375" style="5"/>
    <col min="15107" max="15107" width="57.33203125" style="5" customWidth="1"/>
    <col min="15108" max="15108" width="9.109375" style="5"/>
    <col min="15109" max="15109" width="15.33203125" style="5" customWidth="1"/>
    <col min="15110" max="15110" width="11.33203125" style="5" customWidth="1"/>
    <col min="15111" max="15111" width="12.44140625" style="5" customWidth="1"/>
    <col min="15112" max="15360" width="9.109375" style="5"/>
    <col min="15361" max="15361" width="14.6640625" style="5" customWidth="1"/>
    <col min="15362" max="15362" width="9.109375" style="5"/>
    <col min="15363" max="15363" width="57.33203125" style="5" customWidth="1"/>
    <col min="15364" max="15364" width="9.109375" style="5"/>
    <col min="15365" max="15365" width="15.33203125" style="5" customWidth="1"/>
    <col min="15366" max="15366" width="11.33203125" style="5" customWidth="1"/>
    <col min="15367" max="15367" width="12.44140625" style="5" customWidth="1"/>
    <col min="15368" max="15616" width="9.109375" style="5"/>
    <col min="15617" max="15617" width="14.6640625" style="5" customWidth="1"/>
    <col min="15618" max="15618" width="9.109375" style="5"/>
    <col min="15619" max="15619" width="57.33203125" style="5" customWidth="1"/>
    <col min="15620" max="15620" width="9.109375" style="5"/>
    <col min="15621" max="15621" width="15.33203125" style="5" customWidth="1"/>
    <col min="15622" max="15622" width="11.33203125" style="5" customWidth="1"/>
    <col min="15623" max="15623" width="12.44140625" style="5" customWidth="1"/>
    <col min="15624" max="15872" width="9.109375" style="5"/>
    <col min="15873" max="15873" width="14.6640625" style="5" customWidth="1"/>
    <col min="15874" max="15874" width="9.109375" style="5"/>
    <col min="15875" max="15875" width="57.33203125" style="5" customWidth="1"/>
    <col min="15876" max="15876" width="9.109375" style="5"/>
    <col min="15877" max="15877" width="15.33203125" style="5" customWidth="1"/>
    <col min="15878" max="15878" width="11.33203125" style="5" customWidth="1"/>
    <col min="15879" max="15879" width="12.44140625" style="5" customWidth="1"/>
    <col min="15880" max="16128" width="9.109375" style="5"/>
    <col min="16129" max="16129" width="14.6640625" style="5" customWidth="1"/>
    <col min="16130" max="16130" width="9.109375" style="5"/>
    <col min="16131" max="16131" width="57.33203125" style="5" customWidth="1"/>
    <col min="16132" max="16132" width="9.109375" style="5"/>
    <col min="16133" max="16133" width="15.33203125" style="5" customWidth="1"/>
    <col min="16134" max="16134" width="11.33203125" style="5" customWidth="1"/>
    <col min="16135" max="16135" width="12.44140625" style="5" customWidth="1"/>
    <col min="16136" max="16384" width="9.109375" style="5"/>
  </cols>
  <sheetData>
    <row r="1" spans="1:9" x14ac:dyDescent="0.25">
      <c r="A1" s="136" t="s">
        <v>29</v>
      </c>
      <c r="B1" s="191" t="s">
        <v>29</v>
      </c>
      <c r="C1" s="137"/>
      <c r="D1" s="137"/>
      <c r="E1" s="137"/>
      <c r="F1" s="137"/>
      <c r="G1" s="137"/>
    </row>
    <row r="2" spans="1:9" x14ac:dyDescent="0.25">
      <c r="A2" s="138"/>
      <c r="B2" s="139"/>
      <c r="C2" s="140" t="s">
        <v>507</v>
      </c>
      <c r="D2" s="139"/>
      <c r="E2" s="139"/>
      <c r="F2" s="141" t="s">
        <v>24</v>
      </c>
      <c r="G2" s="142">
        <f>SUM(G3:G11)</f>
        <v>441.32788999999997</v>
      </c>
    </row>
    <row r="3" spans="1:9" x14ac:dyDescent="0.25">
      <c r="A3" s="138" t="s">
        <v>508</v>
      </c>
      <c r="B3" s="122">
        <v>4813</v>
      </c>
      <c r="C3" s="143" t="s">
        <v>509</v>
      </c>
      <c r="D3" s="144" t="s">
        <v>24</v>
      </c>
      <c r="E3" s="144">
        <v>1.05</v>
      </c>
      <c r="F3" s="144">
        <v>373.89</v>
      </c>
      <c r="G3" s="145">
        <f t="shared" ref="G3:G9" si="0">E3*F3</f>
        <v>392.58449999999999</v>
      </c>
      <c r="H3" s="97"/>
    </row>
    <row r="4" spans="1:9" ht="26.4" x14ac:dyDescent="0.25">
      <c r="A4" s="138" t="s">
        <v>508</v>
      </c>
      <c r="B4" s="138" t="s">
        <v>510</v>
      </c>
      <c r="C4" s="143" t="s">
        <v>511</v>
      </c>
      <c r="D4" s="138" t="s">
        <v>55</v>
      </c>
      <c r="E4" s="138" t="s">
        <v>512</v>
      </c>
      <c r="F4" s="138" t="s">
        <v>513</v>
      </c>
      <c r="G4" s="146">
        <f t="shared" si="0"/>
        <v>25.875266999999997</v>
      </c>
      <c r="H4" s="97"/>
    </row>
    <row r="5" spans="1:9" ht="26.4" x14ac:dyDescent="0.25">
      <c r="A5" s="138" t="s">
        <v>508</v>
      </c>
      <c r="B5" s="138" t="s">
        <v>514</v>
      </c>
      <c r="C5" s="143" t="s">
        <v>515</v>
      </c>
      <c r="D5" s="138" t="s">
        <v>55</v>
      </c>
      <c r="E5" s="138" t="s">
        <v>516</v>
      </c>
      <c r="F5" s="138" t="s">
        <v>517</v>
      </c>
      <c r="G5" s="146">
        <f t="shared" si="0"/>
        <v>8.4560969999999998</v>
      </c>
      <c r="H5" s="97"/>
    </row>
    <row r="6" spans="1:9" x14ac:dyDescent="0.25">
      <c r="A6" s="138" t="s">
        <v>508</v>
      </c>
      <c r="B6" s="138" t="s">
        <v>518</v>
      </c>
      <c r="C6" s="143" t="s">
        <v>519</v>
      </c>
      <c r="D6" s="138" t="s">
        <v>426</v>
      </c>
      <c r="E6" s="138" t="s">
        <v>520</v>
      </c>
      <c r="F6" s="138" t="s">
        <v>521</v>
      </c>
      <c r="G6" s="146">
        <f t="shared" si="0"/>
        <v>0.48791999999999996</v>
      </c>
      <c r="H6" s="97"/>
    </row>
    <row r="7" spans="1:9" x14ac:dyDescent="0.25">
      <c r="A7" s="158" t="s">
        <v>522</v>
      </c>
      <c r="B7" s="158" t="s">
        <v>523</v>
      </c>
      <c r="C7" s="156" t="s">
        <v>524</v>
      </c>
      <c r="D7" s="158" t="s">
        <v>32</v>
      </c>
      <c r="E7" s="158" t="s">
        <v>525</v>
      </c>
      <c r="F7" s="158" t="s">
        <v>526</v>
      </c>
      <c r="G7" s="267">
        <f t="shared" si="0"/>
        <v>3.0446219999999999</v>
      </c>
      <c r="H7" s="97"/>
    </row>
    <row r="8" spans="1:9" x14ac:dyDescent="0.25">
      <c r="A8" s="158" t="s">
        <v>522</v>
      </c>
      <c r="B8" s="158" t="s">
        <v>527</v>
      </c>
      <c r="C8" s="156" t="s">
        <v>528</v>
      </c>
      <c r="D8" s="158" t="s">
        <v>32</v>
      </c>
      <c r="E8" s="158" t="s">
        <v>529</v>
      </c>
      <c r="F8" s="158" t="s">
        <v>530</v>
      </c>
      <c r="G8" s="267">
        <f t="shared" si="0"/>
        <v>10.808028</v>
      </c>
      <c r="H8" s="97"/>
    </row>
    <row r="9" spans="1:9" ht="26.4" x14ac:dyDescent="0.25">
      <c r="A9" s="138" t="s">
        <v>522</v>
      </c>
      <c r="B9" s="138" t="s">
        <v>531</v>
      </c>
      <c r="C9" s="143" t="s">
        <v>532</v>
      </c>
      <c r="D9" s="138" t="s">
        <v>410</v>
      </c>
      <c r="E9" s="138" t="s">
        <v>533</v>
      </c>
      <c r="F9" s="138" t="s">
        <v>534</v>
      </c>
      <c r="G9" s="146">
        <f t="shared" si="0"/>
        <v>7.1455999999999992E-2</v>
      </c>
      <c r="H9" s="97"/>
    </row>
    <row r="10" spans="1:9" x14ac:dyDescent="0.25">
      <c r="A10" s="138"/>
      <c r="C10" s="143"/>
      <c r="D10" s="138"/>
      <c r="E10" s="138"/>
      <c r="F10" s="138"/>
      <c r="G10" s="146"/>
      <c r="H10" s="97"/>
    </row>
    <row r="11" spans="1:9" x14ac:dyDescent="0.25">
      <c r="A11" s="136" t="s">
        <v>29</v>
      </c>
      <c r="B11" s="191" t="s">
        <v>535</v>
      </c>
      <c r="C11" s="137"/>
      <c r="D11" s="137"/>
      <c r="E11" s="137"/>
      <c r="F11" s="137"/>
      <c r="G11" s="137"/>
      <c r="H11" s="97"/>
    </row>
    <row r="12" spans="1:9" x14ac:dyDescent="0.25">
      <c r="B12" s="139"/>
      <c r="C12" s="140" t="s">
        <v>536</v>
      </c>
      <c r="D12" s="148"/>
      <c r="E12" s="148"/>
      <c r="F12" s="139" t="s">
        <v>55</v>
      </c>
      <c r="G12" s="142">
        <f>G13</f>
        <v>73.088999999999999</v>
      </c>
    </row>
    <row r="13" spans="1:9" ht="39.6" x14ac:dyDescent="0.25">
      <c r="A13" s="138" t="s">
        <v>537</v>
      </c>
      <c r="B13" s="138" t="s">
        <v>538</v>
      </c>
      <c r="C13" s="143" t="s">
        <v>539</v>
      </c>
      <c r="D13" s="138" t="s">
        <v>55</v>
      </c>
      <c r="E13" s="144">
        <v>1</v>
      </c>
      <c r="F13" s="144" t="s">
        <v>540</v>
      </c>
      <c r="G13" s="146">
        <f>SUM(G14:G20)</f>
        <v>73.088999999999999</v>
      </c>
    </row>
    <row r="14" spans="1:9" ht="14.4" x14ac:dyDescent="0.3">
      <c r="A14" s="380" t="s">
        <v>541</v>
      </c>
      <c r="B14" s="380" t="s">
        <v>542</v>
      </c>
      <c r="C14" s="381" t="s">
        <v>543</v>
      </c>
      <c r="D14" s="380" t="s">
        <v>32</v>
      </c>
      <c r="E14" s="382" t="s">
        <v>544</v>
      </c>
      <c r="F14" s="380" t="s">
        <v>530</v>
      </c>
      <c r="G14" s="267">
        <f t="shared" ref="G14:G20" si="1">E14*F14</f>
        <v>10.584</v>
      </c>
      <c r="H14" s="130" t="s">
        <v>1647</v>
      </c>
      <c r="I14" s="130"/>
    </row>
    <row r="15" spans="1:9" ht="14.4" x14ac:dyDescent="0.3">
      <c r="A15" s="380" t="s">
        <v>541</v>
      </c>
      <c r="B15" s="380" t="s">
        <v>545</v>
      </c>
      <c r="C15" s="381" t="s">
        <v>546</v>
      </c>
      <c r="D15" s="380" t="s">
        <v>32</v>
      </c>
      <c r="E15" s="382" t="s">
        <v>544</v>
      </c>
      <c r="F15" s="380" t="s">
        <v>526</v>
      </c>
      <c r="G15" s="267">
        <f t="shared" si="1"/>
        <v>8.9459999999999997</v>
      </c>
      <c r="H15" s="130" t="s">
        <v>1646</v>
      </c>
      <c r="I15" s="130"/>
    </row>
    <row r="16" spans="1:9" x14ac:dyDescent="0.25">
      <c r="A16" s="125" t="s">
        <v>547</v>
      </c>
      <c r="B16" s="125" t="s">
        <v>548</v>
      </c>
      <c r="C16" s="123" t="s">
        <v>549</v>
      </c>
      <c r="D16" s="125" t="s">
        <v>55</v>
      </c>
      <c r="E16" s="124" t="s">
        <v>550</v>
      </c>
      <c r="F16" s="124" t="s">
        <v>551</v>
      </c>
      <c r="G16" s="146">
        <f t="shared" si="1"/>
        <v>10.8</v>
      </c>
    </row>
    <row r="17" spans="1:10" x14ac:dyDescent="0.25">
      <c r="A17" s="125" t="s">
        <v>547</v>
      </c>
      <c r="B17" s="125" t="s">
        <v>552</v>
      </c>
      <c r="C17" s="123" t="s">
        <v>536</v>
      </c>
      <c r="D17" s="125" t="s">
        <v>55</v>
      </c>
      <c r="E17" s="124" t="s">
        <v>550</v>
      </c>
      <c r="F17" s="124" t="s">
        <v>553</v>
      </c>
      <c r="G17" s="146">
        <f t="shared" si="1"/>
        <v>35.5</v>
      </c>
    </row>
    <row r="18" spans="1:10" x14ac:dyDescent="0.25">
      <c r="A18" s="125" t="s">
        <v>554</v>
      </c>
      <c r="B18" s="125" t="s">
        <v>555</v>
      </c>
      <c r="C18" s="123" t="s">
        <v>556</v>
      </c>
      <c r="D18" s="125" t="s">
        <v>557</v>
      </c>
      <c r="E18" s="124" t="s">
        <v>558</v>
      </c>
      <c r="F18" s="124" t="s">
        <v>559</v>
      </c>
      <c r="G18" s="146">
        <f t="shared" si="1"/>
        <v>2.75</v>
      </c>
    </row>
    <row r="19" spans="1:10" x14ac:dyDescent="0.25">
      <c r="A19" s="125" t="s">
        <v>554</v>
      </c>
      <c r="B19" s="125" t="s">
        <v>560</v>
      </c>
      <c r="C19" s="123" t="s">
        <v>561</v>
      </c>
      <c r="D19" s="125" t="s">
        <v>557</v>
      </c>
      <c r="E19" s="124" t="s">
        <v>550</v>
      </c>
      <c r="F19" s="124" t="s">
        <v>562</v>
      </c>
      <c r="G19" s="146">
        <f t="shared" si="1"/>
        <v>2.1</v>
      </c>
    </row>
    <row r="20" spans="1:10" x14ac:dyDescent="0.25">
      <c r="A20" s="125" t="s">
        <v>554</v>
      </c>
      <c r="B20" s="125" t="s">
        <v>563</v>
      </c>
      <c r="C20" s="123" t="s">
        <v>564</v>
      </c>
      <c r="D20" s="125" t="s">
        <v>565</v>
      </c>
      <c r="E20" s="124" t="s">
        <v>566</v>
      </c>
      <c r="F20" s="124" t="s">
        <v>567</v>
      </c>
      <c r="G20" s="146">
        <f t="shared" si="1"/>
        <v>2.4090000000000003</v>
      </c>
      <c r="H20" s="98"/>
    </row>
    <row r="22" spans="1:10" x14ac:dyDescent="0.25">
      <c r="B22" s="191" t="s">
        <v>568</v>
      </c>
      <c r="C22" s="137"/>
      <c r="D22" s="137"/>
      <c r="E22" s="137"/>
      <c r="F22" s="137"/>
      <c r="G22" s="137"/>
    </row>
    <row r="23" spans="1:10" ht="39.6" x14ac:dyDescent="0.25">
      <c r="B23" s="139"/>
      <c r="C23" s="140" t="s">
        <v>179</v>
      </c>
      <c r="D23" s="148"/>
      <c r="E23" s="148"/>
      <c r="F23" s="139" t="s">
        <v>44</v>
      </c>
      <c r="G23" s="142">
        <f>G35</f>
        <v>1488.24</v>
      </c>
    </row>
    <row r="24" spans="1:10" x14ac:dyDescent="0.25">
      <c r="B24" s="144"/>
      <c r="C24" s="149" t="s">
        <v>569</v>
      </c>
      <c r="D24" s="143"/>
      <c r="E24" s="143"/>
      <c r="F24" s="143"/>
      <c r="G24" s="143"/>
    </row>
    <row r="25" spans="1:10" x14ac:dyDescent="0.25">
      <c r="B25" s="144" t="s">
        <v>570</v>
      </c>
      <c r="C25" s="143" t="s">
        <v>571</v>
      </c>
      <c r="D25" s="144" t="s">
        <v>185</v>
      </c>
      <c r="E25" s="144">
        <v>1</v>
      </c>
      <c r="F25" s="144">
        <v>164.45</v>
      </c>
      <c r="G25" s="144">
        <f>(E25*F25)</f>
        <v>164.45</v>
      </c>
    </row>
    <row r="26" spans="1:10" x14ac:dyDescent="0.25">
      <c r="B26" s="144" t="s">
        <v>572</v>
      </c>
      <c r="C26" s="143" t="s">
        <v>573</v>
      </c>
      <c r="D26" s="144" t="s">
        <v>185</v>
      </c>
      <c r="E26" s="144">
        <v>1</v>
      </c>
      <c r="F26" s="144">
        <v>75.58</v>
      </c>
      <c r="G26" s="144">
        <f>(E26*F26)</f>
        <v>75.58</v>
      </c>
    </row>
    <row r="27" spans="1:10" x14ac:dyDescent="0.25">
      <c r="B27" s="144" t="s">
        <v>572</v>
      </c>
      <c r="C27" s="143" t="s">
        <v>574</v>
      </c>
      <c r="D27" s="144" t="s">
        <v>185</v>
      </c>
      <c r="E27" s="144">
        <v>1</v>
      </c>
      <c r="F27" s="144">
        <v>62.69</v>
      </c>
      <c r="G27" s="144">
        <f>(E27*F27)</f>
        <v>62.69</v>
      </c>
    </row>
    <row r="28" spans="1:10" ht="26.4" x14ac:dyDescent="0.25">
      <c r="B28" s="144" t="s">
        <v>572</v>
      </c>
      <c r="C28" s="143" t="s">
        <v>575</v>
      </c>
      <c r="D28" s="144" t="s">
        <v>185</v>
      </c>
      <c r="E28" s="144">
        <v>1</v>
      </c>
      <c r="F28" s="144">
        <v>922.58</v>
      </c>
      <c r="G28" s="144">
        <f>E28*F28</f>
        <v>922.58</v>
      </c>
    </row>
    <row r="29" spans="1:10" x14ac:dyDescent="0.25">
      <c r="B29" s="144" t="s">
        <v>572</v>
      </c>
      <c r="C29" s="143" t="s">
        <v>576</v>
      </c>
      <c r="D29" s="144" t="s">
        <v>185</v>
      </c>
      <c r="E29" s="144">
        <v>2</v>
      </c>
      <c r="F29" s="144">
        <v>66.37</v>
      </c>
      <c r="G29" s="144">
        <f>E29*F29</f>
        <v>132.74</v>
      </c>
    </row>
    <row r="30" spans="1:10" ht="14.4" x14ac:dyDescent="0.3">
      <c r="A30" s="155"/>
      <c r="B30" s="157" t="s">
        <v>578</v>
      </c>
      <c r="C30" s="156" t="s">
        <v>579</v>
      </c>
      <c r="D30" s="157" t="s">
        <v>580</v>
      </c>
      <c r="E30" s="157">
        <v>4</v>
      </c>
      <c r="F30" s="158" t="s">
        <v>530</v>
      </c>
      <c r="G30" s="157">
        <f>E30*F30</f>
        <v>70.56</v>
      </c>
      <c r="I30" s="326" t="s">
        <v>1647</v>
      </c>
      <c r="J30" s="214" t="s">
        <v>530</v>
      </c>
    </row>
    <row r="31" spans="1:10" ht="14.4" x14ac:dyDescent="0.3">
      <c r="A31" s="155"/>
      <c r="B31" s="157" t="s">
        <v>581</v>
      </c>
      <c r="C31" s="156" t="s">
        <v>582</v>
      </c>
      <c r="D31" s="157" t="s">
        <v>580</v>
      </c>
      <c r="E31" s="157">
        <v>4</v>
      </c>
      <c r="F31" s="158" t="s">
        <v>526</v>
      </c>
      <c r="G31" s="157">
        <f>E31*F31</f>
        <v>59.64</v>
      </c>
      <c r="I31" s="326" t="s">
        <v>1646</v>
      </c>
      <c r="J31" s="214" t="s">
        <v>526</v>
      </c>
    </row>
    <row r="32" spans="1:10" x14ac:dyDescent="0.25">
      <c r="B32" s="144"/>
      <c r="C32" s="143" t="s">
        <v>583</v>
      </c>
      <c r="D32" s="144"/>
      <c r="E32" s="144"/>
      <c r="F32" s="144"/>
      <c r="G32" s="144">
        <f>G31+G30</f>
        <v>130.19999999999999</v>
      </c>
    </row>
    <row r="33" spans="1:9" x14ac:dyDescent="0.25">
      <c r="B33" s="144"/>
      <c r="C33" s="143"/>
      <c r="D33" s="144"/>
      <c r="E33" s="144"/>
      <c r="F33" s="144"/>
      <c r="G33" s="144"/>
    </row>
    <row r="34" spans="1:9" x14ac:dyDescent="0.25">
      <c r="B34" s="144"/>
      <c r="C34" s="143" t="s">
        <v>583</v>
      </c>
      <c r="D34" s="144"/>
      <c r="E34" s="144"/>
      <c r="F34" s="144"/>
      <c r="G34" s="144">
        <f>SUM(G25:G29)</f>
        <v>1358.04</v>
      </c>
    </row>
    <row r="35" spans="1:9" x14ac:dyDescent="0.25">
      <c r="B35" s="144"/>
      <c r="C35" s="143" t="s">
        <v>584</v>
      </c>
      <c r="D35" s="144"/>
      <c r="E35" s="144"/>
      <c r="F35" s="144"/>
      <c r="G35" s="144">
        <f>G32+G34</f>
        <v>1488.24</v>
      </c>
    </row>
    <row r="36" spans="1:9" x14ac:dyDescent="0.25">
      <c r="B36" s="144"/>
      <c r="C36" s="143" t="s">
        <v>585</v>
      </c>
      <c r="D36" s="144"/>
      <c r="E36" s="144"/>
      <c r="F36" s="144"/>
      <c r="G36" s="144"/>
    </row>
    <row r="38" spans="1:9" ht="14.4" x14ac:dyDescent="0.25">
      <c r="B38" s="150"/>
      <c r="C38" s="151"/>
      <c r="D38" s="151"/>
      <c r="E38" s="152"/>
      <c r="F38" s="151"/>
      <c r="G38" s="151"/>
    </row>
    <row r="39" spans="1:9" x14ac:dyDescent="0.25">
      <c r="B39" s="191" t="s">
        <v>586</v>
      </c>
      <c r="C39" s="137"/>
      <c r="D39" s="137"/>
      <c r="E39" s="137"/>
      <c r="F39" s="137"/>
      <c r="G39" s="137"/>
    </row>
    <row r="40" spans="1:9" x14ac:dyDescent="0.25">
      <c r="B40" s="139"/>
      <c r="C40" s="140" t="s">
        <v>587</v>
      </c>
      <c r="D40" s="140"/>
      <c r="E40" s="140"/>
      <c r="F40" s="153" t="s">
        <v>41</v>
      </c>
      <c r="G40" s="142">
        <f>G44</f>
        <v>216.762</v>
      </c>
    </row>
    <row r="41" spans="1:9" x14ac:dyDescent="0.25">
      <c r="B41" s="144"/>
      <c r="C41" s="143" t="s">
        <v>588</v>
      </c>
      <c r="D41" s="143"/>
      <c r="E41" s="143"/>
      <c r="F41" s="143"/>
      <c r="G41" s="154"/>
    </row>
    <row r="42" spans="1:9" ht="14.4" x14ac:dyDescent="0.3">
      <c r="A42" s="155"/>
      <c r="B42" s="157"/>
      <c r="C42" s="156" t="s">
        <v>589</v>
      </c>
      <c r="D42" s="157" t="s">
        <v>580</v>
      </c>
      <c r="E42" s="157">
        <v>1.3</v>
      </c>
      <c r="F42" s="158" t="s">
        <v>530</v>
      </c>
      <c r="G42" s="159">
        <f>E42*F42</f>
        <v>22.932000000000002</v>
      </c>
      <c r="I42" s="130" t="s">
        <v>1365</v>
      </c>
    </row>
    <row r="43" spans="1:9" ht="14.4" x14ac:dyDescent="0.3">
      <c r="A43" s="155"/>
      <c r="B43" s="157"/>
      <c r="C43" s="156" t="s">
        <v>590</v>
      </c>
      <c r="D43" s="157" t="s">
        <v>580</v>
      </c>
      <c r="E43" s="157">
        <v>13</v>
      </c>
      <c r="F43" s="158" t="s">
        <v>526</v>
      </c>
      <c r="G43" s="159">
        <f>E43*F43</f>
        <v>193.83</v>
      </c>
      <c r="I43" s="130" t="s">
        <v>1361</v>
      </c>
    </row>
    <row r="44" spans="1:9" x14ac:dyDescent="0.25">
      <c r="B44" s="144"/>
      <c r="C44" s="143" t="s">
        <v>584</v>
      </c>
      <c r="D44" s="144"/>
      <c r="E44" s="144"/>
      <c r="F44" s="144"/>
      <c r="G44" s="145">
        <f>G43+G42</f>
        <v>216.762</v>
      </c>
    </row>
    <row r="45" spans="1:9" x14ac:dyDescent="0.25">
      <c r="B45" s="144"/>
      <c r="C45" s="143" t="s">
        <v>591</v>
      </c>
      <c r="D45" s="143"/>
      <c r="E45" s="143"/>
      <c r="F45" s="143"/>
      <c r="G45" s="154"/>
    </row>
    <row r="47" spans="1:9" x14ac:dyDescent="0.25">
      <c r="B47" s="191" t="s">
        <v>592</v>
      </c>
      <c r="C47" s="137"/>
      <c r="D47" s="137"/>
      <c r="E47" s="137"/>
      <c r="F47" s="137"/>
      <c r="G47" s="137"/>
    </row>
    <row r="48" spans="1:9" x14ac:dyDescent="0.25">
      <c r="B48" s="139"/>
      <c r="C48" s="140" t="s">
        <v>593</v>
      </c>
      <c r="D48" s="140"/>
      <c r="E48" s="140"/>
      <c r="F48" s="153" t="s">
        <v>24</v>
      </c>
      <c r="G48" s="142">
        <f>G53</f>
        <v>16.424099999999999</v>
      </c>
    </row>
    <row r="49" spans="1:9" x14ac:dyDescent="0.25">
      <c r="B49" s="144"/>
      <c r="C49" s="143" t="s">
        <v>594</v>
      </c>
      <c r="D49" s="144"/>
      <c r="E49" s="144"/>
      <c r="F49" s="144"/>
      <c r="G49" s="144"/>
    </row>
    <row r="50" spans="1:9" x14ac:dyDescent="0.25">
      <c r="B50" s="144"/>
      <c r="C50" s="143" t="s">
        <v>595</v>
      </c>
      <c r="D50" s="144"/>
      <c r="E50" s="144"/>
      <c r="F50" s="144"/>
      <c r="G50" s="144"/>
    </row>
    <row r="51" spans="1:9" x14ac:dyDescent="0.25">
      <c r="A51" s="155"/>
      <c r="B51" s="157"/>
      <c r="C51" s="156" t="s">
        <v>596</v>
      </c>
      <c r="D51" s="157" t="s">
        <v>580</v>
      </c>
      <c r="E51" s="157">
        <v>0.5</v>
      </c>
      <c r="F51" s="158" t="s">
        <v>530</v>
      </c>
      <c r="G51" s="157">
        <f>E51*F51</f>
        <v>8.82</v>
      </c>
    </row>
    <row r="52" spans="1:9" x14ac:dyDescent="0.25">
      <c r="A52" s="155"/>
      <c r="B52" s="157"/>
      <c r="C52" s="156" t="s">
        <v>597</v>
      </c>
      <c r="D52" s="157" t="s">
        <v>580</v>
      </c>
      <c r="E52" s="157">
        <v>0.51</v>
      </c>
      <c r="F52" s="158" t="s">
        <v>526</v>
      </c>
      <c r="G52" s="159">
        <f>E52*F52</f>
        <v>7.6040999999999999</v>
      </c>
    </row>
    <row r="53" spans="1:9" x14ac:dyDescent="0.25">
      <c r="B53" s="144"/>
      <c r="C53" s="143" t="s">
        <v>584</v>
      </c>
      <c r="D53" s="144"/>
      <c r="E53" s="144"/>
      <c r="F53" s="144"/>
      <c r="G53" s="145">
        <f>G51+G52</f>
        <v>16.424099999999999</v>
      </c>
    </row>
    <row r="54" spans="1:9" x14ac:dyDescent="0.25">
      <c r="B54" s="144"/>
      <c r="C54" s="143"/>
      <c r="D54" s="144"/>
      <c r="E54" s="144"/>
      <c r="F54" s="144"/>
      <c r="G54" s="144"/>
    </row>
    <row r="55" spans="1:9" x14ac:dyDescent="0.25">
      <c r="B55" s="191" t="s">
        <v>598</v>
      </c>
      <c r="C55" s="137"/>
      <c r="D55" s="137"/>
      <c r="E55" s="137"/>
      <c r="F55" s="137"/>
      <c r="G55" s="137"/>
    </row>
    <row r="56" spans="1:9" ht="26.4" x14ac:dyDescent="0.25">
      <c r="B56" s="139"/>
      <c r="C56" s="140" t="s">
        <v>599</v>
      </c>
      <c r="D56" s="140"/>
      <c r="E56" s="140"/>
      <c r="F56" s="153" t="s">
        <v>44</v>
      </c>
      <c r="G56" s="142">
        <f>G60+G65</f>
        <v>690.19490500000006</v>
      </c>
    </row>
    <row r="57" spans="1:9" ht="26.4" x14ac:dyDescent="0.25">
      <c r="B57" s="124">
        <v>4384</v>
      </c>
      <c r="C57" s="123" t="s">
        <v>600</v>
      </c>
      <c r="D57" s="124" t="s">
        <v>44</v>
      </c>
      <c r="E57" s="124">
        <v>2</v>
      </c>
      <c r="F57" s="124">
        <v>16.309999999999999</v>
      </c>
      <c r="G57" s="217">
        <f>E57*F57</f>
        <v>32.619999999999997</v>
      </c>
      <c r="I57" s="98">
        <f>SUM(G57+G58+G59+G63+G64)</f>
        <v>690.19490500000006</v>
      </c>
    </row>
    <row r="58" spans="1:9" x14ac:dyDescent="0.25">
      <c r="B58" s="124"/>
      <c r="C58" s="123" t="s">
        <v>284</v>
      </c>
      <c r="D58" s="124" t="s">
        <v>44</v>
      </c>
      <c r="E58" s="124">
        <v>1</v>
      </c>
      <c r="F58" s="124">
        <v>647.71</v>
      </c>
      <c r="G58" s="217">
        <f>E58*F58</f>
        <v>647.71</v>
      </c>
    </row>
    <row r="59" spans="1:9" x14ac:dyDescent="0.25">
      <c r="B59" s="124">
        <v>34356</v>
      </c>
      <c r="C59" s="123" t="s">
        <v>601</v>
      </c>
      <c r="D59" s="124" t="s">
        <v>426</v>
      </c>
      <c r="E59" s="124">
        <v>5.0700000000000002E-2</v>
      </c>
      <c r="F59" s="124">
        <v>3.15</v>
      </c>
      <c r="G59" s="217">
        <f>E59*F59</f>
        <v>0.15970500000000001</v>
      </c>
    </row>
    <row r="60" spans="1:9" x14ac:dyDescent="0.25">
      <c r="B60" s="124"/>
      <c r="C60" s="123" t="s">
        <v>602</v>
      </c>
      <c r="D60" s="124"/>
      <c r="E60" s="124"/>
      <c r="F60" s="124"/>
      <c r="G60" s="217">
        <f>G57+G58+G59</f>
        <v>680.48970500000007</v>
      </c>
    </row>
    <row r="61" spans="1:9" x14ac:dyDescent="0.25">
      <c r="B61" s="124"/>
      <c r="C61" s="123" t="s">
        <v>603</v>
      </c>
      <c r="D61" s="124"/>
      <c r="E61" s="124"/>
      <c r="F61" s="124"/>
      <c r="G61" s="217"/>
    </row>
    <row r="62" spans="1:9" x14ac:dyDescent="0.25">
      <c r="B62" s="124"/>
      <c r="C62" s="218" t="s">
        <v>604</v>
      </c>
      <c r="D62" s="124"/>
      <c r="E62" s="124"/>
      <c r="F62" s="124"/>
      <c r="G62" s="217"/>
    </row>
    <row r="63" spans="1:9" x14ac:dyDescent="0.25">
      <c r="A63" s="155"/>
      <c r="B63" s="382"/>
      <c r="C63" s="381" t="s">
        <v>605</v>
      </c>
      <c r="D63" s="382" t="s">
        <v>32</v>
      </c>
      <c r="E63" s="382">
        <v>0.39</v>
      </c>
      <c r="F63" s="382">
        <v>17.86</v>
      </c>
      <c r="G63" s="383">
        <f>E63*F63</f>
        <v>6.9653999999999998</v>
      </c>
    </row>
    <row r="64" spans="1:9" x14ac:dyDescent="0.25">
      <c r="A64" s="155"/>
      <c r="B64" s="382"/>
      <c r="C64" s="381" t="s">
        <v>606</v>
      </c>
      <c r="D64" s="382" t="s">
        <v>32</v>
      </c>
      <c r="E64" s="382">
        <v>0.19</v>
      </c>
      <c r="F64" s="382">
        <v>14.42</v>
      </c>
      <c r="G64" s="383">
        <f>E64*F64</f>
        <v>2.7398000000000002</v>
      </c>
    </row>
    <row r="65" spans="1:7" x14ac:dyDescent="0.25">
      <c r="B65" s="124"/>
      <c r="C65" s="123" t="s">
        <v>497</v>
      </c>
      <c r="D65" s="124"/>
      <c r="E65" s="124"/>
      <c r="F65" s="124"/>
      <c r="G65" s="217">
        <f>G63+G64</f>
        <v>9.7051999999999996</v>
      </c>
    </row>
    <row r="66" spans="1:7" x14ac:dyDescent="0.25">
      <c r="B66" s="144"/>
      <c r="C66" s="143"/>
      <c r="D66" s="143"/>
      <c r="E66" s="143"/>
      <c r="F66" s="143"/>
      <c r="G66" s="143"/>
    </row>
    <row r="67" spans="1:7" x14ac:dyDescent="0.25">
      <c r="B67" s="191" t="s">
        <v>645</v>
      </c>
      <c r="C67" s="137"/>
      <c r="D67" s="137"/>
      <c r="E67" s="137"/>
      <c r="F67" s="137"/>
      <c r="G67" s="137"/>
    </row>
    <row r="68" spans="1:7" x14ac:dyDescent="0.25">
      <c r="B68" s="139"/>
      <c r="C68" s="140" t="s">
        <v>641</v>
      </c>
      <c r="D68" s="139" t="s">
        <v>44</v>
      </c>
      <c r="E68" s="148"/>
      <c r="F68" s="139" t="s">
        <v>44</v>
      </c>
      <c r="G68" s="160">
        <f>G71</f>
        <v>397</v>
      </c>
    </row>
    <row r="69" spans="1:7" x14ac:dyDescent="0.25">
      <c r="B69" s="144"/>
      <c r="C69" s="143" t="s">
        <v>642</v>
      </c>
      <c r="D69" s="144" t="s">
        <v>44</v>
      </c>
      <c r="E69" s="145">
        <v>1</v>
      </c>
      <c r="F69" s="145">
        <v>327</v>
      </c>
      <c r="G69" s="145">
        <v>327</v>
      </c>
    </row>
    <row r="70" spans="1:7" x14ac:dyDescent="0.25">
      <c r="B70" s="144"/>
      <c r="C70" s="143" t="s">
        <v>643</v>
      </c>
      <c r="D70" s="144" t="s">
        <v>44</v>
      </c>
      <c r="E70" s="145">
        <v>7</v>
      </c>
      <c r="F70" s="145">
        <v>10</v>
      </c>
      <c r="G70" s="145">
        <v>70</v>
      </c>
    </row>
    <row r="71" spans="1:7" x14ac:dyDescent="0.25">
      <c r="B71" s="144"/>
      <c r="C71" s="143"/>
      <c r="D71" s="144"/>
      <c r="E71" s="145"/>
      <c r="F71" s="145"/>
      <c r="G71" s="145">
        <v>397</v>
      </c>
    </row>
    <row r="72" spans="1:7" x14ac:dyDescent="0.25">
      <c r="B72" s="191" t="s">
        <v>644</v>
      </c>
      <c r="C72" s="137"/>
      <c r="D72" s="137"/>
      <c r="E72" s="137"/>
      <c r="F72" s="137"/>
      <c r="G72" s="137"/>
    </row>
    <row r="73" spans="1:7" ht="39.6" x14ac:dyDescent="0.25">
      <c r="B73" s="139"/>
      <c r="C73" s="140" t="s">
        <v>608</v>
      </c>
      <c r="D73" s="148"/>
      <c r="E73" s="140"/>
      <c r="F73" s="148" t="s">
        <v>44</v>
      </c>
      <c r="G73" s="140">
        <f>G83</f>
        <v>112.464</v>
      </c>
    </row>
    <row r="74" spans="1:7" ht="14.4" x14ac:dyDescent="0.25">
      <c r="B74" s="127"/>
      <c r="C74" s="253" t="s">
        <v>609</v>
      </c>
      <c r="D74" s="127"/>
      <c r="E74" s="127"/>
      <c r="F74" s="127"/>
      <c r="G74" s="127"/>
    </row>
    <row r="75" spans="1:7" ht="14.4" x14ac:dyDescent="0.25">
      <c r="B75" s="127"/>
      <c r="C75" s="253" t="s">
        <v>577</v>
      </c>
      <c r="D75" s="127"/>
      <c r="E75" s="127"/>
      <c r="F75" s="127"/>
      <c r="G75" s="127"/>
    </row>
    <row r="76" spans="1:7" ht="14.4" x14ac:dyDescent="0.25">
      <c r="A76" s="155"/>
      <c r="B76" s="273" t="s">
        <v>610</v>
      </c>
      <c r="C76" s="274" t="s">
        <v>579</v>
      </c>
      <c r="D76" s="273" t="s">
        <v>580</v>
      </c>
      <c r="E76" s="273">
        <v>0.60000000000000009</v>
      </c>
      <c r="F76" s="273">
        <v>18.45</v>
      </c>
      <c r="G76" s="273">
        <f>E76*F76</f>
        <v>11.070000000000002</v>
      </c>
    </row>
    <row r="77" spans="1:7" ht="14.4" x14ac:dyDescent="0.25">
      <c r="A77" s="155"/>
      <c r="B77" s="273" t="s">
        <v>611</v>
      </c>
      <c r="C77" s="274" t="s">
        <v>582</v>
      </c>
      <c r="D77" s="273" t="s">
        <v>580</v>
      </c>
      <c r="E77" s="273">
        <v>0.60000000000000009</v>
      </c>
      <c r="F77" s="273">
        <v>14.39</v>
      </c>
      <c r="G77" s="273">
        <f>E77*F77</f>
        <v>8.6340000000000021</v>
      </c>
    </row>
    <row r="78" spans="1:7" ht="14.4" x14ac:dyDescent="0.25">
      <c r="B78" s="127"/>
      <c r="C78" s="253" t="s">
        <v>583</v>
      </c>
      <c r="D78" s="127"/>
      <c r="E78" s="127"/>
      <c r="F78" s="127"/>
      <c r="G78" s="254">
        <f>SUM(G76:G77)</f>
        <v>19.704000000000004</v>
      </c>
    </row>
    <row r="79" spans="1:7" x14ac:dyDescent="0.25">
      <c r="B79" s="144"/>
      <c r="C79" s="143" t="s">
        <v>569</v>
      </c>
      <c r="D79" s="144"/>
      <c r="E79" s="144"/>
      <c r="F79" s="144"/>
      <c r="G79" s="144"/>
    </row>
    <row r="80" spans="1:7" ht="28.8" x14ac:dyDescent="0.25">
      <c r="B80" s="127" t="s">
        <v>612</v>
      </c>
      <c r="C80" s="253" t="s">
        <v>613</v>
      </c>
      <c r="D80" s="127" t="s">
        <v>185</v>
      </c>
      <c r="E80" s="127">
        <v>1</v>
      </c>
      <c r="F80" s="127">
        <v>13.96</v>
      </c>
      <c r="G80" s="144">
        <f>(E80*F80)</f>
        <v>13.96</v>
      </c>
    </row>
    <row r="81" spans="2:7" ht="14.4" x14ac:dyDescent="0.25">
      <c r="B81" s="127" t="s">
        <v>614</v>
      </c>
      <c r="C81" s="253" t="s">
        <v>615</v>
      </c>
      <c r="D81" s="127" t="s">
        <v>185</v>
      </c>
      <c r="E81" s="127">
        <v>2</v>
      </c>
      <c r="F81" s="127">
        <v>39.4</v>
      </c>
      <c r="G81" s="144">
        <f>(E81*F81)</f>
        <v>78.8</v>
      </c>
    </row>
    <row r="82" spans="2:7" x14ac:dyDescent="0.25">
      <c r="B82" s="144"/>
      <c r="C82" s="143" t="s">
        <v>583</v>
      </c>
      <c r="D82" s="144"/>
      <c r="E82" s="144"/>
      <c r="F82" s="144"/>
      <c r="G82" s="144">
        <f>SUM(G80:G81)</f>
        <v>92.759999999999991</v>
      </c>
    </row>
    <row r="83" spans="2:7" x14ac:dyDescent="0.25">
      <c r="B83" s="144"/>
      <c r="C83" s="143" t="s">
        <v>584</v>
      </c>
      <c r="D83" s="144"/>
      <c r="E83" s="144"/>
      <c r="F83" s="144"/>
      <c r="G83" s="145">
        <f>G82+G78</f>
        <v>112.464</v>
      </c>
    </row>
    <row r="84" spans="2:7" x14ac:dyDescent="0.25">
      <c r="B84" s="192"/>
      <c r="C84" s="162"/>
      <c r="D84" s="161"/>
      <c r="E84" s="161"/>
      <c r="F84" s="161"/>
      <c r="G84" s="161"/>
    </row>
    <row r="85" spans="2:7" x14ac:dyDescent="0.25">
      <c r="B85" s="191" t="s">
        <v>650</v>
      </c>
      <c r="C85" s="137"/>
      <c r="D85" s="137"/>
      <c r="E85" s="137"/>
      <c r="F85" s="137"/>
      <c r="G85" s="137"/>
    </row>
    <row r="86" spans="2:7" x14ac:dyDescent="0.25">
      <c r="B86" s="153"/>
      <c r="C86" s="140" t="s">
        <v>632</v>
      </c>
      <c r="D86" s="140"/>
      <c r="E86" s="140"/>
      <c r="F86" s="140"/>
      <c r="G86" s="140">
        <f>G95</f>
        <v>5.0950000000000006</v>
      </c>
    </row>
    <row r="87" spans="2:7" x14ac:dyDescent="0.25">
      <c r="B87" s="144"/>
      <c r="C87" s="143" t="s">
        <v>633</v>
      </c>
      <c r="D87" s="143"/>
      <c r="E87" s="143"/>
      <c r="F87" s="143"/>
      <c r="G87" s="143"/>
    </row>
    <row r="88" spans="2:7" x14ac:dyDescent="0.25">
      <c r="B88" s="144"/>
      <c r="C88" s="149" t="s">
        <v>577</v>
      </c>
      <c r="D88" s="143"/>
      <c r="E88" s="143"/>
      <c r="F88" s="143"/>
      <c r="G88" s="143"/>
    </row>
    <row r="89" spans="2:7" ht="14.4" x14ac:dyDescent="0.25">
      <c r="B89" s="273" t="s">
        <v>578</v>
      </c>
      <c r="C89" s="274" t="s">
        <v>579</v>
      </c>
      <c r="D89" s="273" t="s">
        <v>580</v>
      </c>
      <c r="E89" s="275">
        <v>0.125</v>
      </c>
      <c r="F89" s="276">
        <v>18.45</v>
      </c>
      <c r="G89" s="257">
        <f>E89*F89</f>
        <v>2.3062499999999999</v>
      </c>
    </row>
    <row r="90" spans="2:7" ht="14.4" x14ac:dyDescent="0.25">
      <c r="B90" s="273" t="s">
        <v>581</v>
      </c>
      <c r="C90" s="274" t="s">
        <v>582</v>
      </c>
      <c r="D90" s="273" t="s">
        <v>580</v>
      </c>
      <c r="E90" s="275">
        <v>0.125</v>
      </c>
      <c r="F90" s="276">
        <v>14.39</v>
      </c>
      <c r="G90" s="257">
        <f>E90*F90</f>
        <v>1.7987500000000001</v>
      </c>
    </row>
    <row r="91" spans="2:7" ht="14.4" x14ac:dyDescent="0.25">
      <c r="B91" s="127"/>
      <c r="C91" s="253" t="s">
        <v>583</v>
      </c>
      <c r="D91" s="127"/>
      <c r="E91" s="257"/>
      <c r="F91" s="257"/>
      <c r="G91" s="257">
        <f>G89+G90</f>
        <v>4.1050000000000004</v>
      </c>
    </row>
    <row r="92" spans="2:7" ht="14.4" x14ac:dyDescent="0.25">
      <c r="B92" s="127"/>
      <c r="C92" s="256" t="s">
        <v>569</v>
      </c>
      <c r="D92" s="127"/>
      <c r="E92" s="257"/>
      <c r="F92" s="257"/>
      <c r="G92" s="257"/>
    </row>
    <row r="93" spans="2:7" ht="14.4" x14ac:dyDescent="0.25">
      <c r="B93" s="127" t="s">
        <v>634</v>
      </c>
      <c r="C93" s="253" t="s">
        <v>635</v>
      </c>
      <c r="D93" s="127" t="s">
        <v>185</v>
      </c>
      <c r="E93" s="257">
        <v>1</v>
      </c>
      <c r="F93" s="257">
        <v>0.99</v>
      </c>
      <c r="G93" s="257">
        <f>E93*F93</f>
        <v>0.99</v>
      </c>
    </row>
    <row r="94" spans="2:7" ht="14.4" x14ac:dyDescent="0.25">
      <c r="B94" s="127"/>
      <c r="C94" s="253" t="s">
        <v>583</v>
      </c>
      <c r="D94" s="253"/>
      <c r="E94" s="257"/>
      <c r="F94" s="257"/>
      <c r="G94" s="257">
        <f>G93</f>
        <v>0.99</v>
      </c>
    </row>
    <row r="95" spans="2:7" ht="14.4" x14ac:dyDescent="0.25">
      <c r="B95" s="127"/>
      <c r="C95" s="253" t="s">
        <v>584</v>
      </c>
      <c r="D95" s="253"/>
      <c r="E95" s="257"/>
      <c r="F95" s="257"/>
      <c r="G95" s="257">
        <f>G94+G91</f>
        <v>5.0950000000000006</v>
      </c>
    </row>
    <row r="96" spans="2:7" x14ac:dyDescent="0.25">
      <c r="B96" s="144"/>
      <c r="C96" s="143"/>
      <c r="D96" s="143"/>
      <c r="E96" s="143"/>
      <c r="F96" s="143"/>
      <c r="G96" s="143"/>
    </row>
    <row r="97" spans="2:7" x14ac:dyDescent="0.25">
      <c r="B97" s="191" t="s">
        <v>652</v>
      </c>
      <c r="C97" s="137"/>
      <c r="D97" s="137"/>
      <c r="E97" s="137"/>
      <c r="F97" s="137"/>
      <c r="G97" s="137"/>
    </row>
    <row r="98" spans="2:7" x14ac:dyDescent="0.25">
      <c r="B98" s="153"/>
      <c r="C98" s="140" t="s">
        <v>616</v>
      </c>
      <c r="D98" s="140"/>
      <c r="E98" s="140"/>
      <c r="F98" s="140"/>
      <c r="G98" s="140">
        <f>G107</f>
        <v>3.6472000000000002</v>
      </c>
    </row>
    <row r="99" spans="2:7" x14ac:dyDescent="0.25">
      <c r="B99" s="144"/>
      <c r="C99" s="143" t="s">
        <v>617</v>
      </c>
      <c r="D99" s="143"/>
      <c r="E99" s="143"/>
      <c r="F99" s="143"/>
      <c r="G99" s="143"/>
    </row>
    <row r="100" spans="2:7" x14ac:dyDescent="0.25">
      <c r="B100" s="193"/>
      <c r="C100" s="149" t="s">
        <v>577</v>
      </c>
      <c r="D100" s="149"/>
      <c r="E100" s="149"/>
      <c r="F100" s="149"/>
      <c r="G100" s="149"/>
    </row>
    <row r="101" spans="2:7" x14ac:dyDescent="0.25">
      <c r="B101" s="157" t="s">
        <v>578</v>
      </c>
      <c r="C101" s="156" t="s">
        <v>579</v>
      </c>
      <c r="D101" s="157" t="s">
        <v>580</v>
      </c>
      <c r="E101" s="272">
        <v>0.08</v>
      </c>
      <c r="F101" s="272">
        <v>18.45</v>
      </c>
      <c r="G101" s="264">
        <f>E101*F101</f>
        <v>1.476</v>
      </c>
    </row>
    <row r="102" spans="2:7" x14ac:dyDescent="0.25">
      <c r="B102" s="157" t="s">
        <v>581</v>
      </c>
      <c r="C102" s="156" t="s">
        <v>582</v>
      </c>
      <c r="D102" s="157" t="s">
        <v>580</v>
      </c>
      <c r="E102" s="272">
        <v>0.08</v>
      </c>
      <c r="F102" s="272">
        <v>14.39</v>
      </c>
      <c r="G102" s="264">
        <f>E102*F102</f>
        <v>1.1512</v>
      </c>
    </row>
    <row r="103" spans="2:7" x14ac:dyDescent="0.25">
      <c r="B103" s="144"/>
      <c r="C103" s="143" t="s">
        <v>583</v>
      </c>
      <c r="D103" s="144"/>
      <c r="E103" s="264"/>
      <c r="F103" s="264"/>
      <c r="G103" s="264">
        <f>G101+G102</f>
        <v>2.6272000000000002</v>
      </c>
    </row>
    <row r="104" spans="2:7" x14ac:dyDescent="0.25">
      <c r="B104" s="193"/>
      <c r="C104" s="149" t="s">
        <v>569</v>
      </c>
      <c r="D104" s="193"/>
      <c r="E104" s="266"/>
      <c r="F104" s="266"/>
      <c r="G104" s="266"/>
    </row>
    <row r="105" spans="2:7" x14ac:dyDescent="0.25">
      <c r="B105" s="144" t="s">
        <v>618</v>
      </c>
      <c r="C105" s="143" t="s">
        <v>619</v>
      </c>
      <c r="D105" s="144" t="s">
        <v>565</v>
      </c>
      <c r="E105" s="264">
        <v>1</v>
      </c>
      <c r="F105" s="264">
        <v>1.02</v>
      </c>
      <c r="G105" s="264">
        <f>E105*F105</f>
        <v>1.02</v>
      </c>
    </row>
    <row r="106" spans="2:7" x14ac:dyDescent="0.25">
      <c r="B106" s="144"/>
      <c r="C106" s="143" t="s">
        <v>583</v>
      </c>
      <c r="D106" s="143"/>
      <c r="E106" s="264"/>
      <c r="F106" s="264"/>
      <c r="G106" s="264">
        <f>(G105)</f>
        <v>1.02</v>
      </c>
    </row>
    <row r="107" spans="2:7" x14ac:dyDescent="0.25">
      <c r="B107" s="193"/>
      <c r="C107" s="149" t="s">
        <v>584</v>
      </c>
      <c r="D107" s="149"/>
      <c r="E107" s="266"/>
      <c r="F107" s="266"/>
      <c r="G107" s="266">
        <f>G103+G106</f>
        <v>3.6472000000000002</v>
      </c>
    </row>
    <row r="108" spans="2:7" x14ac:dyDescent="0.25">
      <c r="B108" s="144"/>
      <c r="C108" s="143" t="s">
        <v>620</v>
      </c>
      <c r="D108" s="143"/>
      <c r="E108" s="143"/>
      <c r="F108" s="143"/>
      <c r="G108" s="143"/>
    </row>
    <row r="109" spans="2:7" x14ac:dyDescent="0.25">
      <c r="B109" s="144"/>
      <c r="C109" s="143" t="s">
        <v>621</v>
      </c>
      <c r="D109" s="143"/>
      <c r="E109" s="143"/>
      <c r="F109" s="143"/>
      <c r="G109" s="143"/>
    </row>
    <row r="110" spans="2:7" x14ac:dyDescent="0.25">
      <c r="B110" s="144"/>
      <c r="C110" s="143"/>
      <c r="D110" s="143"/>
      <c r="E110" s="143"/>
      <c r="F110" s="143"/>
      <c r="G110" s="143"/>
    </row>
    <row r="111" spans="2:7" x14ac:dyDescent="0.25">
      <c r="B111" s="191" t="s">
        <v>665</v>
      </c>
      <c r="C111" s="137"/>
      <c r="D111" s="137"/>
      <c r="E111" s="137"/>
      <c r="F111" s="137"/>
      <c r="G111" s="137"/>
    </row>
    <row r="112" spans="2:7" ht="26.4" x14ac:dyDescent="0.25">
      <c r="B112" s="153"/>
      <c r="C112" s="140" t="s">
        <v>627</v>
      </c>
      <c r="D112" s="140">
        <v>1</v>
      </c>
      <c r="E112" s="140"/>
      <c r="F112" s="140"/>
      <c r="G112" s="140">
        <f>G121</f>
        <v>80.105000000000004</v>
      </c>
    </row>
    <row r="113" spans="2:7" x14ac:dyDescent="0.25">
      <c r="B113" s="144"/>
      <c r="C113" s="143" t="s">
        <v>624</v>
      </c>
      <c r="D113" s="143"/>
      <c r="E113" s="143"/>
      <c r="F113" s="143"/>
      <c r="G113" s="143"/>
    </row>
    <row r="114" spans="2:7" x14ac:dyDescent="0.25">
      <c r="B114" s="144"/>
      <c r="C114" s="143" t="s">
        <v>577</v>
      </c>
      <c r="D114" s="143"/>
      <c r="E114" s="143"/>
      <c r="F114" s="143"/>
      <c r="G114" s="143"/>
    </row>
    <row r="115" spans="2:7" x14ac:dyDescent="0.25">
      <c r="B115" s="157" t="s">
        <v>610</v>
      </c>
      <c r="C115" s="156" t="s">
        <v>579</v>
      </c>
      <c r="D115" s="156" t="s">
        <v>580</v>
      </c>
      <c r="E115" s="156">
        <v>0.125</v>
      </c>
      <c r="F115" s="156">
        <v>18.45</v>
      </c>
      <c r="G115" s="163">
        <f>E115*F115</f>
        <v>2.3062499999999999</v>
      </c>
    </row>
    <row r="116" spans="2:7" x14ac:dyDescent="0.25">
      <c r="B116" s="157" t="s">
        <v>611</v>
      </c>
      <c r="C116" s="156" t="s">
        <v>582</v>
      </c>
      <c r="D116" s="156"/>
      <c r="E116" s="156">
        <v>0.125</v>
      </c>
      <c r="F116" s="156">
        <v>14.39</v>
      </c>
      <c r="G116" s="163">
        <f>E116*F116</f>
        <v>1.7987500000000001</v>
      </c>
    </row>
    <row r="117" spans="2:7" x14ac:dyDescent="0.25">
      <c r="B117" s="144"/>
      <c r="C117" s="143" t="s">
        <v>583</v>
      </c>
      <c r="D117" s="143"/>
      <c r="E117" s="143"/>
      <c r="F117" s="143"/>
      <c r="G117" s="154">
        <f>(G115+G116)</f>
        <v>4.1050000000000004</v>
      </c>
    </row>
    <row r="118" spans="2:7" x14ac:dyDescent="0.25">
      <c r="B118" s="144"/>
      <c r="C118" s="143" t="s">
        <v>569</v>
      </c>
      <c r="D118" s="143"/>
      <c r="E118" s="143"/>
      <c r="F118" s="143"/>
      <c r="G118" s="154"/>
    </row>
    <row r="119" spans="2:7" x14ac:dyDescent="0.25">
      <c r="B119" s="144" t="s">
        <v>628</v>
      </c>
      <c r="C119" s="143" t="s">
        <v>629</v>
      </c>
      <c r="D119" s="143" t="s">
        <v>185</v>
      </c>
      <c r="E119" s="143">
        <v>1</v>
      </c>
      <c r="F119" s="143">
        <v>76</v>
      </c>
      <c r="G119" s="154">
        <f>(E119*F119)</f>
        <v>76</v>
      </c>
    </row>
    <row r="120" spans="2:7" x14ac:dyDescent="0.25">
      <c r="B120" s="144"/>
      <c r="C120" s="143" t="s">
        <v>583</v>
      </c>
      <c r="D120" s="143"/>
      <c r="E120" s="143"/>
      <c r="F120" s="143"/>
      <c r="G120" s="154">
        <f>G119</f>
        <v>76</v>
      </c>
    </row>
    <row r="121" spans="2:7" x14ac:dyDescent="0.25">
      <c r="B121" s="144"/>
      <c r="C121" s="143" t="s">
        <v>584</v>
      </c>
      <c r="D121" s="143"/>
      <c r="E121" s="143"/>
      <c r="F121" s="143"/>
      <c r="G121" s="154">
        <f>G120+G117</f>
        <v>80.105000000000004</v>
      </c>
    </row>
    <row r="122" spans="2:7" x14ac:dyDescent="0.25">
      <c r="B122" s="144"/>
      <c r="C122" s="143"/>
      <c r="D122" s="143"/>
      <c r="E122" s="143"/>
      <c r="F122" s="143"/>
      <c r="G122" s="143"/>
    </row>
    <row r="123" spans="2:7" x14ac:dyDescent="0.25">
      <c r="B123" s="191" t="s">
        <v>667</v>
      </c>
      <c r="C123" s="137"/>
      <c r="D123" s="137"/>
      <c r="E123" s="137"/>
      <c r="F123" s="137"/>
      <c r="G123" s="137"/>
    </row>
    <row r="124" spans="2:7" ht="26.4" x14ac:dyDescent="0.25">
      <c r="B124" s="153"/>
      <c r="C124" s="140" t="s">
        <v>630</v>
      </c>
      <c r="D124" s="140">
        <v>1</v>
      </c>
      <c r="E124" s="140"/>
      <c r="F124" s="140"/>
      <c r="G124" s="140">
        <f>G133</f>
        <v>392.30600000000004</v>
      </c>
    </row>
    <row r="125" spans="2:7" x14ac:dyDescent="0.25">
      <c r="B125" s="144"/>
      <c r="C125" s="143" t="s">
        <v>624</v>
      </c>
      <c r="D125" s="144"/>
      <c r="E125" s="143"/>
      <c r="F125" s="143"/>
      <c r="G125" s="143"/>
    </row>
    <row r="126" spans="2:7" x14ac:dyDescent="0.25">
      <c r="B126" s="144"/>
      <c r="C126" s="143" t="s">
        <v>577</v>
      </c>
      <c r="D126" s="144"/>
      <c r="E126" s="143"/>
      <c r="F126" s="143"/>
      <c r="G126" s="143"/>
    </row>
    <row r="127" spans="2:7" x14ac:dyDescent="0.25">
      <c r="B127" s="157" t="s">
        <v>578</v>
      </c>
      <c r="C127" s="156" t="s">
        <v>579</v>
      </c>
      <c r="D127" s="157" t="s">
        <v>580</v>
      </c>
      <c r="E127" s="272">
        <v>0.4</v>
      </c>
      <c r="F127" s="272">
        <v>18.45</v>
      </c>
      <c r="G127" s="264">
        <f>E127*F127</f>
        <v>7.38</v>
      </c>
    </row>
    <row r="128" spans="2:7" x14ac:dyDescent="0.25">
      <c r="B128" s="157" t="s">
        <v>581</v>
      </c>
      <c r="C128" s="156" t="s">
        <v>582</v>
      </c>
      <c r="D128" s="157"/>
      <c r="E128" s="272">
        <v>0.4</v>
      </c>
      <c r="F128" s="272">
        <v>14.39</v>
      </c>
      <c r="G128" s="264">
        <f>E128*F128</f>
        <v>5.7560000000000002</v>
      </c>
    </row>
    <row r="129" spans="2:10" x14ac:dyDescent="0.25">
      <c r="B129" s="144"/>
      <c r="C129" s="143" t="s">
        <v>583</v>
      </c>
      <c r="D129" s="144"/>
      <c r="E129" s="264"/>
      <c r="F129" s="264"/>
      <c r="G129" s="264">
        <f>(G127+G128)</f>
        <v>13.135999999999999</v>
      </c>
    </row>
    <row r="130" spans="2:10" x14ac:dyDescent="0.25">
      <c r="B130" s="144"/>
      <c r="C130" s="143" t="s">
        <v>569</v>
      </c>
      <c r="D130" s="144"/>
      <c r="E130" s="264"/>
      <c r="F130" s="264"/>
      <c r="G130" s="264"/>
    </row>
    <row r="131" spans="2:10" x14ac:dyDescent="0.25">
      <c r="B131" s="144" t="s">
        <v>631</v>
      </c>
      <c r="C131" s="143" t="s">
        <v>477</v>
      </c>
      <c r="D131" s="144" t="s">
        <v>185</v>
      </c>
      <c r="E131" s="264">
        <v>1</v>
      </c>
      <c r="F131" s="264">
        <v>379.17</v>
      </c>
      <c r="G131" s="264">
        <f>(E131*F131)</f>
        <v>379.17</v>
      </c>
    </row>
    <row r="132" spans="2:10" x14ac:dyDescent="0.25">
      <c r="B132" s="144"/>
      <c r="C132" s="143" t="s">
        <v>583</v>
      </c>
      <c r="D132" s="143"/>
      <c r="E132" s="264"/>
      <c r="F132" s="264"/>
      <c r="G132" s="264">
        <f>G131</f>
        <v>379.17</v>
      </c>
    </row>
    <row r="133" spans="2:10" x14ac:dyDescent="0.25">
      <c r="B133" s="144"/>
      <c r="C133" s="143" t="s">
        <v>584</v>
      </c>
      <c r="D133" s="143"/>
      <c r="E133" s="143"/>
      <c r="F133" s="143"/>
      <c r="G133" s="154">
        <f>G132+G129</f>
        <v>392.30600000000004</v>
      </c>
    </row>
    <row r="134" spans="2:10" x14ac:dyDescent="0.25">
      <c r="B134" s="144"/>
      <c r="C134" s="143"/>
      <c r="D134" s="143"/>
      <c r="E134" s="143"/>
      <c r="F134" s="143"/>
      <c r="G134" s="143"/>
    </row>
    <row r="135" spans="2:10" x14ac:dyDescent="0.25">
      <c r="B135" s="191" t="s">
        <v>795</v>
      </c>
      <c r="C135" s="137"/>
      <c r="D135" s="137"/>
      <c r="E135" s="137"/>
      <c r="F135" s="137"/>
      <c r="G135" s="137"/>
      <c r="H135" s="100"/>
      <c r="I135" s="100"/>
      <c r="J135" s="100"/>
    </row>
    <row r="136" spans="2:10" ht="45.75" customHeight="1" x14ac:dyDescent="0.25">
      <c r="B136" s="153"/>
      <c r="C136" s="140" t="s">
        <v>607</v>
      </c>
      <c r="D136" s="140" t="s">
        <v>24</v>
      </c>
      <c r="E136" s="140"/>
      <c r="F136" s="140"/>
      <c r="G136" s="140">
        <f>G139</f>
        <v>23.321200000000001</v>
      </c>
      <c r="H136" s="100"/>
      <c r="I136" s="100"/>
      <c r="J136" s="100"/>
    </row>
    <row r="137" spans="2:10" x14ac:dyDescent="0.25">
      <c r="B137" s="157"/>
      <c r="C137" s="156" t="s">
        <v>589</v>
      </c>
      <c r="D137" s="156" t="s">
        <v>580</v>
      </c>
      <c r="E137" s="156">
        <v>0.14000000000000001</v>
      </c>
      <c r="F137" s="156">
        <v>18.28</v>
      </c>
      <c r="G137" s="163">
        <f>E137*F137</f>
        <v>2.5592000000000006</v>
      </c>
      <c r="H137" s="100"/>
      <c r="I137" s="100"/>
      <c r="J137" s="100"/>
    </row>
    <row r="138" spans="2:10" x14ac:dyDescent="0.25">
      <c r="B138" s="157"/>
      <c r="C138" s="156" t="s">
        <v>590</v>
      </c>
      <c r="D138" s="156" t="s">
        <v>580</v>
      </c>
      <c r="E138" s="156">
        <v>1.4</v>
      </c>
      <c r="F138" s="156">
        <v>14.83</v>
      </c>
      <c r="G138" s="163">
        <f>E138*F138</f>
        <v>20.762</v>
      </c>
      <c r="H138" s="100"/>
      <c r="I138" s="100"/>
      <c r="J138" s="100"/>
    </row>
    <row r="139" spans="2:10" x14ac:dyDescent="0.25">
      <c r="B139" s="144"/>
      <c r="C139" s="143" t="s">
        <v>584</v>
      </c>
      <c r="D139" s="143"/>
      <c r="E139" s="143"/>
      <c r="F139" s="143"/>
      <c r="G139" s="154">
        <f>G138+G137</f>
        <v>23.321200000000001</v>
      </c>
      <c r="H139" s="133">
        <f>SUM(G137:G138)</f>
        <v>23.321200000000001</v>
      </c>
      <c r="I139" s="100"/>
      <c r="J139" s="100"/>
    </row>
    <row r="141" spans="2:10" x14ac:dyDescent="0.25">
      <c r="B141" s="191" t="s">
        <v>802</v>
      </c>
      <c r="C141" s="137"/>
      <c r="D141" s="137"/>
      <c r="E141" s="137"/>
      <c r="F141" s="137"/>
      <c r="G141" s="137"/>
    </row>
    <row r="142" spans="2:10" x14ac:dyDescent="0.25">
      <c r="B142" s="153"/>
      <c r="C142" s="140" t="s">
        <v>813</v>
      </c>
      <c r="D142" s="140" t="s">
        <v>24</v>
      </c>
      <c r="E142" s="140"/>
      <c r="F142" s="140"/>
      <c r="G142" s="140">
        <f>G146</f>
        <v>8.9265500000000007</v>
      </c>
    </row>
    <row r="143" spans="2:10" ht="26.4" x14ac:dyDescent="0.25">
      <c r="B143" s="144"/>
      <c r="C143" s="143" t="s">
        <v>800</v>
      </c>
      <c r="D143" s="143" t="s">
        <v>397</v>
      </c>
      <c r="E143" s="143">
        <v>4.2499999999999998E-4</v>
      </c>
      <c r="F143" s="143">
        <v>3446</v>
      </c>
      <c r="G143" s="154">
        <f>E143*F143</f>
        <v>1.46455</v>
      </c>
    </row>
    <row r="144" spans="2:10" x14ac:dyDescent="0.25">
      <c r="B144" s="144"/>
      <c r="C144" s="143" t="s">
        <v>814</v>
      </c>
      <c r="D144" s="143" t="s">
        <v>580</v>
      </c>
      <c r="E144" s="143">
        <v>0.2</v>
      </c>
      <c r="F144" s="143">
        <v>23</v>
      </c>
      <c r="G144" s="154">
        <f>E144*F144</f>
        <v>4.6000000000000005</v>
      </c>
    </row>
    <row r="145" spans="2:21" x14ac:dyDescent="0.25">
      <c r="B145" s="157"/>
      <c r="C145" s="156" t="s">
        <v>801</v>
      </c>
      <c r="D145" s="156" t="s">
        <v>580</v>
      </c>
      <c r="E145" s="156">
        <v>0.2</v>
      </c>
      <c r="F145" s="156">
        <v>14.31</v>
      </c>
      <c r="G145" s="163">
        <f>E145*F145</f>
        <v>2.8620000000000001</v>
      </c>
      <c r="I145" s="101"/>
      <c r="J145" s="101"/>
      <c r="T145" s="101"/>
      <c r="U145" s="101"/>
    </row>
    <row r="146" spans="2:21" x14ac:dyDescent="0.25">
      <c r="B146" s="144"/>
      <c r="C146" s="143" t="s">
        <v>584</v>
      </c>
      <c r="D146" s="143"/>
      <c r="E146" s="143"/>
      <c r="F146" s="143"/>
      <c r="G146" s="154">
        <f>G145+G143+G144</f>
        <v>8.9265500000000007</v>
      </c>
      <c r="I146" s="101"/>
      <c r="J146" s="101"/>
      <c r="T146" s="101"/>
      <c r="U146" s="101"/>
    </row>
    <row r="148" spans="2:21" ht="36" customHeight="1" x14ac:dyDescent="0.25">
      <c r="B148" s="191" t="s">
        <v>810</v>
      </c>
      <c r="C148" s="137"/>
      <c r="D148" s="137"/>
      <c r="E148" s="137"/>
      <c r="F148" s="137"/>
      <c r="G148" s="137"/>
      <c r="K148" s="111"/>
      <c r="L148" s="638"/>
      <c r="M148" s="638"/>
      <c r="N148" s="638"/>
      <c r="O148" s="638"/>
      <c r="P148" s="638"/>
      <c r="Q148" s="638"/>
      <c r="R148" s="638"/>
      <c r="S148" s="112"/>
    </row>
    <row r="149" spans="2:21" ht="26.4" x14ac:dyDescent="0.25">
      <c r="B149" s="153"/>
      <c r="C149" s="140" t="s">
        <v>808</v>
      </c>
      <c r="D149" s="140" t="s">
        <v>44</v>
      </c>
      <c r="E149" s="140"/>
      <c r="F149" s="140"/>
      <c r="G149" s="164">
        <f>G153</f>
        <v>234.42800800000003</v>
      </c>
      <c r="K149" s="108"/>
      <c r="L149" s="108"/>
      <c r="M149" s="108"/>
      <c r="N149" s="108"/>
      <c r="O149" s="108"/>
      <c r="P149" s="109"/>
      <c r="Q149" s="108"/>
      <c r="R149" s="110"/>
      <c r="S149" s="108"/>
    </row>
    <row r="150" spans="2:21" x14ac:dyDescent="0.25">
      <c r="B150" s="165">
        <v>88316</v>
      </c>
      <c r="C150" s="143" t="s">
        <v>806</v>
      </c>
      <c r="D150" s="165" t="s">
        <v>580</v>
      </c>
      <c r="E150" s="165">
        <v>0.1</v>
      </c>
      <c r="F150" s="165">
        <v>14.73</v>
      </c>
      <c r="G150" s="166">
        <f t="shared" ref="G150:G152" si="2">E150*F150</f>
        <v>1.4730000000000001</v>
      </c>
      <c r="K150" s="108"/>
      <c r="L150" s="108"/>
      <c r="M150" s="108"/>
      <c r="N150" s="108"/>
      <c r="O150" s="108"/>
      <c r="P150" s="109"/>
      <c r="Q150" s="108"/>
      <c r="R150" s="110"/>
      <c r="S150" s="108"/>
    </row>
    <row r="151" spans="2:21" x14ac:dyDescent="0.25">
      <c r="B151" s="270">
        <v>88309</v>
      </c>
      <c r="C151" s="156" t="s">
        <v>589</v>
      </c>
      <c r="D151" s="270" t="s">
        <v>580</v>
      </c>
      <c r="E151" s="270">
        <v>0.24560000000000001</v>
      </c>
      <c r="F151" s="270">
        <v>18.18</v>
      </c>
      <c r="G151" s="271">
        <f t="shared" si="2"/>
        <v>4.4650080000000001</v>
      </c>
      <c r="K151" s="102"/>
      <c r="L151" s="102"/>
      <c r="M151" s="102"/>
      <c r="N151" s="103"/>
      <c r="O151" s="102"/>
      <c r="P151" s="102"/>
      <c r="Q151" s="102"/>
      <c r="R151" s="104"/>
      <c r="S151" s="104"/>
    </row>
    <row r="152" spans="2:21" x14ac:dyDescent="0.25">
      <c r="B152" s="167" t="s">
        <v>807</v>
      </c>
      <c r="C152" s="168" t="s">
        <v>808</v>
      </c>
      <c r="D152" s="167" t="s">
        <v>397</v>
      </c>
      <c r="E152" s="169">
        <v>1</v>
      </c>
      <c r="F152" s="170">
        <v>228.49</v>
      </c>
      <c r="G152" s="166">
        <f t="shared" si="2"/>
        <v>228.49</v>
      </c>
      <c r="K152" s="102"/>
      <c r="L152" s="102"/>
      <c r="M152" s="102"/>
      <c r="N152" s="103"/>
      <c r="O152" s="102"/>
      <c r="P152" s="102"/>
      <c r="Q152" s="102"/>
      <c r="R152" s="104"/>
      <c r="S152" s="104"/>
    </row>
    <row r="153" spans="2:21" ht="24.75" customHeight="1" x14ac:dyDescent="0.25">
      <c r="G153" s="171">
        <f>G152+G151+G150</f>
        <v>234.42800800000003</v>
      </c>
      <c r="K153" s="102"/>
      <c r="L153" s="105"/>
      <c r="M153" s="105"/>
      <c r="N153" s="103"/>
      <c r="O153" s="105"/>
      <c r="P153" s="106"/>
      <c r="Q153" s="107"/>
      <c r="R153" s="104"/>
      <c r="S153" s="104"/>
    </row>
    <row r="154" spans="2:21" x14ac:dyDescent="0.25">
      <c r="B154" s="191" t="s">
        <v>812</v>
      </c>
      <c r="C154" s="137"/>
      <c r="D154" s="137"/>
      <c r="E154" s="137"/>
      <c r="F154" s="137"/>
      <c r="G154" s="137"/>
      <c r="K154" s="636"/>
      <c r="L154" s="636"/>
      <c r="M154" s="636"/>
      <c r="N154" s="636"/>
      <c r="O154" s="636"/>
      <c r="P154" s="636"/>
      <c r="Q154" s="636"/>
      <c r="R154" s="636"/>
      <c r="S154" s="113"/>
    </row>
    <row r="155" spans="2:21" ht="26.4" x14ac:dyDescent="0.25">
      <c r="B155" s="153"/>
      <c r="C155" s="140" t="s">
        <v>809</v>
      </c>
      <c r="D155" s="140" t="s">
        <v>24</v>
      </c>
      <c r="E155" s="140"/>
      <c r="F155" s="140"/>
      <c r="G155" s="172">
        <f>G159</f>
        <v>198.88800800000001</v>
      </c>
      <c r="K155" s="636"/>
      <c r="L155" s="636"/>
      <c r="M155" s="636"/>
      <c r="N155" s="636"/>
      <c r="O155" s="636"/>
      <c r="P155" s="636"/>
      <c r="Q155" s="636"/>
      <c r="R155" s="636"/>
      <c r="S155" s="113"/>
    </row>
    <row r="156" spans="2:21" ht="14.4" x14ac:dyDescent="0.3">
      <c r="B156" s="270">
        <v>88316</v>
      </c>
      <c r="C156" s="156" t="s">
        <v>801</v>
      </c>
      <c r="D156" s="270" t="s">
        <v>580</v>
      </c>
      <c r="E156" s="270">
        <v>0.1</v>
      </c>
      <c r="F156" s="270">
        <v>14.73</v>
      </c>
      <c r="G156" s="271">
        <f t="shared" ref="G156:G158" si="3">E156*F156</f>
        <v>1.4730000000000001</v>
      </c>
      <c r="K156" s="637"/>
      <c r="L156" s="637"/>
      <c r="M156" s="637"/>
      <c r="N156" s="637"/>
      <c r="O156" s="637"/>
      <c r="P156" s="637"/>
      <c r="Q156" s="637"/>
      <c r="R156" s="637"/>
      <c r="S156" s="637"/>
    </row>
    <row r="157" spans="2:21" ht="36" customHeight="1" x14ac:dyDescent="0.25">
      <c r="B157" s="270">
        <v>88309</v>
      </c>
      <c r="C157" s="156" t="s">
        <v>589</v>
      </c>
      <c r="D157" s="270" t="s">
        <v>580</v>
      </c>
      <c r="E157" s="270">
        <v>0.24560000000000001</v>
      </c>
      <c r="F157" s="270">
        <v>18.18</v>
      </c>
      <c r="G157" s="271">
        <f t="shared" si="3"/>
        <v>4.4650080000000001</v>
      </c>
      <c r="K157" s="111"/>
      <c r="L157" s="638"/>
      <c r="M157" s="638"/>
      <c r="N157" s="638"/>
      <c r="O157" s="638"/>
      <c r="P157" s="638"/>
      <c r="Q157" s="638"/>
      <c r="R157" s="638"/>
      <c r="S157" s="112"/>
    </row>
    <row r="158" spans="2:21" x14ac:dyDescent="0.25">
      <c r="B158" s="167" t="s">
        <v>807</v>
      </c>
      <c r="C158" s="168" t="s">
        <v>808</v>
      </c>
      <c r="D158" s="167" t="s">
        <v>397</v>
      </c>
      <c r="E158" s="169">
        <v>1</v>
      </c>
      <c r="F158" s="170">
        <v>192.95</v>
      </c>
      <c r="G158" s="166">
        <f t="shared" si="3"/>
        <v>192.95</v>
      </c>
      <c r="K158" s="108"/>
      <c r="L158" s="108"/>
      <c r="M158" s="108"/>
      <c r="N158" s="108"/>
      <c r="O158" s="108"/>
      <c r="P158" s="109"/>
      <c r="Q158" s="108"/>
      <c r="R158" s="110"/>
      <c r="S158" s="108"/>
    </row>
    <row r="159" spans="2:21" x14ac:dyDescent="0.25">
      <c r="G159" s="171">
        <f>G158+G157+G156</f>
        <v>198.88800800000001</v>
      </c>
      <c r="K159" s="102"/>
      <c r="L159" s="102"/>
      <c r="M159" s="102"/>
      <c r="N159" s="103"/>
      <c r="O159" s="102"/>
      <c r="P159" s="102"/>
      <c r="Q159" s="102"/>
      <c r="R159" s="104"/>
      <c r="S159" s="104"/>
    </row>
    <row r="160" spans="2:21" x14ac:dyDescent="0.25">
      <c r="K160" s="102"/>
      <c r="L160" s="102"/>
      <c r="M160" s="102"/>
      <c r="N160" s="103"/>
      <c r="O160" s="102"/>
      <c r="P160" s="102"/>
      <c r="Q160" s="102"/>
      <c r="R160" s="104"/>
      <c r="S160" s="104"/>
    </row>
    <row r="161" spans="10:21" ht="72" customHeight="1" x14ac:dyDescent="0.25">
      <c r="K161" s="102"/>
      <c r="L161" s="105"/>
      <c r="M161" s="105"/>
      <c r="N161" s="103"/>
      <c r="O161" s="105"/>
      <c r="P161" s="106"/>
      <c r="Q161" s="107"/>
      <c r="R161" s="104"/>
      <c r="S161" s="104"/>
    </row>
    <row r="162" spans="10:21" x14ac:dyDescent="0.25">
      <c r="K162" s="636"/>
      <c r="L162" s="636"/>
      <c r="M162" s="636"/>
      <c r="N162" s="636"/>
      <c r="O162" s="636"/>
      <c r="P162" s="636"/>
      <c r="Q162" s="636"/>
      <c r="R162" s="636"/>
      <c r="S162" s="113"/>
    </row>
    <row r="163" spans="10:21" x14ac:dyDescent="0.25">
      <c r="K163" s="636"/>
      <c r="L163" s="636"/>
      <c r="M163" s="636"/>
      <c r="N163" s="636"/>
      <c r="O163" s="636"/>
      <c r="P163" s="636"/>
      <c r="Q163" s="636"/>
      <c r="R163" s="636"/>
      <c r="S163" s="113"/>
    </row>
    <row r="164" spans="10:21" ht="14.4" x14ac:dyDescent="0.3">
      <c r="K164" s="637"/>
      <c r="L164" s="637"/>
      <c r="M164" s="637"/>
      <c r="N164" s="637"/>
      <c r="O164" s="637"/>
      <c r="P164" s="637"/>
      <c r="Q164" s="637"/>
      <c r="R164" s="637"/>
      <c r="S164" s="637"/>
    </row>
    <row r="165" spans="10:21" x14ac:dyDescent="0.25">
      <c r="K165" s="100"/>
      <c r="L165" s="100"/>
      <c r="M165" s="100"/>
      <c r="N165" s="100"/>
      <c r="O165" s="100"/>
      <c r="P165" s="100"/>
      <c r="Q165" s="100"/>
      <c r="R165" s="100"/>
      <c r="S165" s="100"/>
    </row>
    <row r="166" spans="10:21" x14ac:dyDescent="0.25">
      <c r="K166" s="100"/>
      <c r="L166" s="100"/>
      <c r="M166" s="100"/>
      <c r="N166" s="100"/>
      <c r="O166" s="100"/>
      <c r="P166" s="100"/>
      <c r="Q166" s="100"/>
      <c r="R166" s="100"/>
      <c r="S166" s="100"/>
    </row>
    <row r="174" spans="10:21" x14ac:dyDescent="0.25">
      <c r="J174" s="101"/>
      <c r="U174" s="101"/>
    </row>
    <row r="175" spans="10:21" x14ac:dyDescent="0.25">
      <c r="J175" s="101"/>
      <c r="U175" s="101"/>
    </row>
    <row r="182" spans="2:7" ht="15" thickBot="1" x14ac:dyDescent="0.3">
      <c r="B182" s="173"/>
      <c r="C182" s="174"/>
      <c r="D182" s="174"/>
      <c r="E182" s="175"/>
      <c r="F182" s="174"/>
      <c r="G182" s="174"/>
    </row>
    <row r="183" spans="2:7" ht="13.8" thickBot="1" x14ac:dyDescent="0.3">
      <c r="B183" s="176"/>
      <c r="C183" s="176"/>
      <c r="D183" s="176"/>
      <c r="E183" s="176"/>
      <c r="F183" s="176"/>
      <c r="G183" s="176"/>
    </row>
    <row r="184" spans="2:7" ht="28.8" x14ac:dyDescent="0.25">
      <c r="B184" s="194" t="s">
        <v>622</v>
      </c>
      <c r="C184" s="177" t="s">
        <v>623</v>
      </c>
      <c r="D184" s="178">
        <v>1</v>
      </c>
      <c r="E184" s="178"/>
      <c r="F184" s="178"/>
      <c r="G184" s="179"/>
    </row>
    <row r="185" spans="2:7" x14ac:dyDescent="0.25">
      <c r="B185" s="195"/>
      <c r="C185" s="180" t="s">
        <v>624</v>
      </c>
      <c r="D185" s="178"/>
      <c r="E185" s="178"/>
      <c r="F185" s="178"/>
      <c r="G185" s="181"/>
    </row>
    <row r="186" spans="2:7" ht="14.4" x14ac:dyDescent="0.25">
      <c r="B186" s="195"/>
      <c r="C186" s="182" t="s">
        <v>577</v>
      </c>
      <c r="D186" s="178"/>
      <c r="E186" s="178"/>
      <c r="F186" s="178"/>
      <c r="G186" s="181"/>
    </row>
    <row r="187" spans="2:7" ht="14.4" x14ac:dyDescent="0.25">
      <c r="B187" s="195" t="s">
        <v>578</v>
      </c>
      <c r="C187" s="183" t="s">
        <v>579</v>
      </c>
      <c r="D187" s="184" t="s">
        <v>580</v>
      </c>
      <c r="E187" s="184">
        <v>1</v>
      </c>
      <c r="F187" s="183">
        <v>18.45</v>
      </c>
      <c r="G187" s="185">
        <f>E187*F187</f>
        <v>18.45</v>
      </c>
    </row>
    <row r="188" spans="2:7" ht="14.4" x14ac:dyDescent="0.25">
      <c r="B188" s="195" t="s">
        <v>581</v>
      </c>
      <c r="C188" s="183" t="s">
        <v>582</v>
      </c>
      <c r="D188" s="184"/>
      <c r="E188" s="184">
        <v>0.8</v>
      </c>
      <c r="F188" s="183">
        <v>14.39</v>
      </c>
      <c r="G188" s="185">
        <f>E188*F188</f>
        <v>11.512</v>
      </c>
    </row>
    <row r="189" spans="2:7" ht="14.4" x14ac:dyDescent="0.25">
      <c r="B189" s="195"/>
      <c r="C189" s="182" t="s">
        <v>583</v>
      </c>
      <c r="D189" s="178"/>
      <c r="E189" s="178"/>
      <c r="F189" s="178"/>
      <c r="G189" s="181">
        <f>(G187+G188)</f>
        <v>29.962</v>
      </c>
    </row>
    <row r="190" spans="2:7" ht="14.4" x14ac:dyDescent="0.25">
      <c r="B190" s="195"/>
      <c r="C190" s="182" t="s">
        <v>569</v>
      </c>
      <c r="D190" s="178"/>
      <c r="E190" s="178"/>
      <c r="F190" s="178"/>
      <c r="G190" s="181"/>
    </row>
    <row r="191" spans="2:7" ht="14.4" x14ac:dyDescent="0.25">
      <c r="B191" s="195"/>
      <c r="C191" s="186" t="s">
        <v>625</v>
      </c>
      <c r="D191" s="184" t="s">
        <v>185</v>
      </c>
      <c r="E191" s="184">
        <v>1</v>
      </c>
      <c r="F191" s="184">
        <v>236.9</v>
      </c>
      <c r="G191" s="185">
        <v>276.89999999999998</v>
      </c>
    </row>
    <row r="192" spans="2:7" ht="14.4" x14ac:dyDescent="0.25">
      <c r="B192" s="195"/>
      <c r="C192" s="182" t="s">
        <v>583</v>
      </c>
      <c r="D192" s="178"/>
      <c r="E192" s="178"/>
      <c r="F192" s="178"/>
      <c r="G192" s="181">
        <f>G191</f>
        <v>276.89999999999998</v>
      </c>
    </row>
    <row r="193" spans="2:7" ht="14.4" x14ac:dyDescent="0.25">
      <c r="B193" s="195"/>
      <c r="C193" s="182" t="s">
        <v>584</v>
      </c>
      <c r="D193" s="178"/>
      <c r="E193" s="178"/>
      <c r="F193" s="178"/>
      <c r="G193" s="181">
        <f>G192+G189</f>
        <v>306.86199999999997</v>
      </c>
    </row>
    <row r="194" spans="2:7" ht="14.4" x14ac:dyDescent="0.25">
      <c r="B194" s="195"/>
      <c r="C194" s="183" t="s">
        <v>626</v>
      </c>
      <c r="D194" s="178"/>
      <c r="E194" s="178"/>
      <c r="F194" s="178"/>
      <c r="G194" s="181"/>
    </row>
    <row r="195" spans="2:7" ht="13.8" thickBot="1" x14ac:dyDescent="0.3">
      <c r="B195" s="195"/>
      <c r="C195" s="187"/>
      <c r="D195" s="188"/>
      <c r="E195" s="189"/>
      <c r="F195" s="190"/>
      <c r="G195" s="190"/>
    </row>
    <row r="196" spans="2:7" ht="13.8" thickBot="1" x14ac:dyDescent="0.3">
      <c r="B196" s="176"/>
      <c r="C196" s="176"/>
      <c r="D196" s="176"/>
      <c r="E196" s="176"/>
      <c r="F196" s="176"/>
      <c r="G196" s="176"/>
    </row>
    <row r="218" spans="2:7" ht="13.8" thickBot="1" x14ac:dyDescent="0.3"/>
    <row r="219" spans="2:7" ht="13.8" thickBot="1" x14ac:dyDescent="0.3">
      <c r="B219" s="176"/>
      <c r="C219" s="176"/>
      <c r="D219" s="176"/>
      <c r="E219" s="176"/>
      <c r="F219" s="176"/>
      <c r="G219" s="176"/>
    </row>
  </sheetData>
  <mergeCells count="8">
    <mergeCell ref="K162:R162"/>
    <mergeCell ref="K163:R163"/>
    <mergeCell ref="K164:S164"/>
    <mergeCell ref="L148:R148"/>
    <mergeCell ref="K154:R154"/>
    <mergeCell ref="K155:R155"/>
    <mergeCell ref="K156:S156"/>
    <mergeCell ref="L157:R157"/>
  </mergeCells>
  <pageMargins left="0.43307086614173229" right="3.937007874015748E-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0"/>
  <sheetViews>
    <sheetView view="pageBreakPreview" topLeftCell="K1" zoomScale="89" zoomScaleNormal="95" zoomScaleSheetLayoutView="89" workbookViewId="0">
      <selection activeCell="AF1" sqref="AF1:AG1048576"/>
    </sheetView>
  </sheetViews>
  <sheetFormatPr defaultRowHeight="15.6" x14ac:dyDescent="0.3"/>
  <cols>
    <col min="1" max="1" width="5.5546875" style="412" customWidth="1"/>
    <col min="2" max="2" width="30.6640625" style="412" customWidth="1"/>
    <col min="3" max="3" width="7.109375" style="452" bestFit="1" customWidth="1"/>
    <col min="4" max="4" width="11.109375" style="406" customWidth="1"/>
    <col min="5" max="5" width="6.21875" style="439" bestFit="1" customWidth="1"/>
    <col min="6" max="6" width="10.6640625" style="406" customWidth="1"/>
    <col min="7" max="7" width="5.6640625" style="408" customWidth="1"/>
    <col min="8" max="8" width="10.6640625" style="406" customWidth="1"/>
    <col min="9" max="9" width="6.109375" style="440" bestFit="1" customWidth="1"/>
    <col min="10" max="10" width="10.6640625" style="406" customWidth="1"/>
    <col min="11" max="11" width="6.109375" style="440" bestFit="1" customWidth="1"/>
    <col min="12" max="12" width="10.6640625" style="406" customWidth="1"/>
    <col min="13" max="13" width="6.109375" style="439" bestFit="1" customWidth="1"/>
    <col min="14" max="14" width="10.6640625" style="406" customWidth="1"/>
    <col min="15" max="15" width="6.109375" style="439" customWidth="1"/>
    <col min="16" max="16" width="10.6640625" style="406" customWidth="1"/>
    <col min="17" max="17" width="6.109375" style="409" customWidth="1"/>
    <col min="18" max="18" width="10.6640625" style="406" customWidth="1"/>
    <col min="19" max="19" width="6.109375" style="409" bestFit="1" customWidth="1"/>
    <col min="20" max="20" width="10.6640625" style="406" customWidth="1"/>
    <col min="21" max="21" width="6.109375" style="409" bestFit="1" customWidth="1"/>
    <col min="22" max="22" width="10.6640625" style="406" customWidth="1"/>
    <col min="23" max="23" width="6.109375" style="409" bestFit="1" customWidth="1"/>
    <col min="24" max="24" width="10.6640625" style="406" customWidth="1"/>
    <col min="25" max="25" width="6.109375" style="409" bestFit="1" customWidth="1"/>
    <col min="26" max="26" width="10.6640625" style="406" customWidth="1"/>
    <col min="27" max="27" width="6.109375" style="409" bestFit="1" customWidth="1"/>
    <col min="28" max="28" width="10.6640625" style="406" customWidth="1"/>
    <col min="29" max="29" width="8.33203125" style="409" customWidth="1"/>
    <col min="30" max="30" width="11.44140625" style="406" customWidth="1"/>
    <col min="31" max="31" width="9.109375" style="5"/>
    <col min="32" max="32" width="14.44140625" style="96" hidden="1" customWidth="1"/>
    <col min="33" max="33" width="0" style="87" hidden="1" customWidth="1"/>
    <col min="34" max="256" width="9.109375" style="5"/>
    <col min="257" max="257" width="4.6640625" style="5" customWidth="1"/>
    <col min="258" max="258" width="23" style="5" customWidth="1"/>
    <col min="259" max="259" width="6.109375" style="5" bestFit="1" customWidth="1"/>
    <col min="260" max="260" width="9.88671875" style="5" customWidth="1"/>
    <col min="261" max="261" width="5.6640625" style="5" customWidth="1"/>
    <col min="262" max="262" width="10.6640625" style="5" customWidth="1"/>
    <col min="263" max="263" width="5.6640625" style="5" customWidth="1"/>
    <col min="264" max="264" width="10.6640625" style="5" customWidth="1"/>
    <col min="265" max="265" width="5.6640625" style="5" customWidth="1"/>
    <col min="266" max="266" width="10.6640625" style="5" customWidth="1"/>
    <col min="267" max="267" width="5.6640625" style="5" customWidth="1"/>
    <col min="268" max="268" width="10.6640625" style="5" customWidth="1"/>
    <col min="269" max="269" width="5.6640625" style="5" customWidth="1"/>
    <col min="270" max="270" width="10.6640625" style="5" customWidth="1"/>
    <col min="271" max="271" width="5.6640625" style="5" customWidth="1"/>
    <col min="272" max="272" width="10.6640625" style="5" customWidth="1"/>
    <col min="273" max="273" width="5.6640625" style="5" customWidth="1"/>
    <col min="274" max="274" width="10.6640625" style="5" customWidth="1"/>
    <col min="275" max="275" width="5.6640625" style="5" customWidth="1"/>
    <col min="276" max="276" width="10.6640625" style="5" customWidth="1"/>
    <col min="277" max="277" width="5.6640625" style="5" customWidth="1"/>
    <col min="278" max="278" width="10.6640625" style="5" customWidth="1"/>
    <col min="279" max="279" width="5.6640625" style="5" customWidth="1"/>
    <col min="280" max="280" width="10.6640625" style="5" customWidth="1"/>
    <col min="281" max="281" width="5.6640625" style="5" customWidth="1"/>
    <col min="282" max="282" width="10.6640625" style="5" customWidth="1"/>
    <col min="283" max="283" width="5.6640625" style="5" customWidth="1"/>
    <col min="284" max="284" width="10.6640625" style="5" customWidth="1"/>
    <col min="285" max="285" width="8.33203125" style="5" customWidth="1"/>
    <col min="286" max="286" width="10.5546875" style="5" bestFit="1" customWidth="1"/>
    <col min="287" max="287" width="9.109375" style="5"/>
    <col min="288" max="288" width="14.44140625" style="5" customWidth="1"/>
    <col min="289" max="512" width="9.109375" style="5"/>
    <col min="513" max="513" width="4.6640625" style="5" customWidth="1"/>
    <col min="514" max="514" width="23" style="5" customWidth="1"/>
    <col min="515" max="515" width="6.109375" style="5" bestFit="1" customWidth="1"/>
    <col min="516" max="516" width="9.88671875" style="5" customWidth="1"/>
    <col min="517" max="517" width="5.6640625" style="5" customWidth="1"/>
    <col min="518" max="518" width="10.6640625" style="5" customWidth="1"/>
    <col min="519" max="519" width="5.6640625" style="5" customWidth="1"/>
    <col min="520" max="520" width="10.6640625" style="5" customWidth="1"/>
    <col min="521" max="521" width="5.6640625" style="5" customWidth="1"/>
    <col min="522" max="522" width="10.6640625" style="5" customWidth="1"/>
    <col min="523" max="523" width="5.6640625" style="5" customWidth="1"/>
    <col min="524" max="524" width="10.6640625" style="5" customWidth="1"/>
    <col min="525" max="525" width="5.6640625" style="5" customWidth="1"/>
    <col min="526" max="526" width="10.6640625" style="5" customWidth="1"/>
    <col min="527" max="527" width="5.6640625" style="5" customWidth="1"/>
    <col min="528" max="528" width="10.6640625" style="5" customWidth="1"/>
    <col min="529" max="529" width="5.6640625" style="5" customWidth="1"/>
    <col min="530" max="530" width="10.6640625" style="5" customWidth="1"/>
    <col min="531" max="531" width="5.6640625" style="5" customWidth="1"/>
    <col min="532" max="532" width="10.6640625" style="5" customWidth="1"/>
    <col min="533" max="533" width="5.6640625" style="5" customWidth="1"/>
    <col min="534" max="534" width="10.6640625" style="5" customWidth="1"/>
    <col min="535" max="535" width="5.6640625" style="5" customWidth="1"/>
    <col min="536" max="536" width="10.6640625" style="5" customWidth="1"/>
    <col min="537" max="537" width="5.6640625" style="5" customWidth="1"/>
    <col min="538" max="538" width="10.6640625" style="5" customWidth="1"/>
    <col min="539" max="539" width="5.6640625" style="5" customWidth="1"/>
    <col min="540" max="540" width="10.6640625" style="5" customWidth="1"/>
    <col min="541" max="541" width="8.33203125" style="5" customWidth="1"/>
    <col min="542" max="542" width="10.5546875" style="5" bestFit="1" customWidth="1"/>
    <col min="543" max="543" width="9.109375" style="5"/>
    <col min="544" max="544" width="14.44140625" style="5" customWidth="1"/>
    <col min="545" max="768" width="9.109375" style="5"/>
    <col min="769" max="769" width="4.6640625" style="5" customWidth="1"/>
    <col min="770" max="770" width="23" style="5" customWidth="1"/>
    <col min="771" max="771" width="6.109375" style="5" bestFit="1" customWidth="1"/>
    <col min="772" max="772" width="9.88671875" style="5" customWidth="1"/>
    <col min="773" max="773" width="5.6640625" style="5" customWidth="1"/>
    <col min="774" max="774" width="10.6640625" style="5" customWidth="1"/>
    <col min="775" max="775" width="5.6640625" style="5" customWidth="1"/>
    <col min="776" max="776" width="10.6640625" style="5" customWidth="1"/>
    <col min="777" max="777" width="5.6640625" style="5" customWidth="1"/>
    <col min="778" max="778" width="10.6640625" style="5" customWidth="1"/>
    <col min="779" max="779" width="5.6640625" style="5" customWidth="1"/>
    <col min="780" max="780" width="10.6640625" style="5" customWidth="1"/>
    <col min="781" max="781" width="5.6640625" style="5" customWidth="1"/>
    <col min="782" max="782" width="10.6640625" style="5" customWidth="1"/>
    <col min="783" max="783" width="5.6640625" style="5" customWidth="1"/>
    <col min="784" max="784" width="10.6640625" style="5" customWidth="1"/>
    <col min="785" max="785" width="5.6640625" style="5" customWidth="1"/>
    <col min="786" max="786" width="10.6640625" style="5" customWidth="1"/>
    <col min="787" max="787" width="5.6640625" style="5" customWidth="1"/>
    <col min="788" max="788" width="10.6640625" style="5" customWidth="1"/>
    <col min="789" max="789" width="5.6640625" style="5" customWidth="1"/>
    <col min="790" max="790" width="10.6640625" style="5" customWidth="1"/>
    <col min="791" max="791" width="5.6640625" style="5" customWidth="1"/>
    <col min="792" max="792" width="10.6640625" style="5" customWidth="1"/>
    <col min="793" max="793" width="5.6640625" style="5" customWidth="1"/>
    <col min="794" max="794" width="10.6640625" style="5" customWidth="1"/>
    <col min="795" max="795" width="5.6640625" style="5" customWidth="1"/>
    <col min="796" max="796" width="10.6640625" style="5" customWidth="1"/>
    <col min="797" max="797" width="8.33203125" style="5" customWidth="1"/>
    <col min="798" max="798" width="10.5546875" style="5" bestFit="1" customWidth="1"/>
    <col min="799" max="799" width="9.109375" style="5"/>
    <col min="800" max="800" width="14.44140625" style="5" customWidth="1"/>
    <col min="801" max="1024" width="9.109375" style="5"/>
    <col min="1025" max="1025" width="4.6640625" style="5" customWidth="1"/>
    <col min="1026" max="1026" width="23" style="5" customWidth="1"/>
    <col min="1027" max="1027" width="6.109375" style="5" bestFit="1" customWidth="1"/>
    <col min="1028" max="1028" width="9.88671875" style="5" customWidth="1"/>
    <col min="1029" max="1029" width="5.6640625" style="5" customWidth="1"/>
    <col min="1030" max="1030" width="10.6640625" style="5" customWidth="1"/>
    <col min="1031" max="1031" width="5.6640625" style="5" customWidth="1"/>
    <col min="1032" max="1032" width="10.6640625" style="5" customWidth="1"/>
    <col min="1033" max="1033" width="5.6640625" style="5" customWidth="1"/>
    <col min="1034" max="1034" width="10.6640625" style="5" customWidth="1"/>
    <col min="1035" max="1035" width="5.6640625" style="5" customWidth="1"/>
    <col min="1036" max="1036" width="10.6640625" style="5" customWidth="1"/>
    <col min="1037" max="1037" width="5.6640625" style="5" customWidth="1"/>
    <col min="1038" max="1038" width="10.6640625" style="5" customWidth="1"/>
    <col min="1039" max="1039" width="5.6640625" style="5" customWidth="1"/>
    <col min="1040" max="1040" width="10.6640625" style="5" customWidth="1"/>
    <col min="1041" max="1041" width="5.6640625" style="5" customWidth="1"/>
    <col min="1042" max="1042" width="10.6640625" style="5" customWidth="1"/>
    <col min="1043" max="1043" width="5.6640625" style="5" customWidth="1"/>
    <col min="1044" max="1044" width="10.6640625" style="5" customWidth="1"/>
    <col min="1045" max="1045" width="5.6640625" style="5" customWidth="1"/>
    <col min="1046" max="1046" width="10.6640625" style="5" customWidth="1"/>
    <col min="1047" max="1047" width="5.6640625" style="5" customWidth="1"/>
    <col min="1048" max="1048" width="10.6640625" style="5" customWidth="1"/>
    <col min="1049" max="1049" width="5.6640625" style="5" customWidth="1"/>
    <col min="1050" max="1050" width="10.6640625" style="5" customWidth="1"/>
    <col min="1051" max="1051" width="5.6640625" style="5" customWidth="1"/>
    <col min="1052" max="1052" width="10.6640625" style="5" customWidth="1"/>
    <col min="1053" max="1053" width="8.33203125" style="5" customWidth="1"/>
    <col min="1054" max="1054" width="10.5546875" style="5" bestFit="1" customWidth="1"/>
    <col min="1055" max="1055" width="9.109375" style="5"/>
    <col min="1056" max="1056" width="14.44140625" style="5" customWidth="1"/>
    <col min="1057" max="1280" width="9.109375" style="5"/>
    <col min="1281" max="1281" width="4.6640625" style="5" customWidth="1"/>
    <col min="1282" max="1282" width="23" style="5" customWidth="1"/>
    <col min="1283" max="1283" width="6.109375" style="5" bestFit="1" customWidth="1"/>
    <col min="1284" max="1284" width="9.88671875" style="5" customWidth="1"/>
    <col min="1285" max="1285" width="5.6640625" style="5" customWidth="1"/>
    <col min="1286" max="1286" width="10.6640625" style="5" customWidth="1"/>
    <col min="1287" max="1287" width="5.6640625" style="5" customWidth="1"/>
    <col min="1288" max="1288" width="10.6640625" style="5" customWidth="1"/>
    <col min="1289" max="1289" width="5.6640625" style="5" customWidth="1"/>
    <col min="1290" max="1290" width="10.6640625" style="5" customWidth="1"/>
    <col min="1291" max="1291" width="5.6640625" style="5" customWidth="1"/>
    <col min="1292" max="1292" width="10.6640625" style="5" customWidth="1"/>
    <col min="1293" max="1293" width="5.6640625" style="5" customWidth="1"/>
    <col min="1294" max="1294" width="10.6640625" style="5" customWidth="1"/>
    <col min="1295" max="1295" width="5.6640625" style="5" customWidth="1"/>
    <col min="1296" max="1296" width="10.6640625" style="5" customWidth="1"/>
    <col min="1297" max="1297" width="5.6640625" style="5" customWidth="1"/>
    <col min="1298" max="1298" width="10.6640625" style="5" customWidth="1"/>
    <col min="1299" max="1299" width="5.6640625" style="5" customWidth="1"/>
    <col min="1300" max="1300" width="10.6640625" style="5" customWidth="1"/>
    <col min="1301" max="1301" width="5.6640625" style="5" customWidth="1"/>
    <col min="1302" max="1302" width="10.6640625" style="5" customWidth="1"/>
    <col min="1303" max="1303" width="5.6640625" style="5" customWidth="1"/>
    <col min="1304" max="1304" width="10.6640625" style="5" customWidth="1"/>
    <col min="1305" max="1305" width="5.6640625" style="5" customWidth="1"/>
    <col min="1306" max="1306" width="10.6640625" style="5" customWidth="1"/>
    <col min="1307" max="1307" width="5.6640625" style="5" customWidth="1"/>
    <col min="1308" max="1308" width="10.6640625" style="5" customWidth="1"/>
    <col min="1309" max="1309" width="8.33203125" style="5" customWidth="1"/>
    <col min="1310" max="1310" width="10.5546875" style="5" bestFit="1" customWidth="1"/>
    <col min="1311" max="1311" width="9.109375" style="5"/>
    <col min="1312" max="1312" width="14.44140625" style="5" customWidth="1"/>
    <col min="1313" max="1536" width="9.109375" style="5"/>
    <col min="1537" max="1537" width="4.6640625" style="5" customWidth="1"/>
    <col min="1538" max="1538" width="23" style="5" customWidth="1"/>
    <col min="1539" max="1539" width="6.109375" style="5" bestFit="1" customWidth="1"/>
    <col min="1540" max="1540" width="9.88671875" style="5" customWidth="1"/>
    <col min="1541" max="1541" width="5.6640625" style="5" customWidth="1"/>
    <col min="1542" max="1542" width="10.6640625" style="5" customWidth="1"/>
    <col min="1543" max="1543" width="5.6640625" style="5" customWidth="1"/>
    <col min="1544" max="1544" width="10.6640625" style="5" customWidth="1"/>
    <col min="1545" max="1545" width="5.6640625" style="5" customWidth="1"/>
    <col min="1546" max="1546" width="10.6640625" style="5" customWidth="1"/>
    <col min="1547" max="1547" width="5.6640625" style="5" customWidth="1"/>
    <col min="1548" max="1548" width="10.6640625" style="5" customWidth="1"/>
    <col min="1549" max="1549" width="5.6640625" style="5" customWidth="1"/>
    <col min="1550" max="1550" width="10.6640625" style="5" customWidth="1"/>
    <col min="1551" max="1551" width="5.6640625" style="5" customWidth="1"/>
    <col min="1552" max="1552" width="10.6640625" style="5" customWidth="1"/>
    <col min="1553" max="1553" width="5.6640625" style="5" customWidth="1"/>
    <col min="1554" max="1554" width="10.6640625" style="5" customWidth="1"/>
    <col min="1555" max="1555" width="5.6640625" style="5" customWidth="1"/>
    <col min="1556" max="1556" width="10.6640625" style="5" customWidth="1"/>
    <col min="1557" max="1557" width="5.6640625" style="5" customWidth="1"/>
    <col min="1558" max="1558" width="10.6640625" style="5" customWidth="1"/>
    <col min="1559" max="1559" width="5.6640625" style="5" customWidth="1"/>
    <col min="1560" max="1560" width="10.6640625" style="5" customWidth="1"/>
    <col min="1561" max="1561" width="5.6640625" style="5" customWidth="1"/>
    <col min="1562" max="1562" width="10.6640625" style="5" customWidth="1"/>
    <col min="1563" max="1563" width="5.6640625" style="5" customWidth="1"/>
    <col min="1564" max="1564" width="10.6640625" style="5" customWidth="1"/>
    <col min="1565" max="1565" width="8.33203125" style="5" customWidth="1"/>
    <col min="1566" max="1566" width="10.5546875" style="5" bestFit="1" customWidth="1"/>
    <col min="1567" max="1567" width="9.109375" style="5"/>
    <col min="1568" max="1568" width="14.44140625" style="5" customWidth="1"/>
    <col min="1569" max="1792" width="9.109375" style="5"/>
    <col min="1793" max="1793" width="4.6640625" style="5" customWidth="1"/>
    <col min="1794" max="1794" width="23" style="5" customWidth="1"/>
    <col min="1795" max="1795" width="6.109375" style="5" bestFit="1" customWidth="1"/>
    <col min="1796" max="1796" width="9.88671875" style="5" customWidth="1"/>
    <col min="1797" max="1797" width="5.6640625" style="5" customWidth="1"/>
    <col min="1798" max="1798" width="10.6640625" style="5" customWidth="1"/>
    <col min="1799" max="1799" width="5.6640625" style="5" customWidth="1"/>
    <col min="1800" max="1800" width="10.6640625" style="5" customWidth="1"/>
    <col min="1801" max="1801" width="5.6640625" style="5" customWidth="1"/>
    <col min="1802" max="1802" width="10.6640625" style="5" customWidth="1"/>
    <col min="1803" max="1803" width="5.6640625" style="5" customWidth="1"/>
    <col min="1804" max="1804" width="10.6640625" style="5" customWidth="1"/>
    <col min="1805" max="1805" width="5.6640625" style="5" customWidth="1"/>
    <col min="1806" max="1806" width="10.6640625" style="5" customWidth="1"/>
    <col min="1807" max="1807" width="5.6640625" style="5" customWidth="1"/>
    <col min="1808" max="1808" width="10.6640625" style="5" customWidth="1"/>
    <col min="1809" max="1809" width="5.6640625" style="5" customWidth="1"/>
    <col min="1810" max="1810" width="10.6640625" style="5" customWidth="1"/>
    <col min="1811" max="1811" width="5.6640625" style="5" customWidth="1"/>
    <col min="1812" max="1812" width="10.6640625" style="5" customWidth="1"/>
    <col min="1813" max="1813" width="5.6640625" style="5" customWidth="1"/>
    <col min="1814" max="1814" width="10.6640625" style="5" customWidth="1"/>
    <col min="1815" max="1815" width="5.6640625" style="5" customWidth="1"/>
    <col min="1816" max="1816" width="10.6640625" style="5" customWidth="1"/>
    <col min="1817" max="1817" width="5.6640625" style="5" customWidth="1"/>
    <col min="1818" max="1818" width="10.6640625" style="5" customWidth="1"/>
    <col min="1819" max="1819" width="5.6640625" style="5" customWidth="1"/>
    <col min="1820" max="1820" width="10.6640625" style="5" customWidth="1"/>
    <col min="1821" max="1821" width="8.33203125" style="5" customWidth="1"/>
    <col min="1822" max="1822" width="10.5546875" style="5" bestFit="1" customWidth="1"/>
    <col min="1823" max="1823" width="9.109375" style="5"/>
    <col min="1824" max="1824" width="14.44140625" style="5" customWidth="1"/>
    <col min="1825" max="2048" width="9.109375" style="5"/>
    <col min="2049" max="2049" width="4.6640625" style="5" customWidth="1"/>
    <col min="2050" max="2050" width="23" style="5" customWidth="1"/>
    <col min="2051" max="2051" width="6.109375" style="5" bestFit="1" customWidth="1"/>
    <col min="2052" max="2052" width="9.88671875" style="5" customWidth="1"/>
    <col min="2053" max="2053" width="5.6640625" style="5" customWidth="1"/>
    <col min="2054" max="2054" width="10.6640625" style="5" customWidth="1"/>
    <col min="2055" max="2055" width="5.6640625" style="5" customWidth="1"/>
    <col min="2056" max="2056" width="10.6640625" style="5" customWidth="1"/>
    <col min="2057" max="2057" width="5.6640625" style="5" customWidth="1"/>
    <col min="2058" max="2058" width="10.6640625" style="5" customWidth="1"/>
    <col min="2059" max="2059" width="5.6640625" style="5" customWidth="1"/>
    <col min="2060" max="2060" width="10.6640625" style="5" customWidth="1"/>
    <col min="2061" max="2061" width="5.6640625" style="5" customWidth="1"/>
    <col min="2062" max="2062" width="10.6640625" style="5" customWidth="1"/>
    <col min="2063" max="2063" width="5.6640625" style="5" customWidth="1"/>
    <col min="2064" max="2064" width="10.6640625" style="5" customWidth="1"/>
    <col min="2065" max="2065" width="5.6640625" style="5" customWidth="1"/>
    <col min="2066" max="2066" width="10.6640625" style="5" customWidth="1"/>
    <col min="2067" max="2067" width="5.6640625" style="5" customWidth="1"/>
    <col min="2068" max="2068" width="10.6640625" style="5" customWidth="1"/>
    <col min="2069" max="2069" width="5.6640625" style="5" customWidth="1"/>
    <col min="2070" max="2070" width="10.6640625" style="5" customWidth="1"/>
    <col min="2071" max="2071" width="5.6640625" style="5" customWidth="1"/>
    <col min="2072" max="2072" width="10.6640625" style="5" customWidth="1"/>
    <col min="2073" max="2073" width="5.6640625" style="5" customWidth="1"/>
    <col min="2074" max="2074" width="10.6640625" style="5" customWidth="1"/>
    <col min="2075" max="2075" width="5.6640625" style="5" customWidth="1"/>
    <col min="2076" max="2076" width="10.6640625" style="5" customWidth="1"/>
    <col min="2077" max="2077" width="8.33203125" style="5" customWidth="1"/>
    <col min="2078" max="2078" width="10.5546875" style="5" bestFit="1" customWidth="1"/>
    <col min="2079" max="2079" width="9.109375" style="5"/>
    <col min="2080" max="2080" width="14.44140625" style="5" customWidth="1"/>
    <col min="2081" max="2304" width="9.109375" style="5"/>
    <col min="2305" max="2305" width="4.6640625" style="5" customWidth="1"/>
    <col min="2306" max="2306" width="23" style="5" customWidth="1"/>
    <col min="2307" max="2307" width="6.109375" style="5" bestFit="1" customWidth="1"/>
    <col min="2308" max="2308" width="9.88671875" style="5" customWidth="1"/>
    <col min="2309" max="2309" width="5.6640625" style="5" customWidth="1"/>
    <col min="2310" max="2310" width="10.6640625" style="5" customWidth="1"/>
    <col min="2311" max="2311" width="5.6640625" style="5" customWidth="1"/>
    <col min="2312" max="2312" width="10.6640625" style="5" customWidth="1"/>
    <col min="2313" max="2313" width="5.6640625" style="5" customWidth="1"/>
    <col min="2314" max="2314" width="10.6640625" style="5" customWidth="1"/>
    <col min="2315" max="2315" width="5.6640625" style="5" customWidth="1"/>
    <col min="2316" max="2316" width="10.6640625" style="5" customWidth="1"/>
    <col min="2317" max="2317" width="5.6640625" style="5" customWidth="1"/>
    <col min="2318" max="2318" width="10.6640625" style="5" customWidth="1"/>
    <col min="2319" max="2319" width="5.6640625" style="5" customWidth="1"/>
    <col min="2320" max="2320" width="10.6640625" style="5" customWidth="1"/>
    <col min="2321" max="2321" width="5.6640625" style="5" customWidth="1"/>
    <col min="2322" max="2322" width="10.6640625" style="5" customWidth="1"/>
    <col min="2323" max="2323" width="5.6640625" style="5" customWidth="1"/>
    <col min="2324" max="2324" width="10.6640625" style="5" customWidth="1"/>
    <col min="2325" max="2325" width="5.6640625" style="5" customWidth="1"/>
    <col min="2326" max="2326" width="10.6640625" style="5" customWidth="1"/>
    <col min="2327" max="2327" width="5.6640625" style="5" customWidth="1"/>
    <col min="2328" max="2328" width="10.6640625" style="5" customWidth="1"/>
    <col min="2329" max="2329" width="5.6640625" style="5" customWidth="1"/>
    <col min="2330" max="2330" width="10.6640625" style="5" customWidth="1"/>
    <col min="2331" max="2331" width="5.6640625" style="5" customWidth="1"/>
    <col min="2332" max="2332" width="10.6640625" style="5" customWidth="1"/>
    <col min="2333" max="2333" width="8.33203125" style="5" customWidth="1"/>
    <col min="2334" max="2334" width="10.5546875" style="5" bestFit="1" customWidth="1"/>
    <col min="2335" max="2335" width="9.109375" style="5"/>
    <col min="2336" max="2336" width="14.44140625" style="5" customWidth="1"/>
    <col min="2337" max="2560" width="9.109375" style="5"/>
    <col min="2561" max="2561" width="4.6640625" style="5" customWidth="1"/>
    <col min="2562" max="2562" width="23" style="5" customWidth="1"/>
    <col min="2563" max="2563" width="6.109375" style="5" bestFit="1" customWidth="1"/>
    <col min="2564" max="2564" width="9.88671875" style="5" customWidth="1"/>
    <col min="2565" max="2565" width="5.6640625" style="5" customWidth="1"/>
    <col min="2566" max="2566" width="10.6640625" style="5" customWidth="1"/>
    <col min="2567" max="2567" width="5.6640625" style="5" customWidth="1"/>
    <col min="2568" max="2568" width="10.6640625" style="5" customWidth="1"/>
    <col min="2569" max="2569" width="5.6640625" style="5" customWidth="1"/>
    <col min="2570" max="2570" width="10.6640625" style="5" customWidth="1"/>
    <col min="2571" max="2571" width="5.6640625" style="5" customWidth="1"/>
    <col min="2572" max="2572" width="10.6640625" style="5" customWidth="1"/>
    <col min="2573" max="2573" width="5.6640625" style="5" customWidth="1"/>
    <col min="2574" max="2574" width="10.6640625" style="5" customWidth="1"/>
    <col min="2575" max="2575" width="5.6640625" style="5" customWidth="1"/>
    <col min="2576" max="2576" width="10.6640625" style="5" customWidth="1"/>
    <col min="2577" max="2577" width="5.6640625" style="5" customWidth="1"/>
    <col min="2578" max="2578" width="10.6640625" style="5" customWidth="1"/>
    <col min="2579" max="2579" width="5.6640625" style="5" customWidth="1"/>
    <col min="2580" max="2580" width="10.6640625" style="5" customWidth="1"/>
    <col min="2581" max="2581" width="5.6640625" style="5" customWidth="1"/>
    <col min="2582" max="2582" width="10.6640625" style="5" customWidth="1"/>
    <col min="2583" max="2583" width="5.6640625" style="5" customWidth="1"/>
    <col min="2584" max="2584" width="10.6640625" style="5" customWidth="1"/>
    <col min="2585" max="2585" width="5.6640625" style="5" customWidth="1"/>
    <col min="2586" max="2586" width="10.6640625" style="5" customWidth="1"/>
    <col min="2587" max="2587" width="5.6640625" style="5" customWidth="1"/>
    <col min="2588" max="2588" width="10.6640625" style="5" customWidth="1"/>
    <col min="2589" max="2589" width="8.33203125" style="5" customWidth="1"/>
    <col min="2590" max="2590" width="10.5546875" style="5" bestFit="1" customWidth="1"/>
    <col min="2591" max="2591" width="9.109375" style="5"/>
    <col min="2592" max="2592" width="14.44140625" style="5" customWidth="1"/>
    <col min="2593" max="2816" width="9.109375" style="5"/>
    <col min="2817" max="2817" width="4.6640625" style="5" customWidth="1"/>
    <col min="2818" max="2818" width="23" style="5" customWidth="1"/>
    <col min="2819" max="2819" width="6.109375" style="5" bestFit="1" customWidth="1"/>
    <col min="2820" max="2820" width="9.88671875" style="5" customWidth="1"/>
    <col min="2821" max="2821" width="5.6640625" style="5" customWidth="1"/>
    <col min="2822" max="2822" width="10.6640625" style="5" customWidth="1"/>
    <col min="2823" max="2823" width="5.6640625" style="5" customWidth="1"/>
    <col min="2824" max="2824" width="10.6640625" style="5" customWidth="1"/>
    <col min="2825" max="2825" width="5.6640625" style="5" customWidth="1"/>
    <col min="2826" max="2826" width="10.6640625" style="5" customWidth="1"/>
    <col min="2827" max="2827" width="5.6640625" style="5" customWidth="1"/>
    <col min="2828" max="2828" width="10.6640625" style="5" customWidth="1"/>
    <col min="2829" max="2829" width="5.6640625" style="5" customWidth="1"/>
    <col min="2830" max="2830" width="10.6640625" style="5" customWidth="1"/>
    <col min="2831" max="2831" width="5.6640625" style="5" customWidth="1"/>
    <col min="2832" max="2832" width="10.6640625" style="5" customWidth="1"/>
    <col min="2833" max="2833" width="5.6640625" style="5" customWidth="1"/>
    <col min="2834" max="2834" width="10.6640625" style="5" customWidth="1"/>
    <col min="2835" max="2835" width="5.6640625" style="5" customWidth="1"/>
    <col min="2836" max="2836" width="10.6640625" style="5" customWidth="1"/>
    <col min="2837" max="2837" width="5.6640625" style="5" customWidth="1"/>
    <col min="2838" max="2838" width="10.6640625" style="5" customWidth="1"/>
    <col min="2839" max="2839" width="5.6640625" style="5" customWidth="1"/>
    <col min="2840" max="2840" width="10.6640625" style="5" customWidth="1"/>
    <col min="2841" max="2841" width="5.6640625" style="5" customWidth="1"/>
    <col min="2842" max="2842" width="10.6640625" style="5" customWidth="1"/>
    <col min="2843" max="2843" width="5.6640625" style="5" customWidth="1"/>
    <col min="2844" max="2844" width="10.6640625" style="5" customWidth="1"/>
    <col min="2845" max="2845" width="8.33203125" style="5" customWidth="1"/>
    <col min="2846" max="2846" width="10.5546875" style="5" bestFit="1" customWidth="1"/>
    <col min="2847" max="2847" width="9.109375" style="5"/>
    <col min="2848" max="2848" width="14.44140625" style="5" customWidth="1"/>
    <col min="2849" max="3072" width="9.109375" style="5"/>
    <col min="3073" max="3073" width="4.6640625" style="5" customWidth="1"/>
    <col min="3074" max="3074" width="23" style="5" customWidth="1"/>
    <col min="3075" max="3075" width="6.109375" style="5" bestFit="1" customWidth="1"/>
    <col min="3076" max="3076" width="9.88671875" style="5" customWidth="1"/>
    <col min="3077" max="3077" width="5.6640625" style="5" customWidth="1"/>
    <col min="3078" max="3078" width="10.6640625" style="5" customWidth="1"/>
    <col min="3079" max="3079" width="5.6640625" style="5" customWidth="1"/>
    <col min="3080" max="3080" width="10.6640625" style="5" customWidth="1"/>
    <col min="3081" max="3081" width="5.6640625" style="5" customWidth="1"/>
    <col min="3082" max="3082" width="10.6640625" style="5" customWidth="1"/>
    <col min="3083" max="3083" width="5.6640625" style="5" customWidth="1"/>
    <col min="3084" max="3084" width="10.6640625" style="5" customWidth="1"/>
    <col min="3085" max="3085" width="5.6640625" style="5" customWidth="1"/>
    <col min="3086" max="3086" width="10.6640625" style="5" customWidth="1"/>
    <col min="3087" max="3087" width="5.6640625" style="5" customWidth="1"/>
    <col min="3088" max="3088" width="10.6640625" style="5" customWidth="1"/>
    <col min="3089" max="3089" width="5.6640625" style="5" customWidth="1"/>
    <col min="3090" max="3090" width="10.6640625" style="5" customWidth="1"/>
    <col min="3091" max="3091" width="5.6640625" style="5" customWidth="1"/>
    <col min="3092" max="3092" width="10.6640625" style="5" customWidth="1"/>
    <col min="3093" max="3093" width="5.6640625" style="5" customWidth="1"/>
    <col min="3094" max="3094" width="10.6640625" style="5" customWidth="1"/>
    <col min="3095" max="3095" width="5.6640625" style="5" customWidth="1"/>
    <col min="3096" max="3096" width="10.6640625" style="5" customWidth="1"/>
    <col min="3097" max="3097" width="5.6640625" style="5" customWidth="1"/>
    <col min="3098" max="3098" width="10.6640625" style="5" customWidth="1"/>
    <col min="3099" max="3099" width="5.6640625" style="5" customWidth="1"/>
    <col min="3100" max="3100" width="10.6640625" style="5" customWidth="1"/>
    <col min="3101" max="3101" width="8.33203125" style="5" customWidth="1"/>
    <col min="3102" max="3102" width="10.5546875" style="5" bestFit="1" customWidth="1"/>
    <col min="3103" max="3103" width="9.109375" style="5"/>
    <col min="3104" max="3104" width="14.44140625" style="5" customWidth="1"/>
    <col min="3105" max="3328" width="9.109375" style="5"/>
    <col min="3329" max="3329" width="4.6640625" style="5" customWidth="1"/>
    <col min="3330" max="3330" width="23" style="5" customWidth="1"/>
    <col min="3331" max="3331" width="6.109375" style="5" bestFit="1" customWidth="1"/>
    <col min="3332" max="3332" width="9.88671875" style="5" customWidth="1"/>
    <col min="3333" max="3333" width="5.6640625" style="5" customWidth="1"/>
    <col min="3334" max="3334" width="10.6640625" style="5" customWidth="1"/>
    <col min="3335" max="3335" width="5.6640625" style="5" customWidth="1"/>
    <col min="3336" max="3336" width="10.6640625" style="5" customWidth="1"/>
    <col min="3337" max="3337" width="5.6640625" style="5" customWidth="1"/>
    <col min="3338" max="3338" width="10.6640625" style="5" customWidth="1"/>
    <col min="3339" max="3339" width="5.6640625" style="5" customWidth="1"/>
    <col min="3340" max="3340" width="10.6640625" style="5" customWidth="1"/>
    <col min="3341" max="3341" width="5.6640625" style="5" customWidth="1"/>
    <col min="3342" max="3342" width="10.6640625" style="5" customWidth="1"/>
    <col min="3343" max="3343" width="5.6640625" style="5" customWidth="1"/>
    <col min="3344" max="3344" width="10.6640625" style="5" customWidth="1"/>
    <col min="3345" max="3345" width="5.6640625" style="5" customWidth="1"/>
    <col min="3346" max="3346" width="10.6640625" style="5" customWidth="1"/>
    <col min="3347" max="3347" width="5.6640625" style="5" customWidth="1"/>
    <col min="3348" max="3348" width="10.6640625" style="5" customWidth="1"/>
    <col min="3349" max="3349" width="5.6640625" style="5" customWidth="1"/>
    <col min="3350" max="3350" width="10.6640625" style="5" customWidth="1"/>
    <col min="3351" max="3351" width="5.6640625" style="5" customWidth="1"/>
    <col min="3352" max="3352" width="10.6640625" style="5" customWidth="1"/>
    <col min="3353" max="3353" width="5.6640625" style="5" customWidth="1"/>
    <col min="3354" max="3354" width="10.6640625" style="5" customWidth="1"/>
    <col min="3355" max="3355" width="5.6640625" style="5" customWidth="1"/>
    <col min="3356" max="3356" width="10.6640625" style="5" customWidth="1"/>
    <col min="3357" max="3357" width="8.33203125" style="5" customWidth="1"/>
    <col min="3358" max="3358" width="10.5546875" style="5" bestFit="1" customWidth="1"/>
    <col min="3359" max="3359" width="9.109375" style="5"/>
    <col min="3360" max="3360" width="14.44140625" style="5" customWidth="1"/>
    <col min="3361" max="3584" width="9.109375" style="5"/>
    <col min="3585" max="3585" width="4.6640625" style="5" customWidth="1"/>
    <col min="3586" max="3586" width="23" style="5" customWidth="1"/>
    <col min="3587" max="3587" width="6.109375" style="5" bestFit="1" customWidth="1"/>
    <col min="3588" max="3588" width="9.88671875" style="5" customWidth="1"/>
    <col min="3589" max="3589" width="5.6640625" style="5" customWidth="1"/>
    <col min="3590" max="3590" width="10.6640625" style="5" customWidth="1"/>
    <col min="3591" max="3591" width="5.6640625" style="5" customWidth="1"/>
    <col min="3592" max="3592" width="10.6640625" style="5" customWidth="1"/>
    <col min="3593" max="3593" width="5.6640625" style="5" customWidth="1"/>
    <col min="3594" max="3594" width="10.6640625" style="5" customWidth="1"/>
    <col min="3595" max="3595" width="5.6640625" style="5" customWidth="1"/>
    <col min="3596" max="3596" width="10.6640625" style="5" customWidth="1"/>
    <col min="3597" max="3597" width="5.6640625" style="5" customWidth="1"/>
    <col min="3598" max="3598" width="10.6640625" style="5" customWidth="1"/>
    <col min="3599" max="3599" width="5.6640625" style="5" customWidth="1"/>
    <col min="3600" max="3600" width="10.6640625" style="5" customWidth="1"/>
    <col min="3601" max="3601" width="5.6640625" style="5" customWidth="1"/>
    <col min="3602" max="3602" width="10.6640625" style="5" customWidth="1"/>
    <col min="3603" max="3603" width="5.6640625" style="5" customWidth="1"/>
    <col min="3604" max="3604" width="10.6640625" style="5" customWidth="1"/>
    <col min="3605" max="3605" width="5.6640625" style="5" customWidth="1"/>
    <col min="3606" max="3606" width="10.6640625" style="5" customWidth="1"/>
    <col min="3607" max="3607" width="5.6640625" style="5" customWidth="1"/>
    <col min="3608" max="3608" width="10.6640625" style="5" customWidth="1"/>
    <col min="3609" max="3609" width="5.6640625" style="5" customWidth="1"/>
    <col min="3610" max="3610" width="10.6640625" style="5" customWidth="1"/>
    <col min="3611" max="3611" width="5.6640625" style="5" customWidth="1"/>
    <col min="3612" max="3612" width="10.6640625" style="5" customWidth="1"/>
    <col min="3613" max="3613" width="8.33203125" style="5" customWidth="1"/>
    <col min="3614" max="3614" width="10.5546875" style="5" bestFit="1" customWidth="1"/>
    <col min="3615" max="3615" width="9.109375" style="5"/>
    <col min="3616" max="3616" width="14.44140625" style="5" customWidth="1"/>
    <col min="3617" max="3840" width="9.109375" style="5"/>
    <col min="3841" max="3841" width="4.6640625" style="5" customWidth="1"/>
    <col min="3842" max="3842" width="23" style="5" customWidth="1"/>
    <col min="3843" max="3843" width="6.109375" style="5" bestFit="1" customWidth="1"/>
    <col min="3844" max="3844" width="9.88671875" style="5" customWidth="1"/>
    <col min="3845" max="3845" width="5.6640625" style="5" customWidth="1"/>
    <col min="3846" max="3846" width="10.6640625" style="5" customWidth="1"/>
    <col min="3847" max="3847" width="5.6640625" style="5" customWidth="1"/>
    <col min="3848" max="3848" width="10.6640625" style="5" customWidth="1"/>
    <col min="3849" max="3849" width="5.6640625" style="5" customWidth="1"/>
    <col min="3850" max="3850" width="10.6640625" style="5" customWidth="1"/>
    <col min="3851" max="3851" width="5.6640625" style="5" customWidth="1"/>
    <col min="3852" max="3852" width="10.6640625" style="5" customWidth="1"/>
    <col min="3853" max="3853" width="5.6640625" style="5" customWidth="1"/>
    <col min="3854" max="3854" width="10.6640625" style="5" customWidth="1"/>
    <col min="3855" max="3855" width="5.6640625" style="5" customWidth="1"/>
    <col min="3856" max="3856" width="10.6640625" style="5" customWidth="1"/>
    <col min="3857" max="3857" width="5.6640625" style="5" customWidth="1"/>
    <col min="3858" max="3858" width="10.6640625" style="5" customWidth="1"/>
    <col min="3859" max="3859" width="5.6640625" style="5" customWidth="1"/>
    <col min="3860" max="3860" width="10.6640625" style="5" customWidth="1"/>
    <col min="3861" max="3861" width="5.6640625" style="5" customWidth="1"/>
    <col min="3862" max="3862" width="10.6640625" style="5" customWidth="1"/>
    <col min="3863" max="3863" width="5.6640625" style="5" customWidth="1"/>
    <col min="3864" max="3864" width="10.6640625" style="5" customWidth="1"/>
    <col min="3865" max="3865" width="5.6640625" style="5" customWidth="1"/>
    <col min="3866" max="3866" width="10.6640625" style="5" customWidth="1"/>
    <col min="3867" max="3867" width="5.6640625" style="5" customWidth="1"/>
    <col min="3868" max="3868" width="10.6640625" style="5" customWidth="1"/>
    <col min="3869" max="3869" width="8.33203125" style="5" customWidth="1"/>
    <col min="3870" max="3870" width="10.5546875" style="5" bestFit="1" customWidth="1"/>
    <col min="3871" max="3871" width="9.109375" style="5"/>
    <col min="3872" max="3872" width="14.44140625" style="5" customWidth="1"/>
    <col min="3873" max="4096" width="9.109375" style="5"/>
    <col min="4097" max="4097" width="4.6640625" style="5" customWidth="1"/>
    <col min="4098" max="4098" width="23" style="5" customWidth="1"/>
    <col min="4099" max="4099" width="6.109375" style="5" bestFit="1" customWidth="1"/>
    <col min="4100" max="4100" width="9.88671875" style="5" customWidth="1"/>
    <col min="4101" max="4101" width="5.6640625" style="5" customWidth="1"/>
    <col min="4102" max="4102" width="10.6640625" style="5" customWidth="1"/>
    <col min="4103" max="4103" width="5.6640625" style="5" customWidth="1"/>
    <col min="4104" max="4104" width="10.6640625" style="5" customWidth="1"/>
    <col min="4105" max="4105" width="5.6640625" style="5" customWidth="1"/>
    <col min="4106" max="4106" width="10.6640625" style="5" customWidth="1"/>
    <col min="4107" max="4107" width="5.6640625" style="5" customWidth="1"/>
    <col min="4108" max="4108" width="10.6640625" style="5" customWidth="1"/>
    <col min="4109" max="4109" width="5.6640625" style="5" customWidth="1"/>
    <col min="4110" max="4110" width="10.6640625" style="5" customWidth="1"/>
    <col min="4111" max="4111" width="5.6640625" style="5" customWidth="1"/>
    <col min="4112" max="4112" width="10.6640625" style="5" customWidth="1"/>
    <col min="4113" max="4113" width="5.6640625" style="5" customWidth="1"/>
    <col min="4114" max="4114" width="10.6640625" style="5" customWidth="1"/>
    <col min="4115" max="4115" width="5.6640625" style="5" customWidth="1"/>
    <col min="4116" max="4116" width="10.6640625" style="5" customWidth="1"/>
    <col min="4117" max="4117" width="5.6640625" style="5" customWidth="1"/>
    <col min="4118" max="4118" width="10.6640625" style="5" customWidth="1"/>
    <col min="4119" max="4119" width="5.6640625" style="5" customWidth="1"/>
    <col min="4120" max="4120" width="10.6640625" style="5" customWidth="1"/>
    <col min="4121" max="4121" width="5.6640625" style="5" customWidth="1"/>
    <col min="4122" max="4122" width="10.6640625" style="5" customWidth="1"/>
    <col min="4123" max="4123" width="5.6640625" style="5" customWidth="1"/>
    <col min="4124" max="4124" width="10.6640625" style="5" customWidth="1"/>
    <col min="4125" max="4125" width="8.33203125" style="5" customWidth="1"/>
    <col min="4126" max="4126" width="10.5546875" style="5" bestFit="1" customWidth="1"/>
    <col min="4127" max="4127" width="9.109375" style="5"/>
    <col min="4128" max="4128" width="14.44140625" style="5" customWidth="1"/>
    <col min="4129" max="4352" width="9.109375" style="5"/>
    <col min="4353" max="4353" width="4.6640625" style="5" customWidth="1"/>
    <col min="4354" max="4354" width="23" style="5" customWidth="1"/>
    <col min="4355" max="4355" width="6.109375" style="5" bestFit="1" customWidth="1"/>
    <col min="4356" max="4356" width="9.88671875" style="5" customWidth="1"/>
    <col min="4357" max="4357" width="5.6640625" style="5" customWidth="1"/>
    <col min="4358" max="4358" width="10.6640625" style="5" customWidth="1"/>
    <col min="4359" max="4359" width="5.6640625" style="5" customWidth="1"/>
    <col min="4360" max="4360" width="10.6640625" style="5" customWidth="1"/>
    <col min="4361" max="4361" width="5.6640625" style="5" customWidth="1"/>
    <col min="4362" max="4362" width="10.6640625" style="5" customWidth="1"/>
    <col min="4363" max="4363" width="5.6640625" style="5" customWidth="1"/>
    <col min="4364" max="4364" width="10.6640625" style="5" customWidth="1"/>
    <col min="4365" max="4365" width="5.6640625" style="5" customWidth="1"/>
    <col min="4366" max="4366" width="10.6640625" style="5" customWidth="1"/>
    <col min="4367" max="4367" width="5.6640625" style="5" customWidth="1"/>
    <col min="4368" max="4368" width="10.6640625" style="5" customWidth="1"/>
    <col min="4369" max="4369" width="5.6640625" style="5" customWidth="1"/>
    <col min="4370" max="4370" width="10.6640625" style="5" customWidth="1"/>
    <col min="4371" max="4371" width="5.6640625" style="5" customWidth="1"/>
    <col min="4372" max="4372" width="10.6640625" style="5" customWidth="1"/>
    <col min="4373" max="4373" width="5.6640625" style="5" customWidth="1"/>
    <col min="4374" max="4374" width="10.6640625" style="5" customWidth="1"/>
    <col min="4375" max="4375" width="5.6640625" style="5" customWidth="1"/>
    <col min="4376" max="4376" width="10.6640625" style="5" customWidth="1"/>
    <col min="4377" max="4377" width="5.6640625" style="5" customWidth="1"/>
    <col min="4378" max="4378" width="10.6640625" style="5" customWidth="1"/>
    <col min="4379" max="4379" width="5.6640625" style="5" customWidth="1"/>
    <col min="4380" max="4380" width="10.6640625" style="5" customWidth="1"/>
    <col min="4381" max="4381" width="8.33203125" style="5" customWidth="1"/>
    <col min="4382" max="4382" width="10.5546875" style="5" bestFit="1" customWidth="1"/>
    <col min="4383" max="4383" width="9.109375" style="5"/>
    <col min="4384" max="4384" width="14.44140625" style="5" customWidth="1"/>
    <col min="4385" max="4608" width="9.109375" style="5"/>
    <col min="4609" max="4609" width="4.6640625" style="5" customWidth="1"/>
    <col min="4610" max="4610" width="23" style="5" customWidth="1"/>
    <col min="4611" max="4611" width="6.109375" style="5" bestFit="1" customWidth="1"/>
    <col min="4612" max="4612" width="9.88671875" style="5" customWidth="1"/>
    <col min="4613" max="4613" width="5.6640625" style="5" customWidth="1"/>
    <col min="4614" max="4614" width="10.6640625" style="5" customWidth="1"/>
    <col min="4615" max="4615" width="5.6640625" style="5" customWidth="1"/>
    <col min="4616" max="4616" width="10.6640625" style="5" customWidth="1"/>
    <col min="4617" max="4617" width="5.6640625" style="5" customWidth="1"/>
    <col min="4618" max="4618" width="10.6640625" style="5" customWidth="1"/>
    <col min="4619" max="4619" width="5.6640625" style="5" customWidth="1"/>
    <col min="4620" max="4620" width="10.6640625" style="5" customWidth="1"/>
    <col min="4621" max="4621" width="5.6640625" style="5" customWidth="1"/>
    <col min="4622" max="4622" width="10.6640625" style="5" customWidth="1"/>
    <col min="4623" max="4623" width="5.6640625" style="5" customWidth="1"/>
    <col min="4624" max="4624" width="10.6640625" style="5" customWidth="1"/>
    <col min="4625" max="4625" width="5.6640625" style="5" customWidth="1"/>
    <col min="4626" max="4626" width="10.6640625" style="5" customWidth="1"/>
    <col min="4627" max="4627" width="5.6640625" style="5" customWidth="1"/>
    <col min="4628" max="4628" width="10.6640625" style="5" customWidth="1"/>
    <col min="4629" max="4629" width="5.6640625" style="5" customWidth="1"/>
    <col min="4630" max="4630" width="10.6640625" style="5" customWidth="1"/>
    <col min="4631" max="4631" width="5.6640625" style="5" customWidth="1"/>
    <col min="4632" max="4632" width="10.6640625" style="5" customWidth="1"/>
    <col min="4633" max="4633" width="5.6640625" style="5" customWidth="1"/>
    <col min="4634" max="4634" width="10.6640625" style="5" customWidth="1"/>
    <col min="4635" max="4635" width="5.6640625" style="5" customWidth="1"/>
    <col min="4636" max="4636" width="10.6640625" style="5" customWidth="1"/>
    <col min="4637" max="4637" width="8.33203125" style="5" customWidth="1"/>
    <col min="4638" max="4638" width="10.5546875" style="5" bestFit="1" customWidth="1"/>
    <col min="4639" max="4639" width="9.109375" style="5"/>
    <col min="4640" max="4640" width="14.44140625" style="5" customWidth="1"/>
    <col min="4641" max="4864" width="9.109375" style="5"/>
    <col min="4865" max="4865" width="4.6640625" style="5" customWidth="1"/>
    <col min="4866" max="4866" width="23" style="5" customWidth="1"/>
    <col min="4867" max="4867" width="6.109375" style="5" bestFit="1" customWidth="1"/>
    <col min="4868" max="4868" width="9.88671875" style="5" customWidth="1"/>
    <col min="4869" max="4869" width="5.6640625" style="5" customWidth="1"/>
    <col min="4870" max="4870" width="10.6640625" style="5" customWidth="1"/>
    <col min="4871" max="4871" width="5.6640625" style="5" customWidth="1"/>
    <col min="4872" max="4872" width="10.6640625" style="5" customWidth="1"/>
    <col min="4873" max="4873" width="5.6640625" style="5" customWidth="1"/>
    <col min="4874" max="4874" width="10.6640625" style="5" customWidth="1"/>
    <col min="4875" max="4875" width="5.6640625" style="5" customWidth="1"/>
    <col min="4876" max="4876" width="10.6640625" style="5" customWidth="1"/>
    <col min="4877" max="4877" width="5.6640625" style="5" customWidth="1"/>
    <col min="4878" max="4878" width="10.6640625" style="5" customWidth="1"/>
    <col min="4879" max="4879" width="5.6640625" style="5" customWidth="1"/>
    <col min="4880" max="4880" width="10.6640625" style="5" customWidth="1"/>
    <col min="4881" max="4881" width="5.6640625" style="5" customWidth="1"/>
    <col min="4882" max="4882" width="10.6640625" style="5" customWidth="1"/>
    <col min="4883" max="4883" width="5.6640625" style="5" customWidth="1"/>
    <col min="4884" max="4884" width="10.6640625" style="5" customWidth="1"/>
    <col min="4885" max="4885" width="5.6640625" style="5" customWidth="1"/>
    <col min="4886" max="4886" width="10.6640625" style="5" customWidth="1"/>
    <col min="4887" max="4887" width="5.6640625" style="5" customWidth="1"/>
    <col min="4888" max="4888" width="10.6640625" style="5" customWidth="1"/>
    <col min="4889" max="4889" width="5.6640625" style="5" customWidth="1"/>
    <col min="4890" max="4890" width="10.6640625" style="5" customWidth="1"/>
    <col min="4891" max="4891" width="5.6640625" style="5" customWidth="1"/>
    <col min="4892" max="4892" width="10.6640625" style="5" customWidth="1"/>
    <col min="4893" max="4893" width="8.33203125" style="5" customWidth="1"/>
    <col min="4894" max="4894" width="10.5546875" style="5" bestFit="1" customWidth="1"/>
    <col min="4895" max="4895" width="9.109375" style="5"/>
    <col min="4896" max="4896" width="14.44140625" style="5" customWidth="1"/>
    <col min="4897" max="5120" width="9.109375" style="5"/>
    <col min="5121" max="5121" width="4.6640625" style="5" customWidth="1"/>
    <col min="5122" max="5122" width="23" style="5" customWidth="1"/>
    <col min="5123" max="5123" width="6.109375" style="5" bestFit="1" customWidth="1"/>
    <col min="5124" max="5124" width="9.88671875" style="5" customWidth="1"/>
    <col min="5125" max="5125" width="5.6640625" style="5" customWidth="1"/>
    <col min="5126" max="5126" width="10.6640625" style="5" customWidth="1"/>
    <col min="5127" max="5127" width="5.6640625" style="5" customWidth="1"/>
    <col min="5128" max="5128" width="10.6640625" style="5" customWidth="1"/>
    <col min="5129" max="5129" width="5.6640625" style="5" customWidth="1"/>
    <col min="5130" max="5130" width="10.6640625" style="5" customWidth="1"/>
    <col min="5131" max="5131" width="5.6640625" style="5" customWidth="1"/>
    <col min="5132" max="5132" width="10.6640625" style="5" customWidth="1"/>
    <col min="5133" max="5133" width="5.6640625" style="5" customWidth="1"/>
    <col min="5134" max="5134" width="10.6640625" style="5" customWidth="1"/>
    <col min="5135" max="5135" width="5.6640625" style="5" customWidth="1"/>
    <col min="5136" max="5136" width="10.6640625" style="5" customWidth="1"/>
    <col min="5137" max="5137" width="5.6640625" style="5" customWidth="1"/>
    <col min="5138" max="5138" width="10.6640625" style="5" customWidth="1"/>
    <col min="5139" max="5139" width="5.6640625" style="5" customWidth="1"/>
    <col min="5140" max="5140" width="10.6640625" style="5" customWidth="1"/>
    <col min="5141" max="5141" width="5.6640625" style="5" customWidth="1"/>
    <col min="5142" max="5142" width="10.6640625" style="5" customWidth="1"/>
    <col min="5143" max="5143" width="5.6640625" style="5" customWidth="1"/>
    <col min="5144" max="5144" width="10.6640625" style="5" customWidth="1"/>
    <col min="5145" max="5145" width="5.6640625" style="5" customWidth="1"/>
    <col min="5146" max="5146" width="10.6640625" style="5" customWidth="1"/>
    <col min="5147" max="5147" width="5.6640625" style="5" customWidth="1"/>
    <col min="5148" max="5148" width="10.6640625" style="5" customWidth="1"/>
    <col min="5149" max="5149" width="8.33203125" style="5" customWidth="1"/>
    <col min="5150" max="5150" width="10.5546875" style="5" bestFit="1" customWidth="1"/>
    <col min="5151" max="5151" width="9.109375" style="5"/>
    <col min="5152" max="5152" width="14.44140625" style="5" customWidth="1"/>
    <col min="5153" max="5376" width="9.109375" style="5"/>
    <col min="5377" max="5377" width="4.6640625" style="5" customWidth="1"/>
    <col min="5378" max="5378" width="23" style="5" customWidth="1"/>
    <col min="5379" max="5379" width="6.109375" style="5" bestFit="1" customWidth="1"/>
    <col min="5380" max="5380" width="9.88671875" style="5" customWidth="1"/>
    <col min="5381" max="5381" width="5.6640625" style="5" customWidth="1"/>
    <col min="5382" max="5382" width="10.6640625" style="5" customWidth="1"/>
    <col min="5383" max="5383" width="5.6640625" style="5" customWidth="1"/>
    <col min="5384" max="5384" width="10.6640625" style="5" customWidth="1"/>
    <col min="5385" max="5385" width="5.6640625" style="5" customWidth="1"/>
    <col min="5386" max="5386" width="10.6640625" style="5" customWidth="1"/>
    <col min="5387" max="5387" width="5.6640625" style="5" customWidth="1"/>
    <col min="5388" max="5388" width="10.6640625" style="5" customWidth="1"/>
    <col min="5389" max="5389" width="5.6640625" style="5" customWidth="1"/>
    <col min="5390" max="5390" width="10.6640625" style="5" customWidth="1"/>
    <col min="5391" max="5391" width="5.6640625" style="5" customWidth="1"/>
    <col min="5392" max="5392" width="10.6640625" style="5" customWidth="1"/>
    <col min="5393" max="5393" width="5.6640625" style="5" customWidth="1"/>
    <col min="5394" max="5394" width="10.6640625" style="5" customWidth="1"/>
    <col min="5395" max="5395" width="5.6640625" style="5" customWidth="1"/>
    <col min="5396" max="5396" width="10.6640625" style="5" customWidth="1"/>
    <col min="5397" max="5397" width="5.6640625" style="5" customWidth="1"/>
    <col min="5398" max="5398" width="10.6640625" style="5" customWidth="1"/>
    <col min="5399" max="5399" width="5.6640625" style="5" customWidth="1"/>
    <col min="5400" max="5400" width="10.6640625" style="5" customWidth="1"/>
    <col min="5401" max="5401" width="5.6640625" style="5" customWidth="1"/>
    <col min="5402" max="5402" width="10.6640625" style="5" customWidth="1"/>
    <col min="5403" max="5403" width="5.6640625" style="5" customWidth="1"/>
    <col min="5404" max="5404" width="10.6640625" style="5" customWidth="1"/>
    <col min="5405" max="5405" width="8.33203125" style="5" customWidth="1"/>
    <col min="5406" max="5406" width="10.5546875" style="5" bestFit="1" customWidth="1"/>
    <col min="5407" max="5407" width="9.109375" style="5"/>
    <col min="5408" max="5408" width="14.44140625" style="5" customWidth="1"/>
    <col min="5409" max="5632" width="9.109375" style="5"/>
    <col min="5633" max="5633" width="4.6640625" style="5" customWidth="1"/>
    <col min="5634" max="5634" width="23" style="5" customWidth="1"/>
    <col min="5635" max="5635" width="6.109375" style="5" bestFit="1" customWidth="1"/>
    <col min="5636" max="5636" width="9.88671875" style="5" customWidth="1"/>
    <col min="5637" max="5637" width="5.6640625" style="5" customWidth="1"/>
    <col min="5638" max="5638" width="10.6640625" style="5" customWidth="1"/>
    <col min="5639" max="5639" width="5.6640625" style="5" customWidth="1"/>
    <col min="5640" max="5640" width="10.6640625" style="5" customWidth="1"/>
    <col min="5641" max="5641" width="5.6640625" style="5" customWidth="1"/>
    <col min="5642" max="5642" width="10.6640625" style="5" customWidth="1"/>
    <col min="5643" max="5643" width="5.6640625" style="5" customWidth="1"/>
    <col min="5644" max="5644" width="10.6640625" style="5" customWidth="1"/>
    <col min="5645" max="5645" width="5.6640625" style="5" customWidth="1"/>
    <col min="5646" max="5646" width="10.6640625" style="5" customWidth="1"/>
    <col min="5647" max="5647" width="5.6640625" style="5" customWidth="1"/>
    <col min="5648" max="5648" width="10.6640625" style="5" customWidth="1"/>
    <col min="5649" max="5649" width="5.6640625" style="5" customWidth="1"/>
    <col min="5650" max="5650" width="10.6640625" style="5" customWidth="1"/>
    <col min="5651" max="5651" width="5.6640625" style="5" customWidth="1"/>
    <col min="5652" max="5652" width="10.6640625" style="5" customWidth="1"/>
    <col min="5653" max="5653" width="5.6640625" style="5" customWidth="1"/>
    <col min="5654" max="5654" width="10.6640625" style="5" customWidth="1"/>
    <col min="5655" max="5655" width="5.6640625" style="5" customWidth="1"/>
    <col min="5656" max="5656" width="10.6640625" style="5" customWidth="1"/>
    <col min="5657" max="5657" width="5.6640625" style="5" customWidth="1"/>
    <col min="5658" max="5658" width="10.6640625" style="5" customWidth="1"/>
    <col min="5659" max="5659" width="5.6640625" style="5" customWidth="1"/>
    <col min="5660" max="5660" width="10.6640625" style="5" customWidth="1"/>
    <col min="5661" max="5661" width="8.33203125" style="5" customWidth="1"/>
    <col min="5662" max="5662" width="10.5546875" style="5" bestFit="1" customWidth="1"/>
    <col min="5663" max="5663" width="9.109375" style="5"/>
    <col min="5664" max="5664" width="14.44140625" style="5" customWidth="1"/>
    <col min="5665" max="5888" width="9.109375" style="5"/>
    <col min="5889" max="5889" width="4.6640625" style="5" customWidth="1"/>
    <col min="5890" max="5890" width="23" style="5" customWidth="1"/>
    <col min="5891" max="5891" width="6.109375" style="5" bestFit="1" customWidth="1"/>
    <col min="5892" max="5892" width="9.88671875" style="5" customWidth="1"/>
    <col min="5893" max="5893" width="5.6640625" style="5" customWidth="1"/>
    <col min="5894" max="5894" width="10.6640625" style="5" customWidth="1"/>
    <col min="5895" max="5895" width="5.6640625" style="5" customWidth="1"/>
    <col min="5896" max="5896" width="10.6640625" style="5" customWidth="1"/>
    <col min="5897" max="5897" width="5.6640625" style="5" customWidth="1"/>
    <col min="5898" max="5898" width="10.6640625" style="5" customWidth="1"/>
    <col min="5899" max="5899" width="5.6640625" style="5" customWidth="1"/>
    <col min="5900" max="5900" width="10.6640625" style="5" customWidth="1"/>
    <col min="5901" max="5901" width="5.6640625" style="5" customWidth="1"/>
    <col min="5902" max="5902" width="10.6640625" style="5" customWidth="1"/>
    <col min="5903" max="5903" width="5.6640625" style="5" customWidth="1"/>
    <col min="5904" max="5904" width="10.6640625" style="5" customWidth="1"/>
    <col min="5905" max="5905" width="5.6640625" style="5" customWidth="1"/>
    <col min="5906" max="5906" width="10.6640625" style="5" customWidth="1"/>
    <col min="5907" max="5907" width="5.6640625" style="5" customWidth="1"/>
    <col min="5908" max="5908" width="10.6640625" style="5" customWidth="1"/>
    <col min="5909" max="5909" width="5.6640625" style="5" customWidth="1"/>
    <col min="5910" max="5910" width="10.6640625" style="5" customWidth="1"/>
    <col min="5911" max="5911" width="5.6640625" style="5" customWidth="1"/>
    <col min="5912" max="5912" width="10.6640625" style="5" customWidth="1"/>
    <col min="5913" max="5913" width="5.6640625" style="5" customWidth="1"/>
    <col min="5914" max="5914" width="10.6640625" style="5" customWidth="1"/>
    <col min="5915" max="5915" width="5.6640625" style="5" customWidth="1"/>
    <col min="5916" max="5916" width="10.6640625" style="5" customWidth="1"/>
    <col min="5917" max="5917" width="8.33203125" style="5" customWidth="1"/>
    <col min="5918" max="5918" width="10.5546875" style="5" bestFit="1" customWidth="1"/>
    <col min="5919" max="5919" width="9.109375" style="5"/>
    <col min="5920" max="5920" width="14.44140625" style="5" customWidth="1"/>
    <col min="5921" max="6144" width="9.109375" style="5"/>
    <col min="6145" max="6145" width="4.6640625" style="5" customWidth="1"/>
    <col min="6146" max="6146" width="23" style="5" customWidth="1"/>
    <col min="6147" max="6147" width="6.109375" style="5" bestFit="1" customWidth="1"/>
    <col min="6148" max="6148" width="9.88671875" style="5" customWidth="1"/>
    <col min="6149" max="6149" width="5.6640625" style="5" customWidth="1"/>
    <col min="6150" max="6150" width="10.6640625" style="5" customWidth="1"/>
    <col min="6151" max="6151" width="5.6640625" style="5" customWidth="1"/>
    <col min="6152" max="6152" width="10.6640625" style="5" customWidth="1"/>
    <col min="6153" max="6153" width="5.6640625" style="5" customWidth="1"/>
    <col min="6154" max="6154" width="10.6640625" style="5" customWidth="1"/>
    <col min="6155" max="6155" width="5.6640625" style="5" customWidth="1"/>
    <col min="6156" max="6156" width="10.6640625" style="5" customWidth="1"/>
    <col min="6157" max="6157" width="5.6640625" style="5" customWidth="1"/>
    <col min="6158" max="6158" width="10.6640625" style="5" customWidth="1"/>
    <col min="6159" max="6159" width="5.6640625" style="5" customWidth="1"/>
    <col min="6160" max="6160" width="10.6640625" style="5" customWidth="1"/>
    <col min="6161" max="6161" width="5.6640625" style="5" customWidth="1"/>
    <col min="6162" max="6162" width="10.6640625" style="5" customWidth="1"/>
    <col min="6163" max="6163" width="5.6640625" style="5" customWidth="1"/>
    <col min="6164" max="6164" width="10.6640625" style="5" customWidth="1"/>
    <col min="6165" max="6165" width="5.6640625" style="5" customWidth="1"/>
    <col min="6166" max="6166" width="10.6640625" style="5" customWidth="1"/>
    <col min="6167" max="6167" width="5.6640625" style="5" customWidth="1"/>
    <col min="6168" max="6168" width="10.6640625" style="5" customWidth="1"/>
    <col min="6169" max="6169" width="5.6640625" style="5" customWidth="1"/>
    <col min="6170" max="6170" width="10.6640625" style="5" customWidth="1"/>
    <col min="6171" max="6171" width="5.6640625" style="5" customWidth="1"/>
    <col min="6172" max="6172" width="10.6640625" style="5" customWidth="1"/>
    <col min="6173" max="6173" width="8.33203125" style="5" customWidth="1"/>
    <col min="6174" max="6174" width="10.5546875" style="5" bestFit="1" customWidth="1"/>
    <col min="6175" max="6175" width="9.109375" style="5"/>
    <col min="6176" max="6176" width="14.44140625" style="5" customWidth="1"/>
    <col min="6177" max="6400" width="9.109375" style="5"/>
    <col min="6401" max="6401" width="4.6640625" style="5" customWidth="1"/>
    <col min="6402" max="6402" width="23" style="5" customWidth="1"/>
    <col min="6403" max="6403" width="6.109375" style="5" bestFit="1" customWidth="1"/>
    <col min="6404" max="6404" width="9.88671875" style="5" customWidth="1"/>
    <col min="6405" max="6405" width="5.6640625" style="5" customWidth="1"/>
    <col min="6406" max="6406" width="10.6640625" style="5" customWidth="1"/>
    <col min="6407" max="6407" width="5.6640625" style="5" customWidth="1"/>
    <col min="6408" max="6408" width="10.6640625" style="5" customWidth="1"/>
    <col min="6409" max="6409" width="5.6640625" style="5" customWidth="1"/>
    <col min="6410" max="6410" width="10.6640625" style="5" customWidth="1"/>
    <col min="6411" max="6411" width="5.6640625" style="5" customWidth="1"/>
    <col min="6412" max="6412" width="10.6640625" style="5" customWidth="1"/>
    <col min="6413" max="6413" width="5.6640625" style="5" customWidth="1"/>
    <col min="6414" max="6414" width="10.6640625" style="5" customWidth="1"/>
    <col min="6415" max="6415" width="5.6640625" style="5" customWidth="1"/>
    <col min="6416" max="6416" width="10.6640625" style="5" customWidth="1"/>
    <col min="6417" max="6417" width="5.6640625" style="5" customWidth="1"/>
    <col min="6418" max="6418" width="10.6640625" style="5" customWidth="1"/>
    <col min="6419" max="6419" width="5.6640625" style="5" customWidth="1"/>
    <col min="6420" max="6420" width="10.6640625" style="5" customWidth="1"/>
    <col min="6421" max="6421" width="5.6640625" style="5" customWidth="1"/>
    <col min="6422" max="6422" width="10.6640625" style="5" customWidth="1"/>
    <col min="6423" max="6423" width="5.6640625" style="5" customWidth="1"/>
    <col min="6424" max="6424" width="10.6640625" style="5" customWidth="1"/>
    <col min="6425" max="6425" width="5.6640625" style="5" customWidth="1"/>
    <col min="6426" max="6426" width="10.6640625" style="5" customWidth="1"/>
    <col min="6427" max="6427" width="5.6640625" style="5" customWidth="1"/>
    <col min="6428" max="6428" width="10.6640625" style="5" customWidth="1"/>
    <col min="6429" max="6429" width="8.33203125" style="5" customWidth="1"/>
    <col min="6430" max="6430" width="10.5546875" style="5" bestFit="1" customWidth="1"/>
    <col min="6431" max="6431" width="9.109375" style="5"/>
    <col min="6432" max="6432" width="14.44140625" style="5" customWidth="1"/>
    <col min="6433" max="6656" width="9.109375" style="5"/>
    <col min="6657" max="6657" width="4.6640625" style="5" customWidth="1"/>
    <col min="6658" max="6658" width="23" style="5" customWidth="1"/>
    <col min="6659" max="6659" width="6.109375" style="5" bestFit="1" customWidth="1"/>
    <col min="6660" max="6660" width="9.88671875" style="5" customWidth="1"/>
    <col min="6661" max="6661" width="5.6640625" style="5" customWidth="1"/>
    <col min="6662" max="6662" width="10.6640625" style="5" customWidth="1"/>
    <col min="6663" max="6663" width="5.6640625" style="5" customWidth="1"/>
    <col min="6664" max="6664" width="10.6640625" style="5" customWidth="1"/>
    <col min="6665" max="6665" width="5.6640625" style="5" customWidth="1"/>
    <col min="6666" max="6666" width="10.6640625" style="5" customWidth="1"/>
    <col min="6667" max="6667" width="5.6640625" style="5" customWidth="1"/>
    <col min="6668" max="6668" width="10.6640625" style="5" customWidth="1"/>
    <col min="6669" max="6669" width="5.6640625" style="5" customWidth="1"/>
    <col min="6670" max="6670" width="10.6640625" style="5" customWidth="1"/>
    <col min="6671" max="6671" width="5.6640625" style="5" customWidth="1"/>
    <col min="6672" max="6672" width="10.6640625" style="5" customWidth="1"/>
    <col min="6673" max="6673" width="5.6640625" style="5" customWidth="1"/>
    <col min="6674" max="6674" width="10.6640625" style="5" customWidth="1"/>
    <col min="6675" max="6675" width="5.6640625" style="5" customWidth="1"/>
    <col min="6676" max="6676" width="10.6640625" style="5" customWidth="1"/>
    <col min="6677" max="6677" width="5.6640625" style="5" customWidth="1"/>
    <col min="6678" max="6678" width="10.6640625" style="5" customWidth="1"/>
    <col min="6679" max="6679" width="5.6640625" style="5" customWidth="1"/>
    <col min="6680" max="6680" width="10.6640625" style="5" customWidth="1"/>
    <col min="6681" max="6681" width="5.6640625" style="5" customWidth="1"/>
    <col min="6682" max="6682" width="10.6640625" style="5" customWidth="1"/>
    <col min="6683" max="6683" width="5.6640625" style="5" customWidth="1"/>
    <col min="6684" max="6684" width="10.6640625" style="5" customWidth="1"/>
    <col min="6685" max="6685" width="8.33203125" style="5" customWidth="1"/>
    <col min="6686" max="6686" width="10.5546875" style="5" bestFit="1" customWidth="1"/>
    <col min="6687" max="6687" width="9.109375" style="5"/>
    <col min="6688" max="6688" width="14.44140625" style="5" customWidth="1"/>
    <col min="6689" max="6912" width="9.109375" style="5"/>
    <col min="6913" max="6913" width="4.6640625" style="5" customWidth="1"/>
    <col min="6914" max="6914" width="23" style="5" customWidth="1"/>
    <col min="6915" max="6915" width="6.109375" style="5" bestFit="1" customWidth="1"/>
    <col min="6916" max="6916" width="9.88671875" style="5" customWidth="1"/>
    <col min="6917" max="6917" width="5.6640625" style="5" customWidth="1"/>
    <col min="6918" max="6918" width="10.6640625" style="5" customWidth="1"/>
    <col min="6919" max="6919" width="5.6640625" style="5" customWidth="1"/>
    <col min="6920" max="6920" width="10.6640625" style="5" customWidth="1"/>
    <col min="6921" max="6921" width="5.6640625" style="5" customWidth="1"/>
    <col min="6922" max="6922" width="10.6640625" style="5" customWidth="1"/>
    <col min="6923" max="6923" width="5.6640625" style="5" customWidth="1"/>
    <col min="6924" max="6924" width="10.6640625" style="5" customWidth="1"/>
    <col min="6925" max="6925" width="5.6640625" style="5" customWidth="1"/>
    <col min="6926" max="6926" width="10.6640625" style="5" customWidth="1"/>
    <col min="6927" max="6927" width="5.6640625" style="5" customWidth="1"/>
    <col min="6928" max="6928" width="10.6640625" style="5" customWidth="1"/>
    <col min="6929" max="6929" width="5.6640625" style="5" customWidth="1"/>
    <col min="6930" max="6930" width="10.6640625" style="5" customWidth="1"/>
    <col min="6931" max="6931" width="5.6640625" style="5" customWidth="1"/>
    <col min="6932" max="6932" width="10.6640625" style="5" customWidth="1"/>
    <col min="6933" max="6933" width="5.6640625" style="5" customWidth="1"/>
    <col min="6934" max="6934" width="10.6640625" style="5" customWidth="1"/>
    <col min="6935" max="6935" width="5.6640625" style="5" customWidth="1"/>
    <col min="6936" max="6936" width="10.6640625" style="5" customWidth="1"/>
    <col min="6937" max="6937" width="5.6640625" style="5" customWidth="1"/>
    <col min="6938" max="6938" width="10.6640625" style="5" customWidth="1"/>
    <col min="6939" max="6939" width="5.6640625" style="5" customWidth="1"/>
    <col min="6940" max="6940" width="10.6640625" style="5" customWidth="1"/>
    <col min="6941" max="6941" width="8.33203125" style="5" customWidth="1"/>
    <col min="6942" max="6942" width="10.5546875" style="5" bestFit="1" customWidth="1"/>
    <col min="6943" max="6943" width="9.109375" style="5"/>
    <col min="6944" max="6944" width="14.44140625" style="5" customWidth="1"/>
    <col min="6945" max="7168" width="9.109375" style="5"/>
    <col min="7169" max="7169" width="4.6640625" style="5" customWidth="1"/>
    <col min="7170" max="7170" width="23" style="5" customWidth="1"/>
    <col min="7171" max="7171" width="6.109375" style="5" bestFit="1" customWidth="1"/>
    <col min="7172" max="7172" width="9.88671875" style="5" customWidth="1"/>
    <col min="7173" max="7173" width="5.6640625" style="5" customWidth="1"/>
    <col min="7174" max="7174" width="10.6640625" style="5" customWidth="1"/>
    <col min="7175" max="7175" width="5.6640625" style="5" customWidth="1"/>
    <col min="7176" max="7176" width="10.6640625" style="5" customWidth="1"/>
    <col min="7177" max="7177" width="5.6640625" style="5" customWidth="1"/>
    <col min="7178" max="7178" width="10.6640625" style="5" customWidth="1"/>
    <col min="7179" max="7179" width="5.6640625" style="5" customWidth="1"/>
    <col min="7180" max="7180" width="10.6640625" style="5" customWidth="1"/>
    <col min="7181" max="7181" width="5.6640625" style="5" customWidth="1"/>
    <col min="7182" max="7182" width="10.6640625" style="5" customWidth="1"/>
    <col min="7183" max="7183" width="5.6640625" style="5" customWidth="1"/>
    <col min="7184" max="7184" width="10.6640625" style="5" customWidth="1"/>
    <col min="7185" max="7185" width="5.6640625" style="5" customWidth="1"/>
    <col min="7186" max="7186" width="10.6640625" style="5" customWidth="1"/>
    <col min="7187" max="7187" width="5.6640625" style="5" customWidth="1"/>
    <col min="7188" max="7188" width="10.6640625" style="5" customWidth="1"/>
    <col min="7189" max="7189" width="5.6640625" style="5" customWidth="1"/>
    <col min="7190" max="7190" width="10.6640625" style="5" customWidth="1"/>
    <col min="7191" max="7191" width="5.6640625" style="5" customWidth="1"/>
    <col min="7192" max="7192" width="10.6640625" style="5" customWidth="1"/>
    <col min="7193" max="7193" width="5.6640625" style="5" customWidth="1"/>
    <col min="7194" max="7194" width="10.6640625" style="5" customWidth="1"/>
    <col min="7195" max="7195" width="5.6640625" style="5" customWidth="1"/>
    <col min="7196" max="7196" width="10.6640625" style="5" customWidth="1"/>
    <col min="7197" max="7197" width="8.33203125" style="5" customWidth="1"/>
    <col min="7198" max="7198" width="10.5546875" style="5" bestFit="1" customWidth="1"/>
    <col min="7199" max="7199" width="9.109375" style="5"/>
    <col min="7200" max="7200" width="14.44140625" style="5" customWidth="1"/>
    <col min="7201" max="7424" width="9.109375" style="5"/>
    <col min="7425" max="7425" width="4.6640625" style="5" customWidth="1"/>
    <col min="7426" max="7426" width="23" style="5" customWidth="1"/>
    <col min="7427" max="7427" width="6.109375" style="5" bestFit="1" customWidth="1"/>
    <col min="7428" max="7428" width="9.88671875" style="5" customWidth="1"/>
    <col min="7429" max="7429" width="5.6640625" style="5" customWidth="1"/>
    <col min="7430" max="7430" width="10.6640625" style="5" customWidth="1"/>
    <col min="7431" max="7431" width="5.6640625" style="5" customWidth="1"/>
    <col min="7432" max="7432" width="10.6640625" style="5" customWidth="1"/>
    <col min="7433" max="7433" width="5.6640625" style="5" customWidth="1"/>
    <col min="7434" max="7434" width="10.6640625" style="5" customWidth="1"/>
    <col min="7435" max="7435" width="5.6640625" style="5" customWidth="1"/>
    <col min="7436" max="7436" width="10.6640625" style="5" customWidth="1"/>
    <col min="7437" max="7437" width="5.6640625" style="5" customWidth="1"/>
    <col min="7438" max="7438" width="10.6640625" style="5" customWidth="1"/>
    <col min="7439" max="7439" width="5.6640625" style="5" customWidth="1"/>
    <col min="7440" max="7440" width="10.6640625" style="5" customWidth="1"/>
    <col min="7441" max="7441" width="5.6640625" style="5" customWidth="1"/>
    <col min="7442" max="7442" width="10.6640625" style="5" customWidth="1"/>
    <col min="7443" max="7443" width="5.6640625" style="5" customWidth="1"/>
    <col min="7444" max="7444" width="10.6640625" style="5" customWidth="1"/>
    <col min="7445" max="7445" width="5.6640625" style="5" customWidth="1"/>
    <col min="7446" max="7446" width="10.6640625" style="5" customWidth="1"/>
    <col min="7447" max="7447" width="5.6640625" style="5" customWidth="1"/>
    <col min="7448" max="7448" width="10.6640625" style="5" customWidth="1"/>
    <col min="7449" max="7449" width="5.6640625" style="5" customWidth="1"/>
    <col min="7450" max="7450" width="10.6640625" style="5" customWidth="1"/>
    <col min="7451" max="7451" width="5.6640625" style="5" customWidth="1"/>
    <col min="7452" max="7452" width="10.6640625" style="5" customWidth="1"/>
    <col min="7453" max="7453" width="8.33203125" style="5" customWidth="1"/>
    <col min="7454" max="7454" width="10.5546875" style="5" bestFit="1" customWidth="1"/>
    <col min="7455" max="7455" width="9.109375" style="5"/>
    <col min="7456" max="7456" width="14.44140625" style="5" customWidth="1"/>
    <col min="7457" max="7680" width="9.109375" style="5"/>
    <col min="7681" max="7681" width="4.6640625" style="5" customWidth="1"/>
    <col min="7682" max="7682" width="23" style="5" customWidth="1"/>
    <col min="7683" max="7683" width="6.109375" style="5" bestFit="1" customWidth="1"/>
    <col min="7684" max="7684" width="9.88671875" style="5" customWidth="1"/>
    <col min="7685" max="7685" width="5.6640625" style="5" customWidth="1"/>
    <col min="7686" max="7686" width="10.6640625" style="5" customWidth="1"/>
    <col min="7687" max="7687" width="5.6640625" style="5" customWidth="1"/>
    <col min="7688" max="7688" width="10.6640625" style="5" customWidth="1"/>
    <col min="7689" max="7689" width="5.6640625" style="5" customWidth="1"/>
    <col min="7690" max="7690" width="10.6640625" style="5" customWidth="1"/>
    <col min="7691" max="7691" width="5.6640625" style="5" customWidth="1"/>
    <col min="7692" max="7692" width="10.6640625" style="5" customWidth="1"/>
    <col min="7693" max="7693" width="5.6640625" style="5" customWidth="1"/>
    <col min="7694" max="7694" width="10.6640625" style="5" customWidth="1"/>
    <col min="7695" max="7695" width="5.6640625" style="5" customWidth="1"/>
    <col min="7696" max="7696" width="10.6640625" style="5" customWidth="1"/>
    <col min="7697" max="7697" width="5.6640625" style="5" customWidth="1"/>
    <col min="7698" max="7698" width="10.6640625" style="5" customWidth="1"/>
    <col min="7699" max="7699" width="5.6640625" style="5" customWidth="1"/>
    <col min="7700" max="7700" width="10.6640625" style="5" customWidth="1"/>
    <col min="7701" max="7701" width="5.6640625" style="5" customWidth="1"/>
    <col min="7702" max="7702" width="10.6640625" style="5" customWidth="1"/>
    <col min="7703" max="7703" width="5.6640625" style="5" customWidth="1"/>
    <col min="7704" max="7704" width="10.6640625" style="5" customWidth="1"/>
    <col min="7705" max="7705" width="5.6640625" style="5" customWidth="1"/>
    <col min="7706" max="7706" width="10.6640625" style="5" customWidth="1"/>
    <col min="7707" max="7707" width="5.6640625" style="5" customWidth="1"/>
    <col min="7708" max="7708" width="10.6640625" style="5" customWidth="1"/>
    <col min="7709" max="7709" width="8.33203125" style="5" customWidth="1"/>
    <col min="7710" max="7710" width="10.5546875" style="5" bestFit="1" customWidth="1"/>
    <col min="7711" max="7711" width="9.109375" style="5"/>
    <col min="7712" max="7712" width="14.44140625" style="5" customWidth="1"/>
    <col min="7713" max="7936" width="9.109375" style="5"/>
    <col min="7937" max="7937" width="4.6640625" style="5" customWidth="1"/>
    <col min="7938" max="7938" width="23" style="5" customWidth="1"/>
    <col min="7939" max="7939" width="6.109375" style="5" bestFit="1" customWidth="1"/>
    <col min="7940" max="7940" width="9.88671875" style="5" customWidth="1"/>
    <col min="7941" max="7941" width="5.6640625" style="5" customWidth="1"/>
    <col min="7942" max="7942" width="10.6640625" style="5" customWidth="1"/>
    <col min="7943" max="7943" width="5.6640625" style="5" customWidth="1"/>
    <col min="7944" max="7944" width="10.6640625" style="5" customWidth="1"/>
    <col min="7945" max="7945" width="5.6640625" style="5" customWidth="1"/>
    <col min="7946" max="7946" width="10.6640625" style="5" customWidth="1"/>
    <col min="7947" max="7947" width="5.6640625" style="5" customWidth="1"/>
    <col min="7948" max="7948" width="10.6640625" style="5" customWidth="1"/>
    <col min="7949" max="7949" width="5.6640625" style="5" customWidth="1"/>
    <col min="7950" max="7950" width="10.6640625" style="5" customWidth="1"/>
    <col min="7951" max="7951" width="5.6640625" style="5" customWidth="1"/>
    <col min="7952" max="7952" width="10.6640625" style="5" customWidth="1"/>
    <col min="7953" max="7953" width="5.6640625" style="5" customWidth="1"/>
    <col min="7954" max="7954" width="10.6640625" style="5" customWidth="1"/>
    <col min="7955" max="7955" width="5.6640625" style="5" customWidth="1"/>
    <col min="7956" max="7956" width="10.6640625" style="5" customWidth="1"/>
    <col min="7957" max="7957" width="5.6640625" style="5" customWidth="1"/>
    <col min="7958" max="7958" width="10.6640625" style="5" customWidth="1"/>
    <col min="7959" max="7959" width="5.6640625" style="5" customWidth="1"/>
    <col min="7960" max="7960" width="10.6640625" style="5" customWidth="1"/>
    <col min="7961" max="7961" width="5.6640625" style="5" customWidth="1"/>
    <col min="7962" max="7962" width="10.6640625" style="5" customWidth="1"/>
    <col min="7963" max="7963" width="5.6640625" style="5" customWidth="1"/>
    <col min="7964" max="7964" width="10.6640625" style="5" customWidth="1"/>
    <col min="7965" max="7965" width="8.33203125" style="5" customWidth="1"/>
    <col min="7966" max="7966" width="10.5546875" style="5" bestFit="1" customWidth="1"/>
    <col min="7967" max="7967" width="9.109375" style="5"/>
    <col min="7968" max="7968" width="14.44140625" style="5" customWidth="1"/>
    <col min="7969" max="8192" width="9.109375" style="5"/>
    <col min="8193" max="8193" width="4.6640625" style="5" customWidth="1"/>
    <col min="8194" max="8194" width="23" style="5" customWidth="1"/>
    <col min="8195" max="8195" width="6.109375" style="5" bestFit="1" customWidth="1"/>
    <col min="8196" max="8196" width="9.88671875" style="5" customWidth="1"/>
    <col min="8197" max="8197" width="5.6640625" style="5" customWidth="1"/>
    <col min="8198" max="8198" width="10.6640625" style="5" customWidth="1"/>
    <col min="8199" max="8199" width="5.6640625" style="5" customWidth="1"/>
    <col min="8200" max="8200" width="10.6640625" style="5" customWidth="1"/>
    <col min="8201" max="8201" width="5.6640625" style="5" customWidth="1"/>
    <col min="8202" max="8202" width="10.6640625" style="5" customWidth="1"/>
    <col min="8203" max="8203" width="5.6640625" style="5" customWidth="1"/>
    <col min="8204" max="8204" width="10.6640625" style="5" customWidth="1"/>
    <col min="8205" max="8205" width="5.6640625" style="5" customWidth="1"/>
    <col min="8206" max="8206" width="10.6640625" style="5" customWidth="1"/>
    <col min="8207" max="8207" width="5.6640625" style="5" customWidth="1"/>
    <col min="8208" max="8208" width="10.6640625" style="5" customWidth="1"/>
    <col min="8209" max="8209" width="5.6640625" style="5" customWidth="1"/>
    <col min="8210" max="8210" width="10.6640625" style="5" customWidth="1"/>
    <col min="8211" max="8211" width="5.6640625" style="5" customWidth="1"/>
    <col min="8212" max="8212" width="10.6640625" style="5" customWidth="1"/>
    <col min="8213" max="8213" width="5.6640625" style="5" customWidth="1"/>
    <col min="8214" max="8214" width="10.6640625" style="5" customWidth="1"/>
    <col min="8215" max="8215" width="5.6640625" style="5" customWidth="1"/>
    <col min="8216" max="8216" width="10.6640625" style="5" customWidth="1"/>
    <col min="8217" max="8217" width="5.6640625" style="5" customWidth="1"/>
    <col min="8218" max="8218" width="10.6640625" style="5" customWidth="1"/>
    <col min="8219" max="8219" width="5.6640625" style="5" customWidth="1"/>
    <col min="8220" max="8220" width="10.6640625" style="5" customWidth="1"/>
    <col min="8221" max="8221" width="8.33203125" style="5" customWidth="1"/>
    <col min="8222" max="8222" width="10.5546875" style="5" bestFit="1" customWidth="1"/>
    <col min="8223" max="8223" width="9.109375" style="5"/>
    <col min="8224" max="8224" width="14.44140625" style="5" customWidth="1"/>
    <col min="8225" max="8448" width="9.109375" style="5"/>
    <col min="8449" max="8449" width="4.6640625" style="5" customWidth="1"/>
    <col min="8450" max="8450" width="23" style="5" customWidth="1"/>
    <col min="8451" max="8451" width="6.109375" style="5" bestFit="1" customWidth="1"/>
    <col min="8452" max="8452" width="9.88671875" style="5" customWidth="1"/>
    <col min="8453" max="8453" width="5.6640625" style="5" customWidth="1"/>
    <col min="8454" max="8454" width="10.6640625" style="5" customWidth="1"/>
    <col min="8455" max="8455" width="5.6640625" style="5" customWidth="1"/>
    <col min="8456" max="8456" width="10.6640625" style="5" customWidth="1"/>
    <col min="8457" max="8457" width="5.6640625" style="5" customWidth="1"/>
    <col min="8458" max="8458" width="10.6640625" style="5" customWidth="1"/>
    <col min="8459" max="8459" width="5.6640625" style="5" customWidth="1"/>
    <col min="8460" max="8460" width="10.6640625" style="5" customWidth="1"/>
    <col min="8461" max="8461" width="5.6640625" style="5" customWidth="1"/>
    <col min="8462" max="8462" width="10.6640625" style="5" customWidth="1"/>
    <col min="8463" max="8463" width="5.6640625" style="5" customWidth="1"/>
    <col min="8464" max="8464" width="10.6640625" style="5" customWidth="1"/>
    <col min="8465" max="8465" width="5.6640625" style="5" customWidth="1"/>
    <col min="8466" max="8466" width="10.6640625" style="5" customWidth="1"/>
    <col min="8467" max="8467" width="5.6640625" style="5" customWidth="1"/>
    <col min="8468" max="8468" width="10.6640625" style="5" customWidth="1"/>
    <col min="8469" max="8469" width="5.6640625" style="5" customWidth="1"/>
    <col min="8470" max="8470" width="10.6640625" style="5" customWidth="1"/>
    <col min="8471" max="8471" width="5.6640625" style="5" customWidth="1"/>
    <col min="8472" max="8472" width="10.6640625" style="5" customWidth="1"/>
    <col min="8473" max="8473" width="5.6640625" style="5" customWidth="1"/>
    <col min="8474" max="8474" width="10.6640625" style="5" customWidth="1"/>
    <col min="8475" max="8475" width="5.6640625" style="5" customWidth="1"/>
    <col min="8476" max="8476" width="10.6640625" style="5" customWidth="1"/>
    <col min="8477" max="8477" width="8.33203125" style="5" customWidth="1"/>
    <col min="8478" max="8478" width="10.5546875" style="5" bestFit="1" customWidth="1"/>
    <col min="8479" max="8479" width="9.109375" style="5"/>
    <col min="8480" max="8480" width="14.44140625" style="5" customWidth="1"/>
    <col min="8481" max="8704" width="9.109375" style="5"/>
    <col min="8705" max="8705" width="4.6640625" style="5" customWidth="1"/>
    <col min="8706" max="8706" width="23" style="5" customWidth="1"/>
    <col min="8707" max="8707" width="6.109375" style="5" bestFit="1" customWidth="1"/>
    <col min="8708" max="8708" width="9.88671875" style="5" customWidth="1"/>
    <col min="8709" max="8709" width="5.6640625" style="5" customWidth="1"/>
    <col min="8710" max="8710" width="10.6640625" style="5" customWidth="1"/>
    <col min="8711" max="8711" width="5.6640625" style="5" customWidth="1"/>
    <col min="8712" max="8712" width="10.6640625" style="5" customWidth="1"/>
    <col min="8713" max="8713" width="5.6640625" style="5" customWidth="1"/>
    <col min="8714" max="8714" width="10.6640625" style="5" customWidth="1"/>
    <col min="8715" max="8715" width="5.6640625" style="5" customWidth="1"/>
    <col min="8716" max="8716" width="10.6640625" style="5" customWidth="1"/>
    <col min="8717" max="8717" width="5.6640625" style="5" customWidth="1"/>
    <col min="8718" max="8718" width="10.6640625" style="5" customWidth="1"/>
    <col min="8719" max="8719" width="5.6640625" style="5" customWidth="1"/>
    <col min="8720" max="8720" width="10.6640625" style="5" customWidth="1"/>
    <col min="8721" max="8721" width="5.6640625" style="5" customWidth="1"/>
    <col min="8722" max="8722" width="10.6640625" style="5" customWidth="1"/>
    <col min="8723" max="8723" width="5.6640625" style="5" customWidth="1"/>
    <col min="8724" max="8724" width="10.6640625" style="5" customWidth="1"/>
    <col min="8725" max="8725" width="5.6640625" style="5" customWidth="1"/>
    <col min="8726" max="8726" width="10.6640625" style="5" customWidth="1"/>
    <col min="8727" max="8727" width="5.6640625" style="5" customWidth="1"/>
    <col min="8728" max="8728" width="10.6640625" style="5" customWidth="1"/>
    <col min="8729" max="8729" width="5.6640625" style="5" customWidth="1"/>
    <col min="8730" max="8730" width="10.6640625" style="5" customWidth="1"/>
    <col min="8731" max="8731" width="5.6640625" style="5" customWidth="1"/>
    <col min="8732" max="8732" width="10.6640625" style="5" customWidth="1"/>
    <col min="8733" max="8733" width="8.33203125" style="5" customWidth="1"/>
    <col min="8734" max="8734" width="10.5546875" style="5" bestFit="1" customWidth="1"/>
    <col min="8735" max="8735" width="9.109375" style="5"/>
    <col min="8736" max="8736" width="14.44140625" style="5" customWidth="1"/>
    <col min="8737" max="8960" width="9.109375" style="5"/>
    <col min="8961" max="8961" width="4.6640625" style="5" customWidth="1"/>
    <col min="8962" max="8962" width="23" style="5" customWidth="1"/>
    <col min="8963" max="8963" width="6.109375" style="5" bestFit="1" customWidth="1"/>
    <col min="8964" max="8964" width="9.88671875" style="5" customWidth="1"/>
    <col min="8965" max="8965" width="5.6640625" style="5" customWidth="1"/>
    <col min="8966" max="8966" width="10.6640625" style="5" customWidth="1"/>
    <col min="8967" max="8967" width="5.6640625" style="5" customWidth="1"/>
    <col min="8968" max="8968" width="10.6640625" style="5" customWidth="1"/>
    <col min="8969" max="8969" width="5.6640625" style="5" customWidth="1"/>
    <col min="8970" max="8970" width="10.6640625" style="5" customWidth="1"/>
    <col min="8971" max="8971" width="5.6640625" style="5" customWidth="1"/>
    <col min="8972" max="8972" width="10.6640625" style="5" customWidth="1"/>
    <col min="8973" max="8973" width="5.6640625" style="5" customWidth="1"/>
    <col min="8974" max="8974" width="10.6640625" style="5" customWidth="1"/>
    <col min="8975" max="8975" width="5.6640625" style="5" customWidth="1"/>
    <col min="8976" max="8976" width="10.6640625" style="5" customWidth="1"/>
    <col min="8977" max="8977" width="5.6640625" style="5" customWidth="1"/>
    <col min="8978" max="8978" width="10.6640625" style="5" customWidth="1"/>
    <col min="8979" max="8979" width="5.6640625" style="5" customWidth="1"/>
    <col min="8980" max="8980" width="10.6640625" style="5" customWidth="1"/>
    <col min="8981" max="8981" width="5.6640625" style="5" customWidth="1"/>
    <col min="8982" max="8982" width="10.6640625" style="5" customWidth="1"/>
    <col min="8983" max="8983" width="5.6640625" style="5" customWidth="1"/>
    <col min="8984" max="8984" width="10.6640625" style="5" customWidth="1"/>
    <col min="8985" max="8985" width="5.6640625" style="5" customWidth="1"/>
    <col min="8986" max="8986" width="10.6640625" style="5" customWidth="1"/>
    <col min="8987" max="8987" width="5.6640625" style="5" customWidth="1"/>
    <col min="8988" max="8988" width="10.6640625" style="5" customWidth="1"/>
    <col min="8989" max="8989" width="8.33203125" style="5" customWidth="1"/>
    <col min="8990" max="8990" width="10.5546875" style="5" bestFit="1" customWidth="1"/>
    <col min="8991" max="8991" width="9.109375" style="5"/>
    <col min="8992" max="8992" width="14.44140625" style="5" customWidth="1"/>
    <col min="8993" max="9216" width="9.109375" style="5"/>
    <col min="9217" max="9217" width="4.6640625" style="5" customWidth="1"/>
    <col min="9218" max="9218" width="23" style="5" customWidth="1"/>
    <col min="9219" max="9219" width="6.109375" style="5" bestFit="1" customWidth="1"/>
    <col min="9220" max="9220" width="9.88671875" style="5" customWidth="1"/>
    <col min="9221" max="9221" width="5.6640625" style="5" customWidth="1"/>
    <col min="9222" max="9222" width="10.6640625" style="5" customWidth="1"/>
    <col min="9223" max="9223" width="5.6640625" style="5" customWidth="1"/>
    <col min="9224" max="9224" width="10.6640625" style="5" customWidth="1"/>
    <col min="9225" max="9225" width="5.6640625" style="5" customWidth="1"/>
    <col min="9226" max="9226" width="10.6640625" style="5" customWidth="1"/>
    <col min="9227" max="9227" width="5.6640625" style="5" customWidth="1"/>
    <col min="9228" max="9228" width="10.6640625" style="5" customWidth="1"/>
    <col min="9229" max="9229" width="5.6640625" style="5" customWidth="1"/>
    <col min="9230" max="9230" width="10.6640625" style="5" customWidth="1"/>
    <col min="9231" max="9231" width="5.6640625" style="5" customWidth="1"/>
    <col min="9232" max="9232" width="10.6640625" style="5" customWidth="1"/>
    <col min="9233" max="9233" width="5.6640625" style="5" customWidth="1"/>
    <col min="9234" max="9234" width="10.6640625" style="5" customWidth="1"/>
    <col min="9235" max="9235" width="5.6640625" style="5" customWidth="1"/>
    <col min="9236" max="9236" width="10.6640625" style="5" customWidth="1"/>
    <col min="9237" max="9237" width="5.6640625" style="5" customWidth="1"/>
    <col min="9238" max="9238" width="10.6640625" style="5" customWidth="1"/>
    <col min="9239" max="9239" width="5.6640625" style="5" customWidth="1"/>
    <col min="9240" max="9240" width="10.6640625" style="5" customWidth="1"/>
    <col min="9241" max="9241" width="5.6640625" style="5" customWidth="1"/>
    <col min="9242" max="9242" width="10.6640625" style="5" customWidth="1"/>
    <col min="9243" max="9243" width="5.6640625" style="5" customWidth="1"/>
    <col min="9244" max="9244" width="10.6640625" style="5" customWidth="1"/>
    <col min="9245" max="9245" width="8.33203125" style="5" customWidth="1"/>
    <col min="9246" max="9246" width="10.5546875" style="5" bestFit="1" customWidth="1"/>
    <col min="9247" max="9247" width="9.109375" style="5"/>
    <col min="9248" max="9248" width="14.44140625" style="5" customWidth="1"/>
    <col min="9249" max="9472" width="9.109375" style="5"/>
    <col min="9473" max="9473" width="4.6640625" style="5" customWidth="1"/>
    <col min="9474" max="9474" width="23" style="5" customWidth="1"/>
    <col min="9475" max="9475" width="6.109375" style="5" bestFit="1" customWidth="1"/>
    <col min="9476" max="9476" width="9.88671875" style="5" customWidth="1"/>
    <col min="9477" max="9477" width="5.6640625" style="5" customWidth="1"/>
    <col min="9478" max="9478" width="10.6640625" style="5" customWidth="1"/>
    <col min="9479" max="9479" width="5.6640625" style="5" customWidth="1"/>
    <col min="9480" max="9480" width="10.6640625" style="5" customWidth="1"/>
    <col min="9481" max="9481" width="5.6640625" style="5" customWidth="1"/>
    <col min="9482" max="9482" width="10.6640625" style="5" customWidth="1"/>
    <col min="9483" max="9483" width="5.6640625" style="5" customWidth="1"/>
    <col min="9484" max="9484" width="10.6640625" style="5" customWidth="1"/>
    <col min="9485" max="9485" width="5.6640625" style="5" customWidth="1"/>
    <col min="9486" max="9486" width="10.6640625" style="5" customWidth="1"/>
    <col min="9487" max="9487" width="5.6640625" style="5" customWidth="1"/>
    <col min="9488" max="9488" width="10.6640625" style="5" customWidth="1"/>
    <col min="9489" max="9489" width="5.6640625" style="5" customWidth="1"/>
    <col min="9490" max="9490" width="10.6640625" style="5" customWidth="1"/>
    <col min="9491" max="9491" width="5.6640625" style="5" customWidth="1"/>
    <col min="9492" max="9492" width="10.6640625" style="5" customWidth="1"/>
    <col min="9493" max="9493" width="5.6640625" style="5" customWidth="1"/>
    <col min="9494" max="9494" width="10.6640625" style="5" customWidth="1"/>
    <col min="9495" max="9495" width="5.6640625" style="5" customWidth="1"/>
    <col min="9496" max="9496" width="10.6640625" style="5" customWidth="1"/>
    <col min="9497" max="9497" width="5.6640625" style="5" customWidth="1"/>
    <col min="9498" max="9498" width="10.6640625" style="5" customWidth="1"/>
    <col min="9499" max="9499" width="5.6640625" style="5" customWidth="1"/>
    <col min="9500" max="9500" width="10.6640625" style="5" customWidth="1"/>
    <col min="9501" max="9501" width="8.33203125" style="5" customWidth="1"/>
    <col min="9502" max="9502" width="10.5546875" style="5" bestFit="1" customWidth="1"/>
    <col min="9503" max="9503" width="9.109375" style="5"/>
    <col min="9504" max="9504" width="14.44140625" style="5" customWidth="1"/>
    <col min="9505" max="9728" width="9.109375" style="5"/>
    <col min="9729" max="9729" width="4.6640625" style="5" customWidth="1"/>
    <col min="9730" max="9730" width="23" style="5" customWidth="1"/>
    <col min="9731" max="9731" width="6.109375" style="5" bestFit="1" customWidth="1"/>
    <col min="9732" max="9732" width="9.88671875" style="5" customWidth="1"/>
    <col min="9733" max="9733" width="5.6640625" style="5" customWidth="1"/>
    <col min="9734" max="9734" width="10.6640625" style="5" customWidth="1"/>
    <col min="9735" max="9735" width="5.6640625" style="5" customWidth="1"/>
    <col min="9736" max="9736" width="10.6640625" style="5" customWidth="1"/>
    <col min="9737" max="9737" width="5.6640625" style="5" customWidth="1"/>
    <col min="9738" max="9738" width="10.6640625" style="5" customWidth="1"/>
    <col min="9739" max="9739" width="5.6640625" style="5" customWidth="1"/>
    <col min="9740" max="9740" width="10.6640625" style="5" customWidth="1"/>
    <col min="9741" max="9741" width="5.6640625" style="5" customWidth="1"/>
    <col min="9742" max="9742" width="10.6640625" style="5" customWidth="1"/>
    <col min="9743" max="9743" width="5.6640625" style="5" customWidth="1"/>
    <col min="9744" max="9744" width="10.6640625" style="5" customWidth="1"/>
    <col min="9745" max="9745" width="5.6640625" style="5" customWidth="1"/>
    <col min="9746" max="9746" width="10.6640625" style="5" customWidth="1"/>
    <col min="9747" max="9747" width="5.6640625" style="5" customWidth="1"/>
    <col min="9748" max="9748" width="10.6640625" style="5" customWidth="1"/>
    <col min="9749" max="9749" width="5.6640625" style="5" customWidth="1"/>
    <col min="9750" max="9750" width="10.6640625" style="5" customWidth="1"/>
    <col min="9751" max="9751" width="5.6640625" style="5" customWidth="1"/>
    <col min="9752" max="9752" width="10.6640625" style="5" customWidth="1"/>
    <col min="9753" max="9753" width="5.6640625" style="5" customWidth="1"/>
    <col min="9754" max="9754" width="10.6640625" style="5" customWidth="1"/>
    <col min="9755" max="9755" width="5.6640625" style="5" customWidth="1"/>
    <col min="9756" max="9756" width="10.6640625" style="5" customWidth="1"/>
    <col min="9757" max="9757" width="8.33203125" style="5" customWidth="1"/>
    <col min="9758" max="9758" width="10.5546875" style="5" bestFit="1" customWidth="1"/>
    <col min="9759" max="9759" width="9.109375" style="5"/>
    <col min="9760" max="9760" width="14.44140625" style="5" customWidth="1"/>
    <col min="9761" max="9984" width="9.109375" style="5"/>
    <col min="9985" max="9985" width="4.6640625" style="5" customWidth="1"/>
    <col min="9986" max="9986" width="23" style="5" customWidth="1"/>
    <col min="9987" max="9987" width="6.109375" style="5" bestFit="1" customWidth="1"/>
    <col min="9988" max="9988" width="9.88671875" style="5" customWidth="1"/>
    <col min="9989" max="9989" width="5.6640625" style="5" customWidth="1"/>
    <col min="9990" max="9990" width="10.6640625" style="5" customWidth="1"/>
    <col min="9991" max="9991" width="5.6640625" style="5" customWidth="1"/>
    <col min="9992" max="9992" width="10.6640625" style="5" customWidth="1"/>
    <col min="9993" max="9993" width="5.6640625" style="5" customWidth="1"/>
    <col min="9994" max="9994" width="10.6640625" style="5" customWidth="1"/>
    <col min="9995" max="9995" width="5.6640625" style="5" customWidth="1"/>
    <col min="9996" max="9996" width="10.6640625" style="5" customWidth="1"/>
    <col min="9997" max="9997" width="5.6640625" style="5" customWidth="1"/>
    <col min="9998" max="9998" width="10.6640625" style="5" customWidth="1"/>
    <col min="9999" max="9999" width="5.6640625" style="5" customWidth="1"/>
    <col min="10000" max="10000" width="10.6640625" style="5" customWidth="1"/>
    <col min="10001" max="10001" width="5.6640625" style="5" customWidth="1"/>
    <col min="10002" max="10002" width="10.6640625" style="5" customWidth="1"/>
    <col min="10003" max="10003" width="5.6640625" style="5" customWidth="1"/>
    <col min="10004" max="10004" width="10.6640625" style="5" customWidth="1"/>
    <col min="10005" max="10005" width="5.6640625" style="5" customWidth="1"/>
    <col min="10006" max="10006" width="10.6640625" style="5" customWidth="1"/>
    <col min="10007" max="10007" width="5.6640625" style="5" customWidth="1"/>
    <col min="10008" max="10008" width="10.6640625" style="5" customWidth="1"/>
    <col min="10009" max="10009" width="5.6640625" style="5" customWidth="1"/>
    <col min="10010" max="10010" width="10.6640625" style="5" customWidth="1"/>
    <col min="10011" max="10011" width="5.6640625" style="5" customWidth="1"/>
    <col min="10012" max="10012" width="10.6640625" style="5" customWidth="1"/>
    <col min="10013" max="10013" width="8.33203125" style="5" customWidth="1"/>
    <col min="10014" max="10014" width="10.5546875" style="5" bestFit="1" customWidth="1"/>
    <col min="10015" max="10015" width="9.109375" style="5"/>
    <col min="10016" max="10016" width="14.44140625" style="5" customWidth="1"/>
    <col min="10017" max="10240" width="9.109375" style="5"/>
    <col min="10241" max="10241" width="4.6640625" style="5" customWidth="1"/>
    <col min="10242" max="10242" width="23" style="5" customWidth="1"/>
    <col min="10243" max="10243" width="6.109375" style="5" bestFit="1" customWidth="1"/>
    <col min="10244" max="10244" width="9.88671875" style="5" customWidth="1"/>
    <col min="10245" max="10245" width="5.6640625" style="5" customWidth="1"/>
    <col min="10246" max="10246" width="10.6640625" style="5" customWidth="1"/>
    <col min="10247" max="10247" width="5.6640625" style="5" customWidth="1"/>
    <col min="10248" max="10248" width="10.6640625" style="5" customWidth="1"/>
    <col min="10249" max="10249" width="5.6640625" style="5" customWidth="1"/>
    <col min="10250" max="10250" width="10.6640625" style="5" customWidth="1"/>
    <col min="10251" max="10251" width="5.6640625" style="5" customWidth="1"/>
    <col min="10252" max="10252" width="10.6640625" style="5" customWidth="1"/>
    <col min="10253" max="10253" width="5.6640625" style="5" customWidth="1"/>
    <col min="10254" max="10254" width="10.6640625" style="5" customWidth="1"/>
    <col min="10255" max="10255" width="5.6640625" style="5" customWidth="1"/>
    <col min="10256" max="10256" width="10.6640625" style="5" customWidth="1"/>
    <col min="10257" max="10257" width="5.6640625" style="5" customWidth="1"/>
    <col min="10258" max="10258" width="10.6640625" style="5" customWidth="1"/>
    <col min="10259" max="10259" width="5.6640625" style="5" customWidth="1"/>
    <col min="10260" max="10260" width="10.6640625" style="5" customWidth="1"/>
    <col min="10261" max="10261" width="5.6640625" style="5" customWidth="1"/>
    <col min="10262" max="10262" width="10.6640625" style="5" customWidth="1"/>
    <col min="10263" max="10263" width="5.6640625" style="5" customWidth="1"/>
    <col min="10264" max="10264" width="10.6640625" style="5" customWidth="1"/>
    <col min="10265" max="10265" width="5.6640625" style="5" customWidth="1"/>
    <col min="10266" max="10266" width="10.6640625" style="5" customWidth="1"/>
    <col min="10267" max="10267" width="5.6640625" style="5" customWidth="1"/>
    <col min="10268" max="10268" width="10.6640625" style="5" customWidth="1"/>
    <col min="10269" max="10269" width="8.33203125" style="5" customWidth="1"/>
    <col min="10270" max="10270" width="10.5546875" style="5" bestFit="1" customWidth="1"/>
    <col min="10271" max="10271" width="9.109375" style="5"/>
    <col min="10272" max="10272" width="14.44140625" style="5" customWidth="1"/>
    <col min="10273" max="10496" width="9.109375" style="5"/>
    <col min="10497" max="10497" width="4.6640625" style="5" customWidth="1"/>
    <col min="10498" max="10498" width="23" style="5" customWidth="1"/>
    <col min="10499" max="10499" width="6.109375" style="5" bestFit="1" customWidth="1"/>
    <col min="10500" max="10500" width="9.88671875" style="5" customWidth="1"/>
    <col min="10501" max="10501" width="5.6640625" style="5" customWidth="1"/>
    <col min="10502" max="10502" width="10.6640625" style="5" customWidth="1"/>
    <col min="10503" max="10503" width="5.6640625" style="5" customWidth="1"/>
    <col min="10504" max="10504" width="10.6640625" style="5" customWidth="1"/>
    <col min="10505" max="10505" width="5.6640625" style="5" customWidth="1"/>
    <col min="10506" max="10506" width="10.6640625" style="5" customWidth="1"/>
    <col min="10507" max="10507" width="5.6640625" style="5" customWidth="1"/>
    <col min="10508" max="10508" width="10.6640625" style="5" customWidth="1"/>
    <col min="10509" max="10509" width="5.6640625" style="5" customWidth="1"/>
    <col min="10510" max="10510" width="10.6640625" style="5" customWidth="1"/>
    <col min="10511" max="10511" width="5.6640625" style="5" customWidth="1"/>
    <col min="10512" max="10512" width="10.6640625" style="5" customWidth="1"/>
    <col min="10513" max="10513" width="5.6640625" style="5" customWidth="1"/>
    <col min="10514" max="10514" width="10.6640625" style="5" customWidth="1"/>
    <col min="10515" max="10515" width="5.6640625" style="5" customWidth="1"/>
    <col min="10516" max="10516" width="10.6640625" style="5" customWidth="1"/>
    <col min="10517" max="10517" width="5.6640625" style="5" customWidth="1"/>
    <col min="10518" max="10518" width="10.6640625" style="5" customWidth="1"/>
    <col min="10519" max="10519" width="5.6640625" style="5" customWidth="1"/>
    <col min="10520" max="10520" width="10.6640625" style="5" customWidth="1"/>
    <col min="10521" max="10521" width="5.6640625" style="5" customWidth="1"/>
    <col min="10522" max="10522" width="10.6640625" style="5" customWidth="1"/>
    <col min="10523" max="10523" width="5.6640625" style="5" customWidth="1"/>
    <col min="10524" max="10524" width="10.6640625" style="5" customWidth="1"/>
    <col min="10525" max="10525" width="8.33203125" style="5" customWidth="1"/>
    <col min="10526" max="10526" width="10.5546875" style="5" bestFit="1" customWidth="1"/>
    <col min="10527" max="10527" width="9.109375" style="5"/>
    <col min="10528" max="10528" width="14.44140625" style="5" customWidth="1"/>
    <col min="10529" max="10752" width="9.109375" style="5"/>
    <col min="10753" max="10753" width="4.6640625" style="5" customWidth="1"/>
    <col min="10754" max="10754" width="23" style="5" customWidth="1"/>
    <col min="10755" max="10755" width="6.109375" style="5" bestFit="1" customWidth="1"/>
    <col min="10756" max="10756" width="9.88671875" style="5" customWidth="1"/>
    <col min="10757" max="10757" width="5.6640625" style="5" customWidth="1"/>
    <col min="10758" max="10758" width="10.6640625" style="5" customWidth="1"/>
    <col min="10759" max="10759" width="5.6640625" style="5" customWidth="1"/>
    <col min="10760" max="10760" width="10.6640625" style="5" customWidth="1"/>
    <col min="10761" max="10761" width="5.6640625" style="5" customWidth="1"/>
    <col min="10762" max="10762" width="10.6640625" style="5" customWidth="1"/>
    <col min="10763" max="10763" width="5.6640625" style="5" customWidth="1"/>
    <col min="10764" max="10764" width="10.6640625" style="5" customWidth="1"/>
    <col min="10765" max="10765" width="5.6640625" style="5" customWidth="1"/>
    <col min="10766" max="10766" width="10.6640625" style="5" customWidth="1"/>
    <col min="10767" max="10767" width="5.6640625" style="5" customWidth="1"/>
    <col min="10768" max="10768" width="10.6640625" style="5" customWidth="1"/>
    <col min="10769" max="10769" width="5.6640625" style="5" customWidth="1"/>
    <col min="10770" max="10770" width="10.6640625" style="5" customWidth="1"/>
    <col min="10771" max="10771" width="5.6640625" style="5" customWidth="1"/>
    <col min="10772" max="10772" width="10.6640625" style="5" customWidth="1"/>
    <col min="10773" max="10773" width="5.6640625" style="5" customWidth="1"/>
    <col min="10774" max="10774" width="10.6640625" style="5" customWidth="1"/>
    <col min="10775" max="10775" width="5.6640625" style="5" customWidth="1"/>
    <col min="10776" max="10776" width="10.6640625" style="5" customWidth="1"/>
    <col min="10777" max="10777" width="5.6640625" style="5" customWidth="1"/>
    <col min="10778" max="10778" width="10.6640625" style="5" customWidth="1"/>
    <col min="10779" max="10779" width="5.6640625" style="5" customWidth="1"/>
    <col min="10780" max="10780" width="10.6640625" style="5" customWidth="1"/>
    <col min="10781" max="10781" width="8.33203125" style="5" customWidth="1"/>
    <col min="10782" max="10782" width="10.5546875" style="5" bestFit="1" customWidth="1"/>
    <col min="10783" max="10783" width="9.109375" style="5"/>
    <col min="10784" max="10784" width="14.44140625" style="5" customWidth="1"/>
    <col min="10785" max="11008" width="9.109375" style="5"/>
    <col min="11009" max="11009" width="4.6640625" style="5" customWidth="1"/>
    <col min="11010" max="11010" width="23" style="5" customWidth="1"/>
    <col min="11011" max="11011" width="6.109375" style="5" bestFit="1" customWidth="1"/>
    <col min="11012" max="11012" width="9.88671875" style="5" customWidth="1"/>
    <col min="11013" max="11013" width="5.6640625" style="5" customWidth="1"/>
    <col min="11014" max="11014" width="10.6640625" style="5" customWidth="1"/>
    <col min="11015" max="11015" width="5.6640625" style="5" customWidth="1"/>
    <col min="11016" max="11016" width="10.6640625" style="5" customWidth="1"/>
    <col min="11017" max="11017" width="5.6640625" style="5" customWidth="1"/>
    <col min="11018" max="11018" width="10.6640625" style="5" customWidth="1"/>
    <col min="11019" max="11019" width="5.6640625" style="5" customWidth="1"/>
    <col min="11020" max="11020" width="10.6640625" style="5" customWidth="1"/>
    <col min="11021" max="11021" width="5.6640625" style="5" customWidth="1"/>
    <col min="11022" max="11022" width="10.6640625" style="5" customWidth="1"/>
    <col min="11023" max="11023" width="5.6640625" style="5" customWidth="1"/>
    <col min="11024" max="11024" width="10.6640625" style="5" customWidth="1"/>
    <col min="11025" max="11025" width="5.6640625" style="5" customWidth="1"/>
    <col min="11026" max="11026" width="10.6640625" style="5" customWidth="1"/>
    <col min="11027" max="11027" width="5.6640625" style="5" customWidth="1"/>
    <col min="11028" max="11028" width="10.6640625" style="5" customWidth="1"/>
    <col min="11029" max="11029" width="5.6640625" style="5" customWidth="1"/>
    <col min="11030" max="11030" width="10.6640625" style="5" customWidth="1"/>
    <col min="11031" max="11031" width="5.6640625" style="5" customWidth="1"/>
    <col min="11032" max="11032" width="10.6640625" style="5" customWidth="1"/>
    <col min="11033" max="11033" width="5.6640625" style="5" customWidth="1"/>
    <col min="11034" max="11034" width="10.6640625" style="5" customWidth="1"/>
    <col min="11035" max="11035" width="5.6640625" style="5" customWidth="1"/>
    <col min="11036" max="11036" width="10.6640625" style="5" customWidth="1"/>
    <col min="11037" max="11037" width="8.33203125" style="5" customWidth="1"/>
    <col min="11038" max="11038" width="10.5546875" style="5" bestFit="1" customWidth="1"/>
    <col min="11039" max="11039" width="9.109375" style="5"/>
    <col min="11040" max="11040" width="14.44140625" style="5" customWidth="1"/>
    <col min="11041" max="11264" width="9.109375" style="5"/>
    <col min="11265" max="11265" width="4.6640625" style="5" customWidth="1"/>
    <col min="11266" max="11266" width="23" style="5" customWidth="1"/>
    <col min="11267" max="11267" width="6.109375" style="5" bestFit="1" customWidth="1"/>
    <col min="11268" max="11268" width="9.88671875" style="5" customWidth="1"/>
    <col min="11269" max="11269" width="5.6640625" style="5" customWidth="1"/>
    <col min="11270" max="11270" width="10.6640625" style="5" customWidth="1"/>
    <col min="11271" max="11271" width="5.6640625" style="5" customWidth="1"/>
    <col min="11272" max="11272" width="10.6640625" style="5" customWidth="1"/>
    <col min="11273" max="11273" width="5.6640625" style="5" customWidth="1"/>
    <col min="11274" max="11274" width="10.6640625" style="5" customWidth="1"/>
    <col min="11275" max="11275" width="5.6640625" style="5" customWidth="1"/>
    <col min="11276" max="11276" width="10.6640625" style="5" customWidth="1"/>
    <col min="11277" max="11277" width="5.6640625" style="5" customWidth="1"/>
    <col min="11278" max="11278" width="10.6640625" style="5" customWidth="1"/>
    <col min="11279" max="11279" width="5.6640625" style="5" customWidth="1"/>
    <col min="11280" max="11280" width="10.6640625" style="5" customWidth="1"/>
    <col min="11281" max="11281" width="5.6640625" style="5" customWidth="1"/>
    <col min="11282" max="11282" width="10.6640625" style="5" customWidth="1"/>
    <col min="11283" max="11283" width="5.6640625" style="5" customWidth="1"/>
    <col min="11284" max="11284" width="10.6640625" style="5" customWidth="1"/>
    <col min="11285" max="11285" width="5.6640625" style="5" customWidth="1"/>
    <col min="11286" max="11286" width="10.6640625" style="5" customWidth="1"/>
    <col min="11287" max="11287" width="5.6640625" style="5" customWidth="1"/>
    <col min="11288" max="11288" width="10.6640625" style="5" customWidth="1"/>
    <col min="11289" max="11289" width="5.6640625" style="5" customWidth="1"/>
    <col min="11290" max="11290" width="10.6640625" style="5" customWidth="1"/>
    <col min="11291" max="11291" width="5.6640625" style="5" customWidth="1"/>
    <col min="11292" max="11292" width="10.6640625" style="5" customWidth="1"/>
    <col min="11293" max="11293" width="8.33203125" style="5" customWidth="1"/>
    <col min="11294" max="11294" width="10.5546875" style="5" bestFit="1" customWidth="1"/>
    <col min="11295" max="11295" width="9.109375" style="5"/>
    <col min="11296" max="11296" width="14.44140625" style="5" customWidth="1"/>
    <col min="11297" max="11520" width="9.109375" style="5"/>
    <col min="11521" max="11521" width="4.6640625" style="5" customWidth="1"/>
    <col min="11522" max="11522" width="23" style="5" customWidth="1"/>
    <col min="11523" max="11523" width="6.109375" style="5" bestFit="1" customWidth="1"/>
    <col min="11524" max="11524" width="9.88671875" style="5" customWidth="1"/>
    <col min="11525" max="11525" width="5.6640625" style="5" customWidth="1"/>
    <col min="11526" max="11526" width="10.6640625" style="5" customWidth="1"/>
    <col min="11527" max="11527" width="5.6640625" style="5" customWidth="1"/>
    <col min="11528" max="11528" width="10.6640625" style="5" customWidth="1"/>
    <col min="11529" max="11529" width="5.6640625" style="5" customWidth="1"/>
    <col min="11530" max="11530" width="10.6640625" style="5" customWidth="1"/>
    <col min="11531" max="11531" width="5.6640625" style="5" customWidth="1"/>
    <col min="11532" max="11532" width="10.6640625" style="5" customWidth="1"/>
    <col min="11533" max="11533" width="5.6640625" style="5" customWidth="1"/>
    <col min="11534" max="11534" width="10.6640625" style="5" customWidth="1"/>
    <col min="11535" max="11535" width="5.6640625" style="5" customWidth="1"/>
    <col min="11536" max="11536" width="10.6640625" style="5" customWidth="1"/>
    <col min="11537" max="11537" width="5.6640625" style="5" customWidth="1"/>
    <col min="11538" max="11538" width="10.6640625" style="5" customWidth="1"/>
    <col min="11539" max="11539" width="5.6640625" style="5" customWidth="1"/>
    <col min="11540" max="11540" width="10.6640625" style="5" customWidth="1"/>
    <col min="11541" max="11541" width="5.6640625" style="5" customWidth="1"/>
    <col min="11542" max="11542" width="10.6640625" style="5" customWidth="1"/>
    <col min="11543" max="11543" width="5.6640625" style="5" customWidth="1"/>
    <col min="11544" max="11544" width="10.6640625" style="5" customWidth="1"/>
    <col min="11545" max="11545" width="5.6640625" style="5" customWidth="1"/>
    <col min="11546" max="11546" width="10.6640625" style="5" customWidth="1"/>
    <col min="11547" max="11547" width="5.6640625" style="5" customWidth="1"/>
    <col min="11548" max="11548" width="10.6640625" style="5" customWidth="1"/>
    <col min="11549" max="11549" width="8.33203125" style="5" customWidth="1"/>
    <col min="11550" max="11550" width="10.5546875" style="5" bestFit="1" customWidth="1"/>
    <col min="11551" max="11551" width="9.109375" style="5"/>
    <col min="11552" max="11552" width="14.44140625" style="5" customWidth="1"/>
    <col min="11553" max="11776" width="9.109375" style="5"/>
    <col min="11777" max="11777" width="4.6640625" style="5" customWidth="1"/>
    <col min="11778" max="11778" width="23" style="5" customWidth="1"/>
    <col min="11779" max="11779" width="6.109375" style="5" bestFit="1" customWidth="1"/>
    <col min="11780" max="11780" width="9.88671875" style="5" customWidth="1"/>
    <col min="11781" max="11781" width="5.6640625" style="5" customWidth="1"/>
    <col min="11782" max="11782" width="10.6640625" style="5" customWidth="1"/>
    <col min="11783" max="11783" width="5.6640625" style="5" customWidth="1"/>
    <col min="11784" max="11784" width="10.6640625" style="5" customWidth="1"/>
    <col min="11785" max="11785" width="5.6640625" style="5" customWidth="1"/>
    <col min="11786" max="11786" width="10.6640625" style="5" customWidth="1"/>
    <col min="11787" max="11787" width="5.6640625" style="5" customWidth="1"/>
    <col min="11788" max="11788" width="10.6640625" style="5" customWidth="1"/>
    <col min="11789" max="11789" width="5.6640625" style="5" customWidth="1"/>
    <col min="11790" max="11790" width="10.6640625" style="5" customWidth="1"/>
    <col min="11791" max="11791" width="5.6640625" style="5" customWidth="1"/>
    <col min="11792" max="11792" width="10.6640625" style="5" customWidth="1"/>
    <col min="11793" max="11793" width="5.6640625" style="5" customWidth="1"/>
    <col min="11794" max="11794" width="10.6640625" style="5" customWidth="1"/>
    <col min="11795" max="11795" width="5.6640625" style="5" customWidth="1"/>
    <col min="11796" max="11796" width="10.6640625" style="5" customWidth="1"/>
    <col min="11797" max="11797" width="5.6640625" style="5" customWidth="1"/>
    <col min="11798" max="11798" width="10.6640625" style="5" customWidth="1"/>
    <col min="11799" max="11799" width="5.6640625" style="5" customWidth="1"/>
    <col min="11800" max="11800" width="10.6640625" style="5" customWidth="1"/>
    <col min="11801" max="11801" width="5.6640625" style="5" customWidth="1"/>
    <col min="11802" max="11802" width="10.6640625" style="5" customWidth="1"/>
    <col min="11803" max="11803" width="5.6640625" style="5" customWidth="1"/>
    <col min="11804" max="11804" width="10.6640625" style="5" customWidth="1"/>
    <col min="11805" max="11805" width="8.33203125" style="5" customWidth="1"/>
    <col min="11806" max="11806" width="10.5546875" style="5" bestFit="1" customWidth="1"/>
    <col min="11807" max="11807" width="9.109375" style="5"/>
    <col min="11808" max="11808" width="14.44140625" style="5" customWidth="1"/>
    <col min="11809" max="12032" width="9.109375" style="5"/>
    <col min="12033" max="12033" width="4.6640625" style="5" customWidth="1"/>
    <col min="12034" max="12034" width="23" style="5" customWidth="1"/>
    <col min="12035" max="12035" width="6.109375" style="5" bestFit="1" customWidth="1"/>
    <col min="12036" max="12036" width="9.88671875" style="5" customWidth="1"/>
    <col min="12037" max="12037" width="5.6640625" style="5" customWidth="1"/>
    <col min="12038" max="12038" width="10.6640625" style="5" customWidth="1"/>
    <col min="12039" max="12039" width="5.6640625" style="5" customWidth="1"/>
    <col min="12040" max="12040" width="10.6640625" style="5" customWidth="1"/>
    <col min="12041" max="12041" width="5.6640625" style="5" customWidth="1"/>
    <col min="12042" max="12042" width="10.6640625" style="5" customWidth="1"/>
    <col min="12043" max="12043" width="5.6640625" style="5" customWidth="1"/>
    <col min="12044" max="12044" width="10.6640625" style="5" customWidth="1"/>
    <col min="12045" max="12045" width="5.6640625" style="5" customWidth="1"/>
    <col min="12046" max="12046" width="10.6640625" style="5" customWidth="1"/>
    <col min="12047" max="12047" width="5.6640625" style="5" customWidth="1"/>
    <col min="12048" max="12048" width="10.6640625" style="5" customWidth="1"/>
    <col min="12049" max="12049" width="5.6640625" style="5" customWidth="1"/>
    <col min="12050" max="12050" width="10.6640625" style="5" customWidth="1"/>
    <col min="12051" max="12051" width="5.6640625" style="5" customWidth="1"/>
    <col min="12052" max="12052" width="10.6640625" style="5" customWidth="1"/>
    <col min="12053" max="12053" width="5.6640625" style="5" customWidth="1"/>
    <col min="12054" max="12054" width="10.6640625" style="5" customWidth="1"/>
    <col min="12055" max="12055" width="5.6640625" style="5" customWidth="1"/>
    <col min="12056" max="12056" width="10.6640625" style="5" customWidth="1"/>
    <col min="12057" max="12057" width="5.6640625" style="5" customWidth="1"/>
    <col min="12058" max="12058" width="10.6640625" style="5" customWidth="1"/>
    <col min="12059" max="12059" width="5.6640625" style="5" customWidth="1"/>
    <col min="12060" max="12060" width="10.6640625" style="5" customWidth="1"/>
    <col min="12061" max="12061" width="8.33203125" style="5" customWidth="1"/>
    <col min="12062" max="12062" width="10.5546875" style="5" bestFit="1" customWidth="1"/>
    <col min="12063" max="12063" width="9.109375" style="5"/>
    <col min="12064" max="12064" width="14.44140625" style="5" customWidth="1"/>
    <col min="12065" max="12288" width="9.109375" style="5"/>
    <col min="12289" max="12289" width="4.6640625" style="5" customWidth="1"/>
    <col min="12290" max="12290" width="23" style="5" customWidth="1"/>
    <col min="12291" max="12291" width="6.109375" style="5" bestFit="1" customWidth="1"/>
    <col min="12292" max="12292" width="9.88671875" style="5" customWidth="1"/>
    <col min="12293" max="12293" width="5.6640625" style="5" customWidth="1"/>
    <col min="12294" max="12294" width="10.6640625" style="5" customWidth="1"/>
    <col min="12295" max="12295" width="5.6640625" style="5" customWidth="1"/>
    <col min="12296" max="12296" width="10.6640625" style="5" customWidth="1"/>
    <col min="12297" max="12297" width="5.6640625" style="5" customWidth="1"/>
    <col min="12298" max="12298" width="10.6640625" style="5" customWidth="1"/>
    <col min="12299" max="12299" width="5.6640625" style="5" customWidth="1"/>
    <col min="12300" max="12300" width="10.6640625" style="5" customWidth="1"/>
    <col min="12301" max="12301" width="5.6640625" style="5" customWidth="1"/>
    <col min="12302" max="12302" width="10.6640625" style="5" customWidth="1"/>
    <col min="12303" max="12303" width="5.6640625" style="5" customWidth="1"/>
    <col min="12304" max="12304" width="10.6640625" style="5" customWidth="1"/>
    <col min="12305" max="12305" width="5.6640625" style="5" customWidth="1"/>
    <col min="12306" max="12306" width="10.6640625" style="5" customWidth="1"/>
    <col min="12307" max="12307" width="5.6640625" style="5" customWidth="1"/>
    <col min="12308" max="12308" width="10.6640625" style="5" customWidth="1"/>
    <col min="12309" max="12309" width="5.6640625" style="5" customWidth="1"/>
    <col min="12310" max="12310" width="10.6640625" style="5" customWidth="1"/>
    <col min="12311" max="12311" width="5.6640625" style="5" customWidth="1"/>
    <col min="12312" max="12312" width="10.6640625" style="5" customWidth="1"/>
    <col min="12313" max="12313" width="5.6640625" style="5" customWidth="1"/>
    <col min="12314" max="12314" width="10.6640625" style="5" customWidth="1"/>
    <col min="12315" max="12315" width="5.6640625" style="5" customWidth="1"/>
    <col min="12316" max="12316" width="10.6640625" style="5" customWidth="1"/>
    <col min="12317" max="12317" width="8.33203125" style="5" customWidth="1"/>
    <col min="12318" max="12318" width="10.5546875" style="5" bestFit="1" customWidth="1"/>
    <col min="12319" max="12319" width="9.109375" style="5"/>
    <col min="12320" max="12320" width="14.44140625" style="5" customWidth="1"/>
    <col min="12321" max="12544" width="9.109375" style="5"/>
    <col min="12545" max="12545" width="4.6640625" style="5" customWidth="1"/>
    <col min="12546" max="12546" width="23" style="5" customWidth="1"/>
    <col min="12547" max="12547" width="6.109375" style="5" bestFit="1" customWidth="1"/>
    <col min="12548" max="12548" width="9.88671875" style="5" customWidth="1"/>
    <col min="12549" max="12549" width="5.6640625" style="5" customWidth="1"/>
    <col min="12550" max="12550" width="10.6640625" style="5" customWidth="1"/>
    <col min="12551" max="12551" width="5.6640625" style="5" customWidth="1"/>
    <col min="12552" max="12552" width="10.6640625" style="5" customWidth="1"/>
    <col min="12553" max="12553" width="5.6640625" style="5" customWidth="1"/>
    <col min="12554" max="12554" width="10.6640625" style="5" customWidth="1"/>
    <col min="12555" max="12555" width="5.6640625" style="5" customWidth="1"/>
    <col min="12556" max="12556" width="10.6640625" style="5" customWidth="1"/>
    <col min="12557" max="12557" width="5.6640625" style="5" customWidth="1"/>
    <col min="12558" max="12558" width="10.6640625" style="5" customWidth="1"/>
    <col min="12559" max="12559" width="5.6640625" style="5" customWidth="1"/>
    <col min="12560" max="12560" width="10.6640625" style="5" customWidth="1"/>
    <col min="12561" max="12561" width="5.6640625" style="5" customWidth="1"/>
    <col min="12562" max="12562" width="10.6640625" style="5" customWidth="1"/>
    <col min="12563" max="12563" width="5.6640625" style="5" customWidth="1"/>
    <col min="12564" max="12564" width="10.6640625" style="5" customWidth="1"/>
    <col min="12565" max="12565" width="5.6640625" style="5" customWidth="1"/>
    <col min="12566" max="12566" width="10.6640625" style="5" customWidth="1"/>
    <col min="12567" max="12567" width="5.6640625" style="5" customWidth="1"/>
    <col min="12568" max="12568" width="10.6640625" style="5" customWidth="1"/>
    <col min="12569" max="12569" width="5.6640625" style="5" customWidth="1"/>
    <col min="12570" max="12570" width="10.6640625" style="5" customWidth="1"/>
    <col min="12571" max="12571" width="5.6640625" style="5" customWidth="1"/>
    <col min="12572" max="12572" width="10.6640625" style="5" customWidth="1"/>
    <col min="12573" max="12573" width="8.33203125" style="5" customWidth="1"/>
    <col min="12574" max="12574" width="10.5546875" style="5" bestFit="1" customWidth="1"/>
    <col min="12575" max="12575" width="9.109375" style="5"/>
    <col min="12576" max="12576" width="14.44140625" style="5" customWidth="1"/>
    <col min="12577" max="12800" width="9.109375" style="5"/>
    <col min="12801" max="12801" width="4.6640625" style="5" customWidth="1"/>
    <col min="12802" max="12802" width="23" style="5" customWidth="1"/>
    <col min="12803" max="12803" width="6.109375" style="5" bestFit="1" customWidth="1"/>
    <col min="12804" max="12804" width="9.88671875" style="5" customWidth="1"/>
    <col min="12805" max="12805" width="5.6640625" style="5" customWidth="1"/>
    <col min="12806" max="12806" width="10.6640625" style="5" customWidth="1"/>
    <col min="12807" max="12807" width="5.6640625" style="5" customWidth="1"/>
    <col min="12808" max="12808" width="10.6640625" style="5" customWidth="1"/>
    <col min="12809" max="12809" width="5.6640625" style="5" customWidth="1"/>
    <col min="12810" max="12810" width="10.6640625" style="5" customWidth="1"/>
    <col min="12811" max="12811" width="5.6640625" style="5" customWidth="1"/>
    <col min="12812" max="12812" width="10.6640625" style="5" customWidth="1"/>
    <col min="12813" max="12813" width="5.6640625" style="5" customWidth="1"/>
    <col min="12814" max="12814" width="10.6640625" style="5" customWidth="1"/>
    <col min="12815" max="12815" width="5.6640625" style="5" customWidth="1"/>
    <col min="12816" max="12816" width="10.6640625" style="5" customWidth="1"/>
    <col min="12817" max="12817" width="5.6640625" style="5" customWidth="1"/>
    <col min="12818" max="12818" width="10.6640625" style="5" customWidth="1"/>
    <col min="12819" max="12819" width="5.6640625" style="5" customWidth="1"/>
    <col min="12820" max="12820" width="10.6640625" style="5" customWidth="1"/>
    <col min="12821" max="12821" width="5.6640625" style="5" customWidth="1"/>
    <col min="12822" max="12822" width="10.6640625" style="5" customWidth="1"/>
    <col min="12823" max="12823" width="5.6640625" style="5" customWidth="1"/>
    <col min="12824" max="12824" width="10.6640625" style="5" customWidth="1"/>
    <col min="12825" max="12825" width="5.6640625" style="5" customWidth="1"/>
    <col min="12826" max="12826" width="10.6640625" style="5" customWidth="1"/>
    <col min="12827" max="12827" width="5.6640625" style="5" customWidth="1"/>
    <col min="12828" max="12828" width="10.6640625" style="5" customWidth="1"/>
    <col min="12829" max="12829" width="8.33203125" style="5" customWidth="1"/>
    <col min="12830" max="12830" width="10.5546875" style="5" bestFit="1" customWidth="1"/>
    <col min="12831" max="12831" width="9.109375" style="5"/>
    <col min="12832" max="12832" width="14.44140625" style="5" customWidth="1"/>
    <col min="12833" max="13056" width="9.109375" style="5"/>
    <col min="13057" max="13057" width="4.6640625" style="5" customWidth="1"/>
    <col min="13058" max="13058" width="23" style="5" customWidth="1"/>
    <col min="13059" max="13059" width="6.109375" style="5" bestFit="1" customWidth="1"/>
    <col min="13060" max="13060" width="9.88671875" style="5" customWidth="1"/>
    <col min="13061" max="13061" width="5.6640625" style="5" customWidth="1"/>
    <col min="13062" max="13062" width="10.6640625" style="5" customWidth="1"/>
    <col min="13063" max="13063" width="5.6640625" style="5" customWidth="1"/>
    <col min="13064" max="13064" width="10.6640625" style="5" customWidth="1"/>
    <col min="13065" max="13065" width="5.6640625" style="5" customWidth="1"/>
    <col min="13066" max="13066" width="10.6640625" style="5" customWidth="1"/>
    <col min="13067" max="13067" width="5.6640625" style="5" customWidth="1"/>
    <col min="13068" max="13068" width="10.6640625" style="5" customWidth="1"/>
    <col min="13069" max="13069" width="5.6640625" style="5" customWidth="1"/>
    <col min="13070" max="13070" width="10.6640625" style="5" customWidth="1"/>
    <col min="13071" max="13071" width="5.6640625" style="5" customWidth="1"/>
    <col min="13072" max="13072" width="10.6640625" style="5" customWidth="1"/>
    <col min="13073" max="13073" width="5.6640625" style="5" customWidth="1"/>
    <col min="13074" max="13074" width="10.6640625" style="5" customWidth="1"/>
    <col min="13075" max="13075" width="5.6640625" style="5" customWidth="1"/>
    <col min="13076" max="13076" width="10.6640625" style="5" customWidth="1"/>
    <col min="13077" max="13077" width="5.6640625" style="5" customWidth="1"/>
    <col min="13078" max="13078" width="10.6640625" style="5" customWidth="1"/>
    <col min="13079" max="13079" width="5.6640625" style="5" customWidth="1"/>
    <col min="13080" max="13080" width="10.6640625" style="5" customWidth="1"/>
    <col min="13081" max="13081" width="5.6640625" style="5" customWidth="1"/>
    <col min="13082" max="13082" width="10.6640625" style="5" customWidth="1"/>
    <col min="13083" max="13083" width="5.6640625" style="5" customWidth="1"/>
    <col min="13084" max="13084" width="10.6640625" style="5" customWidth="1"/>
    <col min="13085" max="13085" width="8.33203125" style="5" customWidth="1"/>
    <col min="13086" max="13086" width="10.5546875" style="5" bestFit="1" customWidth="1"/>
    <col min="13087" max="13087" width="9.109375" style="5"/>
    <col min="13088" max="13088" width="14.44140625" style="5" customWidth="1"/>
    <col min="13089" max="13312" width="9.109375" style="5"/>
    <col min="13313" max="13313" width="4.6640625" style="5" customWidth="1"/>
    <col min="13314" max="13314" width="23" style="5" customWidth="1"/>
    <col min="13315" max="13315" width="6.109375" style="5" bestFit="1" customWidth="1"/>
    <col min="13316" max="13316" width="9.88671875" style="5" customWidth="1"/>
    <col min="13317" max="13317" width="5.6640625" style="5" customWidth="1"/>
    <col min="13318" max="13318" width="10.6640625" style="5" customWidth="1"/>
    <col min="13319" max="13319" width="5.6640625" style="5" customWidth="1"/>
    <col min="13320" max="13320" width="10.6640625" style="5" customWidth="1"/>
    <col min="13321" max="13321" width="5.6640625" style="5" customWidth="1"/>
    <col min="13322" max="13322" width="10.6640625" style="5" customWidth="1"/>
    <col min="13323" max="13323" width="5.6640625" style="5" customWidth="1"/>
    <col min="13324" max="13324" width="10.6640625" style="5" customWidth="1"/>
    <col min="13325" max="13325" width="5.6640625" style="5" customWidth="1"/>
    <col min="13326" max="13326" width="10.6640625" style="5" customWidth="1"/>
    <col min="13327" max="13327" width="5.6640625" style="5" customWidth="1"/>
    <col min="13328" max="13328" width="10.6640625" style="5" customWidth="1"/>
    <col min="13329" max="13329" width="5.6640625" style="5" customWidth="1"/>
    <col min="13330" max="13330" width="10.6640625" style="5" customWidth="1"/>
    <col min="13331" max="13331" width="5.6640625" style="5" customWidth="1"/>
    <col min="13332" max="13332" width="10.6640625" style="5" customWidth="1"/>
    <col min="13333" max="13333" width="5.6640625" style="5" customWidth="1"/>
    <col min="13334" max="13334" width="10.6640625" style="5" customWidth="1"/>
    <col min="13335" max="13335" width="5.6640625" style="5" customWidth="1"/>
    <col min="13336" max="13336" width="10.6640625" style="5" customWidth="1"/>
    <col min="13337" max="13337" width="5.6640625" style="5" customWidth="1"/>
    <col min="13338" max="13338" width="10.6640625" style="5" customWidth="1"/>
    <col min="13339" max="13339" width="5.6640625" style="5" customWidth="1"/>
    <col min="13340" max="13340" width="10.6640625" style="5" customWidth="1"/>
    <col min="13341" max="13341" width="8.33203125" style="5" customWidth="1"/>
    <col min="13342" max="13342" width="10.5546875" style="5" bestFit="1" customWidth="1"/>
    <col min="13343" max="13343" width="9.109375" style="5"/>
    <col min="13344" max="13344" width="14.44140625" style="5" customWidth="1"/>
    <col min="13345" max="13568" width="9.109375" style="5"/>
    <col min="13569" max="13569" width="4.6640625" style="5" customWidth="1"/>
    <col min="13570" max="13570" width="23" style="5" customWidth="1"/>
    <col min="13571" max="13571" width="6.109375" style="5" bestFit="1" customWidth="1"/>
    <col min="13572" max="13572" width="9.88671875" style="5" customWidth="1"/>
    <col min="13573" max="13573" width="5.6640625" style="5" customWidth="1"/>
    <col min="13574" max="13574" width="10.6640625" style="5" customWidth="1"/>
    <col min="13575" max="13575" width="5.6640625" style="5" customWidth="1"/>
    <col min="13576" max="13576" width="10.6640625" style="5" customWidth="1"/>
    <col min="13577" max="13577" width="5.6640625" style="5" customWidth="1"/>
    <col min="13578" max="13578" width="10.6640625" style="5" customWidth="1"/>
    <col min="13579" max="13579" width="5.6640625" style="5" customWidth="1"/>
    <col min="13580" max="13580" width="10.6640625" style="5" customWidth="1"/>
    <col min="13581" max="13581" width="5.6640625" style="5" customWidth="1"/>
    <col min="13582" max="13582" width="10.6640625" style="5" customWidth="1"/>
    <col min="13583" max="13583" width="5.6640625" style="5" customWidth="1"/>
    <col min="13584" max="13584" width="10.6640625" style="5" customWidth="1"/>
    <col min="13585" max="13585" width="5.6640625" style="5" customWidth="1"/>
    <col min="13586" max="13586" width="10.6640625" style="5" customWidth="1"/>
    <col min="13587" max="13587" width="5.6640625" style="5" customWidth="1"/>
    <col min="13588" max="13588" width="10.6640625" style="5" customWidth="1"/>
    <col min="13589" max="13589" width="5.6640625" style="5" customWidth="1"/>
    <col min="13590" max="13590" width="10.6640625" style="5" customWidth="1"/>
    <col min="13591" max="13591" width="5.6640625" style="5" customWidth="1"/>
    <col min="13592" max="13592" width="10.6640625" style="5" customWidth="1"/>
    <col min="13593" max="13593" width="5.6640625" style="5" customWidth="1"/>
    <col min="13594" max="13594" width="10.6640625" style="5" customWidth="1"/>
    <col min="13595" max="13595" width="5.6640625" style="5" customWidth="1"/>
    <col min="13596" max="13596" width="10.6640625" style="5" customWidth="1"/>
    <col min="13597" max="13597" width="8.33203125" style="5" customWidth="1"/>
    <col min="13598" max="13598" width="10.5546875" style="5" bestFit="1" customWidth="1"/>
    <col min="13599" max="13599" width="9.109375" style="5"/>
    <col min="13600" max="13600" width="14.44140625" style="5" customWidth="1"/>
    <col min="13601" max="13824" width="9.109375" style="5"/>
    <col min="13825" max="13825" width="4.6640625" style="5" customWidth="1"/>
    <col min="13826" max="13826" width="23" style="5" customWidth="1"/>
    <col min="13827" max="13827" width="6.109375" style="5" bestFit="1" customWidth="1"/>
    <col min="13828" max="13828" width="9.88671875" style="5" customWidth="1"/>
    <col min="13829" max="13829" width="5.6640625" style="5" customWidth="1"/>
    <col min="13830" max="13830" width="10.6640625" style="5" customWidth="1"/>
    <col min="13831" max="13831" width="5.6640625" style="5" customWidth="1"/>
    <col min="13832" max="13832" width="10.6640625" style="5" customWidth="1"/>
    <col min="13833" max="13833" width="5.6640625" style="5" customWidth="1"/>
    <col min="13834" max="13834" width="10.6640625" style="5" customWidth="1"/>
    <col min="13835" max="13835" width="5.6640625" style="5" customWidth="1"/>
    <col min="13836" max="13836" width="10.6640625" style="5" customWidth="1"/>
    <col min="13837" max="13837" width="5.6640625" style="5" customWidth="1"/>
    <col min="13838" max="13838" width="10.6640625" style="5" customWidth="1"/>
    <col min="13839" max="13839" width="5.6640625" style="5" customWidth="1"/>
    <col min="13840" max="13840" width="10.6640625" style="5" customWidth="1"/>
    <col min="13841" max="13841" width="5.6640625" style="5" customWidth="1"/>
    <col min="13842" max="13842" width="10.6640625" style="5" customWidth="1"/>
    <col min="13843" max="13843" width="5.6640625" style="5" customWidth="1"/>
    <col min="13844" max="13844" width="10.6640625" style="5" customWidth="1"/>
    <col min="13845" max="13845" width="5.6640625" style="5" customWidth="1"/>
    <col min="13846" max="13846" width="10.6640625" style="5" customWidth="1"/>
    <col min="13847" max="13847" width="5.6640625" style="5" customWidth="1"/>
    <col min="13848" max="13848" width="10.6640625" style="5" customWidth="1"/>
    <col min="13849" max="13849" width="5.6640625" style="5" customWidth="1"/>
    <col min="13850" max="13850" width="10.6640625" style="5" customWidth="1"/>
    <col min="13851" max="13851" width="5.6640625" style="5" customWidth="1"/>
    <col min="13852" max="13852" width="10.6640625" style="5" customWidth="1"/>
    <col min="13853" max="13853" width="8.33203125" style="5" customWidth="1"/>
    <col min="13854" max="13854" width="10.5546875" style="5" bestFit="1" customWidth="1"/>
    <col min="13855" max="13855" width="9.109375" style="5"/>
    <col min="13856" max="13856" width="14.44140625" style="5" customWidth="1"/>
    <col min="13857" max="14080" width="9.109375" style="5"/>
    <col min="14081" max="14081" width="4.6640625" style="5" customWidth="1"/>
    <col min="14082" max="14082" width="23" style="5" customWidth="1"/>
    <col min="14083" max="14083" width="6.109375" style="5" bestFit="1" customWidth="1"/>
    <col min="14084" max="14084" width="9.88671875" style="5" customWidth="1"/>
    <col min="14085" max="14085" width="5.6640625" style="5" customWidth="1"/>
    <col min="14086" max="14086" width="10.6640625" style="5" customWidth="1"/>
    <col min="14087" max="14087" width="5.6640625" style="5" customWidth="1"/>
    <col min="14088" max="14088" width="10.6640625" style="5" customWidth="1"/>
    <col min="14089" max="14089" width="5.6640625" style="5" customWidth="1"/>
    <col min="14090" max="14090" width="10.6640625" style="5" customWidth="1"/>
    <col min="14091" max="14091" width="5.6640625" style="5" customWidth="1"/>
    <col min="14092" max="14092" width="10.6640625" style="5" customWidth="1"/>
    <col min="14093" max="14093" width="5.6640625" style="5" customWidth="1"/>
    <col min="14094" max="14094" width="10.6640625" style="5" customWidth="1"/>
    <col min="14095" max="14095" width="5.6640625" style="5" customWidth="1"/>
    <col min="14096" max="14096" width="10.6640625" style="5" customWidth="1"/>
    <col min="14097" max="14097" width="5.6640625" style="5" customWidth="1"/>
    <col min="14098" max="14098" width="10.6640625" style="5" customWidth="1"/>
    <col min="14099" max="14099" width="5.6640625" style="5" customWidth="1"/>
    <col min="14100" max="14100" width="10.6640625" style="5" customWidth="1"/>
    <col min="14101" max="14101" width="5.6640625" style="5" customWidth="1"/>
    <col min="14102" max="14102" width="10.6640625" style="5" customWidth="1"/>
    <col min="14103" max="14103" width="5.6640625" style="5" customWidth="1"/>
    <col min="14104" max="14104" width="10.6640625" style="5" customWidth="1"/>
    <col min="14105" max="14105" width="5.6640625" style="5" customWidth="1"/>
    <col min="14106" max="14106" width="10.6640625" style="5" customWidth="1"/>
    <col min="14107" max="14107" width="5.6640625" style="5" customWidth="1"/>
    <col min="14108" max="14108" width="10.6640625" style="5" customWidth="1"/>
    <col min="14109" max="14109" width="8.33203125" style="5" customWidth="1"/>
    <col min="14110" max="14110" width="10.5546875" style="5" bestFit="1" customWidth="1"/>
    <col min="14111" max="14111" width="9.109375" style="5"/>
    <col min="14112" max="14112" width="14.44140625" style="5" customWidth="1"/>
    <col min="14113" max="14336" width="9.109375" style="5"/>
    <col min="14337" max="14337" width="4.6640625" style="5" customWidth="1"/>
    <col min="14338" max="14338" width="23" style="5" customWidth="1"/>
    <col min="14339" max="14339" width="6.109375" style="5" bestFit="1" customWidth="1"/>
    <col min="14340" max="14340" width="9.88671875" style="5" customWidth="1"/>
    <col min="14341" max="14341" width="5.6640625" style="5" customWidth="1"/>
    <col min="14342" max="14342" width="10.6640625" style="5" customWidth="1"/>
    <col min="14343" max="14343" width="5.6640625" style="5" customWidth="1"/>
    <col min="14344" max="14344" width="10.6640625" style="5" customWidth="1"/>
    <col min="14345" max="14345" width="5.6640625" style="5" customWidth="1"/>
    <col min="14346" max="14346" width="10.6640625" style="5" customWidth="1"/>
    <col min="14347" max="14347" width="5.6640625" style="5" customWidth="1"/>
    <col min="14348" max="14348" width="10.6640625" style="5" customWidth="1"/>
    <col min="14349" max="14349" width="5.6640625" style="5" customWidth="1"/>
    <col min="14350" max="14350" width="10.6640625" style="5" customWidth="1"/>
    <col min="14351" max="14351" width="5.6640625" style="5" customWidth="1"/>
    <col min="14352" max="14352" width="10.6640625" style="5" customWidth="1"/>
    <col min="14353" max="14353" width="5.6640625" style="5" customWidth="1"/>
    <col min="14354" max="14354" width="10.6640625" style="5" customWidth="1"/>
    <col min="14355" max="14355" width="5.6640625" style="5" customWidth="1"/>
    <col min="14356" max="14356" width="10.6640625" style="5" customWidth="1"/>
    <col min="14357" max="14357" width="5.6640625" style="5" customWidth="1"/>
    <col min="14358" max="14358" width="10.6640625" style="5" customWidth="1"/>
    <col min="14359" max="14359" width="5.6640625" style="5" customWidth="1"/>
    <col min="14360" max="14360" width="10.6640625" style="5" customWidth="1"/>
    <col min="14361" max="14361" width="5.6640625" style="5" customWidth="1"/>
    <col min="14362" max="14362" width="10.6640625" style="5" customWidth="1"/>
    <col min="14363" max="14363" width="5.6640625" style="5" customWidth="1"/>
    <col min="14364" max="14364" width="10.6640625" style="5" customWidth="1"/>
    <col min="14365" max="14365" width="8.33203125" style="5" customWidth="1"/>
    <col min="14366" max="14366" width="10.5546875" style="5" bestFit="1" customWidth="1"/>
    <col min="14367" max="14367" width="9.109375" style="5"/>
    <col min="14368" max="14368" width="14.44140625" style="5" customWidth="1"/>
    <col min="14369" max="14592" width="9.109375" style="5"/>
    <col min="14593" max="14593" width="4.6640625" style="5" customWidth="1"/>
    <col min="14594" max="14594" width="23" style="5" customWidth="1"/>
    <col min="14595" max="14595" width="6.109375" style="5" bestFit="1" customWidth="1"/>
    <col min="14596" max="14596" width="9.88671875" style="5" customWidth="1"/>
    <col min="14597" max="14597" width="5.6640625" style="5" customWidth="1"/>
    <col min="14598" max="14598" width="10.6640625" style="5" customWidth="1"/>
    <col min="14599" max="14599" width="5.6640625" style="5" customWidth="1"/>
    <col min="14600" max="14600" width="10.6640625" style="5" customWidth="1"/>
    <col min="14601" max="14601" width="5.6640625" style="5" customWidth="1"/>
    <col min="14602" max="14602" width="10.6640625" style="5" customWidth="1"/>
    <col min="14603" max="14603" width="5.6640625" style="5" customWidth="1"/>
    <col min="14604" max="14604" width="10.6640625" style="5" customWidth="1"/>
    <col min="14605" max="14605" width="5.6640625" style="5" customWidth="1"/>
    <col min="14606" max="14606" width="10.6640625" style="5" customWidth="1"/>
    <col min="14607" max="14607" width="5.6640625" style="5" customWidth="1"/>
    <col min="14608" max="14608" width="10.6640625" style="5" customWidth="1"/>
    <col min="14609" max="14609" width="5.6640625" style="5" customWidth="1"/>
    <col min="14610" max="14610" width="10.6640625" style="5" customWidth="1"/>
    <col min="14611" max="14611" width="5.6640625" style="5" customWidth="1"/>
    <col min="14612" max="14612" width="10.6640625" style="5" customWidth="1"/>
    <col min="14613" max="14613" width="5.6640625" style="5" customWidth="1"/>
    <col min="14614" max="14614" width="10.6640625" style="5" customWidth="1"/>
    <col min="14615" max="14615" width="5.6640625" style="5" customWidth="1"/>
    <col min="14616" max="14616" width="10.6640625" style="5" customWidth="1"/>
    <col min="14617" max="14617" width="5.6640625" style="5" customWidth="1"/>
    <col min="14618" max="14618" width="10.6640625" style="5" customWidth="1"/>
    <col min="14619" max="14619" width="5.6640625" style="5" customWidth="1"/>
    <col min="14620" max="14620" width="10.6640625" style="5" customWidth="1"/>
    <col min="14621" max="14621" width="8.33203125" style="5" customWidth="1"/>
    <col min="14622" max="14622" width="10.5546875" style="5" bestFit="1" customWidth="1"/>
    <col min="14623" max="14623" width="9.109375" style="5"/>
    <col min="14624" max="14624" width="14.44140625" style="5" customWidth="1"/>
    <col min="14625" max="14848" width="9.109375" style="5"/>
    <col min="14849" max="14849" width="4.6640625" style="5" customWidth="1"/>
    <col min="14850" max="14850" width="23" style="5" customWidth="1"/>
    <col min="14851" max="14851" width="6.109375" style="5" bestFit="1" customWidth="1"/>
    <col min="14852" max="14852" width="9.88671875" style="5" customWidth="1"/>
    <col min="14853" max="14853" width="5.6640625" style="5" customWidth="1"/>
    <col min="14854" max="14854" width="10.6640625" style="5" customWidth="1"/>
    <col min="14855" max="14855" width="5.6640625" style="5" customWidth="1"/>
    <col min="14856" max="14856" width="10.6640625" style="5" customWidth="1"/>
    <col min="14857" max="14857" width="5.6640625" style="5" customWidth="1"/>
    <col min="14858" max="14858" width="10.6640625" style="5" customWidth="1"/>
    <col min="14859" max="14859" width="5.6640625" style="5" customWidth="1"/>
    <col min="14860" max="14860" width="10.6640625" style="5" customWidth="1"/>
    <col min="14861" max="14861" width="5.6640625" style="5" customWidth="1"/>
    <col min="14862" max="14862" width="10.6640625" style="5" customWidth="1"/>
    <col min="14863" max="14863" width="5.6640625" style="5" customWidth="1"/>
    <col min="14864" max="14864" width="10.6640625" style="5" customWidth="1"/>
    <col min="14865" max="14865" width="5.6640625" style="5" customWidth="1"/>
    <col min="14866" max="14866" width="10.6640625" style="5" customWidth="1"/>
    <col min="14867" max="14867" width="5.6640625" style="5" customWidth="1"/>
    <col min="14868" max="14868" width="10.6640625" style="5" customWidth="1"/>
    <col min="14869" max="14869" width="5.6640625" style="5" customWidth="1"/>
    <col min="14870" max="14870" width="10.6640625" style="5" customWidth="1"/>
    <col min="14871" max="14871" width="5.6640625" style="5" customWidth="1"/>
    <col min="14872" max="14872" width="10.6640625" style="5" customWidth="1"/>
    <col min="14873" max="14873" width="5.6640625" style="5" customWidth="1"/>
    <col min="14874" max="14874" width="10.6640625" style="5" customWidth="1"/>
    <col min="14875" max="14875" width="5.6640625" style="5" customWidth="1"/>
    <col min="14876" max="14876" width="10.6640625" style="5" customWidth="1"/>
    <col min="14877" max="14877" width="8.33203125" style="5" customWidth="1"/>
    <col min="14878" max="14878" width="10.5546875" style="5" bestFit="1" customWidth="1"/>
    <col min="14879" max="14879" width="9.109375" style="5"/>
    <col min="14880" max="14880" width="14.44140625" style="5" customWidth="1"/>
    <col min="14881" max="15104" width="9.109375" style="5"/>
    <col min="15105" max="15105" width="4.6640625" style="5" customWidth="1"/>
    <col min="15106" max="15106" width="23" style="5" customWidth="1"/>
    <col min="15107" max="15107" width="6.109375" style="5" bestFit="1" customWidth="1"/>
    <col min="15108" max="15108" width="9.88671875" style="5" customWidth="1"/>
    <col min="15109" max="15109" width="5.6640625" style="5" customWidth="1"/>
    <col min="15110" max="15110" width="10.6640625" style="5" customWidth="1"/>
    <col min="15111" max="15111" width="5.6640625" style="5" customWidth="1"/>
    <col min="15112" max="15112" width="10.6640625" style="5" customWidth="1"/>
    <col min="15113" max="15113" width="5.6640625" style="5" customWidth="1"/>
    <col min="15114" max="15114" width="10.6640625" style="5" customWidth="1"/>
    <col min="15115" max="15115" width="5.6640625" style="5" customWidth="1"/>
    <col min="15116" max="15116" width="10.6640625" style="5" customWidth="1"/>
    <col min="15117" max="15117" width="5.6640625" style="5" customWidth="1"/>
    <col min="15118" max="15118" width="10.6640625" style="5" customWidth="1"/>
    <col min="15119" max="15119" width="5.6640625" style="5" customWidth="1"/>
    <col min="15120" max="15120" width="10.6640625" style="5" customWidth="1"/>
    <col min="15121" max="15121" width="5.6640625" style="5" customWidth="1"/>
    <col min="15122" max="15122" width="10.6640625" style="5" customWidth="1"/>
    <col min="15123" max="15123" width="5.6640625" style="5" customWidth="1"/>
    <col min="15124" max="15124" width="10.6640625" style="5" customWidth="1"/>
    <col min="15125" max="15125" width="5.6640625" style="5" customWidth="1"/>
    <col min="15126" max="15126" width="10.6640625" style="5" customWidth="1"/>
    <col min="15127" max="15127" width="5.6640625" style="5" customWidth="1"/>
    <col min="15128" max="15128" width="10.6640625" style="5" customWidth="1"/>
    <col min="15129" max="15129" width="5.6640625" style="5" customWidth="1"/>
    <col min="15130" max="15130" width="10.6640625" style="5" customWidth="1"/>
    <col min="15131" max="15131" width="5.6640625" style="5" customWidth="1"/>
    <col min="15132" max="15132" width="10.6640625" style="5" customWidth="1"/>
    <col min="15133" max="15133" width="8.33203125" style="5" customWidth="1"/>
    <col min="15134" max="15134" width="10.5546875" style="5" bestFit="1" customWidth="1"/>
    <col min="15135" max="15135" width="9.109375" style="5"/>
    <col min="15136" max="15136" width="14.44140625" style="5" customWidth="1"/>
    <col min="15137" max="15360" width="9.109375" style="5"/>
    <col min="15361" max="15361" width="4.6640625" style="5" customWidth="1"/>
    <col min="15362" max="15362" width="23" style="5" customWidth="1"/>
    <col min="15363" max="15363" width="6.109375" style="5" bestFit="1" customWidth="1"/>
    <col min="15364" max="15364" width="9.88671875" style="5" customWidth="1"/>
    <col min="15365" max="15365" width="5.6640625" style="5" customWidth="1"/>
    <col min="15366" max="15366" width="10.6640625" style="5" customWidth="1"/>
    <col min="15367" max="15367" width="5.6640625" style="5" customWidth="1"/>
    <col min="15368" max="15368" width="10.6640625" style="5" customWidth="1"/>
    <col min="15369" max="15369" width="5.6640625" style="5" customWidth="1"/>
    <col min="15370" max="15370" width="10.6640625" style="5" customWidth="1"/>
    <col min="15371" max="15371" width="5.6640625" style="5" customWidth="1"/>
    <col min="15372" max="15372" width="10.6640625" style="5" customWidth="1"/>
    <col min="15373" max="15373" width="5.6640625" style="5" customWidth="1"/>
    <col min="15374" max="15374" width="10.6640625" style="5" customWidth="1"/>
    <col min="15375" max="15375" width="5.6640625" style="5" customWidth="1"/>
    <col min="15376" max="15376" width="10.6640625" style="5" customWidth="1"/>
    <col min="15377" max="15377" width="5.6640625" style="5" customWidth="1"/>
    <col min="15378" max="15378" width="10.6640625" style="5" customWidth="1"/>
    <col min="15379" max="15379" width="5.6640625" style="5" customWidth="1"/>
    <col min="15380" max="15380" width="10.6640625" style="5" customWidth="1"/>
    <col min="15381" max="15381" width="5.6640625" style="5" customWidth="1"/>
    <col min="15382" max="15382" width="10.6640625" style="5" customWidth="1"/>
    <col min="15383" max="15383" width="5.6640625" style="5" customWidth="1"/>
    <col min="15384" max="15384" width="10.6640625" style="5" customWidth="1"/>
    <col min="15385" max="15385" width="5.6640625" style="5" customWidth="1"/>
    <col min="15386" max="15386" width="10.6640625" style="5" customWidth="1"/>
    <col min="15387" max="15387" width="5.6640625" style="5" customWidth="1"/>
    <col min="15388" max="15388" width="10.6640625" style="5" customWidth="1"/>
    <col min="15389" max="15389" width="8.33203125" style="5" customWidth="1"/>
    <col min="15390" max="15390" width="10.5546875" style="5" bestFit="1" customWidth="1"/>
    <col min="15391" max="15391" width="9.109375" style="5"/>
    <col min="15392" max="15392" width="14.44140625" style="5" customWidth="1"/>
    <col min="15393" max="15616" width="9.109375" style="5"/>
    <col min="15617" max="15617" width="4.6640625" style="5" customWidth="1"/>
    <col min="15618" max="15618" width="23" style="5" customWidth="1"/>
    <col min="15619" max="15619" width="6.109375" style="5" bestFit="1" customWidth="1"/>
    <col min="15620" max="15620" width="9.88671875" style="5" customWidth="1"/>
    <col min="15621" max="15621" width="5.6640625" style="5" customWidth="1"/>
    <col min="15622" max="15622" width="10.6640625" style="5" customWidth="1"/>
    <col min="15623" max="15623" width="5.6640625" style="5" customWidth="1"/>
    <col min="15624" max="15624" width="10.6640625" style="5" customWidth="1"/>
    <col min="15625" max="15625" width="5.6640625" style="5" customWidth="1"/>
    <col min="15626" max="15626" width="10.6640625" style="5" customWidth="1"/>
    <col min="15627" max="15627" width="5.6640625" style="5" customWidth="1"/>
    <col min="15628" max="15628" width="10.6640625" style="5" customWidth="1"/>
    <col min="15629" max="15629" width="5.6640625" style="5" customWidth="1"/>
    <col min="15630" max="15630" width="10.6640625" style="5" customWidth="1"/>
    <col min="15631" max="15631" width="5.6640625" style="5" customWidth="1"/>
    <col min="15632" max="15632" width="10.6640625" style="5" customWidth="1"/>
    <col min="15633" max="15633" width="5.6640625" style="5" customWidth="1"/>
    <col min="15634" max="15634" width="10.6640625" style="5" customWidth="1"/>
    <col min="15635" max="15635" width="5.6640625" style="5" customWidth="1"/>
    <col min="15636" max="15636" width="10.6640625" style="5" customWidth="1"/>
    <col min="15637" max="15637" width="5.6640625" style="5" customWidth="1"/>
    <col min="15638" max="15638" width="10.6640625" style="5" customWidth="1"/>
    <col min="15639" max="15639" width="5.6640625" style="5" customWidth="1"/>
    <col min="15640" max="15640" width="10.6640625" style="5" customWidth="1"/>
    <col min="15641" max="15641" width="5.6640625" style="5" customWidth="1"/>
    <col min="15642" max="15642" width="10.6640625" style="5" customWidth="1"/>
    <col min="15643" max="15643" width="5.6640625" style="5" customWidth="1"/>
    <col min="15644" max="15644" width="10.6640625" style="5" customWidth="1"/>
    <col min="15645" max="15645" width="8.33203125" style="5" customWidth="1"/>
    <col min="15646" max="15646" width="10.5546875" style="5" bestFit="1" customWidth="1"/>
    <col min="15647" max="15647" width="9.109375" style="5"/>
    <col min="15648" max="15648" width="14.44140625" style="5" customWidth="1"/>
    <col min="15649" max="15872" width="9.109375" style="5"/>
    <col min="15873" max="15873" width="4.6640625" style="5" customWidth="1"/>
    <col min="15874" max="15874" width="23" style="5" customWidth="1"/>
    <col min="15875" max="15875" width="6.109375" style="5" bestFit="1" customWidth="1"/>
    <col min="15876" max="15876" width="9.88671875" style="5" customWidth="1"/>
    <col min="15877" max="15877" width="5.6640625" style="5" customWidth="1"/>
    <col min="15878" max="15878" width="10.6640625" style="5" customWidth="1"/>
    <col min="15879" max="15879" width="5.6640625" style="5" customWidth="1"/>
    <col min="15880" max="15880" width="10.6640625" style="5" customWidth="1"/>
    <col min="15881" max="15881" width="5.6640625" style="5" customWidth="1"/>
    <col min="15882" max="15882" width="10.6640625" style="5" customWidth="1"/>
    <col min="15883" max="15883" width="5.6640625" style="5" customWidth="1"/>
    <col min="15884" max="15884" width="10.6640625" style="5" customWidth="1"/>
    <col min="15885" max="15885" width="5.6640625" style="5" customWidth="1"/>
    <col min="15886" max="15886" width="10.6640625" style="5" customWidth="1"/>
    <col min="15887" max="15887" width="5.6640625" style="5" customWidth="1"/>
    <col min="15888" max="15888" width="10.6640625" style="5" customWidth="1"/>
    <col min="15889" max="15889" width="5.6640625" style="5" customWidth="1"/>
    <col min="15890" max="15890" width="10.6640625" style="5" customWidth="1"/>
    <col min="15891" max="15891" width="5.6640625" style="5" customWidth="1"/>
    <col min="15892" max="15892" width="10.6640625" style="5" customWidth="1"/>
    <col min="15893" max="15893" width="5.6640625" style="5" customWidth="1"/>
    <col min="15894" max="15894" width="10.6640625" style="5" customWidth="1"/>
    <col min="15895" max="15895" width="5.6640625" style="5" customWidth="1"/>
    <col min="15896" max="15896" width="10.6640625" style="5" customWidth="1"/>
    <col min="15897" max="15897" width="5.6640625" style="5" customWidth="1"/>
    <col min="15898" max="15898" width="10.6640625" style="5" customWidth="1"/>
    <col min="15899" max="15899" width="5.6640625" style="5" customWidth="1"/>
    <col min="15900" max="15900" width="10.6640625" style="5" customWidth="1"/>
    <col min="15901" max="15901" width="8.33203125" style="5" customWidth="1"/>
    <col min="15902" max="15902" width="10.5546875" style="5" bestFit="1" customWidth="1"/>
    <col min="15903" max="15903" width="9.109375" style="5"/>
    <col min="15904" max="15904" width="14.44140625" style="5" customWidth="1"/>
    <col min="15905" max="16128" width="9.109375" style="5"/>
    <col min="16129" max="16129" width="4.6640625" style="5" customWidth="1"/>
    <col min="16130" max="16130" width="23" style="5" customWidth="1"/>
    <col min="16131" max="16131" width="6.109375" style="5" bestFit="1" customWidth="1"/>
    <col min="16132" max="16132" width="9.88671875" style="5" customWidth="1"/>
    <col min="16133" max="16133" width="5.6640625" style="5" customWidth="1"/>
    <col min="16134" max="16134" width="10.6640625" style="5" customWidth="1"/>
    <col min="16135" max="16135" width="5.6640625" style="5" customWidth="1"/>
    <col min="16136" max="16136" width="10.6640625" style="5" customWidth="1"/>
    <col min="16137" max="16137" width="5.6640625" style="5" customWidth="1"/>
    <col min="16138" max="16138" width="10.6640625" style="5" customWidth="1"/>
    <col min="16139" max="16139" width="5.6640625" style="5" customWidth="1"/>
    <col min="16140" max="16140" width="10.6640625" style="5" customWidth="1"/>
    <col min="16141" max="16141" width="5.6640625" style="5" customWidth="1"/>
    <col min="16142" max="16142" width="10.6640625" style="5" customWidth="1"/>
    <col min="16143" max="16143" width="5.6640625" style="5" customWidth="1"/>
    <col min="16144" max="16144" width="10.6640625" style="5" customWidth="1"/>
    <col min="16145" max="16145" width="5.6640625" style="5" customWidth="1"/>
    <col min="16146" max="16146" width="10.6640625" style="5" customWidth="1"/>
    <col min="16147" max="16147" width="5.6640625" style="5" customWidth="1"/>
    <col min="16148" max="16148" width="10.6640625" style="5" customWidth="1"/>
    <col min="16149" max="16149" width="5.6640625" style="5" customWidth="1"/>
    <col min="16150" max="16150" width="10.6640625" style="5" customWidth="1"/>
    <col min="16151" max="16151" width="5.6640625" style="5" customWidth="1"/>
    <col min="16152" max="16152" width="10.6640625" style="5" customWidth="1"/>
    <col min="16153" max="16153" width="5.6640625" style="5" customWidth="1"/>
    <col min="16154" max="16154" width="10.6640625" style="5" customWidth="1"/>
    <col min="16155" max="16155" width="5.6640625" style="5" customWidth="1"/>
    <col min="16156" max="16156" width="10.6640625" style="5" customWidth="1"/>
    <col min="16157" max="16157" width="8.33203125" style="5" customWidth="1"/>
    <col min="16158" max="16158" width="10.5546875" style="5" bestFit="1" customWidth="1"/>
    <col min="16159" max="16159" width="9.109375" style="5"/>
    <col min="16160" max="16160" width="14.44140625" style="5" customWidth="1"/>
    <col min="16161" max="16384" width="9.109375" style="5"/>
  </cols>
  <sheetData>
    <row r="1" spans="1:33" ht="7.5" customHeight="1" x14ac:dyDescent="0.3">
      <c r="A1" s="409"/>
      <c r="B1" s="409"/>
      <c r="C1" s="409"/>
      <c r="D1" s="409"/>
      <c r="E1" s="410"/>
      <c r="F1" s="409"/>
      <c r="AF1" s="86"/>
    </row>
    <row r="2" spans="1:33" ht="18.75" customHeight="1" x14ac:dyDescent="0.4">
      <c r="A2" s="647" t="s">
        <v>492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9"/>
      <c r="R2" s="647" t="s">
        <v>492</v>
      </c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9"/>
      <c r="AF2" s="86"/>
    </row>
    <row r="3" spans="1:33" ht="7.5" customHeight="1" x14ac:dyDescent="0.3">
      <c r="A3" s="458"/>
      <c r="B3" s="459"/>
      <c r="C3" s="459"/>
      <c r="D3" s="459"/>
      <c r="E3" s="459"/>
      <c r="F3" s="459"/>
      <c r="G3" s="459"/>
      <c r="H3" s="459"/>
      <c r="I3" s="459"/>
      <c r="J3" s="460"/>
      <c r="K3" s="459"/>
      <c r="L3" s="461"/>
      <c r="M3" s="462"/>
      <c r="N3" s="463"/>
      <c r="O3" s="462"/>
      <c r="P3" s="461"/>
      <c r="Q3" s="464"/>
      <c r="R3" s="470"/>
      <c r="S3" s="463"/>
      <c r="T3" s="461"/>
      <c r="U3" s="463"/>
      <c r="V3" s="461"/>
      <c r="W3" s="463"/>
      <c r="X3" s="461"/>
      <c r="Y3" s="463"/>
      <c r="Z3" s="461"/>
      <c r="AA3" s="463"/>
      <c r="AB3" s="461"/>
      <c r="AC3" s="463"/>
      <c r="AD3" s="474"/>
      <c r="AF3" s="86"/>
    </row>
    <row r="4" spans="1:33" x14ac:dyDescent="0.3">
      <c r="A4" s="465" t="str">
        <f>[1]PLANILHA!A11</f>
        <v>OBRA:     REVITALIZAÇÃO COM AMPLIAÇÃO DOS BLOCOS DA SEDE DO DETRAN/SEDE</v>
      </c>
      <c r="B4" s="466"/>
      <c r="C4" s="463"/>
      <c r="D4" s="467"/>
      <c r="E4" s="463"/>
      <c r="F4" s="468"/>
      <c r="G4" s="461"/>
      <c r="H4" s="468"/>
      <c r="I4" s="463"/>
      <c r="J4" s="468"/>
      <c r="K4" s="463"/>
      <c r="L4" s="461"/>
      <c r="M4" s="462"/>
      <c r="N4" s="469"/>
      <c r="O4" s="462"/>
      <c r="P4" s="461"/>
      <c r="Q4" s="464"/>
      <c r="R4" s="465" t="s">
        <v>2</v>
      </c>
      <c r="S4" s="466"/>
      <c r="T4" s="463"/>
      <c r="U4" s="467"/>
      <c r="V4" s="463"/>
      <c r="W4" s="463"/>
      <c r="X4" s="461"/>
      <c r="Y4" s="463"/>
      <c r="Z4" s="461"/>
      <c r="AA4" s="463"/>
      <c r="AB4" s="461"/>
      <c r="AC4" s="463"/>
      <c r="AD4" s="474"/>
      <c r="AF4" s="86"/>
    </row>
    <row r="5" spans="1:33" x14ac:dyDescent="0.3">
      <c r="A5" s="470" t="str">
        <f>[1]PLANILHA!A12</f>
        <v>LOCAL:   AV.DR. HÉLIO RIBEIRO, 100               CEP 78048-910</v>
      </c>
      <c r="B5" s="471"/>
      <c r="C5" s="463"/>
      <c r="D5" s="472"/>
      <c r="E5" s="463"/>
      <c r="F5" s="468"/>
      <c r="G5" s="461"/>
      <c r="H5" s="468"/>
      <c r="I5" s="463"/>
      <c r="J5" s="468"/>
      <c r="K5" s="463"/>
      <c r="L5" s="461"/>
      <c r="M5" s="473"/>
      <c r="N5" s="469"/>
      <c r="O5" s="462"/>
      <c r="P5" s="461"/>
      <c r="Q5" s="464"/>
      <c r="R5" s="470" t="s">
        <v>3</v>
      </c>
      <c r="S5" s="471"/>
      <c r="T5" s="463"/>
      <c r="U5" s="472"/>
      <c r="V5" s="463"/>
      <c r="W5" s="463"/>
      <c r="X5" s="461"/>
      <c r="Y5" s="463"/>
      <c r="Z5" s="461"/>
      <c r="AA5" s="463"/>
      <c r="AB5" s="461"/>
      <c r="AC5" s="463"/>
      <c r="AD5" s="474"/>
      <c r="AF5" s="86"/>
    </row>
    <row r="6" spans="1:33" ht="16.2" thickBot="1" x14ac:dyDescent="0.35">
      <c r="A6" s="470" t="s">
        <v>852</v>
      </c>
      <c r="B6" s="469"/>
      <c r="C6" s="463" t="str">
        <f>PLANILHA!H13</f>
        <v xml:space="preserve">AGO/2020 </v>
      </c>
      <c r="D6" s="467"/>
      <c r="E6" s="463"/>
      <c r="F6" s="468"/>
      <c r="G6" s="461"/>
      <c r="H6" s="468"/>
      <c r="I6" s="463"/>
      <c r="J6" s="468"/>
      <c r="K6" s="463"/>
      <c r="L6" s="461"/>
      <c r="M6" s="462"/>
      <c r="N6" s="469"/>
      <c r="O6" s="462"/>
      <c r="P6" s="461"/>
      <c r="Q6" s="464"/>
      <c r="R6" s="458" t="s">
        <v>852</v>
      </c>
      <c r="S6" s="469"/>
      <c r="T6" s="463" t="s">
        <v>6</v>
      </c>
      <c r="U6" s="467"/>
      <c r="V6" s="463"/>
      <c r="W6" s="463"/>
      <c r="X6" s="461"/>
      <c r="Y6" s="463"/>
      <c r="Z6" s="461"/>
      <c r="AA6" s="463"/>
      <c r="AB6" s="461"/>
      <c r="AC6" s="463"/>
      <c r="AD6" s="474"/>
      <c r="AF6" s="86"/>
    </row>
    <row r="7" spans="1:33" s="88" customFormat="1" x14ac:dyDescent="0.3">
      <c r="A7" s="641" t="s">
        <v>8</v>
      </c>
      <c r="B7" s="641" t="s">
        <v>493</v>
      </c>
      <c r="C7" s="645" t="s">
        <v>494</v>
      </c>
      <c r="D7" s="643" t="s">
        <v>495</v>
      </c>
      <c r="E7" s="650" t="s">
        <v>496</v>
      </c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2"/>
      <c r="R7" s="653" t="s">
        <v>496</v>
      </c>
      <c r="S7" s="651"/>
      <c r="T7" s="651"/>
      <c r="U7" s="651"/>
      <c r="V7" s="651"/>
      <c r="W7" s="651"/>
      <c r="X7" s="651"/>
      <c r="Y7" s="651"/>
      <c r="Z7" s="651"/>
      <c r="AA7" s="651"/>
      <c r="AB7" s="651"/>
      <c r="AC7" s="457"/>
      <c r="AD7" s="654" t="s">
        <v>497</v>
      </c>
      <c r="AF7" s="13"/>
      <c r="AG7" s="89"/>
    </row>
    <row r="8" spans="1:33" s="88" customFormat="1" ht="16.2" thickBot="1" x14ac:dyDescent="0.35">
      <c r="A8" s="642"/>
      <c r="B8" s="642"/>
      <c r="C8" s="646"/>
      <c r="D8" s="644"/>
      <c r="E8" s="413" t="s">
        <v>494</v>
      </c>
      <c r="F8" s="414">
        <v>30</v>
      </c>
      <c r="G8" s="415" t="s">
        <v>494</v>
      </c>
      <c r="H8" s="414">
        <v>60</v>
      </c>
      <c r="I8" s="416" t="s">
        <v>494</v>
      </c>
      <c r="J8" s="414">
        <v>90</v>
      </c>
      <c r="K8" s="416" t="s">
        <v>494</v>
      </c>
      <c r="L8" s="414">
        <v>120</v>
      </c>
      <c r="M8" s="416"/>
      <c r="N8" s="414">
        <v>150</v>
      </c>
      <c r="O8" s="416" t="s">
        <v>494</v>
      </c>
      <c r="P8" s="414">
        <v>180</v>
      </c>
      <c r="Q8" s="415" t="s">
        <v>494</v>
      </c>
      <c r="R8" s="414">
        <v>210</v>
      </c>
      <c r="S8" s="416" t="s">
        <v>494</v>
      </c>
      <c r="T8" s="414">
        <v>240</v>
      </c>
      <c r="U8" s="416" t="s">
        <v>494</v>
      </c>
      <c r="V8" s="414">
        <v>270</v>
      </c>
      <c r="W8" s="416" t="s">
        <v>494</v>
      </c>
      <c r="X8" s="414">
        <v>300</v>
      </c>
      <c r="Y8" s="416" t="s">
        <v>494</v>
      </c>
      <c r="Z8" s="414">
        <v>330</v>
      </c>
      <c r="AA8" s="416" t="s">
        <v>494</v>
      </c>
      <c r="AB8" s="414">
        <v>360</v>
      </c>
      <c r="AC8" s="456" t="s">
        <v>494</v>
      </c>
      <c r="AD8" s="655"/>
      <c r="AF8" s="13"/>
      <c r="AG8" s="90">
        <f>100/6</f>
        <v>16.666666666666668</v>
      </c>
    </row>
    <row r="9" spans="1:33" s="91" customFormat="1" x14ac:dyDescent="0.3">
      <c r="A9" s="417" t="s">
        <v>20</v>
      </c>
      <c r="B9" s="418" t="str">
        <f>PLANILHA!C18</f>
        <v>SERVIÇOS PRELIMINARES/ ADMINISTRAÇÃO</v>
      </c>
      <c r="C9" s="450">
        <f>D9/$D$30</f>
        <v>0.10839780697941635</v>
      </c>
      <c r="D9" s="418">
        <f>PLANILHA!I17</f>
        <v>201630.88</v>
      </c>
      <c r="E9" s="435">
        <v>1</v>
      </c>
      <c r="F9" s="420">
        <f>E9*$D9</f>
        <v>201630.88</v>
      </c>
      <c r="G9" s="419"/>
      <c r="H9" s="420"/>
      <c r="I9" s="435"/>
      <c r="J9" s="420"/>
      <c r="K9" s="435"/>
      <c r="L9" s="420"/>
      <c r="M9" s="435"/>
      <c r="N9" s="420"/>
      <c r="O9" s="435"/>
      <c r="P9" s="420"/>
      <c r="Q9" s="447"/>
      <c r="R9" s="420"/>
      <c r="S9" s="447"/>
      <c r="T9" s="420"/>
      <c r="U9" s="447"/>
      <c r="V9" s="420"/>
      <c r="W9" s="447"/>
      <c r="X9" s="420"/>
      <c r="Y9" s="447"/>
      <c r="Z9" s="420"/>
      <c r="AA9" s="447"/>
      <c r="AB9" s="420"/>
      <c r="AC9" s="455">
        <f>E9+G9+I9+K9+M9+O9+Q9+S9+U9+W9+Y9+AA9</f>
        <v>1</v>
      </c>
      <c r="AD9" s="421">
        <f>F9+H9+J9+L9+N9+P9+R9+T9+V9+X9+Z9+AB9</f>
        <v>201630.88</v>
      </c>
      <c r="AF9" s="2" t="str">
        <f>IF(AD9=D9,"OK","ERRADO")</f>
        <v>OK</v>
      </c>
      <c r="AG9" s="92"/>
    </row>
    <row r="10" spans="1:33" s="91" customFormat="1" ht="3" customHeight="1" x14ac:dyDescent="0.3">
      <c r="A10" s="417"/>
      <c r="B10" s="418"/>
      <c r="C10" s="450"/>
      <c r="D10" s="418"/>
      <c r="E10" s="436"/>
      <c r="F10" s="422"/>
      <c r="G10" s="423"/>
      <c r="H10" s="424"/>
      <c r="I10" s="441"/>
      <c r="J10" s="424"/>
      <c r="K10" s="441"/>
      <c r="L10" s="424"/>
      <c r="M10" s="441"/>
      <c r="N10" s="424"/>
      <c r="O10" s="441"/>
      <c r="P10" s="424"/>
      <c r="Q10" s="441"/>
      <c r="R10" s="424"/>
      <c r="S10" s="441"/>
      <c r="T10" s="424"/>
      <c r="U10" s="441"/>
      <c r="V10" s="424"/>
      <c r="W10" s="441"/>
      <c r="X10" s="424"/>
      <c r="Y10" s="441"/>
      <c r="Z10" s="424"/>
      <c r="AA10" s="441"/>
      <c r="AB10" s="424"/>
      <c r="AC10" s="441"/>
      <c r="AD10" s="421"/>
      <c r="AF10" s="2"/>
      <c r="AG10" s="92"/>
    </row>
    <row r="11" spans="1:33" s="91" customFormat="1" x14ac:dyDescent="0.3">
      <c r="A11" s="425" t="s">
        <v>60</v>
      </c>
      <c r="B11" s="426" t="s">
        <v>498</v>
      </c>
      <c r="C11" s="450">
        <f>D11/$D$30</f>
        <v>8.7609867012067258E-2</v>
      </c>
      <c r="D11" s="418">
        <f>PLANILHA!I31</f>
        <v>162963.21</v>
      </c>
      <c r="E11" s="435">
        <v>0.1</v>
      </c>
      <c r="F11" s="420">
        <f>E11*$D11</f>
        <v>16296.321</v>
      </c>
      <c r="G11" s="419">
        <v>0.1</v>
      </c>
      <c r="H11" s="420">
        <f>G11*$D11</f>
        <v>16296.321</v>
      </c>
      <c r="I11" s="442">
        <v>0.1</v>
      </c>
      <c r="J11" s="420">
        <f>I11*$D11</f>
        <v>16296.321</v>
      </c>
      <c r="K11" s="442">
        <v>0.1</v>
      </c>
      <c r="L11" s="420">
        <f>K11*$D11</f>
        <v>16296.321</v>
      </c>
      <c r="M11" s="442">
        <v>0.1</v>
      </c>
      <c r="N11" s="420">
        <f>M11*$D11</f>
        <v>16296.321</v>
      </c>
      <c r="O11" s="442">
        <v>0.1</v>
      </c>
      <c r="P11" s="420">
        <f>O11*$D11</f>
        <v>16296.321</v>
      </c>
      <c r="Q11" s="442">
        <v>0.1</v>
      </c>
      <c r="R11" s="420">
        <f>Q11*$D11</f>
        <v>16296.321</v>
      </c>
      <c r="S11" s="442">
        <v>0.1</v>
      </c>
      <c r="T11" s="420">
        <f>S11*$D11</f>
        <v>16296.321</v>
      </c>
      <c r="U11" s="442">
        <v>0.1</v>
      </c>
      <c r="V11" s="420">
        <f>U11*$D11</f>
        <v>16296.321</v>
      </c>
      <c r="W11" s="442">
        <v>0.1</v>
      </c>
      <c r="X11" s="420">
        <f>W11*$D11</f>
        <v>16296.321</v>
      </c>
      <c r="Y11" s="447"/>
      <c r="Z11" s="420"/>
      <c r="AA11" s="447"/>
      <c r="AB11" s="420"/>
      <c r="AC11" s="442">
        <f>E11+G11+I11+K11+M11+O11+Q11+S11+U11+W11+Y11+AA11</f>
        <v>0.99999999999999989</v>
      </c>
      <c r="AD11" s="421">
        <f>F11+H11+J11+L11+N11+P11+R11+T11+V11+X11+Z11+AB11</f>
        <v>162963.21</v>
      </c>
      <c r="AF11" s="2" t="str">
        <f>IF(AD11=D11,"OK","ERRADO")</f>
        <v>OK</v>
      </c>
      <c r="AG11" s="92"/>
    </row>
    <row r="12" spans="1:33" s="91" customFormat="1" ht="3" customHeight="1" x14ac:dyDescent="0.3">
      <c r="A12" s="417"/>
      <c r="B12" s="418"/>
      <c r="C12" s="450"/>
      <c r="D12" s="418"/>
      <c r="E12" s="437"/>
      <c r="F12" s="428"/>
      <c r="G12" s="427"/>
      <c r="H12" s="428"/>
      <c r="I12" s="443"/>
      <c r="J12" s="428"/>
      <c r="K12" s="445"/>
      <c r="L12" s="428"/>
      <c r="M12" s="443"/>
      <c r="N12" s="428"/>
      <c r="O12" s="443"/>
      <c r="P12" s="428"/>
      <c r="Q12" s="443"/>
      <c r="R12" s="428"/>
      <c r="S12" s="443"/>
      <c r="T12" s="428"/>
      <c r="U12" s="436"/>
      <c r="V12" s="422"/>
      <c r="W12" s="436"/>
      <c r="X12" s="422"/>
      <c r="Y12" s="447"/>
      <c r="Z12" s="420"/>
      <c r="AA12" s="447"/>
      <c r="AB12" s="420"/>
      <c r="AC12" s="447"/>
      <c r="AD12" s="421"/>
      <c r="AF12" s="2"/>
      <c r="AG12" s="92"/>
    </row>
    <row r="13" spans="1:33" s="91" customFormat="1" x14ac:dyDescent="0.3">
      <c r="A13" s="425" t="s">
        <v>74</v>
      </c>
      <c r="B13" s="418" t="s">
        <v>499</v>
      </c>
      <c r="C13" s="450">
        <f>D13/$D$30</f>
        <v>0.14036619299886444</v>
      </c>
      <c r="D13" s="418">
        <f>PLANILHA!I143</f>
        <v>261095.31</v>
      </c>
      <c r="E13" s="435">
        <v>0.1</v>
      </c>
      <c r="F13" s="420">
        <f>E13*$D13</f>
        <v>26109.531000000003</v>
      </c>
      <c r="G13" s="419">
        <v>0.1</v>
      </c>
      <c r="H13" s="420">
        <f>G13*$D13</f>
        <v>26109.531000000003</v>
      </c>
      <c r="I13" s="442">
        <v>0.1</v>
      </c>
      <c r="J13" s="420">
        <f>I13*$D13</f>
        <v>26109.531000000003</v>
      </c>
      <c r="K13" s="442">
        <v>0.1</v>
      </c>
      <c r="L13" s="420">
        <f>K13*$D13</f>
        <v>26109.531000000003</v>
      </c>
      <c r="M13" s="442">
        <v>0.1</v>
      </c>
      <c r="N13" s="420">
        <f>M13*$D13</f>
        <v>26109.531000000003</v>
      </c>
      <c r="O13" s="442">
        <v>0.1</v>
      </c>
      <c r="P13" s="420">
        <f>O13*$D13</f>
        <v>26109.531000000003</v>
      </c>
      <c r="Q13" s="442">
        <v>0.1</v>
      </c>
      <c r="R13" s="420">
        <f>Q13*$D13</f>
        <v>26109.531000000003</v>
      </c>
      <c r="S13" s="442">
        <v>0.1</v>
      </c>
      <c r="T13" s="420">
        <f>S13*$D13</f>
        <v>26109.531000000003</v>
      </c>
      <c r="U13" s="442">
        <v>0.1</v>
      </c>
      <c r="V13" s="420">
        <f>U13*$D13</f>
        <v>26109.531000000003</v>
      </c>
      <c r="W13" s="442">
        <v>0.1</v>
      </c>
      <c r="X13" s="420">
        <f>W13*$D13</f>
        <v>26109.531000000003</v>
      </c>
      <c r="Y13" s="447"/>
      <c r="Z13" s="420"/>
      <c r="AA13" s="447"/>
      <c r="AB13" s="420"/>
      <c r="AC13" s="442">
        <f>E13+G13+I13+K13+M13+O13+Q13+S13+U13+W13+Y13+AA13</f>
        <v>0.99999999999999989</v>
      </c>
      <c r="AD13" s="421">
        <f>F13+H13+J13+L13+N13+P13+R13+T13+V13+X13+Z13+AB13</f>
        <v>261095.31000000006</v>
      </c>
      <c r="AF13" s="2" t="str">
        <f>IF(AD13=D13,"OK","ERRADO")</f>
        <v>OK</v>
      </c>
      <c r="AG13" s="92"/>
    </row>
    <row r="14" spans="1:33" s="91" customFormat="1" ht="3" customHeight="1" x14ac:dyDescent="0.3">
      <c r="A14" s="417"/>
      <c r="B14" s="418"/>
      <c r="C14" s="450"/>
      <c r="D14" s="418"/>
      <c r="E14" s="437"/>
      <c r="F14" s="428"/>
      <c r="G14" s="427"/>
      <c r="H14" s="428"/>
      <c r="I14" s="443"/>
      <c r="J14" s="428"/>
      <c r="K14" s="445"/>
      <c r="L14" s="428"/>
      <c r="M14" s="443"/>
      <c r="N14" s="428"/>
      <c r="O14" s="443"/>
      <c r="P14" s="428"/>
      <c r="Q14" s="443"/>
      <c r="R14" s="428"/>
      <c r="S14" s="443"/>
      <c r="T14" s="428"/>
      <c r="U14" s="436"/>
      <c r="V14" s="422"/>
      <c r="W14" s="436"/>
      <c r="X14" s="422"/>
      <c r="Y14" s="447"/>
      <c r="Z14" s="420"/>
      <c r="AA14" s="447"/>
      <c r="AB14" s="420"/>
      <c r="AC14" s="447"/>
      <c r="AD14" s="421"/>
      <c r="AF14" s="2"/>
      <c r="AG14" s="92"/>
    </row>
    <row r="15" spans="1:33" s="91" customFormat="1" x14ac:dyDescent="0.3">
      <c r="A15" s="417" t="s">
        <v>85</v>
      </c>
      <c r="B15" s="418" t="s">
        <v>500</v>
      </c>
      <c r="C15" s="450">
        <f>D15/$D$30</f>
        <v>8.136201844082562E-2</v>
      </c>
      <c r="D15" s="418">
        <f>PLANILHA!I262</f>
        <v>151341.57999999999</v>
      </c>
      <c r="E15" s="435">
        <v>0.1</v>
      </c>
      <c r="F15" s="420">
        <f>E15*$D15</f>
        <v>15134.157999999999</v>
      </c>
      <c r="G15" s="419">
        <v>0.1</v>
      </c>
      <c r="H15" s="420">
        <f>G15*$D15</f>
        <v>15134.157999999999</v>
      </c>
      <c r="I15" s="442">
        <v>0.1</v>
      </c>
      <c r="J15" s="420">
        <f>I15*$D15</f>
        <v>15134.157999999999</v>
      </c>
      <c r="K15" s="442">
        <v>0.1</v>
      </c>
      <c r="L15" s="420">
        <f>K15*$D15</f>
        <v>15134.157999999999</v>
      </c>
      <c r="M15" s="442">
        <v>0.1</v>
      </c>
      <c r="N15" s="420">
        <f>M15*D15</f>
        <v>15134.157999999999</v>
      </c>
      <c r="O15" s="442">
        <v>0.1</v>
      </c>
      <c r="P15" s="420">
        <f>O15*D15</f>
        <v>15134.157999999999</v>
      </c>
      <c r="Q15" s="442">
        <v>0.1</v>
      </c>
      <c r="R15" s="420">
        <f>Q15*$D15</f>
        <v>15134.157999999999</v>
      </c>
      <c r="S15" s="442">
        <v>0.1</v>
      </c>
      <c r="T15" s="420">
        <f>S15*$D15</f>
        <v>15134.157999999999</v>
      </c>
      <c r="U15" s="442">
        <v>0.2</v>
      </c>
      <c r="V15" s="420">
        <f>U15*$D15</f>
        <v>30268.315999999999</v>
      </c>
      <c r="W15" s="447"/>
      <c r="X15" s="420"/>
      <c r="Y15" s="447"/>
      <c r="Z15" s="420"/>
      <c r="AA15" s="447"/>
      <c r="AB15" s="420"/>
      <c r="AC15" s="442">
        <f>E15+G15+I15+K15+M15+O15+Q15+S15+U15+W15+Y15+AA15</f>
        <v>1</v>
      </c>
      <c r="AD15" s="421">
        <f>F15+H15+J15+L15+N15+P15+R15+T15+V15+X15+Z15+AB15</f>
        <v>151341.57999999999</v>
      </c>
      <c r="AF15" s="2" t="str">
        <f>IF(AD15=D15,"OK","ERRADO")</f>
        <v>OK</v>
      </c>
      <c r="AG15" s="92"/>
    </row>
    <row r="16" spans="1:33" s="91" customFormat="1" ht="3" customHeight="1" x14ac:dyDescent="0.3">
      <c r="A16" s="417"/>
      <c r="B16" s="418"/>
      <c r="C16" s="450"/>
      <c r="D16" s="418"/>
      <c r="E16" s="437"/>
      <c r="F16" s="428"/>
      <c r="G16" s="427"/>
      <c r="H16" s="428"/>
      <c r="I16" s="443"/>
      <c r="J16" s="428"/>
      <c r="K16" s="445"/>
      <c r="L16" s="428"/>
      <c r="M16" s="443"/>
      <c r="N16" s="428"/>
      <c r="O16" s="443"/>
      <c r="P16" s="428"/>
      <c r="Q16" s="443"/>
      <c r="R16" s="428"/>
      <c r="S16" s="443"/>
      <c r="T16" s="428"/>
      <c r="U16" s="436"/>
      <c r="V16" s="422"/>
      <c r="W16" s="447"/>
      <c r="X16" s="420"/>
      <c r="Y16" s="447"/>
      <c r="Z16" s="420"/>
      <c r="AA16" s="447"/>
      <c r="AB16" s="420"/>
      <c r="AC16" s="447"/>
      <c r="AD16" s="421"/>
      <c r="AF16" s="2"/>
      <c r="AG16" s="92"/>
    </row>
    <row r="17" spans="1:33" s="91" customFormat="1" x14ac:dyDescent="0.3">
      <c r="A17" s="425" t="s">
        <v>95</v>
      </c>
      <c r="B17" s="418" t="s">
        <v>501</v>
      </c>
      <c r="C17" s="450">
        <f>D17/$D$30</f>
        <v>8.1153024424317585E-2</v>
      </c>
      <c r="D17" s="418">
        <f>PLANILHA!I374</f>
        <v>150952.82999999999</v>
      </c>
      <c r="E17" s="435">
        <v>0.1</v>
      </c>
      <c r="F17" s="420">
        <f>E17*$D17</f>
        <v>15095.282999999999</v>
      </c>
      <c r="G17" s="419">
        <v>0.1</v>
      </c>
      <c r="H17" s="420">
        <f>G17*$D17</f>
        <v>15095.282999999999</v>
      </c>
      <c r="I17" s="442">
        <v>0.1</v>
      </c>
      <c r="J17" s="420">
        <f>I17*$D17</f>
        <v>15095.282999999999</v>
      </c>
      <c r="K17" s="442">
        <v>0.1</v>
      </c>
      <c r="L17" s="420">
        <f>K17*$D17</f>
        <v>15095.282999999999</v>
      </c>
      <c r="M17" s="442">
        <v>0.1</v>
      </c>
      <c r="N17" s="420">
        <f>M17*$D17</f>
        <v>15095.282999999999</v>
      </c>
      <c r="O17" s="442">
        <v>0.1</v>
      </c>
      <c r="P17" s="420">
        <f>O17*D17</f>
        <v>15095.282999999999</v>
      </c>
      <c r="Q17" s="442">
        <v>0.1</v>
      </c>
      <c r="R17" s="420">
        <f>Q17*$D17</f>
        <v>15095.282999999999</v>
      </c>
      <c r="S17" s="442">
        <v>0.1</v>
      </c>
      <c r="T17" s="420">
        <f>S17*$D17</f>
        <v>15095.282999999999</v>
      </c>
      <c r="U17" s="442">
        <v>0.1</v>
      </c>
      <c r="V17" s="420">
        <f>U17*$D17</f>
        <v>15095.282999999999</v>
      </c>
      <c r="W17" s="442">
        <v>0.1</v>
      </c>
      <c r="X17" s="420">
        <f>W17*$D17</f>
        <v>15095.282999999999</v>
      </c>
      <c r="Y17" s="447"/>
      <c r="Z17" s="420"/>
      <c r="AA17" s="447"/>
      <c r="AB17" s="420"/>
      <c r="AC17" s="442">
        <f>E17+G17+I17+K17+M17+O17+Q17+S17+U17+W17+Y17+AA17</f>
        <v>0.99999999999999989</v>
      </c>
      <c r="AD17" s="421">
        <f>F17+H17+J17+L17+N17+P17+R17+T17+V17+X17+Z17+AB17</f>
        <v>150952.82999999999</v>
      </c>
      <c r="AF17" s="2" t="str">
        <f>IF(AD17=D17,"OK","ERRADO")</f>
        <v>OK</v>
      </c>
      <c r="AG17" s="92"/>
    </row>
    <row r="18" spans="1:33" s="91" customFormat="1" ht="3" customHeight="1" x14ac:dyDescent="0.3">
      <c r="A18" s="417"/>
      <c r="B18" s="418"/>
      <c r="C18" s="450"/>
      <c r="D18" s="418"/>
      <c r="E18" s="437"/>
      <c r="F18" s="428"/>
      <c r="G18" s="427"/>
      <c r="H18" s="428"/>
      <c r="I18" s="443"/>
      <c r="J18" s="428"/>
      <c r="K18" s="445"/>
      <c r="L18" s="428"/>
      <c r="M18" s="443"/>
      <c r="N18" s="428"/>
      <c r="O18" s="443"/>
      <c r="P18" s="428"/>
      <c r="Q18" s="443"/>
      <c r="R18" s="428"/>
      <c r="S18" s="443"/>
      <c r="T18" s="428"/>
      <c r="U18" s="436"/>
      <c r="V18" s="422"/>
      <c r="W18" s="436"/>
      <c r="X18" s="422"/>
      <c r="Y18" s="447"/>
      <c r="Z18" s="420"/>
      <c r="AA18" s="447"/>
      <c r="AB18" s="420"/>
      <c r="AC18" s="447"/>
      <c r="AD18" s="421"/>
      <c r="AF18" s="2"/>
      <c r="AG18" s="92"/>
    </row>
    <row r="19" spans="1:33" s="93" customFormat="1" x14ac:dyDescent="0.3">
      <c r="A19" s="429" t="s">
        <v>116</v>
      </c>
      <c r="B19" s="430" t="s">
        <v>502</v>
      </c>
      <c r="C19" s="450">
        <f>D19/$D$30</f>
        <v>0.10226657034932135</v>
      </c>
      <c r="D19" s="430">
        <f>PLANILHA!I474</f>
        <v>190226.16</v>
      </c>
      <c r="E19" s="435">
        <v>0.1</v>
      </c>
      <c r="F19" s="420">
        <f>E19*$D19</f>
        <v>19022.616000000002</v>
      </c>
      <c r="G19" s="419">
        <v>0.1</v>
      </c>
      <c r="H19" s="420">
        <f>G19*$D19</f>
        <v>19022.616000000002</v>
      </c>
      <c r="I19" s="442">
        <v>0.1</v>
      </c>
      <c r="J19" s="420">
        <f>I19*$D19</f>
        <v>19022.616000000002</v>
      </c>
      <c r="K19" s="442">
        <v>0.1</v>
      </c>
      <c r="L19" s="420">
        <f>K19*$D19</f>
        <v>19022.616000000002</v>
      </c>
      <c r="M19" s="442">
        <v>0.1</v>
      </c>
      <c r="N19" s="420">
        <f>M19*D19</f>
        <v>19022.616000000002</v>
      </c>
      <c r="O19" s="442">
        <v>0.1</v>
      </c>
      <c r="P19" s="420">
        <f>O19*D19</f>
        <v>19022.616000000002</v>
      </c>
      <c r="Q19" s="442">
        <v>0.1</v>
      </c>
      <c r="R19" s="420">
        <f>Q19*$D19</f>
        <v>19022.616000000002</v>
      </c>
      <c r="S19" s="442">
        <v>0.1</v>
      </c>
      <c r="T19" s="420">
        <f>S19*$D19</f>
        <v>19022.616000000002</v>
      </c>
      <c r="U19" s="442">
        <v>0.1</v>
      </c>
      <c r="V19" s="420">
        <f>U19*$D19</f>
        <v>19022.616000000002</v>
      </c>
      <c r="W19" s="442">
        <v>0.1</v>
      </c>
      <c r="X19" s="420">
        <f>W19*$D19</f>
        <v>19022.616000000002</v>
      </c>
      <c r="Y19" s="453"/>
      <c r="Z19" s="430"/>
      <c r="AA19" s="453"/>
      <c r="AB19" s="430"/>
      <c r="AC19" s="442">
        <f>E19+G19+I19+K19+M19+O19+Q19+S19+U19+W19+Y19+AA19</f>
        <v>0.99999999999999989</v>
      </c>
      <c r="AD19" s="421">
        <f>F19+H19+J19+L19+N19+P19+R19+T19+V19+X19+Z19+AB19</f>
        <v>190226.16000000006</v>
      </c>
      <c r="AF19" s="2" t="str">
        <f>IF(AD19=D19,"OK","ERRADO")</f>
        <v>OK</v>
      </c>
      <c r="AG19" s="94"/>
    </row>
    <row r="20" spans="1:33" s="91" customFormat="1" ht="3" customHeight="1" x14ac:dyDescent="0.3">
      <c r="A20" s="417"/>
      <c r="B20" s="418"/>
      <c r="C20" s="450"/>
      <c r="D20" s="418"/>
      <c r="E20" s="437"/>
      <c r="F20" s="428"/>
      <c r="G20" s="427"/>
      <c r="H20" s="428"/>
      <c r="I20" s="443"/>
      <c r="J20" s="428"/>
      <c r="K20" s="445"/>
      <c r="L20" s="428"/>
      <c r="M20" s="443"/>
      <c r="N20" s="428"/>
      <c r="O20" s="443"/>
      <c r="P20" s="428"/>
      <c r="Q20" s="443"/>
      <c r="R20" s="428"/>
      <c r="S20" s="443"/>
      <c r="T20" s="428"/>
      <c r="U20" s="436"/>
      <c r="V20" s="422"/>
      <c r="W20" s="436"/>
      <c r="X20" s="422"/>
      <c r="Y20" s="436"/>
      <c r="Z20" s="422"/>
      <c r="AA20" s="436"/>
      <c r="AB20" s="422"/>
      <c r="AC20" s="454"/>
      <c r="AD20" s="421"/>
      <c r="AF20" s="2"/>
      <c r="AG20" s="92"/>
    </row>
    <row r="21" spans="1:33" s="91" customFormat="1" x14ac:dyDescent="0.3">
      <c r="A21" s="417" t="s">
        <v>160</v>
      </c>
      <c r="B21" s="418" t="s">
        <v>503</v>
      </c>
      <c r="C21" s="450">
        <f>D21/$D$30</f>
        <v>5.3105366154560095E-2</v>
      </c>
      <c r="D21" s="418">
        <f>PLANILHA!I664</f>
        <v>98781.349999999977</v>
      </c>
      <c r="E21" s="435"/>
      <c r="F21" s="420"/>
      <c r="G21" s="419"/>
      <c r="H21" s="420"/>
      <c r="I21" s="435">
        <v>0.1</v>
      </c>
      <c r="J21" s="420">
        <f>I21*$D21</f>
        <v>9878.1349999999984</v>
      </c>
      <c r="K21" s="435">
        <v>0.1</v>
      </c>
      <c r="L21" s="420">
        <f>K21*$D21</f>
        <v>9878.1349999999984</v>
      </c>
      <c r="M21" s="442">
        <v>0.1</v>
      </c>
      <c r="N21" s="420">
        <f>M21*$D21</f>
        <v>9878.1349999999984</v>
      </c>
      <c r="O21" s="442">
        <v>0.1</v>
      </c>
      <c r="P21" s="420">
        <f>O21*$D21</f>
        <v>9878.1349999999984</v>
      </c>
      <c r="Q21" s="442">
        <v>0.1</v>
      </c>
      <c r="R21" s="420">
        <f>Q21*$D21</f>
        <v>9878.1349999999984</v>
      </c>
      <c r="S21" s="442">
        <v>0.1</v>
      </c>
      <c r="T21" s="420">
        <f>S21*$D21</f>
        <v>9878.1349999999984</v>
      </c>
      <c r="U21" s="442">
        <v>0.1</v>
      </c>
      <c r="V21" s="420">
        <f>U21*$D21</f>
        <v>9878.1349999999984</v>
      </c>
      <c r="W21" s="442">
        <v>0.1</v>
      </c>
      <c r="X21" s="420">
        <f>W21*$D21</f>
        <v>9878.1349999999984</v>
      </c>
      <c r="Y21" s="442">
        <v>0.1</v>
      </c>
      <c r="Z21" s="420">
        <f>Y21*$D21</f>
        <v>9878.1349999999984</v>
      </c>
      <c r="AA21" s="442">
        <v>0.1</v>
      </c>
      <c r="AB21" s="420">
        <f>AA21*$D21</f>
        <v>9878.1349999999984</v>
      </c>
      <c r="AC21" s="442">
        <f>E21+G21+I21+K21+M21+O21+Q21+S21+U21+W21+Y21+AA21</f>
        <v>0.99999999999999989</v>
      </c>
      <c r="AD21" s="421">
        <f>F21+H21+J21+L21+N21+P21+R21+T21+V21+X21+Z21+AB21</f>
        <v>98781.349999999962</v>
      </c>
      <c r="AF21" s="2" t="str">
        <f>IF(AD21=D21,"OK","ERRADO")</f>
        <v>OK</v>
      </c>
      <c r="AG21" s="92"/>
    </row>
    <row r="22" spans="1:33" s="91" customFormat="1" ht="3" customHeight="1" x14ac:dyDescent="0.3">
      <c r="A22" s="417"/>
      <c r="B22" s="418"/>
      <c r="C22" s="450"/>
      <c r="D22" s="418"/>
      <c r="E22" s="417"/>
      <c r="F22" s="418"/>
      <c r="G22" s="418"/>
      <c r="H22" s="418"/>
      <c r="I22" s="443"/>
      <c r="J22" s="428"/>
      <c r="K22" s="445"/>
      <c r="L22" s="428"/>
      <c r="M22" s="443"/>
      <c r="N22" s="428"/>
      <c r="O22" s="443"/>
      <c r="P22" s="428"/>
      <c r="Q22" s="443"/>
      <c r="R22" s="428"/>
      <c r="S22" s="443"/>
      <c r="T22" s="428"/>
      <c r="U22" s="436"/>
      <c r="V22" s="422"/>
      <c r="W22" s="436"/>
      <c r="X22" s="422"/>
      <c r="Y22" s="436"/>
      <c r="Z22" s="422"/>
      <c r="AA22" s="436"/>
      <c r="AB22" s="422"/>
      <c r="AC22" s="454"/>
      <c r="AD22" s="421"/>
      <c r="AF22" s="2"/>
      <c r="AG22" s="92"/>
    </row>
    <row r="23" spans="1:33" s="91" customFormat="1" x14ac:dyDescent="0.3">
      <c r="A23" s="417" t="s">
        <v>186</v>
      </c>
      <c r="B23" s="418" t="s">
        <v>504</v>
      </c>
      <c r="C23" s="450">
        <f>D23/$D$30</f>
        <v>3.6360636526692018E-2</v>
      </c>
      <c r="D23" s="418">
        <f>PLANILHA!I585</f>
        <v>67634.459999999992</v>
      </c>
      <c r="E23" s="435"/>
      <c r="F23" s="420"/>
      <c r="G23" s="419"/>
      <c r="H23" s="420"/>
      <c r="I23" s="435">
        <v>0.1</v>
      </c>
      <c r="J23" s="420">
        <f>I23*$D23</f>
        <v>6763.4459999999999</v>
      </c>
      <c r="K23" s="435">
        <v>0.1</v>
      </c>
      <c r="L23" s="420">
        <f>K23*$D23</f>
        <v>6763.4459999999999</v>
      </c>
      <c r="M23" s="442">
        <v>0.1</v>
      </c>
      <c r="N23" s="420">
        <f>M23*$D23</f>
        <v>6763.4459999999999</v>
      </c>
      <c r="O23" s="442">
        <v>0.1</v>
      </c>
      <c r="P23" s="420">
        <f>O23*$D23</f>
        <v>6763.4459999999999</v>
      </c>
      <c r="Q23" s="442">
        <v>0.1</v>
      </c>
      <c r="R23" s="420">
        <f>Q23*$D23</f>
        <v>6763.4459999999999</v>
      </c>
      <c r="S23" s="442">
        <v>0.1</v>
      </c>
      <c r="T23" s="420">
        <f>S23*$D23</f>
        <v>6763.4459999999999</v>
      </c>
      <c r="U23" s="442">
        <v>0.1</v>
      </c>
      <c r="V23" s="420">
        <f>U23*$D23</f>
        <v>6763.4459999999999</v>
      </c>
      <c r="W23" s="442">
        <v>0.1</v>
      </c>
      <c r="X23" s="420">
        <f>W23*$D23</f>
        <v>6763.4459999999999</v>
      </c>
      <c r="Y23" s="442">
        <v>0.1</v>
      </c>
      <c r="Z23" s="420">
        <f>Y23*$D23</f>
        <v>6763.4459999999999</v>
      </c>
      <c r="AA23" s="442">
        <v>0.1</v>
      </c>
      <c r="AB23" s="420">
        <f>AA23*$D23</f>
        <v>6763.4459999999999</v>
      </c>
      <c r="AC23" s="442">
        <f>E23+G23+I23+K23+M23+O23+Q23+S23+U23+W23+Y23+AA23</f>
        <v>0.99999999999999989</v>
      </c>
      <c r="AD23" s="421">
        <f>F23+H23+J23+L23+N23+P23+R23+T23+V23+X23+Z23+AB23</f>
        <v>67634.459999999977</v>
      </c>
      <c r="AF23" s="2" t="str">
        <f>IF(AD23=D23,"OK","ERRADO")</f>
        <v>OK</v>
      </c>
      <c r="AG23" s="92"/>
    </row>
    <row r="24" spans="1:33" s="91" customFormat="1" ht="3" customHeight="1" x14ac:dyDescent="0.3">
      <c r="A24" s="417"/>
      <c r="B24" s="418"/>
      <c r="C24" s="450"/>
      <c r="D24" s="418"/>
      <c r="E24" s="435"/>
      <c r="F24" s="420"/>
      <c r="G24" s="419"/>
      <c r="H24" s="420"/>
      <c r="I24" s="437"/>
      <c r="J24" s="428"/>
      <c r="K24" s="437"/>
      <c r="L24" s="428"/>
      <c r="M24" s="443"/>
      <c r="N24" s="428"/>
      <c r="O24" s="445"/>
      <c r="P24" s="428"/>
      <c r="Q24" s="443"/>
      <c r="R24" s="428"/>
      <c r="S24" s="443"/>
      <c r="T24" s="428"/>
      <c r="U24" s="443"/>
      <c r="V24" s="428"/>
      <c r="W24" s="443"/>
      <c r="X24" s="428"/>
      <c r="Y24" s="436"/>
      <c r="Z24" s="422"/>
      <c r="AA24" s="436"/>
      <c r="AB24" s="422"/>
      <c r="AC24" s="447"/>
      <c r="AD24" s="421"/>
      <c r="AF24" s="2"/>
      <c r="AG24" s="92"/>
    </row>
    <row r="25" spans="1:33" s="91" customFormat="1" x14ac:dyDescent="0.3">
      <c r="A25" s="425" t="s">
        <v>206</v>
      </c>
      <c r="B25" s="418" t="s">
        <v>505</v>
      </c>
      <c r="C25" s="450">
        <f>D25/$D$30</f>
        <v>0.29838037835685383</v>
      </c>
      <c r="D25" s="418">
        <f>PLANILHA!I756</f>
        <v>555017.66999999993</v>
      </c>
      <c r="E25" s="435">
        <v>0.1</v>
      </c>
      <c r="F25" s="420">
        <f>E25*$D25</f>
        <v>55501.766999999993</v>
      </c>
      <c r="G25" s="419">
        <v>0.1</v>
      </c>
      <c r="H25" s="420">
        <f>G25*$D25</f>
        <v>55501.766999999993</v>
      </c>
      <c r="I25" s="442">
        <v>0.1</v>
      </c>
      <c r="J25" s="420">
        <f>I25*$D25</f>
        <v>55501.766999999993</v>
      </c>
      <c r="K25" s="442">
        <v>0.1</v>
      </c>
      <c r="L25" s="420">
        <f>K25*$D25</f>
        <v>55501.766999999993</v>
      </c>
      <c r="M25" s="442">
        <v>0.1</v>
      </c>
      <c r="N25" s="420">
        <f>M25*D25</f>
        <v>55501.766999999993</v>
      </c>
      <c r="O25" s="442">
        <v>0.1</v>
      </c>
      <c r="P25" s="420">
        <f>O25*D25</f>
        <v>55501.766999999993</v>
      </c>
      <c r="Q25" s="442">
        <v>0.1</v>
      </c>
      <c r="R25" s="420">
        <f>Q25*$D25</f>
        <v>55501.766999999993</v>
      </c>
      <c r="S25" s="442">
        <v>0.1</v>
      </c>
      <c r="T25" s="420">
        <f>S25*$D25</f>
        <v>55501.766999999993</v>
      </c>
      <c r="U25" s="442">
        <v>0.1</v>
      </c>
      <c r="V25" s="420">
        <f>U25*$D25</f>
        <v>55501.766999999993</v>
      </c>
      <c r="W25" s="442">
        <v>0.1</v>
      </c>
      <c r="X25" s="420">
        <f>W25*$D25</f>
        <v>55501.766999999993</v>
      </c>
      <c r="Y25" s="447"/>
      <c r="Z25" s="420"/>
      <c r="AA25" s="447"/>
      <c r="AB25" s="420"/>
      <c r="AC25" s="442">
        <f>E25+G25+I25+K25+M25+O25+Q25+S25+U25+W25+Y25+AA25</f>
        <v>0.99999999999999989</v>
      </c>
      <c r="AD25" s="421">
        <f>F25+H25+J25+L25+N25+P25+R25+T25+V25+X25+Z25+AB25</f>
        <v>555017.66999999993</v>
      </c>
      <c r="AF25" s="2" t="str">
        <f>IF(AD25=D25,"OK","ERRADO")</f>
        <v>OK</v>
      </c>
      <c r="AG25" s="92"/>
    </row>
    <row r="26" spans="1:33" s="91" customFormat="1" ht="3" customHeight="1" x14ac:dyDescent="0.3">
      <c r="A26" s="417"/>
      <c r="B26" s="418"/>
      <c r="C26" s="450"/>
      <c r="D26" s="418"/>
      <c r="E26" s="437"/>
      <c r="F26" s="428"/>
      <c r="G26" s="427"/>
      <c r="H26" s="428"/>
      <c r="I26" s="437"/>
      <c r="J26" s="428"/>
      <c r="K26" s="437"/>
      <c r="L26" s="428"/>
      <c r="M26" s="443"/>
      <c r="N26" s="428"/>
      <c r="O26" s="445"/>
      <c r="P26" s="428"/>
      <c r="Q26" s="443"/>
      <c r="R26" s="428"/>
      <c r="S26" s="443"/>
      <c r="T26" s="428"/>
      <c r="U26" s="443"/>
      <c r="V26" s="428"/>
      <c r="W26" s="443"/>
      <c r="X26" s="428"/>
      <c r="Y26" s="436"/>
      <c r="Z26" s="422"/>
      <c r="AA26" s="436"/>
      <c r="AB26" s="422"/>
      <c r="AC26" s="447"/>
      <c r="AD26" s="421"/>
      <c r="AF26" s="2"/>
      <c r="AG26" s="92"/>
    </row>
    <row r="27" spans="1:33" s="91" customFormat="1" x14ac:dyDescent="0.3">
      <c r="A27" s="425" t="s">
        <v>211</v>
      </c>
      <c r="B27" s="418" t="s">
        <v>668</v>
      </c>
      <c r="C27" s="450">
        <f>D27/$D$30</f>
        <v>1.0998138757081537E-2</v>
      </c>
      <c r="D27" s="418">
        <f>PLANILHA!I893</f>
        <v>20457.649999999998</v>
      </c>
      <c r="E27" s="435">
        <v>8.3000000000000004E-2</v>
      </c>
      <c r="F27" s="420">
        <f>E27*$D27</f>
        <v>1697.9849499999998</v>
      </c>
      <c r="G27" s="431">
        <v>8.3000000000000004E-2</v>
      </c>
      <c r="H27" s="420">
        <f>G27*$D27</f>
        <v>1697.9849499999998</v>
      </c>
      <c r="I27" s="444">
        <v>8.3000000000000004E-2</v>
      </c>
      <c r="J27" s="420">
        <f>I27*$D27</f>
        <v>1697.9849499999998</v>
      </c>
      <c r="K27" s="446">
        <v>8.3000000000000004E-2</v>
      </c>
      <c r="L27" s="420">
        <f>K27*$D27</f>
        <v>1697.9849499999998</v>
      </c>
      <c r="M27" s="446">
        <v>8.3000000000000004E-2</v>
      </c>
      <c r="N27" s="420">
        <f>M27*D27</f>
        <v>1697.9849499999998</v>
      </c>
      <c r="O27" s="446">
        <v>8.3000000000000004E-2</v>
      </c>
      <c r="P27" s="420">
        <f>O27*D27</f>
        <v>1697.9849499999998</v>
      </c>
      <c r="Q27" s="446">
        <v>8.3000000000000004E-2</v>
      </c>
      <c r="R27" s="420">
        <f>Q27*$D27</f>
        <v>1697.9849499999998</v>
      </c>
      <c r="S27" s="446">
        <v>8.3000000000000004E-2</v>
      </c>
      <c r="T27" s="420">
        <f>S27*$D27</f>
        <v>1697.9849499999998</v>
      </c>
      <c r="U27" s="446">
        <v>8.3000000000000004E-2</v>
      </c>
      <c r="V27" s="420">
        <f>U27*$D27</f>
        <v>1697.9849499999998</v>
      </c>
      <c r="W27" s="446">
        <v>8.3000000000000004E-2</v>
      </c>
      <c r="X27" s="420">
        <f>W27*$D27</f>
        <v>1697.9849499999998</v>
      </c>
      <c r="Y27" s="446">
        <f>TRUNC(1/12,2)</f>
        <v>0.08</v>
      </c>
      <c r="Z27" s="420">
        <f>Y27*$D27</f>
        <v>1636.6119999999999</v>
      </c>
      <c r="AA27" s="446">
        <f>TRUNC(1-E27-G27-I27-K27-M27-O27-Q27-S27-U27-W27-Y27,2)</f>
        <v>0.09</v>
      </c>
      <c r="AB27" s="420">
        <f>AA27*$D27</f>
        <v>1841.1884999999997</v>
      </c>
      <c r="AC27" s="442">
        <f>E27+G27+I27+K27+M27+O27+Q27+S27+U27+W27+Y27+AA27</f>
        <v>0.99999999999999989</v>
      </c>
      <c r="AD27" s="421">
        <f>F27+H27+J27+L27+N27+P27+R27+T27+V27+X27+Z27+AB27</f>
        <v>20457.649999999998</v>
      </c>
      <c r="AF27" s="2" t="str">
        <f>IF(AD27=D27,"OK","ERRADO")</f>
        <v>OK</v>
      </c>
      <c r="AG27" s="92"/>
    </row>
    <row r="28" spans="1:33" s="91" customFormat="1" ht="3" customHeight="1" x14ac:dyDescent="0.3">
      <c r="A28" s="418"/>
      <c r="B28" s="418"/>
      <c r="C28" s="450"/>
      <c r="D28" s="418"/>
      <c r="E28" s="437"/>
      <c r="F28" s="427"/>
      <c r="G28" s="427"/>
      <c r="H28" s="427"/>
      <c r="I28" s="437"/>
      <c r="J28" s="428"/>
      <c r="K28" s="437"/>
      <c r="L28" s="428"/>
      <c r="M28" s="443"/>
      <c r="N28" s="428"/>
      <c r="O28" s="445"/>
      <c r="P28" s="428"/>
      <c r="Q28" s="443"/>
      <c r="R28" s="428"/>
      <c r="S28" s="443"/>
      <c r="T28" s="428"/>
      <c r="U28" s="443"/>
      <c r="V28" s="428"/>
      <c r="W28" s="443"/>
      <c r="X28" s="428"/>
      <c r="Y28" s="436"/>
      <c r="Z28" s="422"/>
      <c r="AA28" s="436"/>
      <c r="AB28" s="422"/>
      <c r="AC28" s="447"/>
      <c r="AD28" s="421"/>
      <c r="AF28" s="2"/>
      <c r="AG28" s="92"/>
    </row>
    <row r="29" spans="1:33" s="91" customFormat="1" x14ac:dyDescent="0.3">
      <c r="A29" s="432"/>
      <c r="B29" s="418"/>
      <c r="C29" s="450"/>
      <c r="D29" s="418"/>
      <c r="E29" s="435"/>
      <c r="F29" s="420"/>
      <c r="G29" s="419"/>
      <c r="H29" s="420"/>
      <c r="I29" s="435"/>
      <c r="J29" s="420"/>
      <c r="K29" s="442"/>
      <c r="L29" s="420"/>
      <c r="M29" s="435"/>
      <c r="N29" s="420"/>
      <c r="O29" s="435"/>
      <c r="P29" s="420"/>
      <c r="Q29" s="447"/>
      <c r="R29" s="420"/>
      <c r="S29" s="447"/>
      <c r="T29" s="420"/>
      <c r="U29" s="447"/>
      <c r="V29" s="420"/>
      <c r="W29" s="447"/>
      <c r="X29" s="420"/>
      <c r="Y29" s="447"/>
      <c r="Z29" s="420"/>
      <c r="AA29" s="447"/>
      <c r="AB29" s="420"/>
      <c r="AC29" s="442"/>
      <c r="AD29" s="421"/>
      <c r="AF29" s="2" t="str">
        <f>IF(AD29=D29,"OK","ERRADO")</f>
        <v>OK</v>
      </c>
      <c r="AG29" s="92"/>
    </row>
    <row r="30" spans="1:33" s="91" customFormat="1" x14ac:dyDescent="0.3">
      <c r="A30" s="639" t="s">
        <v>506</v>
      </c>
      <c r="B30" s="640"/>
      <c r="C30" s="438">
        <f>SUM(C9:C29)</f>
        <v>1</v>
      </c>
      <c r="D30" s="434">
        <f>SUM(D9:D29)</f>
        <v>1860101.0999999996</v>
      </c>
      <c r="E30" s="438">
        <f>F30/D30</f>
        <v>0.18842445765447913</v>
      </c>
      <c r="F30" s="434">
        <f>SUM(F9:F29)</f>
        <v>350488.54095</v>
      </c>
      <c r="G30" s="433">
        <f>H30/D30</f>
        <v>8.0026650675062774E-2</v>
      </c>
      <c r="H30" s="434">
        <f>SUM(H9:H29)</f>
        <v>148857.66094999999</v>
      </c>
      <c r="I30" s="438">
        <f>J30/D30</f>
        <v>8.897325094318799E-2</v>
      </c>
      <c r="J30" s="434">
        <f>SUM(J9:J29)</f>
        <v>165499.24195</v>
      </c>
      <c r="K30" s="438">
        <f>L30/D30</f>
        <v>8.897325094318799E-2</v>
      </c>
      <c r="L30" s="434">
        <f>SUM(L9:L29)</f>
        <v>165499.24195</v>
      </c>
      <c r="M30" s="438">
        <f>N30/D30</f>
        <v>8.897325094318799E-2</v>
      </c>
      <c r="N30" s="434">
        <f>SUM(N9:N29)</f>
        <v>165499.24195</v>
      </c>
      <c r="O30" s="438">
        <f>P30/D30</f>
        <v>8.897325094318799E-2</v>
      </c>
      <c r="P30" s="434">
        <f>SUM(P9:P29)</f>
        <v>165499.24195</v>
      </c>
      <c r="Q30" s="438">
        <f>R30/D30</f>
        <v>8.897325094318799E-2</v>
      </c>
      <c r="R30" s="434">
        <f>SUM(R9:R29)</f>
        <v>165499.24195</v>
      </c>
      <c r="S30" s="448">
        <f>T30/D30</f>
        <v>8.897325094318799E-2</v>
      </c>
      <c r="T30" s="434">
        <f>SUM(T9:T29)</f>
        <v>165499.24195</v>
      </c>
      <c r="U30" s="448">
        <f>V30/D30</f>
        <v>9.7109452787270553E-2</v>
      </c>
      <c r="V30" s="434">
        <f>SUM(V9:V29)</f>
        <v>180633.39994999999</v>
      </c>
      <c r="W30" s="448">
        <f>X30/D30</f>
        <v>8.083704909910544E-2</v>
      </c>
      <c r="X30" s="434">
        <f>SUM(X9:X29)</f>
        <v>150365.08395</v>
      </c>
      <c r="Y30" s="448">
        <f>Z30/D30</f>
        <v>9.8264513686917351E-3</v>
      </c>
      <c r="Z30" s="434">
        <f>SUM(Z9:Z29)</f>
        <v>18278.192999999999</v>
      </c>
      <c r="AA30" s="448">
        <f>AB30/D30</f>
        <v>9.9364327562625511E-3</v>
      </c>
      <c r="AB30" s="434">
        <f>SUM(AB9:AB29)</f>
        <v>18482.769499999999</v>
      </c>
      <c r="AC30" s="449">
        <f>E30+G30+I30+K30+M30+O30+Q30+S30+U30+W30+Y30+AA30</f>
        <v>1.0000000000000002</v>
      </c>
      <c r="AD30" s="434">
        <f>SUM(AD9:AD29)</f>
        <v>1860101.0999999996</v>
      </c>
      <c r="AF30" s="2"/>
      <c r="AG30" s="92"/>
    </row>
    <row r="31" spans="1:33" s="37" customFormat="1" x14ac:dyDescent="0.3">
      <c r="A31" s="639"/>
      <c r="B31" s="640"/>
      <c r="C31" s="438"/>
      <c r="D31" s="434"/>
      <c r="E31" s="438"/>
      <c r="F31" s="434">
        <f>F30</f>
        <v>350488.54095</v>
      </c>
      <c r="G31" s="433"/>
      <c r="H31" s="434">
        <f>H30+F31</f>
        <v>499346.20189999999</v>
      </c>
      <c r="I31" s="438"/>
      <c r="J31" s="434">
        <f>J30+H31</f>
        <v>664845.44384999992</v>
      </c>
      <c r="K31" s="438"/>
      <c r="L31" s="434">
        <f>L30+J31</f>
        <v>830344.68579999986</v>
      </c>
      <c r="M31" s="438"/>
      <c r="N31" s="434">
        <f>N30+L31</f>
        <v>995843.9277499998</v>
      </c>
      <c r="O31" s="438"/>
      <c r="P31" s="434">
        <f>P30+N31</f>
        <v>1161343.1696999997</v>
      </c>
      <c r="Q31" s="449"/>
      <c r="R31" s="434">
        <f>R30+P31</f>
        <v>1326842.4116499997</v>
      </c>
      <c r="S31" s="449"/>
      <c r="T31" s="434">
        <f>T30+R31</f>
        <v>1492341.6535999996</v>
      </c>
      <c r="U31" s="449"/>
      <c r="V31" s="434">
        <f>V30+T31</f>
        <v>1672975.0535499996</v>
      </c>
      <c r="W31" s="449"/>
      <c r="X31" s="434">
        <f>X30+V31</f>
        <v>1823340.1374999997</v>
      </c>
      <c r="Y31" s="449"/>
      <c r="Z31" s="434">
        <f>Z30+X31</f>
        <v>1841618.3304999997</v>
      </c>
      <c r="AA31" s="449"/>
      <c r="AB31" s="434">
        <f>AB30+Z31</f>
        <v>1860101.0999999996</v>
      </c>
      <c r="AC31" s="449"/>
      <c r="AD31" s="434"/>
      <c r="AF31" s="35"/>
      <c r="AG31" s="95"/>
    </row>
    <row r="32" spans="1:33" s="37" customFormat="1" x14ac:dyDescent="0.3">
      <c r="A32" s="407"/>
      <c r="B32" s="407"/>
      <c r="C32" s="410"/>
      <c r="D32" s="407"/>
      <c r="E32" s="410"/>
      <c r="F32" s="407"/>
      <c r="G32" s="407"/>
      <c r="H32" s="407"/>
      <c r="I32" s="410"/>
      <c r="J32" s="407"/>
      <c r="K32" s="440"/>
      <c r="L32" s="407"/>
      <c r="M32" s="410"/>
      <c r="N32" s="407"/>
      <c r="O32" s="410"/>
      <c r="P32" s="407"/>
      <c r="Q32" s="410"/>
      <c r="R32" s="407"/>
      <c r="S32" s="410"/>
      <c r="T32" s="407"/>
      <c r="U32" s="410"/>
      <c r="V32" s="407"/>
      <c r="W32" s="410"/>
      <c r="X32" s="407"/>
      <c r="Y32" s="410"/>
      <c r="Z32" s="407"/>
      <c r="AA32" s="410"/>
      <c r="AB32" s="407"/>
      <c r="AC32" s="410"/>
      <c r="AD32" s="407"/>
      <c r="AF32" s="35"/>
      <c r="AG32" s="95"/>
    </row>
    <row r="33" spans="1:33" s="37" customFormat="1" x14ac:dyDescent="0.3">
      <c r="A33" s="407"/>
      <c r="B33" s="407"/>
      <c r="C33" s="410"/>
      <c r="D33" s="407"/>
      <c r="E33" s="410"/>
      <c r="F33" s="407"/>
      <c r="G33" s="407"/>
      <c r="H33" s="407"/>
      <c r="I33" s="410"/>
      <c r="J33" s="407"/>
      <c r="K33" s="440"/>
      <c r="L33" s="407"/>
      <c r="M33" s="410"/>
      <c r="N33" s="407"/>
      <c r="O33" s="410"/>
      <c r="P33" s="407"/>
      <c r="Q33" s="410"/>
      <c r="R33" s="407"/>
      <c r="S33" s="410"/>
      <c r="T33" s="407"/>
      <c r="U33" s="410"/>
      <c r="V33" s="407"/>
      <c r="W33" s="410"/>
      <c r="X33" s="407"/>
      <c r="Y33" s="410"/>
      <c r="Z33" s="407"/>
      <c r="AA33" s="410"/>
      <c r="AB33" s="407"/>
      <c r="AC33" s="410"/>
      <c r="AD33" s="407"/>
      <c r="AF33" s="35"/>
      <c r="AG33" s="95"/>
    </row>
    <row r="34" spans="1:33" s="37" customFormat="1" x14ac:dyDescent="0.3">
      <c r="A34" s="407"/>
      <c r="B34" s="407"/>
      <c r="C34" s="410"/>
      <c r="D34" s="407"/>
      <c r="E34" s="410"/>
      <c r="F34" s="407"/>
      <c r="G34" s="407"/>
      <c r="H34" s="407"/>
      <c r="I34" s="410"/>
      <c r="J34" s="407"/>
      <c r="K34" s="440"/>
      <c r="L34" s="407"/>
      <c r="M34" s="410"/>
      <c r="N34" s="407"/>
      <c r="O34" s="410"/>
      <c r="P34" s="407"/>
      <c r="Q34" s="410"/>
      <c r="R34" s="407"/>
      <c r="S34" s="410"/>
      <c r="T34" s="407"/>
      <c r="U34" s="410"/>
      <c r="V34" s="407"/>
      <c r="W34" s="410"/>
      <c r="X34" s="407"/>
      <c r="Y34" s="410"/>
      <c r="Z34" s="407"/>
      <c r="AA34" s="410"/>
      <c r="AB34" s="407"/>
      <c r="AC34" s="410"/>
      <c r="AD34" s="407"/>
      <c r="AF34" s="35"/>
      <c r="AG34" s="95"/>
    </row>
    <row r="35" spans="1:33" s="37" customFormat="1" x14ac:dyDescent="0.3">
      <c r="A35" s="407"/>
      <c r="B35" s="407"/>
      <c r="C35" s="410"/>
      <c r="D35" s="407"/>
      <c r="E35" s="410"/>
      <c r="F35" s="407"/>
      <c r="G35" s="407"/>
      <c r="H35" s="407"/>
      <c r="I35" s="410"/>
      <c r="J35" s="407"/>
      <c r="K35" s="440"/>
      <c r="L35" s="407"/>
      <c r="M35" s="410"/>
      <c r="N35" s="407"/>
      <c r="O35" s="410"/>
      <c r="P35" s="407"/>
      <c r="Q35" s="410"/>
      <c r="R35" s="407"/>
      <c r="S35" s="410"/>
      <c r="T35" s="407"/>
      <c r="U35" s="410"/>
      <c r="V35" s="407"/>
      <c r="W35" s="410"/>
      <c r="X35" s="407"/>
      <c r="Y35" s="410"/>
      <c r="Z35" s="407"/>
      <c r="AA35" s="410"/>
      <c r="AB35" s="407"/>
      <c r="AC35" s="410"/>
      <c r="AD35" s="407"/>
      <c r="AF35" s="35"/>
      <c r="AG35" s="95"/>
    </row>
    <row r="36" spans="1:33" s="37" customFormat="1" x14ac:dyDescent="0.3">
      <c r="A36" s="407"/>
      <c r="B36" s="407"/>
      <c r="C36" s="410"/>
      <c r="D36" s="407"/>
      <c r="E36" s="410"/>
      <c r="F36" s="407"/>
      <c r="G36" s="407"/>
      <c r="H36" s="407"/>
      <c r="I36" s="410"/>
      <c r="J36" s="407"/>
      <c r="K36" s="440"/>
      <c r="L36" s="407"/>
      <c r="M36" s="410"/>
      <c r="N36" s="407"/>
      <c r="O36" s="410"/>
      <c r="P36" s="407"/>
      <c r="Q36" s="410"/>
      <c r="R36" s="407"/>
      <c r="S36" s="410"/>
      <c r="T36" s="407"/>
      <c r="U36" s="410"/>
      <c r="V36" s="407"/>
      <c r="W36" s="410"/>
      <c r="X36" s="407"/>
      <c r="Y36" s="410"/>
      <c r="Z36" s="407"/>
      <c r="AA36" s="410"/>
      <c r="AB36" s="407"/>
      <c r="AC36" s="410"/>
      <c r="AD36" s="407"/>
      <c r="AF36" s="35"/>
      <c r="AG36" s="95"/>
    </row>
    <row r="37" spans="1:33" s="52" customFormat="1" x14ac:dyDescent="0.3">
      <c r="A37" s="411"/>
      <c r="B37" s="411"/>
      <c r="C37" s="451"/>
      <c r="D37" s="407"/>
      <c r="E37" s="439"/>
      <c r="F37" s="407"/>
      <c r="G37" s="408"/>
      <c r="H37" s="407"/>
      <c r="I37" s="440"/>
      <c r="J37" s="407"/>
      <c r="K37" s="440"/>
      <c r="L37" s="407"/>
      <c r="M37" s="439"/>
      <c r="N37" s="407"/>
      <c r="O37" s="439"/>
      <c r="P37" s="407"/>
      <c r="Q37" s="410"/>
      <c r="R37" s="407"/>
      <c r="S37" s="410"/>
      <c r="T37" s="407"/>
      <c r="U37" s="410"/>
      <c r="V37" s="407"/>
      <c r="W37" s="410"/>
      <c r="X37" s="407"/>
      <c r="Y37" s="410"/>
      <c r="Z37" s="407"/>
      <c r="AA37" s="410"/>
      <c r="AB37" s="407"/>
      <c r="AC37" s="410"/>
      <c r="AD37" s="407"/>
      <c r="AF37" s="48"/>
      <c r="AG37" s="95"/>
    </row>
    <row r="38" spans="1:33" s="52" customFormat="1" x14ac:dyDescent="0.3">
      <c r="A38" s="411"/>
      <c r="B38" s="411"/>
      <c r="C38" s="451"/>
      <c r="D38" s="407"/>
      <c r="E38" s="439"/>
      <c r="F38" s="407"/>
      <c r="G38" s="408"/>
      <c r="H38" s="407"/>
      <c r="I38" s="440"/>
      <c r="J38" s="407"/>
      <c r="K38" s="440"/>
      <c r="L38" s="407"/>
      <c r="M38" s="439"/>
      <c r="N38" s="407"/>
      <c r="O38" s="439"/>
      <c r="P38" s="407"/>
      <c r="Q38" s="410"/>
      <c r="R38" s="407"/>
      <c r="S38" s="410"/>
      <c r="T38" s="407"/>
      <c r="U38" s="410"/>
      <c r="V38" s="407"/>
      <c r="W38" s="410"/>
      <c r="X38" s="407"/>
      <c r="Y38" s="410"/>
      <c r="Z38" s="407"/>
      <c r="AA38" s="410"/>
      <c r="AB38" s="407"/>
      <c r="AC38" s="410"/>
      <c r="AD38" s="407"/>
      <c r="AF38" s="48"/>
      <c r="AG38" s="95"/>
    </row>
    <row r="39" spans="1:33" s="52" customFormat="1" x14ac:dyDescent="0.3">
      <c r="A39" s="411"/>
      <c r="B39" s="411"/>
      <c r="C39" s="451"/>
      <c r="D39" s="407"/>
      <c r="E39" s="439"/>
      <c r="F39" s="407"/>
      <c r="G39" s="408"/>
      <c r="H39" s="407"/>
      <c r="I39" s="440"/>
      <c r="J39" s="407"/>
      <c r="K39" s="440"/>
      <c r="L39" s="407"/>
      <c r="M39" s="439"/>
      <c r="N39" s="407"/>
      <c r="O39" s="439"/>
      <c r="P39" s="407"/>
      <c r="Q39" s="410"/>
      <c r="R39" s="407"/>
      <c r="S39" s="410"/>
      <c r="T39" s="407"/>
      <c r="U39" s="410"/>
      <c r="V39" s="407"/>
      <c r="W39" s="410"/>
      <c r="X39" s="407"/>
      <c r="Y39" s="410"/>
      <c r="Z39" s="407"/>
      <c r="AA39" s="410"/>
      <c r="AB39" s="407"/>
      <c r="AC39" s="410"/>
      <c r="AD39" s="407"/>
      <c r="AF39" s="48"/>
      <c r="AG39" s="95"/>
    </row>
    <row r="40" spans="1:33" s="52" customFormat="1" x14ac:dyDescent="0.3">
      <c r="A40" s="411"/>
      <c r="B40" s="411"/>
      <c r="C40" s="451"/>
      <c r="D40" s="407"/>
      <c r="E40" s="439"/>
      <c r="F40" s="407"/>
      <c r="G40" s="408"/>
      <c r="H40" s="407"/>
      <c r="I40" s="440"/>
      <c r="J40" s="407"/>
      <c r="K40" s="440"/>
      <c r="L40" s="407"/>
      <c r="M40" s="439"/>
      <c r="N40" s="407"/>
      <c r="O40" s="439"/>
      <c r="P40" s="407"/>
      <c r="Q40" s="410"/>
      <c r="R40" s="407"/>
      <c r="S40" s="410"/>
      <c r="T40" s="407"/>
      <c r="U40" s="410"/>
      <c r="V40" s="407"/>
      <c r="W40" s="410"/>
      <c r="X40" s="407"/>
      <c r="Y40" s="410"/>
      <c r="Z40" s="407"/>
      <c r="AA40" s="410"/>
      <c r="AB40" s="407"/>
      <c r="AC40" s="410"/>
      <c r="AD40" s="407"/>
      <c r="AF40" s="48"/>
      <c r="AG40" s="95"/>
    </row>
    <row r="41" spans="1:33" s="52" customFormat="1" x14ac:dyDescent="0.3">
      <c r="A41" s="411"/>
      <c r="B41" s="411"/>
      <c r="C41" s="451"/>
      <c r="D41" s="407"/>
      <c r="E41" s="439"/>
      <c r="F41" s="407"/>
      <c r="G41" s="408"/>
      <c r="H41" s="407"/>
      <c r="I41" s="440"/>
      <c r="J41" s="407"/>
      <c r="K41" s="440"/>
      <c r="L41" s="407"/>
      <c r="M41" s="439"/>
      <c r="N41" s="407"/>
      <c r="O41" s="439"/>
      <c r="P41" s="407"/>
      <c r="Q41" s="410"/>
      <c r="R41" s="407"/>
      <c r="S41" s="410"/>
      <c r="T41" s="407"/>
      <c r="U41" s="410"/>
      <c r="V41" s="407"/>
      <c r="W41" s="410"/>
      <c r="X41" s="407"/>
      <c r="Y41" s="410"/>
      <c r="Z41" s="407"/>
      <c r="AA41" s="410"/>
      <c r="AB41" s="407"/>
      <c r="AC41" s="410"/>
      <c r="AD41" s="407"/>
      <c r="AF41" s="48"/>
      <c r="AG41" s="95"/>
    </row>
    <row r="42" spans="1:33" s="52" customFormat="1" x14ac:dyDescent="0.3">
      <c r="A42" s="411"/>
      <c r="B42" s="411"/>
      <c r="C42" s="451"/>
      <c r="D42" s="407"/>
      <c r="E42" s="439"/>
      <c r="F42" s="407"/>
      <c r="G42" s="408"/>
      <c r="H42" s="407"/>
      <c r="I42" s="440"/>
      <c r="J42" s="407"/>
      <c r="K42" s="440"/>
      <c r="L42" s="407"/>
      <c r="M42" s="439"/>
      <c r="N42" s="407"/>
      <c r="O42" s="439"/>
      <c r="P42" s="407"/>
      <c r="Q42" s="410"/>
      <c r="R42" s="407"/>
      <c r="S42" s="410"/>
      <c r="T42" s="407"/>
      <c r="U42" s="410"/>
      <c r="V42" s="407"/>
      <c r="W42" s="410"/>
      <c r="X42" s="407"/>
      <c r="Y42" s="410"/>
      <c r="Z42" s="407"/>
      <c r="AA42" s="410"/>
      <c r="AB42" s="407"/>
      <c r="AC42" s="410"/>
      <c r="AD42" s="407"/>
      <c r="AF42" s="48"/>
      <c r="AG42" s="95"/>
    </row>
    <row r="43" spans="1:33" s="52" customFormat="1" x14ac:dyDescent="0.3">
      <c r="A43" s="411"/>
      <c r="B43" s="411"/>
      <c r="C43" s="451"/>
      <c r="D43" s="407"/>
      <c r="E43" s="439"/>
      <c r="F43" s="407"/>
      <c r="G43" s="408"/>
      <c r="H43" s="407"/>
      <c r="I43" s="440"/>
      <c r="J43" s="407"/>
      <c r="K43" s="440"/>
      <c r="L43" s="407"/>
      <c r="M43" s="439"/>
      <c r="N43" s="407"/>
      <c r="O43" s="439"/>
      <c r="P43" s="407"/>
      <c r="Q43" s="410"/>
      <c r="R43" s="407"/>
      <c r="S43" s="410"/>
      <c r="T43" s="407"/>
      <c r="U43" s="410"/>
      <c r="V43" s="407"/>
      <c r="W43" s="410"/>
      <c r="X43" s="407"/>
      <c r="Y43" s="410"/>
      <c r="Z43" s="407"/>
      <c r="AA43" s="410"/>
      <c r="AB43" s="407"/>
      <c r="AC43" s="410"/>
      <c r="AD43" s="407"/>
      <c r="AF43" s="48"/>
      <c r="AG43" s="95"/>
    </row>
    <row r="44" spans="1:33" s="52" customFormat="1" x14ac:dyDescent="0.3">
      <c r="A44" s="411"/>
      <c r="B44" s="411"/>
      <c r="C44" s="451"/>
      <c r="D44" s="407"/>
      <c r="E44" s="439"/>
      <c r="F44" s="407"/>
      <c r="G44" s="408"/>
      <c r="H44" s="407"/>
      <c r="I44" s="440"/>
      <c r="J44" s="407"/>
      <c r="K44" s="440"/>
      <c r="L44" s="407"/>
      <c r="M44" s="439"/>
      <c r="N44" s="407"/>
      <c r="O44" s="439"/>
      <c r="P44" s="407"/>
      <c r="Q44" s="410"/>
      <c r="R44" s="407"/>
      <c r="S44" s="410"/>
      <c r="T44" s="407"/>
      <c r="U44" s="410"/>
      <c r="V44" s="407"/>
      <c r="W44" s="410"/>
      <c r="X44" s="407"/>
      <c r="Y44" s="410"/>
      <c r="Z44" s="407"/>
      <c r="AA44" s="410"/>
      <c r="AB44" s="407"/>
      <c r="AC44" s="410"/>
      <c r="AD44" s="407"/>
      <c r="AF44" s="48"/>
      <c r="AG44" s="95"/>
    </row>
    <row r="45" spans="1:33" s="52" customFormat="1" x14ac:dyDescent="0.3">
      <c r="A45" s="411"/>
      <c r="B45" s="411"/>
      <c r="C45" s="451"/>
      <c r="D45" s="407"/>
      <c r="E45" s="439"/>
      <c r="F45" s="407"/>
      <c r="G45" s="408"/>
      <c r="H45" s="407"/>
      <c r="I45" s="440"/>
      <c r="J45" s="407"/>
      <c r="K45" s="440"/>
      <c r="L45" s="407"/>
      <c r="M45" s="439"/>
      <c r="N45" s="407"/>
      <c r="O45" s="439"/>
      <c r="P45" s="407"/>
      <c r="Q45" s="410"/>
      <c r="R45" s="407"/>
      <c r="S45" s="410"/>
      <c r="T45" s="407"/>
      <c r="U45" s="410"/>
      <c r="V45" s="407"/>
      <c r="W45" s="410"/>
      <c r="X45" s="407"/>
      <c r="Y45" s="410"/>
      <c r="Z45" s="407"/>
      <c r="AA45" s="410"/>
      <c r="AB45" s="407"/>
      <c r="AC45" s="410"/>
      <c r="AD45" s="407"/>
      <c r="AF45" s="48"/>
      <c r="AG45" s="95"/>
    </row>
    <row r="46" spans="1:33" s="52" customFormat="1" x14ac:dyDescent="0.3">
      <c r="A46" s="411"/>
      <c r="B46" s="411"/>
      <c r="C46" s="451"/>
      <c r="D46" s="407"/>
      <c r="E46" s="439"/>
      <c r="F46" s="407"/>
      <c r="G46" s="408"/>
      <c r="H46" s="407"/>
      <c r="I46" s="440"/>
      <c r="J46" s="407"/>
      <c r="K46" s="440"/>
      <c r="L46" s="407"/>
      <c r="M46" s="439"/>
      <c r="N46" s="407"/>
      <c r="O46" s="439"/>
      <c r="P46" s="407"/>
      <c r="Q46" s="410"/>
      <c r="R46" s="407"/>
      <c r="S46" s="410"/>
      <c r="T46" s="407"/>
      <c r="U46" s="410"/>
      <c r="V46" s="407"/>
      <c r="W46" s="410"/>
      <c r="X46" s="407"/>
      <c r="Y46" s="410"/>
      <c r="Z46" s="407"/>
      <c r="AA46" s="410"/>
      <c r="AB46" s="407"/>
      <c r="AC46" s="410"/>
      <c r="AD46" s="407"/>
      <c r="AF46" s="48"/>
      <c r="AG46" s="95"/>
    </row>
    <row r="47" spans="1:33" s="52" customFormat="1" x14ac:dyDescent="0.3">
      <c r="A47" s="411"/>
      <c r="B47" s="411"/>
      <c r="C47" s="451"/>
      <c r="D47" s="407"/>
      <c r="E47" s="439"/>
      <c r="F47" s="407"/>
      <c r="G47" s="408"/>
      <c r="H47" s="407"/>
      <c r="I47" s="440"/>
      <c r="J47" s="407"/>
      <c r="K47" s="440"/>
      <c r="L47" s="407"/>
      <c r="M47" s="439"/>
      <c r="N47" s="407"/>
      <c r="O47" s="439"/>
      <c r="P47" s="407"/>
      <c r="Q47" s="410"/>
      <c r="R47" s="407"/>
      <c r="S47" s="410"/>
      <c r="T47" s="407"/>
      <c r="U47" s="410"/>
      <c r="V47" s="407"/>
      <c r="W47" s="410"/>
      <c r="X47" s="407"/>
      <c r="Y47" s="410"/>
      <c r="Z47" s="407"/>
      <c r="AA47" s="410"/>
      <c r="AB47" s="407"/>
      <c r="AC47" s="410"/>
      <c r="AD47" s="407"/>
      <c r="AF47" s="48"/>
      <c r="AG47" s="95"/>
    </row>
    <row r="48" spans="1:33" s="52" customFormat="1" x14ac:dyDescent="0.3">
      <c r="A48" s="411"/>
      <c r="B48" s="411"/>
      <c r="C48" s="451"/>
      <c r="D48" s="407"/>
      <c r="E48" s="439"/>
      <c r="F48" s="407"/>
      <c r="G48" s="408"/>
      <c r="H48" s="407"/>
      <c r="I48" s="440"/>
      <c r="J48" s="407"/>
      <c r="K48" s="440"/>
      <c r="L48" s="407"/>
      <c r="M48" s="439"/>
      <c r="N48" s="407"/>
      <c r="O48" s="439"/>
      <c r="P48" s="407"/>
      <c r="Q48" s="410"/>
      <c r="R48" s="407"/>
      <c r="S48" s="410"/>
      <c r="T48" s="407"/>
      <c r="U48" s="410"/>
      <c r="V48" s="407"/>
      <c r="W48" s="410"/>
      <c r="X48" s="407"/>
      <c r="Y48" s="410"/>
      <c r="Z48" s="407"/>
      <c r="AA48" s="410"/>
      <c r="AB48" s="407"/>
      <c r="AC48" s="410"/>
      <c r="AD48" s="407"/>
      <c r="AF48" s="48"/>
      <c r="AG48" s="95"/>
    </row>
    <row r="49" spans="1:33" s="52" customFormat="1" x14ac:dyDescent="0.3">
      <c r="A49" s="411"/>
      <c r="B49" s="411"/>
      <c r="C49" s="451"/>
      <c r="D49" s="407"/>
      <c r="E49" s="439"/>
      <c r="F49" s="407"/>
      <c r="G49" s="408"/>
      <c r="H49" s="407"/>
      <c r="I49" s="440"/>
      <c r="J49" s="407"/>
      <c r="K49" s="440"/>
      <c r="L49" s="407"/>
      <c r="M49" s="439"/>
      <c r="N49" s="407"/>
      <c r="O49" s="439"/>
      <c r="P49" s="407"/>
      <c r="Q49" s="410"/>
      <c r="R49" s="407"/>
      <c r="S49" s="410"/>
      <c r="T49" s="407"/>
      <c r="U49" s="410"/>
      <c r="V49" s="407"/>
      <c r="W49" s="410"/>
      <c r="X49" s="407"/>
      <c r="Y49" s="410"/>
      <c r="Z49" s="407"/>
      <c r="AA49" s="410"/>
      <c r="AB49" s="407"/>
      <c r="AC49" s="410"/>
      <c r="AD49" s="407"/>
      <c r="AF49" s="48"/>
      <c r="AG49" s="95"/>
    </row>
    <row r="50" spans="1:33" s="52" customFormat="1" x14ac:dyDescent="0.3">
      <c r="A50" s="411"/>
      <c r="B50" s="411"/>
      <c r="C50" s="451"/>
      <c r="D50" s="407"/>
      <c r="E50" s="439"/>
      <c r="F50" s="407"/>
      <c r="G50" s="408"/>
      <c r="H50" s="407"/>
      <c r="I50" s="440"/>
      <c r="J50" s="407"/>
      <c r="K50" s="440"/>
      <c r="L50" s="407"/>
      <c r="M50" s="439"/>
      <c r="N50" s="407"/>
      <c r="O50" s="439"/>
      <c r="P50" s="407"/>
      <c r="Q50" s="410"/>
      <c r="R50" s="407"/>
      <c r="S50" s="410"/>
      <c r="T50" s="407"/>
      <c r="U50" s="410"/>
      <c r="V50" s="407"/>
      <c r="W50" s="410"/>
      <c r="X50" s="407"/>
      <c r="Y50" s="410"/>
      <c r="Z50" s="407"/>
      <c r="AA50" s="410"/>
      <c r="AB50" s="407"/>
      <c r="AC50" s="410"/>
      <c r="AD50" s="407"/>
      <c r="AF50" s="48"/>
      <c r="AG50" s="95"/>
    </row>
  </sheetData>
  <mergeCells count="11">
    <mergeCell ref="A2:Q2"/>
    <mergeCell ref="E7:Q7"/>
    <mergeCell ref="R2:AD2"/>
    <mergeCell ref="R7:AB7"/>
    <mergeCell ref="AD7:AD8"/>
    <mergeCell ref="A30:B30"/>
    <mergeCell ref="A31:B31"/>
    <mergeCell ref="A7:A8"/>
    <mergeCell ref="B7:B8"/>
    <mergeCell ref="D7:D8"/>
    <mergeCell ref="C7:C8"/>
  </mergeCells>
  <printOptions horizontalCentered="1"/>
  <pageMargins left="0.15748031496062992" right="0.15748031496062992" top="1.299212598425197" bottom="0.74803149606299213" header="0.31496062992125984" footer="0.31496062992125984"/>
  <pageSetup paperSize="9" scale="84" fitToWidth="0" orientation="landscape" r:id="rId1"/>
  <headerFooter alignWithMargins="0">
    <oddHeader>&amp;L&amp;G</oddHeader>
    <oddFooter>&amp;CRazão Social: Construtora W Mendes Ltda
CNPJ: 13.252.128/0001-94 - (65) 3661-3737 / 9 9991-9276 
R: Joaquim Murtinho, n° 940 Centro Sul - CEP: 78020-290    Cidade: Cuiabá - MT.  
&amp;RPágina &amp;P de &amp;N</oddFooter>
  </headerFooter>
  <colBreaks count="1" manualBreakCount="1">
    <brk id="17" max="30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41"/>
  <sheetViews>
    <sheetView view="pageBreakPreview" topLeftCell="A24" zoomScale="82" zoomScaleNormal="100" zoomScaleSheetLayoutView="82" workbookViewId="0">
      <selection activeCell="P891" sqref="P1:Y1048576"/>
    </sheetView>
  </sheetViews>
  <sheetFormatPr defaultRowHeight="15.6" outlineLevelRow="1" x14ac:dyDescent="0.25"/>
  <cols>
    <col min="1" max="1" width="8.5546875" style="580" customWidth="1"/>
    <col min="2" max="2" width="13.44140625" style="581" customWidth="1"/>
    <col min="3" max="3" width="86" style="582" customWidth="1"/>
    <col min="4" max="4" width="6.33203125" style="583" customWidth="1"/>
    <col min="5" max="5" width="10" style="583" customWidth="1"/>
    <col min="6" max="6" width="8.88671875" style="584" customWidth="1"/>
    <col min="7" max="7" width="9.88671875" style="583" customWidth="1"/>
    <col min="8" max="8" width="13.6640625" style="583" customWidth="1"/>
    <col min="9" max="9" width="18" style="584" customWidth="1"/>
    <col min="10" max="10" width="16.109375" style="1" hidden="1" customWidth="1"/>
    <col min="11" max="11" width="16.109375" style="199" hidden="1" customWidth="1"/>
    <col min="12" max="12" width="20.88671875" style="1" hidden="1" customWidth="1"/>
    <col min="13" max="13" width="11.88671875" style="2" hidden="1" customWidth="1"/>
    <col min="14" max="14" width="9.88671875" style="2" hidden="1" customWidth="1"/>
    <col min="15" max="15" width="10.33203125" style="2" bestFit="1" customWidth="1"/>
    <col min="16" max="16" width="0" style="3" hidden="1" customWidth="1"/>
    <col min="17" max="17" width="0" style="4" hidden="1" customWidth="1"/>
    <col min="18" max="18" width="15.44140625" style="5" hidden="1" customWidth="1"/>
    <col min="19" max="19" width="11.109375" style="5" hidden="1" customWidth="1"/>
    <col min="20" max="20" width="10.44140625" style="5" hidden="1" customWidth="1"/>
    <col min="21" max="21" width="14.44140625" style="5" hidden="1" customWidth="1"/>
    <col min="22" max="22" width="11.88671875" style="5" hidden="1" customWidth="1"/>
    <col min="23" max="25" width="0" style="5" hidden="1" customWidth="1"/>
    <col min="26" max="256" width="9.109375" style="5"/>
    <col min="257" max="257" width="8.5546875" style="5" customWidth="1"/>
    <col min="258" max="258" width="13.44140625" style="5" customWidth="1"/>
    <col min="259" max="259" width="65.88671875" style="5" customWidth="1"/>
    <col min="260" max="260" width="6.33203125" style="5" customWidth="1"/>
    <col min="261" max="261" width="10" style="5" customWidth="1"/>
    <col min="262" max="262" width="8.88671875" style="5" customWidth="1"/>
    <col min="263" max="263" width="9.88671875" style="5" customWidth="1"/>
    <col min="264" max="264" width="13.6640625" style="5" customWidth="1"/>
    <col min="265" max="265" width="13" style="5" customWidth="1"/>
    <col min="266" max="266" width="16.109375" style="5" customWidth="1"/>
    <col min="267" max="267" width="51.88671875" style="5" customWidth="1"/>
    <col min="268" max="268" width="20.88671875" style="5" customWidth="1"/>
    <col min="269" max="269" width="11.88671875" style="5" bestFit="1" customWidth="1"/>
    <col min="270" max="270" width="9.88671875" style="5" bestFit="1" customWidth="1"/>
    <col min="271" max="271" width="10.33203125" style="5" bestFit="1" customWidth="1"/>
    <col min="272" max="273" width="9.109375" style="5"/>
    <col min="274" max="274" width="15.44140625" style="5" customWidth="1"/>
    <col min="275" max="512" width="9.109375" style="5"/>
    <col min="513" max="513" width="8.5546875" style="5" customWidth="1"/>
    <col min="514" max="514" width="13.44140625" style="5" customWidth="1"/>
    <col min="515" max="515" width="65.88671875" style="5" customWidth="1"/>
    <col min="516" max="516" width="6.33203125" style="5" customWidth="1"/>
    <col min="517" max="517" width="10" style="5" customWidth="1"/>
    <col min="518" max="518" width="8.88671875" style="5" customWidth="1"/>
    <col min="519" max="519" width="9.88671875" style="5" customWidth="1"/>
    <col min="520" max="520" width="13.6640625" style="5" customWidth="1"/>
    <col min="521" max="521" width="13" style="5" customWidth="1"/>
    <col min="522" max="522" width="16.109375" style="5" customWidth="1"/>
    <col min="523" max="523" width="51.88671875" style="5" customWidth="1"/>
    <col min="524" max="524" width="20.88671875" style="5" customWidth="1"/>
    <col min="525" max="525" width="11.88671875" style="5" bestFit="1" customWidth="1"/>
    <col min="526" max="526" width="9.88671875" style="5" bestFit="1" customWidth="1"/>
    <col min="527" max="527" width="10.33203125" style="5" bestFit="1" customWidth="1"/>
    <col min="528" max="529" width="9.109375" style="5"/>
    <col min="530" max="530" width="15.44140625" style="5" customWidth="1"/>
    <col min="531" max="768" width="9.109375" style="5"/>
    <col min="769" max="769" width="8.5546875" style="5" customWidth="1"/>
    <col min="770" max="770" width="13.44140625" style="5" customWidth="1"/>
    <col min="771" max="771" width="65.88671875" style="5" customWidth="1"/>
    <col min="772" max="772" width="6.33203125" style="5" customWidth="1"/>
    <col min="773" max="773" width="10" style="5" customWidth="1"/>
    <col min="774" max="774" width="8.88671875" style="5" customWidth="1"/>
    <col min="775" max="775" width="9.88671875" style="5" customWidth="1"/>
    <col min="776" max="776" width="13.6640625" style="5" customWidth="1"/>
    <col min="777" max="777" width="13" style="5" customWidth="1"/>
    <col min="778" max="778" width="16.109375" style="5" customWidth="1"/>
    <col min="779" max="779" width="51.88671875" style="5" customWidth="1"/>
    <col min="780" max="780" width="20.88671875" style="5" customWidth="1"/>
    <col min="781" max="781" width="11.88671875" style="5" bestFit="1" customWidth="1"/>
    <col min="782" max="782" width="9.88671875" style="5" bestFit="1" customWidth="1"/>
    <col min="783" max="783" width="10.33203125" style="5" bestFit="1" customWidth="1"/>
    <col min="784" max="785" width="9.109375" style="5"/>
    <col min="786" max="786" width="15.44140625" style="5" customWidth="1"/>
    <col min="787" max="1024" width="9.109375" style="5"/>
    <col min="1025" max="1025" width="8.5546875" style="5" customWidth="1"/>
    <col min="1026" max="1026" width="13.44140625" style="5" customWidth="1"/>
    <col min="1027" max="1027" width="65.88671875" style="5" customWidth="1"/>
    <col min="1028" max="1028" width="6.33203125" style="5" customWidth="1"/>
    <col min="1029" max="1029" width="10" style="5" customWidth="1"/>
    <col min="1030" max="1030" width="8.88671875" style="5" customWidth="1"/>
    <col min="1031" max="1031" width="9.88671875" style="5" customWidth="1"/>
    <col min="1032" max="1032" width="13.6640625" style="5" customWidth="1"/>
    <col min="1033" max="1033" width="13" style="5" customWidth="1"/>
    <col min="1034" max="1034" width="16.109375" style="5" customWidth="1"/>
    <col min="1035" max="1035" width="51.88671875" style="5" customWidth="1"/>
    <col min="1036" max="1036" width="20.88671875" style="5" customWidth="1"/>
    <col min="1037" max="1037" width="11.88671875" style="5" bestFit="1" customWidth="1"/>
    <col min="1038" max="1038" width="9.88671875" style="5" bestFit="1" customWidth="1"/>
    <col min="1039" max="1039" width="10.33203125" style="5" bestFit="1" customWidth="1"/>
    <col min="1040" max="1041" width="9.109375" style="5"/>
    <col min="1042" max="1042" width="15.44140625" style="5" customWidth="1"/>
    <col min="1043" max="1280" width="9.109375" style="5"/>
    <col min="1281" max="1281" width="8.5546875" style="5" customWidth="1"/>
    <col min="1282" max="1282" width="13.44140625" style="5" customWidth="1"/>
    <col min="1283" max="1283" width="65.88671875" style="5" customWidth="1"/>
    <col min="1284" max="1284" width="6.33203125" style="5" customWidth="1"/>
    <col min="1285" max="1285" width="10" style="5" customWidth="1"/>
    <col min="1286" max="1286" width="8.88671875" style="5" customWidth="1"/>
    <col min="1287" max="1287" width="9.88671875" style="5" customWidth="1"/>
    <col min="1288" max="1288" width="13.6640625" style="5" customWidth="1"/>
    <col min="1289" max="1289" width="13" style="5" customWidth="1"/>
    <col min="1290" max="1290" width="16.109375" style="5" customWidth="1"/>
    <col min="1291" max="1291" width="51.88671875" style="5" customWidth="1"/>
    <col min="1292" max="1292" width="20.88671875" style="5" customWidth="1"/>
    <col min="1293" max="1293" width="11.88671875" style="5" bestFit="1" customWidth="1"/>
    <col min="1294" max="1294" width="9.88671875" style="5" bestFit="1" customWidth="1"/>
    <col min="1295" max="1295" width="10.33203125" style="5" bestFit="1" customWidth="1"/>
    <col min="1296" max="1297" width="9.109375" style="5"/>
    <col min="1298" max="1298" width="15.44140625" style="5" customWidth="1"/>
    <col min="1299" max="1536" width="9.109375" style="5"/>
    <col min="1537" max="1537" width="8.5546875" style="5" customWidth="1"/>
    <col min="1538" max="1538" width="13.44140625" style="5" customWidth="1"/>
    <col min="1539" max="1539" width="65.88671875" style="5" customWidth="1"/>
    <col min="1540" max="1540" width="6.33203125" style="5" customWidth="1"/>
    <col min="1541" max="1541" width="10" style="5" customWidth="1"/>
    <col min="1542" max="1542" width="8.88671875" style="5" customWidth="1"/>
    <col min="1543" max="1543" width="9.88671875" style="5" customWidth="1"/>
    <col min="1544" max="1544" width="13.6640625" style="5" customWidth="1"/>
    <col min="1545" max="1545" width="13" style="5" customWidth="1"/>
    <col min="1546" max="1546" width="16.109375" style="5" customWidth="1"/>
    <col min="1547" max="1547" width="51.88671875" style="5" customWidth="1"/>
    <col min="1548" max="1548" width="20.88671875" style="5" customWidth="1"/>
    <col min="1549" max="1549" width="11.88671875" style="5" bestFit="1" customWidth="1"/>
    <col min="1550" max="1550" width="9.88671875" style="5" bestFit="1" customWidth="1"/>
    <col min="1551" max="1551" width="10.33203125" style="5" bestFit="1" customWidth="1"/>
    <col min="1552" max="1553" width="9.109375" style="5"/>
    <col min="1554" max="1554" width="15.44140625" style="5" customWidth="1"/>
    <col min="1555" max="1792" width="9.109375" style="5"/>
    <col min="1793" max="1793" width="8.5546875" style="5" customWidth="1"/>
    <col min="1794" max="1794" width="13.44140625" style="5" customWidth="1"/>
    <col min="1795" max="1795" width="65.88671875" style="5" customWidth="1"/>
    <col min="1796" max="1796" width="6.33203125" style="5" customWidth="1"/>
    <col min="1797" max="1797" width="10" style="5" customWidth="1"/>
    <col min="1798" max="1798" width="8.88671875" style="5" customWidth="1"/>
    <col min="1799" max="1799" width="9.88671875" style="5" customWidth="1"/>
    <col min="1800" max="1800" width="13.6640625" style="5" customWidth="1"/>
    <col min="1801" max="1801" width="13" style="5" customWidth="1"/>
    <col min="1802" max="1802" width="16.109375" style="5" customWidth="1"/>
    <col min="1803" max="1803" width="51.88671875" style="5" customWidth="1"/>
    <col min="1804" max="1804" width="20.88671875" style="5" customWidth="1"/>
    <col min="1805" max="1805" width="11.88671875" style="5" bestFit="1" customWidth="1"/>
    <col min="1806" max="1806" width="9.88671875" style="5" bestFit="1" customWidth="1"/>
    <col min="1807" max="1807" width="10.33203125" style="5" bestFit="1" customWidth="1"/>
    <col min="1808" max="1809" width="9.109375" style="5"/>
    <col min="1810" max="1810" width="15.44140625" style="5" customWidth="1"/>
    <col min="1811" max="2048" width="9.109375" style="5"/>
    <col min="2049" max="2049" width="8.5546875" style="5" customWidth="1"/>
    <col min="2050" max="2050" width="13.44140625" style="5" customWidth="1"/>
    <col min="2051" max="2051" width="65.88671875" style="5" customWidth="1"/>
    <col min="2052" max="2052" width="6.33203125" style="5" customWidth="1"/>
    <col min="2053" max="2053" width="10" style="5" customWidth="1"/>
    <col min="2054" max="2054" width="8.88671875" style="5" customWidth="1"/>
    <col min="2055" max="2055" width="9.88671875" style="5" customWidth="1"/>
    <col min="2056" max="2056" width="13.6640625" style="5" customWidth="1"/>
    <col min="2057" max="2057" width="13" style="5" customWidth="1"/>
    <col min="2058" max="2058" width="16.109375" style="5" customWidth="1"/>
    <col min="2059" max="2059" width="51.88671875" style="5" customWidth="1"/>
    <col min="2060" max="2060" width="20.88671875" style="5" customWidth="1"/>
    <col min="2061" max="2061" width="11.88671875" style="5" bestFit="1" customWidth="1"/>
    <col min="2062" max="2062" width="9.88671875" style="5" bestFit="1" customWidth="1"/>
    <col min="2063" max="2063" width="10.33203125" style="5" bestFit="1" customWidth="1"/>
    <col min="2064" max="2065" width="9.109375" style="5"/>
    <col min="2066" max="2066" width="15.44140625" style="5" customWidth="1"/>
    <col min="2067" max="2304" width="9.109375" style="5"/>
    <col min="2305" max="2305" width="8.5546875" style="5" customWidth="1"/>
    <col min="2306" max="2306" width="13.44140625" style="5" customWidth="1"/>
    <col min="2307" max="2307" width="65.88671875" style="5" customWidth="1"/>
    <col min="2308" max="2308" width="6.33203125" style="5" customWidth="1"/>
    <col min="2309" max="2309" width="10" style="5" customWidth="1"/>
    <col min="2310" max="2310" width="8.88671875" style="5" customWidth="1"/>
    <col min="2311" max="2311" width="9.88671875" style="5" customWidth="1"/>
    <col min="2312" max="2312" width="13.6640625" style="5" customWidth="1"/>
    <col min="2313" max="2313" width="13" style="5" customWidth="1"/>
    <col min="2314" max="2314" width="16.109375" style="5" customWidth="1"/>
    <col min="2315" max="2315" width="51.88671875" style="5" customWidth="1"/>
    <col min="2316" max="2316" width="20.88671875" style="5" customWidth="1"/>
    <col min="2317" max="2317" width="11.88671875" style="5" bestFit="1" customWidth="1"/>
    <col min="2318" max="2318" width="9.88671875" style="5" bestFit="1" customWidth="1"/>
    <col min="2319" max="2319" width="10.33203125" style="5" bestFit="1" customWidth="1"/>
    <col min="2320" max="2321" width="9.109375" style="5"/>
    <col min="2322" max="2322" width="15.44140625" style="5" customWidth="1"/>
    <col min="2323" max="2560" width="9.109375" style="5"/>
    <col min="2561" max="2561" width="8.5546875" style="5" customWidth="1"/>
    <col min="2562" max="2562" width="13.44140625" style="5" customWidth="1"/>
    <col min="2563" max="2563" width="65.88671875" style="5" customWidth="1"/>
    <col min="2564" max="2564" width="6.33203125" style="5" customWidth="1"/>
    <col min="2565" max="2565" width="10" style="5" customWidth="1"/>
    <col min="2566" max="2566" width="8.88671875" style="5" customWidth="1"/>
    <col min="2567" max="2567" width="9.88671875" style="5" customWidth="1"/>
    <col min="2568" max="2568" width="13.6640625" style="5" customWidth="1"/>
    <col min="2569" max="2569" width="13" style="5" customWidth="1"/>
    <col min="2570" max="2570" width="16.109375" style="5" customWidth="1"/>
    <col min="2571" max="2571" width="51.88671875" style="5" customWidth="1"/>
    <col min="2572" max="2572" width="20.88671875" style="5" customWidth="1"/>
    <col min="2573" max="2573" width="11.88671875" style="5" bestFit="1" customWidth="1"/>
    <col min="2574" max="2574" width="9.88671875" style="5" bestFit="1" customWidth="1"/>
    <col min="2575" max="2575" width="10.33203125" style="5" bestFit="1" customWidth="1"/>
    <col min="2576" max="2577" width="9.109375" style="5"/>
    <col min="2578" max="2578" width="15.44140625" style="5" customWidth="1"/>
    <col min="2579" max="2816" width="9.109375" style="5"/>
    <col min="2817" max="2817" width="8.5546875" style="5" customWidth="1"/>
    <col min="2818" max="2818" width="13.44140625" style="5" customWidth="1"/>
    <col min="2819" max="2819" width="65.88671875" style="5" customWidth="1"/>
    <col min="2820" max="2820" width="6.33203125" style="5" customWidth="1"/>
    <col min="2821" max="2821" width="10" style="5" customWidth="1"/>
    <col min="2822" max="2822" width="8.88671875" style="5" customWidth="1"/>
    <col min="2823" max="2823" width="9.88671875" style="5" customWidth="1"/>
    <col min="2824" max="2824" width="13.6640625" style="5" customWidth="1"/>
    <col min="2825" max="2825" width="13" style="5" customWidth="1"/>
    <col min="2826" max="2826" width="16.109375" style="5" customWidth="1"/>
    <col min="2827" max="2827" width="51.88671875" style="5" customWidth="1"/>
    <col min="2828" max="2828" width="20.88671875" style="5" customWidth="1"/>
    <col min="2829" max="2829" width="11.88671875" style="5" bestFit="1" customWidth="1"/>
    <col min="2830" max="2830" width="9.88671875" style="5" bestFit="1" customWidth="1"/>
    <col min="2831" max="2831" width="10.33203125" style="5" bestFit="1" customWidth="1"/>
    <col min="2832" max="2833" width="9.109375" style="5"/>
    <col min="2834" max="2834" width="15.44140625" style="5" customWidth="1"/>
    <col min="2835" max="3072" width="9.109375" style="5"/>
    <col min="3073" max="3073" width="8.5546875" style="5" customWidth="1"/>
    <col min="3074" max="3074" width="13.44140625" style="5" customWidth="1"/>
    <col min="3075" max="3075" width="65.88671875" style="5" customWidth="1"/>
    <col min="3076" max="3076" width="6.33203125" style="5" customWidth="1"/>
    <col min="3077" max="3077" width="10" style="5" customWidth="1"/>
    <col min="3078" max="3078" width="8.88671875" style="5" customWidth="1"/>
    <col min="3079" max="3079" width="9.88671875" style="5" customWidth="1"/>
    <col min="3080" max="3080" width="13.6640625" style="5" customWidth="1"/>
    <col min="3081" max="3081" width="13" style="5" customWidth="1"/>
    <col min="3082" max="3082" width="16.109375" style="5" customWidth="1"/>
    <col min="3083" max="3083" width="51.88671875" style="5" customWidth="1"/>
    <col min="3084" max="3084" width="20.88671875" style="5" customWidth="1"/>
    <col min="3085" max="3085" width="11.88671875" style="5" bestFit="1" customWidth="1"/>
    <col min="3086" max="3086" width="9.88671875" style="5" bestFit="1" customWidth="1"/>
    <col min="3087" max="3087" width="10.33203125" style="5" bestFit="1" customWidth="1"/>
    <col min="3088" max="3089" width="9.109375" style="5"/>
    <col min="3090" max="3090" width="15.44140625" style="5" customWidth="1"/>
    <col min="3091" max="3328" width="9.109375" style="5"/>
    <col min="3329" max="3329" width="8.5546875" style="5" customWidth="1"/>
    <col min="3330" max="3330" width="13.44140625" style="5" customWidth="1"/>
    <col min="3331" max="3331" width="65.88671875" style="5" customWidth="1"/>
    <col min="3332" max="3332" width="6.33203125" style="5" customWidth="1"/>
    <col min="3333" max="3333" width="10" style="5" customWidth="1"/>
    <col min="3334" max="3334" width="8.88671875" style="5" customWidth="1"/>
    <col min="3335" max="3335" width="9.88671875" style="5" customWidth="1"/>
    <col min="3336" max="3336" width="13.6640625" style="5" customWidth="1"/>
    <col min="3337" max="3337" width="13" style="5" customWidth="1"/>
    <col min="3338" max="3338" width="16.109375" style="5" customWidth="1"/>
    <col min="3339" max="3339" width="51.88671875" style="5" customWidth="1"/>
    <col min="3340" max="3340" width="20.88671875" style="5" customWidth="1"/>
    <col min="3341" max="3341" width="11.88671875" style="5" bestFit="1" customWidth="1"/>
    <col min="3342" max="3342" width="9.88671875" style="5" bestFit="1" customWidth="1"/>
    <col min="3343" max="3343" width="10.33203125" style="5" bestFit="1" customWidth="1"/>
    <col min="3344" max="3345" width="9.109375" style="5"/>
    <col min="3346" max="3346" width="15.44140625" style="5" customWidth="1"/>
    <col min="3347" max="3584" width="9.109375" style="5"/>
    <col min="3585" max="3585" width="8.5546875" style="5" customWidth="1"/>
    <col min="3586" max="3586" width="13.44140625" style="5" customWidth="1"/>
    <col min="3587" max="3587" width="65.88671875" style="5" customWidth="1"/>
    <col min="3588" max="3588" width="6.33203125" style="5" customWidth="1"/>
    <col min="3589" max="3589" width="10" style="5" customWidth="1"/>
    <col min="3590" max="3590" width="8.88671875" style="5" customWidth="1"/>
    <col min="3591" max="3591" width="9.88671875" style="5" customWidth="1"/>
    <col min="3592" max="3592" width="13.6640625" style="5" customWidth="1"/>
    <col min="3593" max="3593" width="13" style="5" customWidth="1"/>
    <col min="3594" max="3594" width="16.109375" style="5" customWidth="1"/>
    <col min="3595" max="3595" width="51.88671875" style="5" customWidth="1"/>
    <col min="3596" max="3596" width="20.88671875" style="5" customWidth="1"/>
    <col min="3597" max="3597" width="11.88671875" style="5" bestFit="1" customWidth="1"/>
    <col min="3598" max="3598" width="9.88671875" style="5" bestFit="1" customWidth="1"/>
    <col min="3599" max="3599" width="10.33203125" style="5" bestFit="1" customWidth="1"/>
    <col min="3600" max="3601" width="9.109375" style="5"/>
    <col min="3602" max="3602" width="15.44140625" style="5" customWidth="1"/>
    <col min="3603" max="3840" width="9.109375" style="5"/>
    <col min="3841" max="3841" width="8.5546875" style="5" customWidth="1"/>
    <col min="3842" max="3842" width="13.44140625" style="5" customWidth="1"/>
    <col min="3843" max="3843" width="65.88671875" style="5" customWidth="1"/>
    <col min="3844" max="3844" width="6.33203125" style="5" customWidth="1"/>
    <col min="3845" max="3845" width="10" style="5" customWidth="1"/>
    <col min="3846" max="3846" width="8.88671875" style="5" customWidth="1"/>
    <col min="3847" max="3847" width="9.88671875" style="5" customWidth="1"/>
    <col min="3848" max="3848" width="13.6640625" style="5" customWidth="1"/>
    <col min="3849" max="3849" width="13" style="5" customWidth="1"/>
    <col min="3850" max="3850" width="16.109375" style="5" customWidth="1"/>
    <col min="3851" max="3851" width="51.88671875" style="5" customWidth="1"/>
    <col min="3852" max="3852" width="20.88671875" style="5" customWidth="1"/>
    <col min="3853" max="3853" width="11.88671875" style="5" bestFit="1" customWidth="1"/>
    <col min="3854" max="3854" width="9.88671875" style="5" bestFit="1" customWidth="1"/>
    <col min="3855" max="3855" width="10.33203125" style="5" bestFit="1" customWidth="1"/>
    <col min="3856" max="3857" width="9.109375" style="5"/>
    <col min="3858" max="3858" width="15.44140625" style="5" customWidth="1"/>
    <col min="3859" max="4096" width="9.109375" style="5"/>
    <col min="4097" max="4097" width="8.5546875" style="5" customWidth="1"/>
    <col min="4098" max="4098" width="13.44140625" style="5" customWidth="1"/>
    <col min="4099" max="4099" width="65.88671875" style="5" customWidth="1"/>
    <col min="4100" max="4100" width="6.33203125" style="5" customWidth="1"/>
    <col min="4101" max="4101" width="10" style="5" customWidth="1"/>
    <col min="4102" max="4102" width="8.88671875" style="5" customWidth="1"/>
    <col min="4103" max="4103" width="9.88671875" style="5" customWidth="1"/>
    <col min="4104" max="4104" width="13.6640625" style="5" customWidth="1"/>
    <col min="4105" max="4105" width="13" style="5" customWidth="1"/>
    <col min="4106" max="4106" width="16.109375" style="5" customWidth="1"/>
    <col min="4107" max="4107" width="51.88671875" style="5" customWidth="1"/>
    <col min="4108" max="4108" width="20.88671875" style="5" customWidth="1"/>
    <col min="4109" max="4109" width="11.88671875" style="5" bestFit="1" customWidth="1"/>
    <col min="4110" max="4110" width="9.88671875" style="5" bestFit="1" customWidth="1"/>
    <col min="4111" max="4111" width="10.33203125" style="5" bestFit="1" customWidth="1"/>
    <col min="4112" max="4113" width="9.109375" style="5"/>
    <col min="4114" max="4114" width="15.44140625" style="5" customWidth="1"/>
    <col min="4115" max="4352" width="9.109375" style="5"/>
    <col min="4353" max="4353" width="8.5546875" style="5" customWidth="1"/>
    <col min="4354" max="4354" width="13.44140625" style="5" customWidth="1"/>
    <col min="4355" max="4355" width="65.88671875" style="5" customWidth="1"/>
    <col min="4356" max="4356" width="6.33203125" style="5" customWidth="1"/>
    <col min="4357" max="4357" width="10" style="5" customWidth="1"/>
    <col min="4358" max="4358" width="8.88671875" style="5" customWidth="1"/>
    <col min="4359" max="4359" width="9.88671875" style="5" customWidth="1"/>
    <col min="4360" max="4360" width="13.6640625" style="5" customWidth="1"/>
    <col min="4361" max="4361" width="13" style="5" customWidth="1"/>
    <col min="4362" max="4362" width="16.109375" style="5" customWidth="1"/>
    <col min="4363" max="4363" width="51.88671875" style="5" customWidth="1"/>
    <col min="4364" max="4364" width="20.88671875" style="5" customWidth="1"/>
    <col min="4365" max="4365" width="11.88671875" style="5" bestFit="1" customWidth="1"/>
    <col min="4366" max="4366" width="9.88671875" style="5" bestFit="1" customWidth="1"/>
    <col min="4367" max="4367" width="10.33203125" style="5" bestFit="1" customWidth="1"/>
    <col min="4368" max="4369" width="9.109375" style="5"/>
    <col min="4370" max="4370" width="15.44140625" style="5" customWidth="1"/>
    <col min="4371" max="4608" width="9.109375" style="5"/>
    <col min="4609" max="4609" width="8.5546875" style="5" customWidth="1"/>
    <col min="4610" max="4610" width="13.44140625" style="5" customWidth="1"/>
    <col min="4611" max="4611" width="65.88671875" style="5" customWidth="1"/>
    <col min="4612" max="4612" width="6.33203125" style="5" customWidth="1"/>
    <col min="4613" max="4613" width="10" style="5" customWidth="1"/>
    <col min="4614" max="4614" width="8.88671875" style="5" customWidth="1"/>
    <col min="4615" max="4615" width="9.88671875" style="5" customWidth="1"/>
    <col min="4616" max="4616" width="13.6640625" style="5" customWidth="1"/>
    <col min="4617" max="4617" width="13" style="5" customWidth="1"/>
    <col min="4618" max="4618" width="16.109375" style="5" customWidth="1"/>
    <col min="4619" max="4619" width="51.88671875" style="5" customWidth="1"/>
    <col min="4620" max="4620" width="20.88671875" style="5" customWidth="1"/>
    <col min="4621" max="4621" width="11.88671875" style="5" bestFit="1" customWidth="1"/>
    <col min="4622" max="4622" width="9.88671875" style="5" bestFit="1" customWidth="1"/>
    <col min="4623" max="4623" width="10.33203125" style="5" bestFit="1" customWidth="1"/>
    <col min="4624" max="4625" width="9.109375" style="5"/>
    <col min="4626" max="4626" width="15.44140625" style="5" customWidth="1"/>
    <col min="4627" max="4864" width="9.109375" style="5"/>
    <col min="4865" max="4865" width="8.5546875" style="5" customWidth="1"/>
    <col min="4866" max="4866" width="13.44140625" style="5" customWidth="1"/>
    <col min="4867" max="4867" width="65.88671875" style="5" customWidth="1"/>
    <col min="4868" max="4868" width="6.33203125" style="5" customWidth="1"/>
    <col min="4869" max="4869" width="10" style="5" customWidth="1"/>
    <col min="4870" max="4870" width="8.88671875" style="5" customWidth="1"/>
    <col min="4871" max="4871" width="9.88671875" style="5" customWidth="1"/>
    <col min="4872" max="4872" width="13.6640625" style="5" customWidth="1"/>
    <col min="4873" max="4873" width="13" style="5" customWidth="1"/>
    <col min="4874" max="4874" width="16.109375" style="5" customWidth="1"/>
    <col min="4875" max="4875" width="51.88671875" style="5" customWidth="1"/>
    <col min="4876" max="4876" width="20.88671875" style="5" customWidth="1"/>
    <col min="4877" max="4877" width="11.88671875" style="5" bestFit="1" customWidth="1"/>
    <col min="4878" max="4878" width="9.88671875" style="5" bestFit="1" customWidth="1"/>
    <col min="4879" max="4879" width="10.33203125" style="5" bestFit="1" customWidth="1"/>
    <col min="4880" max="4881" width="9.109375" style="5"/>
    <col min="4882" max="4882" width="15.44140625" style="5" customWidth="1"/>
    <col min="4883" max="5120" width="9.109375" style="5"/>
    <col min="5121" max="5121" width="8.5546875" style="5" customWidth="1"/>
    <col min="5122" max="5122" width="13.44140625" style="5" customWidth="1"/>
    <col min="5123" max="5123" width="65.88671875" style="5" customWidth="1"/>
    <col min="5124" max="5124" width="6.33203125" style="5" customWidth="1"/>
    <col min="5125" max="5125" width="10" style="5" customWidth="1"/>
    <col min="5126" max="5126" width="8.88671875" style="5" customWidth="1"/>
    <col min="5127" max="5127" width="9.88671875" style="5" customWidth="1"/>
    <col min="5128" max="5128" width="13.6640625" style="5" customWidth="1"/>
    <col min="5129" max="5129" width="13" style="5" customWidth="1"/>
    <col min="5130" max="5130" width="16.109375" style="5" customWidth="1"/>
    <col min="5131" max="5131" width="51.88671875" style="5" customWidth="1"/>
    <col min="5132" max="5132" width="20.88671875" style="5" customWidth="1"/>
    <col min="5133" max="5133" width="11.88671875" style="5" bestFit="1" customWidth="1"/>
    <col min="5134" max="5134" width="9.88671875" style="5" bestFit="1" customWidth="1"/>
    <col min="5135" max="5135" width="10.33203125" style="5" bestFit="1" customWidth="1"/>
    <col min="5136" max="5137" width="9.109375" style="5"/>
    <col min="5138" max="5138" width="15.44140625" style="5" customWidth="1"/>
    <col min="5139" max="5376" width="9.109375" style="5"/>
    <col min="5377" max="5377" width="8.5546875" style="5" customWidth="1"/>
    <col min="5378" max="5378" width="13.44140625" style="5" customWidth="1"/>
    <col min="5379" max="5379" width="65.88671875" style="5" customWidth="1"/>
    <col min="5380" max="5380" width="6.33203125" style="5" customWidth="1"/>
    <col min="5381" max="5381" width="10" style="5" customWidth="1"/>
    <col min="5382" max="5382" width="8.88671875" style="5" customWidth="1"/>
    <col min="5383" max="5383" width="9.88671875" style="5" customWidth="1"/>
    <col min="5384" max="5384" width="13.6640625" style="5" customWidth="1"/>
    <col min="5385" max="5385" width="13" style="5" customWidth="1"/>
    <col min="5386" max="5386" width="16.109375" style="5" customWidth="1"/>
    <col min="5387" max="5387" width="51.88671875" style="5" customWidth="1"/>
    <col min="5388" max="5388" width="20.88671875" style="5" customWidth="1"/>
    <col min="5389" max="5389" width="11.88671875" style="5" bestFit="1" customWidth="1"/>
    <col min="5390" max="5390" width="9.88671875" style="5" bestFit="1" customWidth="1"/>
    <col min="5391" max="5391" width="10.33203125" style="5" bestFit="1" customWidth="1"/>
    <col min="5392" max="5393" width="9.109375" style="5"/>
    <col min="5394" max="5394" width="15.44140625" style="5" customWidth="1"/>
    <col min="5395" max="5632" width="9.109375" style="5"/>
    <col min="5633" max="5633" width="8.5546875" style="5" customWidth="1"/>
    <col min="5634" max="5634" width="13.44140625" style="5" customWidth="1"/>
    <col min="5635" max="5635" width="65.88671875" style="5" customWidth="1"/>
    <col min="5636" max="5636" width="6.33203125" style="5" customWidth="1"/>
    <col min="5637" max="5637" width="10" style="5" customWidth="1"/>
    <col min="5638" max="5638" width="8.88671875" style="5" customWidth="1"/>
    <col min="5639" max="5639" width="9.88671875" style="5" customWidth="1"/>
    <col min="5640" max="5640" width="13.6640625" style="5" customWidth="1"/>
    <col min="5641" max="5641" width="13" style="5" customWidth="1"/>
    <col min="5642" max="5642" width="16.109375" style="5" customWidth="1"/>
    <col min="5643" max="5643" width="51.88671875" style="5" customWidth="1"/>
    <col min="5644" max="5644" width="20.88671875" style="5" customWidth="1"/>
    <col min="5645" max="5645" width="11.88671875" style="5" bestFit="1" customWidth="1"/>
    <col min="5646" max="5646" width="9.88671875" style="5" bestFit="1" customWidth="1"/>
    <col min="5647" max="5647" width="10.33203125" style="5" bestFit="1" customWidth="1"/>
    <col min="5648" max="5649" width="9.109375" style="5"/>
    <col min="5650" max="5650" width="15.44140625" style="5" customWidth="1"/>
    <col min="5651" max="5888" width="9.109375" style="5"/>
    <col min="5889" max="5889" width="8.5546875" style="5" customWidth="1"/>
    <col min="5890" max="5890" width="13.44140625" style="5" customWidth="1"/>
    <col min="5891" max="5891" width="65.88671875" style="5" customWidth="1"/>
    <col min="5892" max="5892" width="6.33203125" style="5" customWidth="1"/>
    <col min="5893" max="5893" width="10" style="5" customWidth="1"/>
    <col min="5894" max="5894" width="8.88671875" style="5" customWidth="1"/>
    <col min="5895" max="5895" width="9.88671875" style="5" customWidth="1"/>
    <col min="5896" max="5896" width="13.6640625" style="5" customWidth="1"/>
    <col min="5897" max="5897" width="13" style="5" customWidth="1"/>
    <col min="5898" max="5898" width="16.109375" style="5" customWidth="1"/>
    <col min="5899" max="5899" width="51.88671875" style="5" customWidth="1"/>
    <col min="5900" max="5900" width="20.88671875" style="5" customWidth="1"/>
    <col min="5901" max="5901" width="11.88671875" style="5" bestFit="1" customWidth="1"/>
    <col min="5902" max="5902" width="9.88671875" style="5" bestFit="1" customWidth="1"/>
    <col min="5903" max="5903" width="10.33203125" style="5" bestFit="1" customWidth="1"/>
    <col min="5904" max="5905" width="9.109375" style="5"/>
    <col min="5906" max="5906" width="15.44140625" style="5" customWidth="1"/>
    <col min="5907" max="6144" width="9.109375" style="5"/>
    <col min="6145" max="6145" width="8.5546875" style="5" customWidth="1"/>
    <col min="6146" max="6146" width="13.44140625" style="5" customWidth="1"/>
    <col min="6147" max="6147" width="65.88671875" style="5" customWidth="1"/>
    <col min="6148" max="6148" width="6.33203125" style="5" customWidth="1"/>
    <col min="6149" max="6149" width="10" style="5" customWidth="1"/>
    <col min="6150" max="6150" width="8.88671875" style="5" customWidth="1"/>
    <col min="6151" max="6151" width="9.88671875" style="5" customWidth="1"/>
    <col min="6152" max="6152" width="13.6640625" style="5" customWidth="1"/>
    <col min="6153" max="6153" width="13" style="5" customWidth="1"/>
    <col min="6154" max="6154" width="16.109375" style="5" customWidth="1"/>
    <col min="6155" max="6155" width="51.88671875" style="5" customWidth="1"/>
    <col min="6156" max="6156" width="20.88671875" style="5" customWidth="1"/>
    <col min="6157" max="6157" width="11.88671875" style="5" bestFit="1" customWidth="1"/>
    <col min="6158" max="6158" width="9.88671875" style="5" bestFit="1" customWidth="1"/>
    <col min="6159" max="6159" width="10.33203125" style="5" bestFit="1" customWidth="1"/>
    <col min="6160" max="6161" width="9.109375" style="5"/>
    <col min="6162" max="6162" width="15.44140625" style="5" customWidth="1"/>
    <col min="6163" max="6400" width="9.109375" style="5"/>
    <col min="6401" max="6401" width="8.5546875" style="5" customWidth="1"/>
    <col min="6402" max="6402" width="13.44140625" style="5" customWidth="1"/>
    <col min="6403" max="6403" width="65.88671875" style="5" customWidth="1"/>
    <col min="6404" max="6404" width="6.33203125" style="5" customWidth="1"/>
    <col min="6405" max="6405" width="10" style="5" customWidth="1"/>
    <col min="6406" max="6406" width="8.88671875" style="5" customWidth="1"/>
    <col min="6407" max="6407" width="9.88671875" style="5" customWidth="1"/>
    <col min="6408" max="6408" width="13.6640625" style="5" customWidth="1"/>
    <col min="6409" max="6409" width="13" style="5" customWidth="1"/>
    <col min="6410" max="6410" width="16.109375" style="5" customWidth="1"/>
    <col min="6411" max="6411" width="51.88671875" style="5" customWidth="1"/>
    <col min="6412" max="6412" width="20.88671875" style="5" customWidth="1"/>
    <col min="6413" max="6413" width="11.88671875" style="5" bestFit="1" customWidth="1"/>
    <col min="6414" max="6414" width="9.88671875" style="5" bestFit="1" customWidth="1"/>
    <col min="6415" max="6415" width="10.33203125" style="5" bestFit="1" customWidth="1"/>
    <col min="6416" max="6417" width="9.109375" style="5"/>
    <col min="6418" max="6418" width="15.44140625" style="5" customWidth="1"/>
    <col min="6419" max="6656" width="9.109375" style="5"/>
    <col min="6657" max="6657" width="8.5546875" style="5" customWidth="1"/>
    <col min="6658" max="6658" width="13.44140625" style="5" customWidth="1"/>
    <col min="6659" max="6659" width="65.88671875" style="5" customWidth="1"/>
    <col min="6660" max="6660" width="6.33203125" style="5" customWidth="1"/>
    <col min="6661" max="6661" width="10" style="5" customWidth="1"/>
    <col min="6662" max="6662" width="8.88671875" style="5" customWidth="1"/>
    <col min="6663" max="6663" width="9.88671875" style="5" customWidth="1"/>
    <col min="6664" max="6664" width="13.6640625" style="5" customWidth="1"/>
    <col min="6665" max="6665" width="13" style="5" customWidth="1"/>
    <col min="6666" max="6666" width="16.109375" style="5" customWidth="1"/>
    <col min="6667" max="6667" width="51.88671875" style="5" customWidth="1"/>
    <col min="6668" max="6668" width="20.88671875" style="5" customWidth="1"/>
    <col min="6669" max="6669" width="11.88671875" style="5" bestFit="1" customWidth="1"/>
    <col min="6670" max="6670" width="9.88671875" style="5" bestFit="1" customWidth="1"/>
    <col min="6671" max="6671" width="10.33203125" style="5" bestFit="1" customWidth="1"/>
    <col min="6672" max="6673" width="9.109375" style="5"/>
    <col min="6674" max="6674" width="15.44140625" style="5" customWidth="1"/>
    <col min="6675" max="6912" width="9.109375" style="5"/>
    <col min="6913" max="6913" width="8.5546875" style="5" customWidth="1"/>
    <col min="6914" max="6914" width="13.44140625" style="5" customWidth="1"/>
    <col min="6915" max="6915" width="65.88671875" style="5" customWidth="1"/>
    <col min="6916" max="6916" width="6.33203125" style="5" customWidth="1"/>
    <col min="6917" max="6917" width="10" style="5" customWidth="1"/>
    <col min="6918" max="6918" width="8.88671875" style="5" customWidth="1"/>
    <col min="6919" max="6919" width="9.88671875" style="5" customWidth="1"/>
    <col min="6920" max="6920" width="13.6640625" style="5" customWidth="1"/>
    <col min="6921" max="6921" width="13" style="5" customWidth="1"/>
    <col min="6922" max="6922" width="16.109375" style="5" customWidth="1"/>
    <col min="6923" max="6923" width="51.88671875" style="5" customWidth="1"/>
    <col min="6924" max="6924" width="20.88671875" style="5" customWidth="1"/>
    <col min="6925" max="6925" width="11.88671875" style="5" bestFit="1" customWidth="1"/>
    <col min="6926" max="6926" width="9.88671875" style="5" bestFit="1" customWidth="1"/>
    <col min="6927" max="6927" width="10.33203125" style="5" bestFit="1" customWidth="1"/>
    <col min="6928" max="6929" width="9.109375" style="5"/>
    <col min="6930" max="6930" width="15.44140625" style="5" customWidth="1"/>
    <col min="6931" max="7168" width="9.109375" style="5"/>
    <col min="7169" max="7169" width="8.5546875" style="5" customWidth="1"/>
    <col min="7170" max="7170" width="13.44140625" style="5" customWidth="1"/>
    <col min="7171" max="7171" width="65.88671875" style="5" customWidth="1"/>
    <col min="7172" max="7172" width="6.33203125" style="5" customWidth="1"/>
    <col min="7173" max="7173" width="10" style="5" customWidth="1"/>
    <col min="7174" max="7174" width="8.88671875" style="5" customWidth="1"/>
    <col min="7175" max="7175" width="9.88671875" style="5" customWidth="1"/>
    <col min="7176" max="7176" width="13.6640625" style="5" customWidth="1"/>
    <col min="7177" max="7177" width="13" style="5" customWidth="1"/>
    <col min="7178" max="7178" width="16.109375" style="5" customWidth="1"/>
    <col min="7179" max="7179" width="51.88671875" style="5" customWidth="1"/>
    <col min="7180" max="7180" width="20.88671875" style="5" customWidth="1"/>
    <col min="7181" max="7181" width="11.88671875" style="5" bestFit="1" customWidth="1"/>
    <col min="7182" max="7182" width="9.88671875" style="5" bestFit="1" customWidth="1"/>
    <col min="7183" max="7183" width="10.33203125" style="5" bestFit="1" customWidth="1"/>
    <col min="7184" max="7185" width="9.109375" style="5"/>
    <col min="7186" max="7186" width="15.44140625" style="5" customWidth="1"/>
    <col min="7187" max="7424" width="9.109375" style="5"/>
    <col min="7425" max="7425" width="8.5546875" style="5" customWidth="1"/>
    <col min="7426" max="7426" width="13.44140625" style="5" customWidth="1"/>
    <col min="7427" max="7427" width="65.88671875" style="5" customWidth="1"/>
    <col min="7428" max="7428" width="6.33203125" style="5" customWidth="1"/>
    <col min="7429" max="7429" width="10" style="5" customWidth="1"/>
    <col min="7430" max="7430" width="8.88671875" style="5" customWidth="1"/>
    <col min="7431" max="7431" width="9.88671875" style="5" customWidth="1"/>
    <col min="7432" max="7432" width="13.6640625" style="5" customWidth="1"/>
    <col min="7433" max="7433" width="13" style="5" customWidth="1"/>
    <col min="7434" max="7434" width="16.109375" style="5" customWidth="1"/>
    <col min="7435" max="7435" width="51.88671875" style="5" customWidth="1"/>
    <col min="7436" max="7436" width="20.88671875" style="5" customWidth="1"/>
    <col min="7437" max="7437" width="11.88671875" style="5" bestFit="1" customWidth="1"/>
    <col min="7438" max="7438" width="9.88671875" style="5" bestFit="1" customWidth="1"/>
    <col min="7439" max="7439" width="10.33203125" style="5" bestFit="1" customWidth="1"/>
    <col min="7440" max="7441" width="9.109375" style="5"/>
    <col min="7442" max="7442" width="15.44140625" style="5" customWidth="1"/>
    <col min="7443" max="7680" width="9.109375" style="5"/>
    <col min="7681" max="7681" width="8.5546875" style="5" customWidth="1"/>
    <col min="7682" max="7682" width="13.44140625" style="5" customWidth="1"/>
    <col min="7683" max="7683" width="65.88671875" style="5" customWidth="1"/>
    <col min="7684" max="7684" width="6.33203125" style="5" customWidth="1"/>
    <col min="7685" max="7685" width="10" style="5" customWidth="1"/>
    <col min="7686" max="7686" width="8.88671875" style="5" customWidth="1"/>
    <col min="7687" max="7687" width="9.88671875" style="5" customWidth="1"/>
    <col min="7688" max="7688" width="13.6640625" style="5" customWidth="1"/>
    <col min="7689" max="7689" width="13" style="5" customWidth="1"/>
    <col min="7690" max="7690" width="16.109375" style="5" customWidth="1"/>
    <col min="7691" max="7691" width="51.88671875" style="5" customWidth="1"/>
    <col min="7692" max="7692" width="20.88671875" style="5" customWidth="1"/>
    <col min="7693" max="7693" width="11.88671875" style="5" bestFit="1" customWidth="1"/>
    <col min="7694" max="7694" width="9.88671875" style="5" bestFit="1" customWidth="1"/>
    <col min="7695" max="7695" width="10.33203125" style="5" bestFit="1" customWidth="1"/>
    <col min="7696" max="7697" width="9.109375" style="5"/>
    <col min="7698" max="7698" width="15.44140625" style="5" customWidth="1"/>
    <col min="7699" max="7936" width="9.109375" style="5"/>
    <col min="7937" max="7937" width="8.5546875" style="5" customWidth="1"/>
    <col min="7938" max="7938" width="13.44140625" style="5" customWidth="1"/>
    <col min="7939" max="7939" width="65.88671875" style="5" customWidth="1"/>
    <col min="7940" max="7940" width="6.33203125" style="5" customWidth="1"/>
    <col min="7941" max="7941" width="10" style="5" customWidth="1"/>
    <col min="7942" max="7942" width="8.88671875" style="5" customWidth="1"/>
    <col min="7943" max="7943" width="9.88671875" style="5" customWidth="1"/>
    <col min="7944" max="7944" width="13.6640625" style="5" customWidth="1"/>
    <col min="7945" max="7945" width="13" style="5" customWidth="1"/>
    <col min="7946" max="7946" width="16.109375" style="5" customWidth="1"/>
    <col min="7947" max="7947" width="51.88671875" style="5" customWidth="1"/>
    <col min="7948" max="7948" width="20.88671875" style="5" customWidth="1"/>
    <col min="7949" max="7949" width="11.88671875" style="5" bestFit="1" customWidth="1"/>
    <col min="7950" max="7950" width="9.88671875" style="5" bestFit="1" customWidth="1"/>
    <col min="7951" max="7951" width="10.33203125" style="5" bestFit="1" customWidth="1"/>
    <col min="7952" max="7953" width="9.109375" style="5"/>
    <col min="7954" max="7954" width="15.44140625" style="5" customWidth="1"/>
    <col min="7955" max="8192" width="9.109375" style="5"/>
    <col min="8193" max="8193" width="8.5546875" style="5" customWidth="1"/>
    <col min="8194" max="8194" width="13.44140625" style="5" customWidth="1"/>
    <col min="8195" max="8195" width="65.88671875" style="5" customWidth="1"/>
    <col min="8196" max="8196" width="6.33203125" style="5" customWidth="1"/>
    <col min="8197" max="8197" width="10" style="5" customWidth="1"/>
    <col min="8198" max="8198" width="8.88671875" style="5" customWidth="1"/>
    <col min="8199" max="8199" width="9.88671875" style="5" customWidth="1"/>
    <col min="8200" max="8200" width="13.6640625" style="5" customWidth="1"/>
    <col min="8201" max="8201" width="13" style="5" customWidth="1"/>
    <col min="8202" max="8202" width="16.109375" style="5" customWidth="1"/>
    <col min="8203" max="8203" width="51.88671875" style="5" customWidth="1"/>
    <col min="8204" max="8204" width="20.88671875" style="5" customWidth="1"/>
    <col min="8205" max="8205" width="11.88671875" style="5" bestFit="1" customWidth="1"/>
    <col min="8206" max="8206" width="9.88671875" style="5" bestFit="1" customWidth="1"/>
    <col min="8207" max="8207" width="10.33203125" style="5" bestFit="1" customWidth="1"/>
    <col min="8208" max="8209" width="9.109375" style="5"/>
    <col min="8210" max="8210" width="15.44140625" style="5" customWidth="1"/>
    <col min="8211" max="8448" width="9.109375" style="5"/>
    <col min="8449" max="8449" width="8.5546875" style="5" customWidth="1"/>
    <col min="8450" max="8450" width="13.44140625" style="5" customWidth="1"/>
    <col min="8451" max="8451" width="65.88671875" style="5" customWidth="1"/>
    <col min="8452" max="8452" width="6.33203125" style="5" customWidth="1"/>
    <col min="8453" max="8453" width="10" style="5" customWidth="1"/>
    <col min="8454" max="8454" width="8.88671875" style="5" customWidth="1"/>
    <col min="8455" max="8455" width="9.88671875" style="5" customWidth="1"/>
    <col min="8456" max="8456" width="13.6640625" style="5" customWidth="1"/>
    <col min="8457" max="8457" width="13" style="5" customWidth="1"/>
    <col min="8458" max="8458" width="16.109375" style="5" customWidth="1"/>
    <col min="8459" max="8459" width="51.88671875" style="5" customWidth="1"/>
    <col min="8460" max="8460" width="20.88671875" style="5" customWidth="1"/>
    <col min="8461" max="8461" width="11.88671875" style="5" bestFit="1" customWidth="1"/>
    <col min="8462" max="8462" width="9.88671875" style="5" bestFit="1" customWidth="1"/>
    <col min="8463" max="8463" width="10.33203125" style="5" bestFit="1" customWidth="1"/>
    <col min="8464" max="8465" width="9.109375" style="5"/>
    <col min="8466" max="8466" width="15.44140625" style="5" customWidth="1"/>
    <col min="8467" max="8704" width="9.109375" style="5"/>
    <col min="8705" max="8705" width="8.5546875" style="5" customWidth="1"/>
    <col min="8706" max="8706" width="13.44140625" style="5" customWidth="1"/>
    <col min="8707" max="8707" width="65.88671875" style="5" customWidth="1"/>
    <col min="8708" max="8708" width="6.33203125" style="5" customWidth="1"/>
    <col min="8709" max="8709" width="10" style="5" customWidth="1"/>
    <col min="8710" max="8710" width="8.88671875" style="5" customWidth="1"/>
    <col min="8711" max="8711" width="9.88671875" style="5" customWidth="1"/>
    <col min="8712" max="8712" width="13.6640625" style="5" customWidth="1"/>
    <col min="8713" max="8713" width="13" style="5" customWidth="1"/>
    <col min="8714" max="8714" width="16.109375" style="5" customWidth="1"/>
    <col min="8715" max="8715" width="51.88671875" style="5" customWidth="1"/>
    <col min="8716" max="8716" width="20.88671875" style="5" customWidth="1"/>
    <col min="8717" max="8717" width="11.88671875" style="5" bestFit="1" customWidth="1"/>
    <col min="8718" max="8718" width="9.88671875" style="5" bestFit="1" customWidth="1"/>
    <col min="8719" max="8719" width="10.33203125" style="5" bestFit="1" customWidth="1"/>
    <col min="8720" max="8721" width="9.109375" style="5"/>
    <col min="8722" max="8722" width="15.44140625" style="5" customWidth="1"/>
    <col min="8723" max="8960" width="9.109375" style="5"/>
    <col min="8961" max="8961" width="8.5546875" style="5" customWidth="1"/>
    <col min="8962" max="8962" width="13.44140625" style="5" customWidth="1"/>
    <col min="8963" max="8963" width="65.88671875" style="5" customWidth="1"/>
    <col min="8964" max="8964" width="6.33203125" style="5" customWidth="1"/>
    <col min="8965" max="8965" width="10" style="5" customWidth="1"/>
    <col min="8966" max="8966" width="8.88671875" style="5" customWidth="1"/>
    <col min="8967" max="8967" width="9.88671875" style="5" customWidth="1"/>
    <col min="8968" max="8968" width="13.6640625" style="5" customWidth="1"/>
    <col min="8969" max="8969" width="13" style="5" customWidth="1"/>
    <col min="8970" max="8970" width="16.109375" style="5" customWidth="1"/>
    <col min="8971" max="8971" width="51.88671875" style="5" customWidth="1"/>
    <col min="8972" max="8972" width="20.88671875" style="5" customWidth="1"/>
    <col min="8973" max="8973" width="11.88671875" style="5" bestFit="1" customWidth="1"/>
    <col min="8974" max="8974" width="9.88671875" style="5" bestFit="1" customWidth="1"/>
    <col min="8975" max="8975" width="10.33203125" style="5" bestFit="1" customWidth="1"/>
    <col min="8976" max="8977" width="9.109375" style="5"/>
    <col min="8978" max="8978" width="15.44140625" style="5" customWidth="1"/>
    <col min="8979" max="9216" width="9.109375" style="5"/>
    <col min="9217" max="9217" width="8.5546875" style="5" customWidth="1"/>
    <col min="9218" max="9218" width="13.44140625" style="5" customWidth="1"/>
    <col min="9219" max="9219" width="65.88671875" style="5" customWidth="1"/>
    <col min="9220" max="9220" width="6.33203125" style="5" customWidth="1"/>
    <col min="9221" max="9221" width="10" style="5" customWidth="1"/>
    <col min="9222" max="9222" width="8.88671875" style="5" customWidth="1"/>
    <col min="9223" max="9223" width="9.88671875" style="5" customWidth="1"/>
    <col min="9224" max="9224" width="13.6640625" style="5" customWidth="1"/>
    <col min="9225" max="9225" width="13" style="5" customWidth="1"/>
    <col min="9226" max="9226" width="16.109375" style="5" customWidth="1"/>
    <col min="9227" max="9227" width="51.88671875" style="5" customWidth="1"/>
    <col min="9228" max="9228" width="20.88671875" style="5" customWidth="1"/>
    <col min="9229" max="9229" width="11.88671875" style="5" bestFit="1" customWidth="1"/>
    <col min="9230" max="9230" width="9.88671875" style="5" bestFit="1" customWidth="1"/>
    <col min="9231" max="9231" width="10.33203125" style="5" bestFit="1" customWidth="1"/>
    <col min="9232" max="9233" width="9.109375" style="5"/>
    <col min="9234" max="9234" width="15.44140625" style="5" customWidth="1"/>
    <col min="9235" max="9472" width="9.109375" style="5"/>
    <col min="9473" max="9473" width="8.5546875" style="5" customWidth="1"/>
    <col min="9474" max="9474" width="13.44140625" style="5" customWidth="1"/>
    <col min="9475" max="9475" width="65.88671875" style="5" customWidth="1"/>
    <col min="9476" max="9476" width="6.33203125" style="5" customWidth="1"/>
    <col min="9477" max="9477" width="10" style="5" customWidth="1"/>
    <col min="9478" max="9478" width="8.88671875" style="5" customWidth="1"/>
    <col min="9479" max="9479" width="9.88671875" style="5" customWidth="1"/>
    <col min="9480" max="9480" width="13.6640625" style="5" customWidth="1"/>
    <col min="9481" max="9481" width="13" style="5" customWidth="1"/>
    <col min="9482" max="9482" width="16.109375" style="5" customWidth="1"/>
    <col min="9483" max="9483" width="51.88671875" style="5" customWidth="1"/>
    <col min="9484" max="9484" width="20.88671875" style="5" customWidth="1"/>
    <col min="9485" max="9485" width="11.88671875" style="5" bestFit="1" customWidth="1"/>
    <col min="9486" max="9486" width="9.88671875" style="5" bestFit="1" customWidth="1"/>
    <col min="9487" max="9487" width="10.33203125" style="5" bestFit="1" customWidth="1"/>
    <col min="9488" max="9489" width="9.109375" style="5"/>
    <col min="9490" max="9490" width="15.44140625" style="5" customWidth="1"/>
    <col min="9491" max="9728" width="9.109375" style="5"/>
    <col min="9729" max="9729" width="8.5546875" style="5" customWidth="1"/>
    <col min="9730" max="9730" width="13.44140625" style="5" customWidth="1"/>
    <col min="9731" max="9731" width="65.88671875" style="5" customWidth="1"/>
    <col min="9732" max="9732" width="6.33203125" style="5" customWidth="1"/>
    <col min="9733" max="9733" width="10" style="5" customWidth="1"/>
    <col min="9734" max="9734" width="8.88671875" style="5" customWidth="1"/>
    <col min="9735" max="9735" width="9.88671875" style="5" customWidth="1"/>
    <col min="9736" max="9736" width="13.6640625" style="5" customWidth="1"/>
    <col min="9737" max="9737" width="13" style="5" customWidth="1"/>
    <col min="9738" max="9738" width="16.109375" style="5" customWidth="1"/>
    <col min="9739" max="9739" width="51.88671875" style="5" customWidth="1"/>
    <col min="9740" max="9740" width="20.88671875" style="5" customWidth="1"/>
    <col min="9741" max="9741" width="11.88671875" style="5" bestFit="1" customWidth="1"/>
    <col min="9742" max="9742" width="9.88671875" style="5" bestFit="1" customWidth="1"/>
    <col min="9743" max="9743" width="10.33203125" style="5" bestFit="1" customWidth="1"/>
    <col min="9744" max="9745" width="9.109375" style="5"/>
    <col min="9746" max="9746" width="15.44140625" style="5" customWidth="1"/>
    <col min="9747" max="9984" width="9.109375" style="5"/>
    <col min="9985" max="9985" width="8.5546875" style="5" customWidth="1"/>
    <col min="9986" max="9986" width="13.44140625" style="5" customWidth="1"/>
    <col min="9987" max="9987" width="65.88671875" style="5" customWidth="1"/>
    <col min="9988" max="9988" width="6.33203125" style="5" customWidth="1"/>
    <col min="9989" max="9989" width="10" style="5" customWidth="1"/>
    <col min="9990" max="9990" width="8.88671875" style="5" customWidth="1"/>
    <col min="9991" max="9991" width="9.88671875" style="5" customWidth="1"/>
    <col min="9992" max="9992" width="13.6640625" style="5" customWidth="1"/>
    <col min="9993" max="9993" width="13" style="5" customWidth="1"/>
    <col min="9994" max="9994" width="16.109375" style="5" customWidth="1"/>
    <col min="9995" max="9995" width="51.88671875" style="5" customWidth="1"/>
    <col min="9996" max="9996" width="20.88671875" style="5" customWidth="1"/>
    <col min="9997" max="9997" width="11.88671875" style="5" bestFit="1" customWidth="1"/>
    <col min="9998" max="9998" width="9.88671875" style="5" bestFit="1" customWidth="1"/>
    <col min="9999" max="9999" width="10.33203125" style="5" bestFit="1" customWidth="1"/>
    <col min="10000" max="10001" width="9.109375" style="5"/>
    <col min="10002" max="10002" width="15.44140625" style="5" customWidth="1"/>
    <col min="10003" max="10240" width="9.109375" style="5"/>
    <col min="10241" max="10241" width="8.5546875" style="5" customWidth="1"/>
    <col min="10242" max="10242" width="13.44140625" style="5" customWidth="1"/>
    <col min="10243" max="10243" width="65.88671875" style="5" customWidth="1"/>
    <col min="10244" max="10244" width="6.33203125" style="5" customWidth="1"/>
    <col min="10245" max="10245" width="10" style="5" customWidth="1"/>
    <col min="10246" max="10246" width="8.88671875" style="5" customWidth="1"/>
    <col min="10247" max="10247" width="9.88671875" style="5" customWidth="1"/>
    <col min="10248" max="10248" width="13.6640625" style="5" customWidth="1"/>
    <col min="10249" max="10249" width="13" style="5" customWidth="1"/>
    <col min="10250" max="10250" width="16.109375" style="5" customWidth="1"/>
    <col min="10251" max="10251" width="51.88671875" style="5" customWidth="1"/>
    <col min="10252" max="10252" width="20.88671875" style="5" customWidth="1"/>
    <col min="10253" max="10253" width="11.88671875" style="5" bestFit="1" customWidth="1"/>
    <col min="10254" max="10254" width="9.88671875" style="5" bestFit="1" customWidth="1"/>
    <col min="10255" max="10255" width="10.33203125" style="5" bestFit="1" customWidth="1"/>
    <col min="10256" max="10257" width="9.109375" style="5"/>
    <col min="10258" max="10258" width="15.44140625" style="5" customWidth="1"/>
    <col min="10259" max="10496" width="9.109375" style="5"/>
    <col min="10497" max="10497" width="8.5546875" style="5" customWidth="1"/>
    <col min="10498" max="10498" width="13.44140625" style="5" customWidth="1"/>
    <col min="10499" max="10499" width="65.88671875" style="5" customWidth="1"/>
    <col min="10500" max="10500" width="6.33203125" style="5" customWidth="1"/>
    <col min="10501" max="10501" width="10" style="5" customWidth="1"/>
    <col min="10502" max="10502" width="8.88671875" style="5" customWidth="1"/>
    <col min="10503" max="10503" width="9.88671875" style="5" customWidth="1"/>
    <col min="10504" max="10504" width="13.6640625" style="5" customWidth="1"/>
    <col min="10505" max="10505" width="13" style="5" customWidth="1"/>
    <col min="10506" max="10506" width="16.109375" style="5" customWidth="1"/>
    <col min="10507" max="10507" width="51.88671875" style="5" customWidth="1"/>
    <col min="10508" max="10508" width="20.88671875" style="5" customWidth="1"/>
    <col min="10509" max="10509" width="11.88671875" style="5" bestFit="1" customWidth="1"/>
    <col min="10510" max="10510" width="9.88671875" style="5" bestFit="1" customWidth="1"/>
    <col min="10511" max="10511" width="10.33203125" style="5" bestFit="1" customWidth="1"/>
    <col min="10512" max="10513" width="9.109375" style="5"/>
    <col min="10514" max="10514" width="15.44140625" style="5" customWidth="1"/>
    <col min="10515" max="10752" width="9.109375" style="5"/>
    <col min="10753" max="10753" width="8.5546875" style="5" customWidth="1"/>
    <col min="10754" max="10754" width="13.44140625" style="5" customWidth="1"/>
    <col min="10755" max="10755" width="65.88671875" style="5" customWidth="1"/>
    <col min="10756" max="10756" width="6.33203125" style="5" customWidth="1"/>
    <col min="10757" max="10757" width="10" style="5" customWidth="1"/>
    <col min="10758" max="10758" width="8.88671875" style="5" customWidth="1"/>
    <col min="10759" max="10759" width="9.88671875" style="5" customWidth="1"/>
    <col min="10760" max="10760" width="13.6640625" style="5" customWidth="1"/>
    <col min="10761" max="10761" width="13" style="5" customWidth="1"/>
    <col min="10762" max="10762" width="16.109375" style="5" customWidth="1"/>
    <col min="10763" max="10763" width="51.88671875" style="5" customWidth="1"/>
    <col min="10764" max="10764" width="20.88671875" style="5" customWidth="1"/>
    <col min="10765" max="10765" width="11.88671875" style="5" bestFit="1" customWidth="1"/>
    <col min="10766" max="10766" width="9.88671875" style="5" bestFit="1" customWidth="1"/>
    <col min="10767" max="10767" width="10.33203125" style="5" bestFit="1" customWidth="1"/>
    <col min="10768" max="10769" width="9.109375" style="5"/>
    <col min="10770" max="10770" width="15.44140625" style="5" customWidth="1"/>
    <col min="10771" max="11008" width="9.109375" style="5"/>
    <col min="11009" max="11009" width="8.5546875" style="5" customWidth="1"/>
    <col min="11010" max="11010" width="13.44140625" style="5" customWidth="1"/>
    <col min="11011" max="11011" width="65.88671875" style="5" customWidth="1"/>
    <col min="11012" max="11012" width="6.33203125" style="5" customWidth="1"/>
    <col min="11013" max="11013" width="10" style="5" customWidth="1"/>
    <col min="11014" max="11014" width="8.88671875" style="5" customWidth="1"/>
    <col min="11015" max="11015" width="9.88671875" style="5" customWidth="1"/>
    <col min="11016" max="11016" width="13.6640625" style="5" customWidth="1"/>
    <col min="11017" max="11017" width="13" style="5" customWidth="1"/>
    <col min="11018" max="11018" width="16.109375" style="5" customWidth="1"/>
    <col min="11019" max="11019" width="51.88671875" style="5" customWidth="1"/>
    <col min="11020" max="11020" width="20.88671875" style="5" customWidth="1"/>
    <col min="11021" max="11021" width="11.88671875" style="5" bestFit="1" customWidth="1"/>
    <col min="11022" max="11022" width="9.88671875" style="5" bestFit="1" customWidth="1"/>
    <col min="11023" max="11023" width="10.33203125" style="5" bestFit="1" customWidth="1"/>
    <col min="11024" max="11025" width="9.109375" style="5"/>
    <col min="11026" max="11026" width="15.44140625" style="5" customWidth="1"/>
    <col min="11027" max="11264" width="9.109375" style="5"/>
    <col min="11265" max="11265" width="8.5546875" style="5" customWidth="1"/>
    <col min="11266" max="11266" width="13.44140625" style="5" customWidth="1"/>
    <col min="11267" max="11267" width="65.88671875" style="5" customWidth="1"/>
    <col min="11268" max="11268" width="6.33203125" style="5" customWidth="1"/>
    <col min="11269" max="11269" width="10" style="5" customWidth="1"/>
    <col min="11270" max="11270" width="8.88671875" style="5" customWidth="1"/>
    <col min="11271" max="11271" width="9.88671875" style="5" customWidth="1"/>
    <col min="11272" max="11272" width="13.6640625" style="5" customWidth="1"/>
    <col min="11273" max="11273" width="13" style="5" customWidth="1"/>
    <col min="11274" max="11274" width="16.109375" style="5" customWidth="1"/>
    <col min="11275" max="11275" width="51.88671875" style="5" customWidth="1"/>
    <col min="11276" max="11276" width="20.88671875" style="5" customWidth="1"/>
    <col min="11277" max="11277" width="11.88671875" style="5" bestFit="1" customWidth="1"/>
    <col min="11278" max="11278" width="9.88671875" style="5" bestFit="1" customWidth="1"/>
    <col min="11279" max="11279" width="10.33203125" style="5" bestFit="1" customWidth="1"/>
    <col min="11280" max="11281" width="9.109375" style="5"/>
    <col min="11282" max="11282" width="15.44140625" style="5" customWidth="1"/>
    <col min="11283" max="11520" width="9.109375" style="5"/>
    <col min="11521" max="11521" width="8.5546875" style="5" customWidth="1"/>
    <col min="11522" max="11522" width="13.44140625" style="5" customWidth="1"/>
    <col min="11523" max="11523" width="65.88671875" style="5" customWidth="1"/>
    <col min="11524" max="11524" width="6.33203125" style="5" customWidth="1"/>
    <col min="11525" max="11525" width="10" style="5" customWidth="1"/>
    <col min="11526" max="11526" width="8.88671875" style="5" customWidth="1"/>
    <col min="11527" max="11527" width="9.88671875" style="5" customWidth="1"/>
    <col min="11528" max="11528" width="13.6640625" style="5" customWidth="1"/>
    <col min="11529" max="11529" width="13" style="5" customWidth="1"/>
    <col min="11530" max="11530" width="16.109375" style="5" customWidth="1"/>
    <col min="11531" max="11531" width="51.88671875" style="5" customWidth="1"/>
    <col min="11532" max="11532" width="20.88671875" style="5" customWidth="1"/>
    <col min="11533" max="11533" width="11.88671875" style="5" bestFit="1" customWidth="1"/>
    <col min="11534" max="11534" width="9.88671875" style="5" bestFit="1" customWidth="1"/>
    <col min="11535" max="11535" width="10.33203125" style="5" bestFit="1" customWidth="1"/>
    <col min="11536" max="11537" width="9.109375" style="5"/>
    <col min="11538" max="11538" width="15.44140625" style="5" customWidth="1"/>
    <col min="11539" max="11776" width="9.109375" style="5"/>
    <col min="11777" max="11777" width="8.5546875" style="5" customWidth="1"/>
    <col min="11778" max="11778" width="13.44140625" style="5" customWidth="1"/>
    <col min="11779" max="11779" width="65.88671875" style="5" customWidth="1"/>
    <col min="11780" max="11780" width="6.33203125" style="5" customWidth="1"/>
    <col min="11781" max="11781" width="10" style="5" customWidth="1"/>
    <col min="11782" max="11782" width="8.88671875" style="5" customWidth="1"/>
    <col min="11783" max="11783" width="9.88671875" style="5" customWidth="1"/>
    <col min="11784" max="11784" width="13.6640625" style="5" customWidth="1"/>
    <col min="11785" max="11785" width="13" style="5" customWidth="1"/>
    <col min="11786" max="11786" width="16.109375" style="5" customWidth="1"/>
    <col min="11787" max="11787" width="51.88671875" style="5" customWidth="1"/>
    <col min="11788" max="11788" width="20.88671875" style="5" customWidth="1"/>
    <col min="11789" max="11789" width="11.88671875" style="5" bestFit="1" customWidth="1"/>
    <col min="11790" max="11790" width="9.88671875" style="5" bestFit="1" customWidth="1"/>
    <col min="11791" max="11791" width="10.33203125" style="5" bestFit="1" customWidth="1"/>
    <col min="11792" max="11793" width="9.109375" style="5"/>
    <col min="11794" max="11794" width="15.44140625" style="5" customWidth="1"/>
    <col min="11795" max="12032" width="9.109375" style="5"/>
    <col min="12033" max="12033" width="8.5546875" style="5" customWidth="1"/>
    <col min="12034" max="12034" width="13.44140625" style="5" customWidth="1"/>
    <col min="12035" max="12035" width="65.88671875" style="5" customWidth="1"/>
    <col min="12036" max="12036" width="6.33203125" style="5" customWidth="1"/>
    <col min="12037" max="12037" width="10" style="5" customWidth="1"/>
    <col min="12038" max="12038" width="8.88671875" style="5" customWidth="1"/>
    <col min="12039" max="12039" width="9.88671875" style="5" customWidth="1"/>
    <col min="12040" max="12040" width="13.6640625" style="5" customWidth="1"/>
    <col min="12041" max="12041" width="13" style="5" customWidth="1"/>
    <col min="12042" max="12042" width="16.109375" style="5" customWidth="1"/>
    <col min="12043" max="12043" width="51.88671875" style="5" customWidth="1"/>
    <col min="12044" max="12044" width="20.88671875" style="5" customWidth="1"/>
    <col min="12045" max="12045" width="11.88671875" style="5" bestFit="1" customWidth="1"/>
    <col min="12046" max="12046" width="9.88671875" style="5" bestFit="1" customWidth="1"/>
    <col min="12047" max="12047" width="10.33203125" style="5" bestFit="1" customWidth="1"/>
    <col min="12048" max="12049" width="9.109375" style="5"/>
    <col min="12050" max="12050" width="15.44140625" style="5" customWidth="1"/>
    <col min="12051" max="12288" width="9.109375" style="5"/>
    <col min="12289" max="12289" width="8.5546875" style="5" customWidth="1"/>
    <col min="12290" max="12290" width="13.44140625" style="5" customWidth="1"/>
    <col min="12291" max="12291" width="65.88671875" style="5" customWidth="1"/>
    <col min="12292" max="12292" width="6.33203125" style="5" customWidth="1"/>
    <col min="12293" max="12293" width="10" style="5" customWidth="1"/>
    <col min="12294" max="12294" width="8.88671875" style="5" customWidth="1"/>
    <col min="12295" max="12295" width="9.88671875" style="5" customWidth="1"/>
    <col min="12296" max="12296" width="13.6640625" style="5" customWidth="1"/>
    <col min="12297" max="12297" width="13" style="5" customWidth="1"/>
    <col min="12298" max="12298" width="16.109375" style="5" customWidth="1"/>
    <col min="12299" max="12299" width="51.88671875" style="5" customWidth="1"/>
    <col min="12300" max="12300" width="20.88671875" style="5" customWidth="1"/>
    <col min="12301" max="12301" width="11.88671875" style="5" bestFit="1" customWidth="1"/>
    <col min="12302" max="12302" width="9.88671875" style="5" bestFit="1" customWidth="1"/>
    <col min="12303" max="12303" width="10.33203125" style="5" bestFit="1" customWidth="1"/>
    <col min="12304" max="12305" width="9.109375" style="5"/>
    <col min="12306" max="12306" width="15.44140625" style="5" customWidth="1"/>
    <col min="12307" max="12544" width="9.109375" style="5"/>
    <col min="12545" max="12545" width="8.5546875" style="5" customWidth="1"/>
    <col min="12546" max="12546" width="13.44140625" style="5" customWidth="1"/>
    <col min="12547" max="12547" width="65.88671875" style="5" customWidth="1"/>
    <col min="12548" max="12548" width="6.33203125" style="5" customWidth="1"/>
    <col min="12549" max="12549" width="10" style="5" customWidth="1"/>
    <col min="12550" max="12550" width="8.88671875" style="5" customWidth="1"/>
    <col min="12551" max="12551" width="9.88671875" style="5" customWidth="1"/>
    <col min="12552" max="12552" width="13.6640625" style="5" customWidth="1"/>
    <col min="12553" max="12553" width="13" style="5" customWidth="1"/>
    <col min="12554" max="12554" width="16.109375" style="5" customWidth="1"/>
    <col min="12555" max="12555" width="51.88671875" style="5" customWidth="1"/>
    <col min="12556" max="12556" width="20.88671875" style="5" customWidth="1"/>
    <col min="12557" max="12557" width="11.88671875" style="5" bestFit="1" customWidth="1"/>
    <col min="12558" max="12558" width="9.88671875" style="5" bestFit="1" customWidth="1"/>
    <col min="12559" max="12559" width="10.33203125" style="5" bestFit="1" customWidth="1"/>
    <col min="12560" max="12561" width="9.109375" style="5"/>
    <col min="12562" max="12562" width="15.44140625" style="5" customWidth="1"/>
    <col min="12563" max="12800" width="9.109375" style="5"/>
    <col min="12801" max="12801" width="8.5546875" style="5" customWidth="1"/>
    <col min="12802" max="12802" width="13.44140625" style="5" customWidth="1"/>
    <col min="12803" max="12803" width="65.88671875" style="5" customWidth="1"/>
    <col min="12804" max="12804" width="6.33203125" style="5" customWidth="1"/>
    <col min="12805" max="12805" width="10" style="5" customWidth="1"/>
    <col min="12806" max="12806" width="8.88671875" style="5" customWidth="1"/>
    <col min="12807" max="12807" width="9.88671875" style="5" customWidth="1"/>
    <col min="12808" max="12808" width="13.6640625" style="5" customWidth="1"/>
    <col min="12809" max="12809" width="13" style="5" customWidth="1"/>
    <col min="12810" max="12810" width="16.109375" style="5" customWidth="1"/>
    <col min="12811" max="12811" width="51.88671875" style="5" customWidth="1"/>
    <col min="12812" max="12812" width="20.88671875" style="5" customWidth="1"/>
    <col min="12813" max="12813" width="11.88671875" style="5" bestFit="1" customWidth="1"/>
    <col min="12814" max="12814" width="9.88671875" style="5" bestFit="1" customWidth="1"/>
    <col min="12815" max="12815" width="10.33203125" style="5" bestFit="1" customWidth="1"/>
    <col min="12816" max="12817" width="9.109375" style="5"/>
    <col min="12818" max="12818" width="15.44140625" style="5" customWidth="1"/>
    <col min="12819" max="13056" width="9.109375" style="5"/>
    <col min="13057" max="13057" width="8.5546875" style="5" customWidth="1"/>
    <col min="13058" max="13058" width="13.44140625" style="5" customWidth="1"/>
    <col min="13059" max="13059" width="65.88671875" style="5" customWidth="1"/>
    <col min="13060" max="13060" width="6.33203125" style="5" customWidth="1"/>
    <col min="13061" max="13061" width="10" style="5" customWidth="1"/>
    <col min="13062" max="13062" width="8.88671875" style="5" customWidth="1"/>
    <col min="13063" max="13063" width="9.88671875" style="5" customWidth="1"/>
    <col min="13064" max="13064" width="13.6640625" style="5" customWidth="1"/>
    <col min="13065" max="13065" width="13" style="5" customWidth="1"/>
    <col min="13066" max="13066" width="16.109375" style="5" customWidth="1"/>
    <col min="13067" max="13067" width="51.88671875" style="5" customWidth="1"/>
    <col min="13068" max="13068" width="20.88671875" style="5" customWidth="1"/>
    <col min="13069" max="13069" width="11.88671875" style="5" bestFit="1" customWidth="1"/>
    <col min="13070" max="13070" width="9.88671875" style="5" bestFit="1" customWidth="1"/>
    <col min="13071" max="13071" width="10.33203125" style="5" bestFit="1" customWidth="1"/>
    <col min="13072" max="13073" width="9.109375" style="5"/>
    <col min="13074" max="13074" width="15.44140625" style="5" customWidth="1"/>
    <col min="13075" max="13312" width="9.109375" style="5"/>
    <col min="13313" max="13313" width="8.5546875" style="5" customWidth="1"/>
    <col min="13314" max="13314" width="13.44140625" style="5" customWidth="1"/>
    <col min="13315" max="13315" width="65.88671875" style="5" customWidth="1"/>
    <col min="13316" max="13316" width="6.33203125" style="5" customWidth="1"/>
    <col min="13317" max="13317" width="10" style="5" customWidth="1"/>
    <col min="13318" max="13318" width="8.88671875" style="5" customWidth="1"/>
    <col min="13319" max="13319" width="9.88671875" style="5" customWidth="1"/>
    <col min="13320" max="13320" width="13.6640625" style="5" customWidth="1"/>
    <col min="13321" max="13321" width="13" style="5" customWidth="1"/>
    <col min="13322" max="13322" width="16.109375" style="5" customWidth="1"/>
    <col min="13323" max="13323" width="51.88671875" style="5" customWidth="1"/>
    <col min="13324" max="13324" width="20.88671875" style="5" customWidth="1"/>
    <col min="13325" max="13325" width="11.88671875" style="5" bestFit="1" customWidth="1"/>
    <col min="13326" max="13326" width="9.88671875" style="5" bestFit="1" customWidth="1"/>
    <col min="13327" max="13327" width="10.33203125" style="5" bestFit="1" customWidth="1"/>
    <col min="13328" max="13329" width="9.109375" style="5"/>
    <col min="13330" max="13330" width="15.44140625" style="5" customWidth="1"/>
    <col min="13331" max="13568" width="9.109375" style="5"/>
    <col min="13569" max="13569" width="8.5546875" style="5" customWidth="1"/>
    <col min="13570" max="13570" width="13.44140625" style="5" customWidth="1"/>
    <col min="13571" max="13571" width="65.88671875" style="5" customWidth="1"/>
    <col min="13572" max="13572" width="6.33203125" style="5" customWidth="1"/>
    <col min="13573" max="13573" width="10" style="5" customWidth="1"/>
    <col min="13574" max="13574" width="8.88671875" style="5" customWidth="1"/>
    <col min="13575" max="13575" width="9.88671875" style="5" customWidth="1"/>
    <col min="13576" max="13576" width="13.6640625" style="5" customWidth="1"/>
    <col min="13577" max="13577" width="13" style="5" customWidth="1"/>
    <col min="13578" max="13578" width="16.109375" style="5" customWidth="1"/>
    <col min="13579" max="13579" width="51.88671875" style="5" customWidth="1"/>
    <col min="13580" max="13580" width="20.88671875" style="5" customWidth="1"/>
    <col min="13581" max="13581" width="11.88671875" style="5" bestFit="1" customWidth="1"/>
    <col min="13582" max="13582" width="9.88671875" style="5" bestFit="1" customWidth="1"/>
    <col min="13583" max="13583" width="10.33203125" style="5" bestFit="1" customWidth="1"/>
    <col min="13584" max="13585" width="9.109375" style="5"/>
    <col min="13586" max="13586" width="15.44140625" style="5" customWidth="1"/>
    <col min="13587" max="13824" width="9.109375" style="5"/>
    <col min="13825" max="13825" width="8.5546875" style="5" customWidth="1"/>
    <col min="13826" max="13826" width="13.44140625" style="5" customWidth="1"/>
    <col min="13827" max="13827" width="65.88671875" style="5" customWidth="1"/>
    <col min="13828" max="13828" width="6.33203125" style="5" customWidth="1"/>
    <col min="13829" max="13829" width="10" style="5" customWidth="1"/>
    <col min="13830" max="13830" width="8.88671875" style="5" customWidth="1"/>
    <col min="13831" max="13831" width="9.88671875" style="5" customWidth="1"/>
    <col min="13832" max="13832" width="13.6640625" style="5" customWidth="1"/>
    <col min="13833" max="13833" width="13" style="5" customWidth="1"/>
    <col min="13834" max="13834" width="16.109375" style="5" customWidth="1"/>
    <col min="13835" max="13835" width="51.88671875" style="5" customWidth="1"/>
    <col min="13836" max="13836" width="20.88671875" style="5" customWidth="1"/>
    <col min="13837" max="13837" width="11.88671875" style="5" bestFit="1" customWidth="1"/>
    <col min="13838" max="13838" width="9.88671875" style="5" bestFit="1" customWidth="1"/>
    <col min="13839" max="13839" width="10.33203125" style="5" bestFit="1" customWidth="1"/>
    <col min="13840" max="13841" width="9.109375" style="5"/>
    <col min="13842" max="13842" width="15.44140625" style="5" customWidth="1"/>
    <col min="13843" max="14080" width="9.109375" style="5"/>
    <col min="14081" max="14081" width="8.5546875" style="5" customWidth="1"/>
    <col min="14082" max="14082" width="13.44140625" style="5" customWidth="1"/>
    <col min="14083" max="14083" width="65.88671875" style="5" customWidth="1"/>
    <col min="14084" max="14084" width="6.33203125" style="5" customWidth="1"/>
    <col min="14085" max="14085" width="10" style="5" customWidth="1"/>
    <col min="14086" max="14086" width="8.88671875" style="5" customWidth="1"/>
    <col min="14087" max="14087" width="9.88671875" style="5" customWidth="1"/>
    <col min="14088" max="14088" width="13.6640625" style="5" customWidth="1"/>
    <col min="14089" max="14089" width="13" style="5" customWidth="1"/>
    <col min="14090" max="14090" width="16.109375" style="5" customWidth="1"/>
    <col min="14091" max="14091" width="51.88671875" style="5" customWidth="1"/>
    <col min="14092" max="14092" width="20.88671875" style="5" customWidth="1"/>
    <col min="14093" max="14093" width="11.88671875" style="5" bestFit="1" customWidth="1"/>
    <col min="14094" max="14094" width="9.88671875" style="5" bestFit="1" customWidth="1"/>
    <col min="14095" max="14095" width="10.33203125" style="5" bestFit="1" customWidth="1"/>
    <col min="14096" max="14097" width="9.109375" style="5"/>
    <col min="14098" max="14098" width="15.44140625" style="5" customWidth="1"/>
    <col min="14099" max="14336" width="9.109375" style="5"/>
    <col min="14337" max="14337" width="8.5546875" style="5" customWidth="1"/>
    <col min="14338" max="14338" width="13.44140625" style="5" customWidth="1"/>
    <col min="14339" max="14339" width="65.88671875" style="5" customWidth="1"/>
    <col min="14340" max="14340" width="6.33203125" style="5" customWidth="1"/>
    <col min="14341" max="14341" width="10" style="5" customWidth="1"/>
    <col min="14342" max="14342" width="8.88671875" style="5" customWidth="1"/>
    <col min="14343" max="14343" width="9.88671875" style="5" customWidth="1"/>
    <col min="14344" max="14344" width="13.6640625" style="5" customWidth="1"/>
    <col min="14345" max="14345" width="13" style="5" customWidth="1"/>
    <col min="14346" max="14346" width="16.109375" style="5" customWidth="1"/>
    <col min="14347" max="14347" width="51.88671875" style="5" customWidth="1"/>
    <col min="14348" max="14348" width="20.88671875" style="5" customWidth="1"/>
    <col min="14349" max="14349" width="11.88671875" style="5" bestFit="1" customWidth="1"/>
    <col min="14350" max="14350" width="9.88671875" style="5" bestFit="1" customWidth="1"/>
    <col min="14351" max="14351" width="10.33203125" style="5" bestFit="1" customWidth="1"/>
    <col min="14352" max="14353" width="9.109375" style="5"/>
    <col min="14354" max="14354" width="15.44140625" style="5" customWidth="1"/>
    <col min="14355" max="14592" width="9.109375" style="5"/>
    <col min="14593" max="14593" width="8.5546875" style="5" customWidth="1"/>
    <col min="14594" max="14594" width="13.44140625" style="5" customWidth="1"/>
    <col min="14595" max="14595" width="65.88671875" style="5" customWidth="1"/>
    <col min="14596" max="14596" width="6.33203125" style="5" customWidth="1"/>
    <col min="14597" max="14597" width="10" style="5" customWidth="1"/>
    <col min="14598" max="14598" width="8.88671875" style="5" customWidth="1"/>
    <col min="14599" max="14599" width="9.88671875" style="5" customWidth="1"/>
    <col min="14600" max="14600" width="13.6640625" style="5" customWidth="1"/>
    <col min="14601" max="14601" width="13" style="5" customWidth="1"/>
    <col min="14602" max="14602" width="16.109375" style="5" customWidth="1"/>
    <col min="14603" max="14603" width="51.88671875" style="5" customWidth="1"/>
    <col min="14604" max="14604" width="20.88671875" style="5" customWidth="1"/>
    <col min="14605" max="14605" width="11.88671875" style="5" bestFit="1" customWidth="1"/>
    <col min="14606" max="14606" width="9.88671875" style="5" bestFit="1" customWidth="1"/>
    <col min="14607" max="14607" width="10.33203125" style="5" bestFit="1" customWidth="1"/>
    <col min="14608" max="14609" width="9.109375" style="5"/>
    <col min="14610" max="14610" width="15.44140625" style="5" customWidth="1"/>
    <col min="14611" max="14848" width="9.109375" style="5"/>
    <col min="14849" max="14849" width="8.5546875" style="5" customWidth="1"/>
    <col min="14850" max="14850" width="13.44140625" style="5" customWidth="1"/>
    <col min="14851" max="14851" width="65.88671875" style="5" customWidth="1"/>
    <col min="14852" max="14852" width="6.33203125" style="5" customWidth="1"/>
    <col min="14853" max="14853" width="10" style="5" customWidth="1"/>
    <col min="14854" max="14854" width="8.88671875" style="5" customWidth="1"/>
    <col min="14855" max="14855" width="9.88671875" style="5" customWidth="1"/>
    <col min="14856" max="14856" width="13.6640625" style="5" customWidth="1"/>
    <col min="14857" max="14857" width="13" style="5" customWidth="1"/>
    <col min="14858" max="14858" width="16.109375" style="5" customWidth="1"/>
    <col min="14859" max="14859" width="51.88671875" style="5" customWidth="1"/>
    <col min="14860" max="14860" width="20.88671875" style="5" customWidth="1"/>
    <col min="14861" max="14861" width="11.88671875" style="5" bestFit="1" customWidth="1"/>
    <col min="14862" max="14862" width="9.88671875" style="5" bestFit="1" customWidth="1"/>
    <col min="14863" max="14863" width="10.33203125" style="5" bestFit="1" customWidth="1"/>
    <col min="14864" max="14865" width="9.109375" style="5"/>
    <col min="14866" max="14866" width="15.44140625" style="5" customWidth="1"/>
    <col min="14867" max="15104" width="9.109375" style="5"/>
    <col min="15105" max="15105" width="8.5546875" style="5" customWidth="1"/>
    <col min="15106" max="15106" width="13.44140625" style="5" customWidth="1"/>
    <col min="15107" max="15107" width="65.88671875" style="5" customWidth="1"/>
    <col min="15108" max="15108" width="6.33203125" style="5" customWidth="1"/>
    <col min="15109" max="15109" width="10" style="5" customWidth="1"/>
    <col min="15110" max="15110" width="8.88671875" style="5" customWidth="1"/>
    <col min="15111" max="15111" width="9.88671875" style="5" customWidth="1"/>
    <col min="15112" max="15112" width="13.6640625" style="5" customWidth="1"/>
    <col min="15113" max="15113" width="13" style="5" customWidth="1"/>
    <col min="15114" max="15114" width="16.109375" style="5" customWidth="1"/>
    <col min="15115" max="15115" width="51.88671875" style="5" customWidth="1"/>
    <col min="15116" max="15116" width="20.88671875" style="5" customWidth="1"/>
    <col min="15117" max="15117" width="11.88671875" style="5" bestFit="1" customWidth="1"/>
    <col min="15118" max="15118" width="9.88671875" style="5" bestFit="1" customWidth="1"/>
    <col min="15119" max="15119" width="10.33203125" style="5" bestFit="1" customWidth="1"/>
    <col min="15120" max="15121" width="9.109375" style="5"/>
    <col min="15122" max="15122" width="15.44140625" style="5" customWidth="1"/>
    <col min="15123" max="15360" width="9.109375" style="5"/>
    <col min="15361" max="15361" width="8.5546875" style="5" customWidth="1"/>
    <col min="15362" max="15362" width="13.44140625" style="5" customWidth="1"/>
    <col min="15363" max="15363" width="65.88671875" style="5" customWidth="1"/>
    <col min="15364" max="15364" width="6.33203125" style="5" customWidth="1"/>
    <col min="15365" max="15365" width="10" style="5" customWidth="1"/>
    <col min="15366" max="15366" width="8.88671875" style="5" customWidth="1"/>
    <col min="15367" max="15367" width="9.88671875" style="5" customWidth="1"/>
    <col min="15368" max="15368" width="13.6640625" style="5" customWidth="1"/>
    <col min="15369" max="15369" width="13" style="5" customWidth="1"/>
    <col min="15370" max="15370" width="16.109375" style="5" customWidth="1"/>
    <col min="15371" max="15371" width="51.88671875" style="5" customWidth="1"/>
    <col min="15372" max="15372" width="20.88671875" style="5" customWidth="1"/>
    <col min="15373" max="15373" width="11.88671875" style="5" bestFit="1" customWidth="1"/>
    <col min="15374" max="15374" width="9.88671875" style="5" bestFit="1" customWidth="1"/>
    <col min="15375" max="15375" width="10.33203125" style="5" bestFit="1" customWidth="1"/>
    <col min="15376" max="15377" width="9.109375" style="5"/>
    <col min="15378" max="15378" width="15.44140625" style="5" customWidth="1"/>
    <col min="15379" max="15616" width="9.109375" style="5"/>
    <col min="15617" max="15617" width="8.5546875" style="5" customWidth="1"/>
    <col min="15618" max="15618" width="13.44140625" style="5" customWidth="1"/>
    <col min="15619" max="15619" width="65.88671875" style="5" customWidth="1"/>
    <col min="15620" max="15620" width="6.33203125" style="5" customWidth="1"/>
    <col min="15621" max="15621" width="10" style="5" customWidth="1"/>
    <col min="15622" max="15622" width="8.88671875" style="5" customWidth="1"/>
    <col min="15623" max="15623" width="9.88671875" style="5" customWidth="1"/>
    <col min="15624" max="15624" width="13.6640625" style="5" customWidth="1"/>
    <col min="15625" max="15625" width="13" style="5" customWidth="1"/>
    <col min="15626" max="15626" width="16.109375" style="5" customWidth="1"/>
    <col min="15627" max="15627" width="51.88671875" style="5" customWidth="1"/>
    <col min="15628" max="15628" width="20.88671875" style="5" customWidth="1"/>
    <col min="15629" max="15629" width="11.88671875" style="5" bestFit="1" customWidth="1"/>
    <col min="15630" max="15630" width="9.88671875" style="5" bestFit="1" customWidth="1"/>
    <col min="15631" max="15631" width="10.33203125" style="5" bestFit="1" customWidth="1"/>
    <col min="15632" max="15633" width="9.109375" style="5"/>
    <col min="15634" max="15634" width="15.44140625" style="5" customWidth="1"/>
    <col min="15635" max="15872" width="9.109375" style="5"/>
    <col min="15873" max="15873" width="8.5546875" style="5" customWidth="1"/>
    <col min="15874" max="15874" width="13.44140625" style="5" customWidth="1"/>
    <col min="15875" max="15875" width="65.88671875" style="5" customWidth="1"/>
    <col min="15876" max="15876" width="6.33203125" style="5" customWidth="1"/>
    <col min="15877" max="15877" width="10" style="5" customWidth="1"/>
    <col min="15878" max="15878" width="8.88671875" style="5" customWidth="1"/>
    <col min="15879" max="15879" width="9.88671875" style="5" customWidth="1"/>
    <col min="15880" max="15880" width="13.6640625" style="5" customWidth="1"/>
    <col min="15881" max="15881" width="13" style="5" customWidth="1"/>
    <col min="15882" max="15882" width="16.109375" style="5" customWidth="1"/>
    <col min="15883" max="15883" width="51.88671875" style="5" customWidth="1"/>
    <col min="15884" max="15884" width="20.88671875" style="5" customWidth="1"/>
    <col min="15885" max="15885" width="11.88671875" style="5" bestFit="1" customWidth="1"/>
    <col min="15886" max="15886" width="9.88671875" style="5" bestFit="1" customWidth="1"/>
    <col min="15887" max="15887" width="10.33203125" style="5" bestFit="1" customWidth="1"/>
    <col min="15888" max="15889" width="9.109375" style="5"/>
    <col min="15890" max="15890" width="15.44140625" style="5" customWidth="1"/>
    <col min="15891" max="16128" width="9.109375" style="5"/>
    <col min="16129" max="16129" width="8.5546875" style="5" customWidth="1"/>
    <col min="16130" max="16130" width="13.44140625" style="5" customWidth="1"/>
    <col min="16131" max="16131" width="65.88671875" style="5" customWidth="1"/>
    <col min="16132" max="16132" width="6.33203125" style="5" customWidth="1"/>
    <col min="16133" max="16133" width="10" style="5" customWidth="1"/>
    <col min="16134" max="16134" width="8.88671875" style="5" customWidth="1"/>
    <col min="16135" max="16135" width="9.88671875" style="5" customWidth="1"/>
    <col min="16136" max="16136" width="13.6640625" style="5" customWidth="1"/>
    <col min="16137" max="16137" width="13" style="5" customWidth="1"/>
    <col min="16138" max="16138" width="16.109375" style="5" customWidth="1"/>
    <col min="16139" max="16139" width="51.88671875" style="5" customWidth="1"/>
    <col min="16140" max="16140" width="20.88671875" style="5" customWidth="1"/>
    <col min="16141" max="16141" width="11.88671875" style="5" bestFit="1" customWidth="1"/>
    <col min="16142" max="16142" width="9.88671875" style="5" bestFit="1" customWidth="1"/>
    <col min="16143" max="16143" width="10.33203125" style="5" bestFit="1" customWidth="1"/>
    <col min="16144" max="16145" width="9.109375" style="5"/>
    <col min="16146" max="16146" width="15.44140625" style="5" customWidth="1"/>
    <col min="16147" max="16384" width="9.109375" style="5"/>
  </cols>
  <sheetData>
    <row r="1" spans="1:17" hidden="1" x14ac:dyDescent="0.25">
      <c r="A1" s="532" t="s">
        <v>0</v>
      </c>
      <c r="B1" s="532"/>
      <c r="C1" s="533"/>
      <c r="D1" s="533"/>
      <c r="E1" s="533"/>
      <c r="F1" s="534"/>
      <c r="G1" s="533"/>
      <c r="H1" s="533"/>
      <c r="I1" s="534"/>
    </row>
    <row r="2" spans="1:17" hidden="1" x14ac:dyDescent="0.25">
      <c r="A2" s="532"/>
      <c r="B2" s="532"/>
      <c r="C2" s="533"/>
      <c r="D2" s="533"/>
      <c r="E2" s="533"/>
      <c r="F2" s="534"/>
      <c r="G2" s="533"/>
      <c r="H2" s="533"/>
      <c r="I2" s="534"/>
    </row>
    <row r="3" spans="1:17" hidden="1" x14ac:dyDescent="0.25">
      <c r="A3" s="532"/>
      <c r="B3" s="532"/>
      <c r="C3" s="533"/>
      <c r="D3" s="533"/>
      <c r="E3" s="533"/>
      <c r="F3" s="534"/>
      <c r="G3" s="533"/>
      <c r="H3" s="533"/>
      <c r="I3" s="534"/>
    </row>
    <row r="4" spans="1:17" hidden="1" x14ac:dyDescent="0.25">
      <c r="A4" s="532"/>
      <c r="B4" s="532"/>
      <c r="C4" s="533"/>
      <c r="D4" s="533"/>
      <c r="E4" s="533"/>
      <c r="F4" s="534"/>
      <c r="G4" s="533"/>
      <c r="H4" s="533"/>
      <c r="I4" s="534"/>
    </row>
    <row r="5" spans="1:17" hidden="1" x14ac:dyDescent="0.25">
      <c r="A5" s="532"/>
      <c r="B5" s="532"/>
      <c r="C5" s="533"/>
      <c r="D5" s="533"/>
      <c r="E5" s="533"/>
      <c r="F5" s="534"/>
      <c r="G5" s="533"/>
      <c r="H5" s="533"/>
      <c r="I5" s="534"/>
    </row>
    <row r="6" spans="1:17" hidden="1" x14ac:dyDescent="0.25">
      <c r="A6" s="532"/>
      <c r="B6" s="532"/>
      <c r="C6" s="533"/>
      <c r="D6" s="533"/>
      <c r="E6" s="533"/>
      <c r="F6" s="534"/>
      <c r="G6" s="533"/>
      <c r="H6" s="533"/>
      <c r="I6" s="534"/>
    </row>
    <row r="7" spans="1:17" hidden="1" x14ac:dyDescent="0.25">
      <c r="A7" s="532"/>
      <c r="B7" s="532"/>
      <c r="C7" s="533"/>
      <c r="D7" s="533"/>
      <c r="E7" s="533"/>
      <c r="F7" s="534"/>
      <c r="G7" s="533"/>
      <c r="H7" s="533"/>
      <c r="I7" s="534"/>
    </row>
    <row r="8" spans="1:17" hidden="1" x14ac:dyDescent="0.25">
      <c r="A8" s="532"/>
      <c r="B8" s="532"/>
      <c r="C8" s="533"/>
      <c r="D8" s="533"/>
      <c r="E8" s="533"/>
      <c r="F8" s="534"/>
      <c r="G8" s="533"/>
      <c r="H8" s="533"/>
      <c r="I8" s="534"/>
    </row>
    <row r="9" spans="1:17" ht="20.399999999999999" x14ac:dyDescent="0.25">
      <c r="A9" s="656" t="s">
        <v>1</v>
      </c>
      <c r="B9" s="657"/>
      <c r="C9" s="657"/>
      <c r="D9" s="657"/>
      <c r="E9" s="657"/>
      <c r="F9" s="657"/>
      <c r="G9" s="657"/>
      <c r="H9" s="657"/>
      <c r="I9" s="658"/>
      <c r="J9" s="6"/>
      <c r="K9" s="223"/>
      <c r="L9" s="6"/>
    </row>
    <row r="10" spans="1:17" x14ac:dyDescent="0.25">
      <c r="A10" s="535"/>
      <c r="B10" s="314"/>
      <c r="C10" s="314"/>
      <c r="D10" s="314"/>
      <c r="E10" s="314"/>
      <c r="F10" s="536"/>
      <c r="G10" s="314"/>
      <c r="H10" s="314"/>
      <c r="I10" s="537"/>
      <c r="J10" s="6"/>
      <c r="K10" s="223"/>
      <c r="L10" s="6"/>
    </row>
    <row r="11" spans="1:17" x14ac:dyDescent="0.25">
      <c r="A11" s="662" t="s">
        <v>2</v>
      </c>
      <c r="B11" s="663"/>
      <c r="C11" s="663"/>
      <c r="D11" s="538"/>
      <c r="E11" s="538"/>
      <c r="F11" s="534"/>
      <c r="G11" s="538"/>
      <c r="H11" s="538"/>
      <c r="I11" s="539"/>
    </row>
    <row r="12" spans="1:17" x14ac:dyDescent="0.25">
      <c r="A12" s="662" t="s">
        <v>3</v>
      </c>
      <c r="B12" s="663"/>
      <c r="C12" s="663"/>
      <c r="D12" s="538"/>
      <c r="E12" s="538"/>
      <c r="F12" s="534"/>
      <c r="G12" s="538"/>
      <c r="H12" s="540" t="s">
        <v>4</v>
      </c>
      <c r="I12" s="539"/>
    </row>
    <row r="13" spans="1:17" x14ac:dyDescent="0.25">
      <c r="A13" s="662" t="s">
        <v>853</v>
      </c>
      <c r="B13" s="663"/>
      <c r="C13" s="663"/>
      <c r="D13" s="538"/>
      <c r="E13" s="538"/>
      <c r="F13" s="534"/>
      <c r="G13" s="540" t="s">
        <v>5</v>
      </c>
      <c r="H13" s="541" t="s">
        <v>6</v>
      </c>
      <c r="I13" s="539"/>
      <c r="J13" s="8">
        <v>1.2439</v>
      </c>
    </row>
    <row r="14" spans="1:17" x14ac:dyDescent="0.25">
      <c r="A14" s="542"/>
      <c r="B14" s="543"/>
      <c r="C14" s="544"/>
      <c r="D14" s="543"/>
      <c r="E14" s="513" t="s">
        <v>851</v>
      </c>
      <c r="F14" s="545"/>
      <c r="G14" s="546"/>
      <c r="H14" s="543" t="s">
        <v>7</v>
      </c>
      <c r="I14" s="547"/>
      <c r="J14" s="9"/>
      <c r="K14" s="224"/>
      <c r="L14" s="9"/>
    </row>
    <row r="15" spans="1:17" s="13" customFormat="1" ht="31.2" x14ac:dyDescent="0.25">
      <c r="A15" s="279" t="s">
        <v>8</v>
      </c>
      <c r="B15" s="279" t="s">
        <v>9</v>
      </c>
      <c r="C15" s="279" t="s">
        <v>10</v>
      </c>
      <c r="D15" s="279" t="s">
        <v>11</v>
      </c>
      <c r="E15" s="279" t="s">
        <v>12</v>
      </c>
      <c r="F15" s="548" t="s">
        <v>13</v>
      </c>
      <c r="G15" s="549" t="s">
        <v>14</v>
      </c>
      <c r="H15" s="549" t="s">
        <v>15</v>
      </c>
      <c r="I15" s="548" t="s">
        <v>16</v>
      </c>
      <c r="J15" s="10"/>
      <c r="K15" s="225">
        <f>K16-I16</f>
        <v>173162.11999999988</v>
      </c>
      <c r="L15" s="5"/>
      <c r="M15" s="2"/>
      <c r="N15" s="2"/>
      <c r="O15" s="2"/>
      <c r="P15" s="3"/>
      <c r="Q15" s="12"/>
    </row>
    <row r="16" spans="1:17" s="13" customFormat="1" x14ac:dyDescent="0.25">
      <c r="A16" s="550"/>
      <c r="B16" s="551"/>
      <c r="C16" s="551"/>
      <c r="D16" s="551"/>
      <c r="E16" s="551"/>
      <c r="F16" s="552"/>
      <c r="G16" s="664" t="s">
        <v>17</v>
      </c>
      <c r="H16" s="665"/>
      <c r="I16" s="553">
        <f>SUM(I17:I898)/2</f>
        <v>1860101.1</v>
      </c>
      <c r="J16" s="10"/>
      <c r="K16" s="226">
        <v>2033263.22</v>
      </c>
      <c r="L16" s="11"/>
      <c r="M16" s="2"/>
      <c r="N16" s="2"/>
      <c r="O16" s="2"/>
      <c r="P16" s="3"/>
      <c r="Q16" s="12"/>
    </row>
    <row r="17" spans="1:21" s="13" customFormat="1" x14ac:dyDescent="0.25">
      <c r="A17" s="550"/>
      <c r="B17" s="550"/>
      <c r="C17" s="554" t="s">
        <v>18</v>
      </c>
      <c r="D17" s="555"/>
      <c r="E17" s="555"/>
      <c r="F17" s="556"/>
      <c r="G17" s="296" t="s">
        <v>19</v>
      </c>
      <c r="H17" s="557"/>
      <c r="I17" s="400">
        <f>SUM(I18:I30)</f>
        <v>201630.88</v>
      </c>
      <c r="J17" s="99" t="s">
        <v>669</v>
      </c>
      <c r="K17" s="225"/>
      <c r="L17" s="11"/>
      <c r="M17" s="2"/>
      <c r="N17" s="14"/>
      <c r="O17" s="2"/>
      <c r="P17" s="3"/>
      <c r="Q17" s="12"/>
    </row>
    <row r="18" spans="1:21" s="13" customFormat="1" outlineLevel="1" x14ac:dyDescent="0.25">
      <c r="A18" s="550" t="s">
        <v>20</v>
      </c>
      <c r="B18" s="550" t="s">
        <v>9</v>
      </c>
      <c r="C18" s="294" t="s">
        <v>794</v>
      </c>
      <c r="D18" s="558"/>
      <c r="E18" s="558"/>
      <c r="F18" s="402"/>
      <c r="G18" s="558"/>
      <c r="H18" s="558"/>
      <c r="I18" s="559">
        <f>SUM(H19:H30)</f>
        <v>201630.88</v>
      </c>
      <c r="J18" s="10"/>
      <c r="K18" s="225"/>
      <c r="L18" s="316">
        <f>SUM(H20:H29)</f>
        <v>201630.88</v>
      </c>
      <c r="M18" s="2">
        <f>I18-L18</f>
        <v>0</v>
      </c>
      <c r="N18" s="15"/>
      <c r="O18" s="2"/>
      <c r="P18" s="3"/>
      <c r="Q18" s="12"/>
    </row>
    <row r="19" spans="1:21" s="13" customFormat="1" outlineLevel="1" x14ac:dyDescent="0.25">
      <c r="A19" s="279" t="s">
        <v>22</v>
      </c>
      <c r="B19" s="280"/>
      <c r="C19" s="281" t="s">
        <v>670</v>
      </c>
      <c r="D19" s="282"/>
      <c r="E19" s="281"/>
      <c r="F19" s="283"/>
      <c r="G19" s="284"/>
      <c r="H19" s="284"/>
      <c r="I19" s="399"/>
      <c r="J19" s="10"/>
      <c r="K19" s="225"/>
      <c r="L19" s="11"/>
      <c r="M19" s="2">
        <f t="shared" ref="M19:M43" si="0">I19-L19</f>
        <v>0</v>
      </c>
      <c r="N19" s="15"/>
      <c r="O19" s="2"/>
      <c r="P19" s="3"/>
      <c r="Q19" s="12"/>
    </row>
    <row r="20" spans="1:21" s="13" customFormat="1" ht="31.2" outlineLevel="1" x14ac:dyDescent="0.25">
      <c r="A20" s="282" t="s">
        <v>656</v>
      </c>
      <c r="B20" s="280">
        <v>93207</v>
      </c>
      <c r="C20" s="281" t="s">
        <v>23</v>
      </c>
      <c r="D20" s="282" t="s">
        <v>24</v>
      </c>
      <c r="E20" s="281">
        <v>22</v>
      </c>
      <c r="F20" s="283">
        <v>697.89</v>
      </c>
      <c r="G20" s="284">
        <f>TRUNC(F20*$J$13,2)</f>
        <v>868.1</v>
      </c>
      <c r="H20" s="284">
        <f t="shared" ref="H20:H28" si="1">TRUNC(E20*G20,2)</f>
        <v>19098.2</v>
      </c>
      <c r="I20" s="399"/>
      <c r="J20" s="10"/>
      <c r="K20" s="225"/>
      <c r="L20" s="11"/>
      <c r="M20" s="2">
        <f t="shared" si="0"/>
        <v>0</v>
      </c>
      <c r="N20" s="15"/>
      <c r="O20" s="2"/>
      <c r="P20" s="486">
        <v>22</v>
      </c>
      <c r="Q20" s="487">
        <v>697.89</v>
      </c>
      <c r="R20" s="16">
        <v>879.34</v>
      </c>
      <c r="S20" s="16">
        <v>19345.48</v>
      </c>
      <c r="U20" s="517">
        <v>165937.71</v>
      </c>
    </row>
    <row r="21" spans="1:21" s="13" customFormat="1" outlineLevel="1" x14ac:dyDescent="0.25">
      <c r="A21" s="282" t="s">
        <v>657</v>
      </c>
      <c r="B21" s="280">
        <v>93208</v>
      </c>
      <c r="C21" s="281" t="s">
        <v>26</v>
      </c>
      <c r="D21" s="282" t="s">
        <v>24</v>
      </c>
      <c r="E21" s="281">
        <v>22</v>
      </c>
      <c r="F21" s="283">
        <v>530.91</v>
      </c>
      <c r="G21" s="284">
        <f>TRUNC(F21*$J$13,2)</f>
        <v>660.39</v>
      </c>
      <c r="H21" s="284">
        <f t="shared" si="1"/>
        <v>14528.58</v>
      </c>
      <c r="I21" s="399"/>
      <c r="J21" s="10"/>
      <c r="K21" s="225"/>
      <c r="L21" s="11"/>
      <c r="M21" s="2">
        <f t="shared" si="0"/>
        <v>0</v>
      </c>
      <c r="N21" s="15"/>
      <c r="O21" s="2"/>
      <c r="P21" s="486">
        <v>22</v>
      </c>
      <c r="Q21" s="487">
        <v>530.91</v>
      </c>
      <c r="R21" s="16">
        <v>668.94</v>
      </c>
      <c r="S21" s="16">
        <v>14716.68</v>
      </c>
      <c r="U21" s="518">
        <f>I18-U20</f>
        <v>35693.170000000013</v>
      </c>
    </row>
    <row r="22" spans="1:21" s="13" customFormat="1" ht="31.2" outlineLevel="1" x14ac:dyDescent="0.25">
      <c r="A22" s="282" t="s">
        <v>658</v>
      </c>
      <c r="B22" s="280">
        <v>93212</v>
      </c>
      <c r="C22" s="281" t="s">
        <v>27</v>
      </c>
      <c r="D22" s="282" t="s">
        <v>24</v>
      </c>
      <c r="E22" s="281">
        <v>6</v>
      </c>
      <c r="F22" s="283">
        <v>619.29</v>
      </c>
      <c r="G22" s="284">
        <f t="shared" ref="G22:G27" si="2">TRUNC(F22*$J$13,2)</f>
        <v>770.33</v>
      </c>
      <c r="H22" s="284">
        <f t="shared" si="1"/>
        <v>4621.9799999999996</v>
      </c>
      <c r="I22" s="399"/>
      <c r="J22" s="10"/>
      <c r="K22" s="225">
        <f>1.5*3</f>
        <v>4.5</v>
      </c>
      <c r="L22" s="11"/>
      <c r="M22" s="2">
        <f t="shared" si="0"/>
        <v>0</v>
      </c>
      <c r="N22" s="15"/>
      <c r="O22" s="2"/>
      <c r="P22" s="486">
        <v>6</v>
      </c>
      <c r="Q22" s="487">
        <v>619.29</v>
      </c>
      <c r="R22" s="16">
        <v>780.3</v>
      </c>
      <c r="S22" s="16">
        <v>4681.8</v>
      </c>
    </row>
    <row r="23" spans="1:21" s="13" customFormat="1" outlineLevel="1" x14ac:dyDescent="0.25">
      <c r="A23" s="282" t="s">
        <v>659</v>
      </c>
      <c r="B23" s="280">
        <v>93211</v>
      </c>
      <c r="C23" s="281" t="s">
        <v>28</v>
      </c>
      <c r="D23" s="282" t="s">
        <v>24</v>
      </c>
      <c r="E23" s="281">
        <v>36</v>
      </c>
      <c r="F23" s="283">
        <v>382.38</v>
      </c>
      <c r="G23" s="284">
        <f t="shared" si="2"/>
        <v>475.64</v>
      </c>
      <c r="H23" s="284">
        <f t="shared" si="1"/>
        <v>17123.04</v>
      </c>
      <c r="I23" s="399"/>
      <c r="J23" s="10"/>
      <c r="K23" s="225"/>
      <c r="L23" s="11"/>
      <c r="M23" s="2">
        <f t="shared" si="0"/>
        <v>0</v>
      </c>
      <c r="N23" s="15"/>
      <c r="O23" s="2"/>
      <c r="P23" s="486">
        <v>36</v>
      </c>
      <c r="Q23" s="487">
        <v>382.38</v>
      </c>
      <c r="R23" s="16">
        <v>481.79</v>
      </c>
      <c r="S23" s="16">
        <v>17344.439999999999</v>
      </c>
    </row>
    <row r="24" spans="1:21" s="13" customFormat="1" outlineLevel="1" x14ac:dyDescent="0.25">
      <c r="A24" s="282" t="s">
        <v>660</v>
      </c>
      <c r="B24" s="280" t="s">
        <v>29</v>
      </c>
      <c r="C24" s="281" t="s">
        <v>30</v>
      </c>
      <c r="D24" s="282" t="s">
        <v>24</v>
      </c>
      <c r="E24" s="281">
        <v>12</v>
      </c>
      <c r="F24" s="283">
        <f>'COMPOSIÇÃO SINAPI W MENDES'!G268</f>
        <v>363.71000000000004</v>
      </c>
      <c r="G24" s="284">
        <f>TRUNC(F24*$J$13,2)</f>
        <v>452.41</v>
      </c>
      <c r="H24" s="284">
        <f t="shared" si="1"/>
        <v>5428.92</v>
      </c>
      <c r="I24" s="399"/>
      <c r="J24" s="10"/>
      <c r="K24" s="225"/>
      <c r="L24" s="11"/>
      <c r="M24" s="2">
        <f t="shared" si="0"/>
        <v>0</v>
      </c>
      <c r="N24" s="15"/>
      <c r="O24" s="2"/>
      <c r="P24" s="486">
        <v>12</v>
      </c>
      <c r="Q24" s="487">
        <v>441.32788999999997</v>
      </c>
      <c r="R24" s="16">
        <v>556.07000000000005</v>
      </c>
      <c r="S24" s="16">
        <v>6672.84</v>
      </c>
    </row>
    <row r="25" spans="1:21" s="13" customFormat="1" outlineLevel="1" x14ac:dyDescent="0.25">
      <c r="A25" s="282" t="s">
        <v>661</v>
      </c>
      <c r="B25" s="280">
        <v>95114</v>
      </c>
      <c r="C25" s="281" t="s">
        <v>31</v>
      </c>
      <c r="D25" s="282" t="s">
        <v>32</v>
      </c>
      <c r="E25" s="281">
        <v>256</v>
      </c>
      <c r="F25" s="283">
        <v>1.57</v>
      </c>
      <c r="G25" s="284">
        <f t="shared" si="2"/>
        <v>1.95</v>
      </c>
      <c r="H25" s="284">
        <f t="shared" si="1"/>
        <v>499.2</v>
      </c>
      <c r="I25" s="399"/>
      <c r="J25" s="10"/>
      <c r="K25" s="225"/>
      <c r="L25" s="11"/>
      <c r="M25" s="2">
        <f t="shared" si="0"/>
        <v>0</v>
      </c>
      <c r="N25" s="15"/>
      <c r="O25" s="2"/>
      <c r="P25" s="486">
        <v>256</v>
      </c>
      <c r="Q25" s="487">
        <v>1.57</v>
      </c>
      <c r="R25" s="16">
        <v>1.97</v>
      </c>
      <c r="S25" s="16">
        <v>504.32</v>
      </c>
    </row>
    <row r="26" spans="1:21" s="13" customFormat="1" outlineLevel="1" x14ac:dyDescent="0.25">
      <c r="A26" s="282" t="s">
        <v>662</v>
      </c>
      <c r="B26" s="280">
        <v>90777</v>
      </c>
      <c r="C26" s="281" t="s">
        <v>33</v>
      </c>
      <c r="D26" s="282" t="s">
        <v>32</v>
      </c>
      <c r="E26" s="281">
        <v>384</v>
      </c>
      <c r="F26" s="283">
        <v>79.17</v>
      </c>
      <c r="G26" s="284">
        <f>TRUNC(F26*$J$13,2)</f>
        <v>98.47</v>
      </c>
      <c r="H26" s="284">
        <f t="shared" si="1"/>
        <v>37812.480000000003</v>
      </c>
      <c r="I26" s="399"/>
      <c r="J26" s="10">
        <f>4*2*4.25*12</f>
        <v>408</v>
      </c>
      <c r="K26" s="225"/>
      <c r="L26" s="11"/>
      <c r="M26" s="2">
        <f t="shared" si="0"/>
        <v>0</v>
      </c>
      <c r="N26" s="15"/>
      <c r="O26" s="2"/>
      <c r="P26" s="486">
        <v>384</v>
      </c>
      <c r="Q26" s="487">
        <v>79.17</v>
      </c>
      <c r="R26" s="16">
        <v>99.75</v>
      </c>
      <c r="S26" s="16">
        <v>38304</v>
      </c>
    </row>
    <row r="27" spans="1:21" s="13" customFormat="1" outlineLevel="1" x14ac:dyDescent="0.25">
      <c r="A27" s="282" t="s">
        <v>663</v>
      </c>
      <c r="B27" s="280">
        <v>90778</v>
      </c>
      <c r="C27" s="281" t="s">
        <v>34</v>
      </c>
      <c r="D27" s="282" t="s">
        <v>32</v>
      </c>
      <c r="E27" s="281">
        <v>480</v>
      </c>
      <c r="F27" s="283">
        <v>89.98</v>
      </c>
      <c r="G27" s="284">
        <f t="shared" si="2"/>
        <v>111.92</v>
      </c>
      <c r="H27" s="284">
        <f t="shared" si="1"/>
        <v>53721.599999999999</v>
      </c>
      <c r="I27" s="399"/>
      <c r="J27" s="10">
        <f>2*5*4.25*12</f>
        <v>510</v>
      </c>
      <c r="K27" s="225"/>
      <c r="L27" s="11"/>
      <c r="M27" s="2">
        <f t="shared" si="0"/>
        <v>0</v>
      </c>
      <c r="N27" s="15"/>
      <c r="O27" s="2"/>
      <c r="P27" s="486">
        <v>480</v>
      </c>
      <c r="Q27" s="487">
        <v>89.98</v>
      </c>
      <c r="R27" s="16">
        <v>113.37</v>
      </c>
      <c r="S27" s="16">
        <v>54417.599999999999</v>
      </c>
    </row>
    <row r="28" spans="1:21" s="13" customFormat="1" outlineLevel="1" x14ac:dyDescent="0.25">
      <c r="A28" s="282" t="s">
        <v>664</v>
      </c>
      <c r="B28" s="280">
        <v>90776</v>
      </c>
      <c r="C28" s="281" t="s">
        <v>35</v>
      </c>
      <c r="D28" s="282" t="s">
        <v>32</v>
      </c>
      <c r="E28" s="281">
        <f>J28</f>
        <v>1920</v>
      </c>
      <c r="F28" s="283">
        <v>18.829999999999998</v>
      </c>
      <c r="G28" s="284">
        <f>TRUNC(F28*$J$13,2)</f>
        <v>23.42</v>
      </c>
      <c r="H28" s="284">
        <f t="shared" si="1"/>
        <v>44966.400000000001</v>
      </c>
      <c r="I28" s="399"/>
      <c r="J28" s="10">
        <f>8*5*4*12</f>
        <v>1920</v>
      </c>
      <c r="K28" s="225"/>
      <c r="L28" s="11"/>
      <c r="M28" s="2">
        <f t="shared" si="0"/>
        <v>0</v>
      </c>
      <c r="N28" s="15"/>
      <c r="O28" s="2"/>
      <c r="P28" s="486">
        <v>1920</v>
      </c>
      <c r="Q28" s="487">
        <v>18.829999999999998</v>
      </c>
      <c r="R28" s="16">
        <v>23.72</v>
      </c>
      <c r="S28" s="16">
        <v>45542.400000000001</v>
      </c>
    </row>
    <row r="29" spans="1:21" s="13" customFormat="1" outlineLevel="1" x14ac:dyDescent="0.25">
      <c r="A29" s="282" t="s">
        <v>815</v>
      </c>
      <c r="B29" s="280" t="s">
        <v>802</v>
      </c>
      <c r="C29" s="281" t="s">
        <v>803</v>
      </c>
      <c r="D29" s="282" t="s">
        <v>24</v>
      </c>
      <c r="E29" s="285">
        <v>345.4</v>
      </c>
      <c r="F29" s="283">
        <v>8.92</v>
      </c>
      <c r="G29" s="284">
        <f>TRUNC(F29*$J$13,2)</f>
        <v>11.09</v>
      </c>
      <c r="H29" s="284">
        <f>TRUNC(E29*G29,2)</f>
        <v>3830.48</v>
      </c>
      <c r="I29" s="399"/>
      <c r="J29" s="10"/>
      <c r="K29" s="225"/>
      <c r="L29" s="11"/>
      <c r="M29" s="2">
        <f t="shared" si="0"/>
        <v>0</v>
      </c>
      <c r="N29" s="15"/>
      <c r="O29" s="2"/>
      <c r="P29" s="487">
        <v>345.4</v>
      </c>
      <c r="Q29" s="487">
        <v>8.92</v>
      </c>
      <c r="R29" s="16">
        <v>11.23</v>
      </c>
      <c r="S29" s="16">
        <v>3878.84</v>
      </c>
    </row>
    <row r="30" spans="1:21" s="13" customFormat="1" x14ac:dyDescent="0.25">
      <c r="A30" s="302"/>
      <c r="B30" s="280"/>
      <c r="C30" s="281"/>
      <c r="D30" s="282"/>
      <c r="E30" s="281"/>
      <c r="F30" s="283"/>
      <c r="G30" s="284"/>
      <c r="H30" s="284"/>
      <c r="I30" s="399"/>
      <c r="J30" s="10"/>
      <c r="K30" s="225"/>
      <c r="L30" s="11"/>
      <c r="M30" s="2">
        <f t="shared" si="0"/>
        <v>0</v>
      </c>
      <c r="N30" s="14"/>
      <c r="O30" s="2"/>
      <c r="P30" s="3"/>
      <c r="Q30" s="12"/>
    </row>
    <row r="31" spans="1:21" s="23" customFormat="1" x14ac:dyDescent="0.25">
      <c r="A31" s="554" t="s">
        <v>2676</v>
      </c>
      <c r="B31" s="551"/>
      <c r="C31" s="555"/>
      <c r="D31" s="558"/>
      <c r="E31" s="555"/>
      <c r="F31" s="556"/>
      <c r="G31" s="296" t="s">
        <v>19</v>
      </c>
      <c r="H31" s="557"/>
      <c r="I31" s="400">
        <f>SUM(I32:I140)</f>
        <v>162963.21</v>
      </c>
      <c r="J31" s="17"/>
      <c r="K31" s="227"/>
      <c r="L31" s="18"/>
      <c r="M31" s="2">
        <f t="shared" si="0"/>
        <v>162963.21</v>
      </c>
      <c r="N31" s="20"/>
      <c r="O31" s="19"/>
      <c r="P31" s="21"/>
      <c r="Q31" s="19"/>
      <c r="R31" s="22"/>
    </row>
    <row r="32" spans="1:21" s="23" customFormat="1" outlineLevel="1" x14ac:dyDescent="0.25">
      <c r="A32" s="550" t="s">
        <v>20</v>
      </c>
      <c r="B32" s="279"/>
      <c r="C32" s="294" t="s">
        <v>37</v>
      </c>
      <c r="D32" s="558"/>
      <c r="E32" s="294"/>
      <c r="F32" s="403"/>
      <c r="G32" s="296" t="s">
        <v>38</v>
      </c>
      <c r="H32" s="558"/>
      <c r="I32" s="559">
        <f>SUM(H33:H41)</f>
        <v>1968.72</v>
      </c>
      <c r="J32" s="17"/>
      <c r="K32" s="227"/>
      <c r="L32" s="317">
        <f>SUM(H33:H41)</f>
        <v>1968.72</v>
      </c>
      <c r="M32" s="2">
        <f t="shared" si="0"/>
        <v>0</v>
      </c>
      <c r="N32" s="20"/>
      <c r="O32" s="19"/>
      <c r="P32" s="21"/>
      <c r="Q32" s="19"/>
      <c r="R32" s="22"/>
    </row>
    <row r="33" spans="1:22" s="23" customFormat="1" outlineLevel="1" x14ac:dyDescent="0.25">
      <c r="A33" s="282" t="s">
        <v>22</v>
      </c>
      <c r="B33" s="286" t="s">
        <v>39</v>
      </c>
      <c r="C33" s="288" t="s">
        <v>40</v>
      </c>
      <c r="D33" s="282" t="s">
        <v>41</v>
      </c>
      <c r="E33" s="285">
        <v>4</v>
      </c>
      <c r="F33" s="283">
        <f>'COMPOSIÇÃO SINAPI W MENDES'!G311</f>
        <v>209.74</v>
      </c>
      <c r="G33" s="284">
        <f t="shared" ref="G33:G41" si="3">TRUNC(F33*$J$13,2)</f>
        <v>260.89</v>
      </c>
      <c r="H33" s="284">
        <f t="shared" ref="H33:H41" si="4">TRUNC(E33*G33,2)</f>
        <v>1043.56</v>
      </c>
      <c r="I33" s="400"/>
      <c r="J33" s="17"/>
      <c r="K33" s="227"/>
      <c r="L33" s="18"/>
      <c r="M33" s="2">
        <f t="shared" si="0"/>
        <v>0</v>
      </c>
      <c r="N33" s="20"/>
      <c r="O33" s="19"/>
      <c r="P33" s="488">
        <v>4</v>
      </c>
      <c r="Q33" s="41">
        <v>216.762</v>
      </c>
      <c r="R33" s="489">
        <v>273.12</v>
      </c>
      <c r="S33" s="490">
        <v>1092.48</v>
      </c>
    </row>
    <row r="34" spans="1:22" s="23" customFormat="1" outlineLevel="1" x14ac:dyDescent="0.25">
      <c r="A34" s="282" t="s">
        <v>25</v>
      </c>
      <c r="B34" s="286">
        <v>97633</v>
      </c>
      <c r="C34" s="281" t="s">
        <v>42</v>
      </c>
      <c r="D34" s="287" t="s">
        <v>24</v>
      </c>
      <c r="E34" s="285">
        <v>18</v>
      </c>
      <c r="F34" s="283">
        <v>14.85</v>
      </c>
      <c r="G34" s="284">
        <f t="shared" si="3"/>
        <v>18.47</v>
      </c>
      <c r="H34" s="284">
        <f t="shared" si="4"/>
        <v>332.46</v>
      </c>
      <c r="I34" s="400"/>
      <c r="J34" s="17"/>
      <c r="K34" s="227"/>
      <c r="L34" s="18"/>
      <c r="M34" s="2">
        <f t="shared" si="0"/>
        <v>0</v>
      </c>
      <c r="N34" s="20"/>
      <c r="O34" s="19"/>
      <c r="P34" s="488">
        <v>18</v>
      </c>
      <c r="Q34" s="41">
        <v>14.85</v>
      </c>
      <c r="R34" s="489">
        <v>18.71</v>
      </c>
      <c r="S34" s="490">
        <v>336.78</v>
      </c>
    </row>
    <row r="35" spans="1:22" s="23" customFormat="1" outlineLevel="1" x14ac:dyDescent="0.25">
      <c r="A35" s="282" t="s">
        <v>56</v>
      </c>
      <c r="B35" s="286">
        <v>97644</v>
      </c>
      <c r="C35" s="288" t="s">
        <v>43</v>
      </c>
      <c r="D35" s="287" t="s">
        <v>44</v>
      </c>
      <c r="E35" s="285">
        <v>13</v>
      </c>
      <c r="F35" s="283">
        <v>6.04</v>
      </c>
      <c r="G35" s="284">
        <f t="shared" si="3"/>
        <v>7.51</v>
      </c>
      <c r="H35" s="284">
        <f t="shared" si="4"/>
        <v>97.63</v>
      </c>
      <c r="I35" s="400"/>
      <c r="J35" s="17"/>
      <c r="K35" s="227"/>
      <c r="L35" s="18"/>
      <c r="M35" s="2">
        <f t="shared" si="0"/>
        <v>0</v>
      </c>
      <c r="N35" s="20"/>
      <c r="O35" s="19"/>
      <c r="P35" s="488">
        <v>13</v>
      </c>
      <c r="Q35" s="41">
        <v>6.04</v>
      </c>
      <c r="R35" s="489">
        <v>7.61</v>
      </c>
      <c r="S35" s="490">
        <v>98.93</v>
      </c>
    </row>
    <row r="36" spans="1:22" s="23" customFormat="1" outlineLevel="1" x14ac:dyDescent="0.25">
      <c r="A36" s="282" t="s">
        <v>216</v>
      </c>
      <c r="B36" s="286">
        <v>97663</v>
      </c>
      <c r="C36" s="288" t="s">
        <v>45</v>
      </c>
      <c r="D36" s="287" t="s">
        <v>44</v>
      </c>
      <c r="E36" s="285">
        <v>6</v>
      </c>
      <c r="F36" s="283">
        <v>8.07</v>
      </c>
      <c r="G36" s="284">
        <f t="shared" si="3"/>
        <v>10.029999999999999</v>
      </c>
      <c r="H36" s="284">
        <f t="shared" si="4"/>
        <v>60.18</v>
      </c>
      <c r="I36" s="400"/>
      <c r="J36" s="17"/>
      <c r="K36" s="227"/>
      <c r="L36" s="18"/>
      <c r="M36" s="2">
        <f t="shared" si="0"/>
        <v>0</v>
      </c>
      <c r="N36" s="20"/>
      <c r="O36" s="19"/>
      <c r="P36" s="488">
        <v>6</v>
      </c>
      <c r="Q36" s="41">
        <v>8.07</v>
      </c>
      <c r="R36" s="489">
        <v>10.16</v>
      </c>
      <c r="S36" s="490">
        <v>60.96</v>
      </c>
    </row>
    <row r="37" spans="1:22" s="23" customFormat="1" outlineLevel="1" x14ac:dyDescent="0.25">
      <c r="A37" s="282" t="s">
        <v>217</v>
      </c>
      <c r="B37" s="286">
        <v>97666</v>
      </c>
      <c r="C37" s="281" t="s">
        <v>46</v>
      </c>
      <c r="D37" s="287" t="s">
        <v>44</v>
      </c>
      <c r="E37" s="285">
        <v>6</v>
      </c>
      <c r="F37" s="283">
        <v>5.88</v>
      </c>
      <c r="G37" s="284">
        <f t="shared" si="3"/>
        <v>7.31</v>
      </c>
      <c r="H37" s="284">
        <f t="shared" si="4"/>
        <v>43.86</v>
      </c>
      <c r="I37" s="400"/>
      <c r="J37" s="17"/>
      <c r="K37" s="227"/>
      <c r="L37" s="18"/>
      <c r="M37" s="2">
        <f t="shared" si="0"/>
        <v>0</v>
      </c>
      <c r="N37" s="20"/>
      <c r="O37" s="19"/>
      <c r="P37" s="488">
        <v>6</v>
      </c>
      <c r="Q37" s="41">
        <v>5.88</v>
      </c>
      <c r="R37" s="489">
        <v>7.4</v>
      </c>
      <c r="S37" s="490">
        <v>44.4</v>
      </c>
    </row>
    <row r="38" spans="1:22" s="23" customFormat="1" outlineLevel="1" x14ac:dyDescent="0.25">
      <c r="A38" s="282" t="s">
        <v>218</v>
      </c>
      <c r="B38" s="280">
        <v>97622</v>
      </c>
      <c r="C38" s="281" t="s">
        <v>47</v>
      </c>
      <c r="D38" s="282" t="s">
        <v>41</v>
      </c>
      <c r="E38" s="285">
        <v>1.5</v>
      </c>
      <c r="F38" s="283">
        <v>37.39</v>
      </c>
      <c r="G38" s="284">
        <f t="shared" si="3"/>
        <v>46.5</v>
      </c>
      <c r="H38" s="284">
        <f t="shared" si="4"/>
        <v>69.75</v>
      </c>
      <c r="I38" s="400"/>
      <c r="J38" s="17"/>
      <c r="K38" s="227"/>
      <c r="L38" s="18"/>
      <c r="M38" s="2">
        <f t="shared" si="0"/>
        <v>0</v>
      </c>
      <c r="N38" s="20"/>
      <c r="O38" s="19"/>
      <c r="P38" s="488">
        <v>1.5</v>
      </c>
      <c r="Q38" s="41">
        <v>37.39</v>
      </c>
      <c r="R38" s="489">
        <v>47.11</v>
      </c>
      <c r="S38" s="490">
        <v>70.66</v>
      </c>
    </row>
    <row r="39" spans="1:22" s="23" customFormat="1" outlineLevel="1" x14ac:dyDescent="0.25">
      <c r="A39" s="282" t="s">
        <v>219</v>
      </c>
      <c r="B39" s="286" t="s">
        <v>795</v>
      </c>
      <c r="C39" s="281" t="s">
        <v>796</v>
      </c>
      <c r="D39" s="282" t="s">
        <v>24</v>
      </c>
      <c r="E39" s="285">
        <v>6</v>
      </c>
      <c r="F39" s="283">
        <f>'COMPOSIÇÃO SINAPI W MENDES'!G341</f>
        <v>22.59</v>
      </c>
      <c r="G39" s="284">
        <f t="shared" ref="G39" si="5">TRUNC(F39*$J$13,2)</f>
        <v>28.09</v>
      </c>
      <c r="H39" s="284">
        <f t="shared" ref="H39" si="6">TRUNC(E39*G39,2)</f>
        <v>168.54</v>
      </c>
      <c r="I39" s="400"/>
      <c r="J39" s="17"/>
      <c r="K39" s="227"/>
      <c r="L39" s="18"/>
      <c r="M39" s="2">
        <f t="shared" si="0"/>
        <v>0</v>
      </c>
      <c r="N39" s="20"/>
      <c r="O39" s="19"/>
      <c r="P39" s="488">
        <v>6</v>
      </c>
      <c r="Q39" s="41">
        <v>23.32</v>
      </c>
      <c r="R39" s="489">
        <v>29.38</v>
      </c>
      <c r="S39" s="490">
        <v>176.28</v>
      </c>
    </row>
    <row r="40" spans="1:22" s="23" customFormat="1" outlineLevel="1" x14ac:dyDescent="0.25">
      <c r="A40" s="282" t="s">
        <v>220</v>
      </c>
      <c r="B40" s="286" t="s">
        <v>48</v>
      </c>
      <c r="C40" s="288" t="s">
        <v>49</v>
      </c>
      <c r="D40" s="287" t="s">
        <v>24</v>
      </c>
      <c r="E40" s="285">
        <v>2</v>
      </c>
      <c r="F40" s="283">
        <f>'COMPOSIÇÃO SINAPI W MENDES'!G346</f>
        <v>16.200000000000003</v>
      </c>
      <c r="G40" s="284">
        <f t="shared" si="3"/>
        <v>20.149999999999999</v>
      </c>
      <c r="H40" s="284">
        <f t="shared" si="4"/>
        <v>40.299999999999997</v>
      </c>
      <c r="I40" s="400"/>
      <c r="J40" s="17"/>
      <c r="K40" s="227"/>
      <c r="L40" s="18"/>
      <c r="M40" s="2">
        <f t="shared" si="0"/>
        <v>0</v>
      </c>
      <c r="N40" s="20"/>
      <c r="O40" s="19"/>
      <c r="P40" s="488">
        <v>2</v>
      </c>
      <c r="Q40" s="41">
        <v>16.424099999999999</v>
      </c>
      <c r="R40" s="489">
        <v>20.69</v>
      </c>
      <c r="S40" s="490">
        <v>41.38</v>
      </c>
    </row>
    <row r="41" spans="1:22" s="23" customFormat="1" outlineLevel="1" x14ac:dyDescent="0.25">
      <c r="A41" s="282" t="s">
        <v>797</v>
      </c>
      <c r="B41" s="286">
        <v>72178</v>
      </c>
      <c r="C41" s="288" t="s">
        <v>50</v>
      </c>
      <c r="D41" s="282" t="s">
        <v>24</v>
      </c>
      <c r="E41" s="285">
        <v>4</v>
      </c>
      <c r="F41" s="283">
        <v>22.6</v>
      </c>
      <c r="G41" s="284">
        <f t="shared" si="3"/>
        <v>28.11</v>
      </c>
      <c r="H41" s="284">
        <f t="shared" si="4"/>
        <v>112.44</v>
      </c>
      <c r="I41" s="400"/>
      <c r="J41" s="17"/>
      <c r="K41" s="227"/>
      <c r="L41" s="18"/>
      <c r="M41" s="2">
        <f t="shared" si="0"/>
        <v>0</v>
      </c>
      <c r="N41" s="20"/>
      <c r="O41" s="19"/>
      <c r="P41" s="488">
        <v>4</v>
      </c>
      <c r="Q41" s="41">
        <v>22.6</v>
      </c>
      <c r="R41" s="489">
        <v>28.47</v>
      </c>
      <c r="S41" s="490">
        <v>113.88</v>
      </c>
    </row>
    <row r="42" spans="1:22" s="13" customFormat="1" outlineLevel="1" x14ac:dyDescent="0.25">
      <c r="A42" s="279" t="s">
        <v>60</v>
      </c>
      <c r="B42" s="279"/>
      <c r="C42" s="294" t="s">
        <v>51</v>
      </c>
      <c r="D42" s="558"/>
      <c r="E42" s="294"/>
      <c r="F42" s="403"/>
      <c r="G42" s="296" t="s">
        <v>38</v>
      </c>
      <c r="H42" s="558"/>
      <c r="I42" s="559">
        <f>SUM(H43:H47)</f>
        <v>24546.799999999999</v>
      </c>
      <c r="J42" s="24"/>
      <c r="K42" s="197"/>
      <c r="L42" s="317">
        <f>SUM(H44:H47)</f>
        <v>24546.799999999999</v>
      </c>
      <c r="M42" s="2">
        <f t="shared" si="0"/>
        <v>0</v>
      </c>
      <c r="N42" s="14"/>
      <c r="O42" s="2"/>
      <c r="P42" s="3"/>
      <c r="Q42" s="12"/>
      <c r="R42" s="4"/>
    </row>
    <row r="43" spans="1:22" s="13" customFormat="1" outlineLevel="1" x14ac:dyDescent="0.25">
      <c r="A43" s="279" t="s">
        <v>64</v>
      </c>
      <c r="B43" s="280"/>
      <c r="C43" s="560" t="s">
        <v>52</v>
      </c>
      <c r="D43" s="282"/>
      <c r="E43" s="288"/>
      <c r="F43" s="297"/>
      <c r="G43" s="288"/>
      <c r="H43" s="298"/>
      <c r="I43" s="312"/>
      <c r="J43" s="24"/>
      <c r="K43" s="197"/>
      <c r="L43" s="7"/>
      <c r="M43" s="2">
        <f t="shared" si="0"/>
        <v>0</v>
      </c>
      <c r="N43" s="14"/>
      <c r="O43" s="2"/>
      <c r="P43" s="3"/>
      <c r="Q43" s="12"/>
      <c r="R43" s="4"/>
    </row>
    <row r="44" spans="1:22" s="13" customFormat="1" ht="46.8" outlineLevel="1" x14ac:dyDescent="0.25">
      <c r="A44" s="279" t="s">
        <v>69</v>
      </c>
      <c r="B44" s="280">
        <v>90843</v>
      </c>
      <c r="C44" s="281" t="s">
        <v>53</v>
      </c>
      <c r="D44" s="282" t="s">
        <v>44</v>
      </c>
      <c r="E44" s="285">
        <v>16</v>
      </c>
      <c r="F44" s="283">
        <f>'COMPOSIÇÃO SINAPI W MENDES'!G359</f>
        <v>640</v>
      </c>
      <c r="G44" s="284">
        <f>TRUNC(F44*$J$13,2)</f>
        <v>796.09</v>
      </c>
      <c r="H44" s="284">
        <f>TRUNC(E44*G44,2)</f>
        <v>12737.44</v>
      </c>
      <c r="I44" s="312"/>
      <c r="J44" s="24"/>
      <c r="K44" s="197">
        <v>20</v>
      </c>
      <c r="L44" s="7"/>
      <c r="M44" s="2"/>
      <c r="N44" s="14"/>
      <c r="O44" s="2"/>
      <c r="P44" s="3"/>
      <c r="Q44" s="12"/>
      <c r="R44" s="4"/>
      <c r="S44" s="243">
        <v>16</v>
      </c>
      <c r="T44" s="243">
        <v>742.69</v>
      </c>
      <c r="U44" s="243">
        <v>935.78</v>
      </c>
      <c r="V44" s="243">
        <v>14972.48</v>
      </c>
    </row>
    <row r="45" spans="1:22" s="13" customFormat="1" outlineLevel="1" x14ac:dyDescent="0.25">
      <c r="A45" s="279" t="s">
        <v>72</v>
      </c>
      <c r="B45" s="280">
        <v>97622</v>
      </c>
      <c r="C45" s="281" t="s">
        <v>47</v>
      </c>
      <c r="D45" s="282" t="s">
        <v>41</v>
      </c>
      <c r="E45" s="285">
        <f>13*0.2*0.2</f>
        <v>0.52</v>
      </c>
      <c r="F45" s="283">
        <v>37.39</v>
      </c>
      <c r="G45" s="284">
        <f>TRUNC(F45*$J$13,2)</f>
        <v>46.5</v>
      </c>
      <c r="H45" s="284">
        <f>TRUNC(E45*G45,2)</f>
        <v>24.18</v>
      </c>
      <c r="I45" s="312"/>
      <c r="J45" s="24"/>
      <c r="K45" s="197"/>
      <c r="L45" s="7"/>
      <c r="M45" s="2"/>
      <c r="N45" s="14"/>
      <c r="O45" s="2"/>
      <c r="P45" s="3"/>
      <c r="Q45" s="12"/>
      <c r="R45" s="4"/>
      <c r="S45" s="243">
        <v>0.52149999999999996</v>
      </c>
      <c r="T45" s="243">
        <v>37.39</v>
      </c>
      <c r="U45" s="243">
        <v>47.11</v>
      </c>
      <c r="V45" s="243">
        <v>24.56</v>
      </c>
    </row>
    <row r="46" spans="1:22" s="13" customFormat="1" outlineLevel="1" x14ac:dyDescent="0.25">
      <c r="A46" s="279" t="s">
        <v>671</v>
      </c>
      <c r="B46" s="280">
        <v>93184</v>
      </c>
      <c r="C46" s="281" t="s">
        <v>54</v>
      </c>
      <c r="D46" s="282" t="s">
        <v>55</v>
      </c>
      <c r="E46" s="285">
        <f>13*1.5</f>
        <v>19.5</v>
      </c>
      <c r="F46" s="283">
        <v>16.78</v>
      </c>
      <c r="G46" s="284">
        <f>TRUNC(F46*$J$13,2)</f>
        <v>20.87</v>
      </c>
      <c r="H46" s="284">
        <f>TRUNC(E46*G46,2)</f>
        <v>406.96</v>
      </c>
      <c r="I46" s="312"/>
      <c r="J46" s="24"/>
      <c r="K46" s="197"/>
      <c r="L46" s="7"/>
      <c r="M46" s="2"/>
      <c r="N46" s="14"/>
      <c r="O46" s="2"/>
      <c r="P46" s="3"/>
      <c r="Q46" s="12"/>
      <c r="R46" s="4"/>
      <c r="S46" s="243">
        <v>19.5</v>
      </c>
      <c r="T46" s="243">
        <v>16.78</v>
      </c>
      <c r="U46" s="243">
        <v>21.14</v>
      </c>
      <c r="V46" s="243">
        <v>412.23</v>
      </c>
    </row>
    <row r="47" spans="1:22" s="31" customFormat="1" ht="31.2" outlineLevel="1" x14ac:dyDescent="0.25">
      <c r="A47" s="279" t="s">
        <v>672</v>
      </c>
      <c r="B47" s="280">
        <v>91338</v>
      </c>
      <c r="C47" s="281" t="s">
        <v>57</v>
      </c>
      <c r="D47" s="282" t="s">
        <v>24</v>
      </c>
      <c r="E47" s="285">
        <f>M47</f>
        <v>10.5</v>
      </c>
      <c r="F47" s="283">
        <f>'COMPOSIÇÃO SINAPI W MENDES'!G384</f>
        <v>871.17000000000007</v>
      </c>
      <c r="G47" s="284">
        <f>TRUNC(F47*$J$13,2)</f>
        <v>1083.6400000000001</v>
      </c>
      <c r="H47" s="284">
        <f>TRUNC(E47*G47,2)</f>
        <v>11378.22</v>
      </c>
      <c r="I47" s="312"/>
      <c r="J47" s="25"/>
      <c r="K47" s="228" t="s">
        <v>58</v>
      </c>
      <c r="L47" s="26"/>
      <c r="M47" s="27">
        <f>(0.8*2.1)+(0.7*2.1*6)</f>
        <v>10.5</v>
      </c>
      <c r="N47" s="14"/>
      <c r="O47" s="27"/>
      <c r="P47" s="28" t="s">
        <v>59</v>
      </c>
      <c r="Q47" s="29"/>
      <c r="R47" s="30"/>
      <c r="S47" s="491">
        <v>10.5</v>
      </c>
      <c r="T47" s="491">
        <v>975.13</v>
      </c>
      <c r="U47" s="491">
        <v>1228.6600000000001</v>
      </c>
      <c r="V47" s="491">
        <v>12900.93</v>
      </c>
    </row>
    <row r="48" spans="1:22" s="13" customFormat="1" outlineLevel="1" x14ac:dyDescent="0.25">
      <c r="A48" s="279" t="s">
        <v>74</v>
      </c>
      <c r="B48" s="279"/>
      <c r="C48" s="294" t="s">
        <v>61</v>
      </c>
      <c r="D48" s="558"/>
      <c r="E48" s="294"/>
      <c r="F48" s="403"/>
      <c r="G48" s="296" t="s">
        <v>38</v>
      </c>
      <c r="H48" s="558"/>
      <c r="I48" s="559">
        <f>SUM(H49:H53)</f>
        <v>7948.76</v>
      </c>
      <c r="J48" s="24"/>
      <c r="K48" s="197"/>
      <c r="L48" s="317">
        <f>SUM(H49:H53)</f>
        <v>7948.76</v>
      </c>
      <c r="M48" s="2">
        <f>I48-L48</f>
        <v>0</v>
      </c>
      <c r="N48" s="14"/>
      <c r="O48" s="2"/>
      <c r="P48" s="3"/>
      <c r="Q48" s="12"/>
      <c r="R48" s="4"/>
    </row>
    <row r="49" spans="1:22" s="13" customFormat="1" outlineLevel="1" x14ac:dyDescent="0.25">
      <c r="A49" s="279" t="s">
        <v>77</v>
      </c>
      <c r="B49" s="280">
        <v>72897</v>
      </c>
      <c r="C49" s="281" t="s">
        <v>62</v>
      </c>
      <c r="D49" s="282" t="s">
        <v>41</v>
      </c>
      <c r="E49" s="285">
        <v>4.5</v>
      </c>
      <c r="F49" s="283">
        <v>17.23</v>
      </c>
      <c r="G49" s="284">
        <f>TRUNC(F49*$J$13,2)</f>
        <v>21.43</v>
      </c>
      <c r="H49" s="284">
        <f>TRUNC(E49*G49,2)</f>
        <v>96.43</v>
      </c>
      <c r="I49" s="312"/>
      <c r="J49" s="24"/>
      <c r="K49" s="197"/>
      <c r="L49" s="7"/>
      <c r="M49" s="2"/>
      <c r="N49" s="14"/>
      <c r="O49" s="2"/>
      <c r="P49" s="3"/>
      <c r="Q49" s="12"/>
      <c r="R49" s="4"/>
      <c r="S49" s="243">
        <v>4.5</v>
      </c>
      <c r="T49" s="243">
        <v>17.23</v>
      </c>
      <c r="U49" s="243">
        <v>21.7</v>
      </c>
      <c r="V49" s="243">
        <v>97.65</v>
      </c>
    </row>
    <row r="50" spans="1:22" s="13" customFormat="1" outlineLevel="1" x14ac:dyDescent="0.25">
      <c r="A50" s="279" t="s">
        <v>83</v>
      </c>
      <c r="B50" s="280">
        <v>97622</v>
      </c>
      <c r="C50" s="281" t="s">
        <v>63</v>
      </c>
      <c r="D50" s="282" t="s">
        <v>41</v>
      </c>
      <c r="E50" s="285">
        <v>3.52</v>
      </c>
      <c r="F50" s="283">
        <v>37.39</v>
      </c>
      <c r="G50" s="284">
        <f>TRUNC(F50*$J$13,2)</f>
        <v>46.5</v>
      </c>
      <c r="H50" s="284">
        <f>TRUNC(E50*G50,2)</f>
        <v>163.68</v>
      </c>
      <c r="I50" s="312"/>
      <c r="J50" s="24"/>
      <c r="K50" s="197"/>
      <c r="L50" s="7"/>
      <c r="M50" s="2"/>
      <c r="N50" s="14"/>
      <c r="O50" s="2"/>
      <c r="P50" s="3"/>
      <c r="Q50" s="12"/>
      <c r="R50" s="4"/>
      <c r="S50" s="243">
        <v>3.52</v>
      </c>
      <c r="T50" s="243">
        <v>37.39</v>
      </c>
      <c r="U50" s="243">
        <v>47.11</v>
      </c>
      <c r="V50" s="243">
        <v>165.82</v>
      </c>
    </row>
    <row r="51" spans="1:22" s="31" customFormat="1" ht="31.2" outlineLevel="1" x14ac:dyDescent="0.25">
      <c r="A51" s="279" t="s">
        <v>322</v>
      </c>
      <c r="B51" s="280">
        <v>87266</v>
      </c>
      <c r="C51" s="281" t="s">
        <v>65</v>
      </c>
      <c r="D51" s="282" t="s">
        <v>24</v>
      </c>
      <c r="E51" s="285">
        <f>M51</f>
        <v>88</v>
      </c>
      <c r="F51" s="283">
        <f>'COMPOSIÇÃO SINAPI W MENDES'!G403</f>
        <v>32.790000000000006</v>
      </c>
      <c r="G51" s="284">
        <f>TRUNC(F51*$J$13,2)</f>
        <v>40.78</v>
      </c>
      <c r="H51" s="284">
        <f>TRUNC(E51*G51,2)</f>
        <v>3588.64</v>
      </c>
      <c r="I51" s="312"/>
      <c r="J51" s="277"/>
      <c r="K51" s="229" t="s">
        <v>66</v>
      </c>
      <c r="L51" s="25" t="s">
        <v>67</v>
      </c>
      <c r="M51" s="27">
        <f>5.5*4*4</f>
        <v>88</v>
      </c>
      <c r="N51" s="14"/>
      <c r="O51" s="27"/>
      <c r="P51" s="28" t="s">
        <v>68</v>
      </c>
      <c r="Q51" s="29"/>
      <c r="R51" s="30"/>
      <c r="S51" s="491">
        <v>88</v>
      </c>
      <c r="T51" s="491">
        <v>43.91</v>
      </c>
      <c r="U51" s="491">
        <v>55.32</v>
      </c>
      <c r="V51" s="491">
        <v>4868.16</v>
      </c>
    </row>
    <row r="52" spans="1:22" s="31" customFormat="1" ht="31.2" outlineLevel="1" x14ac:dyDescent="0.25">
      <c r="A52" s="279" t="s">
        <v>323</v>
      </c>
      <c r="B52" s="280">
        <v>87477</v>
      </c>
      <c r="C52" s="281" t="s">
        <v>70</v>
      </c>
      <c r="D52" s="282" t="s">
        <v>24</v>
      </c>
      <c r="E52" s="285">
        <f>M52</f>
        <v>38.25</v>
      </c>
      <c r="F52" s="283">
        <v>40.9</v>
      </c>
      <c r="G52" s="284">
        <f>TRUNC(F52*$J$13,2)</f>
        <v>50.87</v>
      </c>
      <c r="H52" s="284">
        <f>TRUNC(E52*G52,2)</f>
        <v>1945.77</v>
      </c>
      <c r="I52" s="312"/>
      <c r="J52" s="25"/>
      <c r="K52" s="230" t="s">
        <v>71</v>
      </c>
      <c r="L52" s="25"/>
      <c r="M52" s="27">
        <f>2.55*3*5</f>
        <v>38.25</v>
      </c>
      <c r="N52" s="14"/>
      <c r="O52" s="27"/>
      <c r="P52" s="28"/>
      <c r="Q52" s="29"/>
      <c r="R52" s="30"/>
      <c r="S52" s="491">
        <v>38.25</v>
      </c>
      <c r="T52" s="491">
        <v>40.9</v>
      </c>
      <c r="U52" s="491">
        <v>51.53</v>
      </c>
      <c r="V52" s="491">
        <v>1971.02</v>
      </c>
    </row>
    <row r="53" spans="1:22" s="31" customFormat="1" ht="31.2" outlineLevel="1" x14ac:dyDescent="0.25">
      <c r="A53" s="279" t="s">
        <v>674</v>
      </c>
      <c r="B53" s="280">
        <v>90408</v>
      </c>
      <c r="C53" s="281" t="s">
        <v>73</v>
      </c>
      <c r="D53" s="282" t="s">
        <v>24</v>
      </c>
      <c r="E53" s="285">
        <f>M53</f>
        <v>76.5</v>
      </c>
      <c r="F53" s="283">
        <v>22.64</v>
      </c>
      <c r="G53" s="284">
        <f>TRUNC(F53*$J$13,2)</f>
        <v>28.16</v>
      </c>
      <c r="H53" s="284">
        <f>TRUNC(E53*G53,2)</f>
        <v>2154.2399999999998</v>
      </c>
      <c r="I53" s="312"/>
      <c r="J53" s="25"/>
      <c r="K53" s="230"/>
      <c r="L53" s="25"/>
      <c r="M53" s="27">
        <f>M52*2</f>
        <v>76.5</v>
      </c>
      <c r="N53" s="14"/>
      <c r="O53" s="27"/>
      <c r="P53" s="28"/>
      <c r="Q53" s="29"/>
      <c r="R53" s="30"/>
      <c r="S53" s="491">
        <v>76.5</v>
      </c>
      <c r="T53" s="491">
        <v>22.64</v>
      </c>
      <c r="U53" s="491">
        <v>28.52</v>
      </c>
      <c r="V53" s="491">
        <v>2181.7800000000002</v>
      </c>
    </row>
    <row r="54" spans="1:22" s="13" customFormat="1" outlineLevel="1" x14ac:dyDescent="0.25">
      <c r="A54" s="279" t="s">
        <v>85</v>
      </c>
      <c r="B54" s="279"/>
      <c r="C54" s="294" t="s">
        <v>75</v>
      </c>
      <c r="D54" s="558"/>
      <c r="E54" s="294"/>
      <c r="F54" s="403"/>
      <c r="G54" s="296" t="s">
        <v>38</v>
      </c>
      <c r="H54" s="558"/>
      <c r="I54" s="559">
        <f>SUM(H55:H59)</f>
        <v>13549.34</v>
      </c>
      <c r="J54" s="24"/>
      <c r="K54" s="197"/>
      <c r="L54" s="317">
        <f>SUM(H55:H59)</f>
        <v>13549.34</v>
      </c>
      <c r="M54" s="2">
        <f>I54-L54</f>
        <v>0</v>
      </c>
      <c r="N54" s="14"/>
      <c r="O54" s="2"/>
      <c r="P54" s="3"/>
      <c r="Q54" s="12"/>
      <c r="R54" s="4"/>
    </row>
    <row r="55" spans="1:22" s="13" customFormat="1" outlineLevel="1" x14ac:dyDescent="0.25">
      <c r="A55" s="282" t="s">
        <v>87</v>
      </c>
      <c r="B55" s="280">
        <v>97628</v>
      </c>
      <c r="C55" s="281" t="s">
        <v>76</v>
      </c>
      <c r="D55" s="282" t="s">
        <v>41</v>
      </c>
      <c r="E55" s="285">
        <f>27*0.06</f>
        <v>1.6199999999999999</v>
      </c>
      <c r="F55" s="283">
        <v>184.82</v>
      </c>
      <c r="G55" s="284">
        <f>TRUNC(F55*$J$13,2)</f>
        <v>229.89</v>
      </c>
      <c r="H55" s="284">
        <f>TRUNC(E55*G55,2)</f>
        <v>372.42</v>
      </c>
      <c r="I55" s="312"/>
      <c r="J55" s="24"/>
      <c r="K55" s="197"/>
      <c r="L55" s="7"/>
      <c r="M55" s="2"/>
      <c r="N55" s="14"/>
      <c r="O55" s="2"/>
      <c r="P55" s="3"/>
      <c r="Q55" s="12"/>
      <c r="R55" s="4"/>
      <c r="S55" s="243">
        <v>1.6199999999999999</v>
      </c>
      <c r="T55" s="243">
        <v>184.82</v>
      </c>
      <c r="U55" s="243">
        <v>232.87</v>
      </c>
      <c r="V55" s="243">
        <v>377.24</v>
      </c>
    </row>
    <row r="56" spans="1:22" s="31" customFormat="1" ht="31.2" outlineLevel="1" x14ac:dyDescent="0.25">
      <c r="A56" s="282" t="s">
        <v>90</v>
      </c>
      <c r="B56" s="280">
        <v>94993</v>
      </c>
      <c r="C56" s="281" t="s">
        <v>78</v>
      </c>
      <c r="D56" s="282" t="s">
        <v>24</v>
      </c>
      <c r="E56" s="285">
        <f>M56</f>
        <v>26.171999999999997</v>
      </c>
      <c r="F56" s="283">
        <v>62.94</v>
      </c>
      <c r="G56" s="284">
        <f>TRUNC(F56*$J$13,2)</f>
        <v>78.290000000000006</v>
      </c>
      <c r="H56" s="284">
        <f>TRUNC(E56*G56,2)</f>
        <v>2049</v>
      </c>
      <c r="I56" s="312"/>
      <c r="J56" s="25"/>
      <c r="K56" s="228" t="s">
        <v>79</v>
      </c>
      <c r="L56" s="26"/>
      <c r="M56" s="27">
        <f>0.6*21.81*2</f>
        <v>26.171999999999997</v>
      </c>
      <c r="N56" s="14"/>
      <c r="O56" s="27"/>
      <c r="P56" s="28" t="s">
        <v>80</v>
      </c>
      <c r="Q56" s="29"/>
      <c r="R56" s="30"/>
      <c r="S56" s="491">
        <v>26.171999999999997</v>
      </c>
      <c r="T56" s="491">
        <v>62.94</v>
      </c>
      <c r="U56" s="491">
        <v>79.3</v>
      </c>
      <c r="V56" s="491">
        <v>2075.4299999999998</v>
      </c>
    </row>
    <row r="57" spans="1:22" s="31" customFormat="1" ht="31.2" outlineLevel="1" x14ac:dyDescent="0.25">
      <c r="A57" s="282" t="s">
        <v>93</v>
      </c>
      <c r="B57" s="280">
        <v>90914</v>
      </c>
      <c r="C57" s="281" t="s">
        <v>81</v>
      </c>
      <c r="D57" s="282" t="s">
        <v>24</v>
      </c>
      <c r="E57" s="285">
        <v>33.92</v>
      </c>
      <c r="F57" s="283">
        <v>149.05000000000001</v>
      </c>
      <c r="G57" s="284">
        <f>TRUNC(F57*$J$13,2)</f>
        <v>185.4</v>
      </c>
      <c r="H57" s="284">
        <f>TRUNC(E57*G57,2)</f>
        <v>6288.76</v>
      </c>
      <c r="I57" s="312"/>
      <c r="J57" s="25"/>
      <c r="K57" s="228"/>
      <c r="L57" s="26"/>
      <c r="M57" s="27"/>
      <c r="N57" s="14"/>
      <c r="O57" s="27"/>
      <c r="P57" s="28"/>
      <c r="Q57" s="29"/>
      <c r="R57" s="30"/>
      <c r="S57" s="491">
        <v>33.92</v>
      </c>
      <c r="T57" s="491">
        <v>149.05000000000001</v>
      </c>
      <c r="U57" s="491">
        <v>187.8</v>
      </c>
      <c r="V57" s="491">
        <v>6370.17</v>
      </c>
    </row>
    <row r="58" spans="1:22" s="31" customFormat="1" outlineLevel="1" x14ac:dyDescent="0.25">
      <c r="A58" s="282" t="s">
        <v>226</v>
      </c>
      <c r="B58" s="280">
        <v>84191</v>
      </c>
      <c r="C58" s="281" t="s">
        <v>82</v>
      </c>
      <c r="D58" s="282" t="s">
        <v>24</v>
      </c>
      <c r="E58" s="285">
        <v>12</v>
      </c>
      <c r="F58" s="283">
        <f>'COMPOSIÇÃO SINAPI W MENDES'!G450</f>
        <v>91.929999999999993</v>
      </c>
      <c r="G58" s="284">
        <f>TRUNC(F58*$J$13,2)</f>
        <v>114.35</v>
      </c>
      <c r="H58" s="284">
        <f>TRUNC(E58*G58,2)</f>
        <v>1372.2</v>
      </c>
      <c r="I58" s="312"/>
      <c r="J58" s="25"/>
      <c r="K58" s="228"/>
      <c r="L58" s="26"/>
      <c r="M58" s="27"/>
      <c r="N58" s="14"/>
      <c r="O58" s="27"/>
      <c r="P58" s="28"/>
      <c r="Q58" s="29"/>
      <c r="R58" s="30"/>
      <c r="S58" s="491">
        <v>12</v>
      </c>
      <c r="T58" s="491">
        <v>111.14</v>
      </c>
      <c r="U58" s="491">
        <v>140.03</v>
      </c>
      <c r="V58" s="491">
        <v>1680.36</v>
      </c>
    </row>
    <row r="59" spans="1:22" s="38" customFormat="1" ht="31.2" outlineLevel="1" x14ac:dyDescent="0.25">
      <c r="A59" s="282" t="s">
        <v>394</v>
      </c>
      <c r="B59" s="280">
        <v>87262</v>
      </c>
      <c r="C59" s="281" t="s">
        <v>84</v>
      </c>
      <c r="D59" s="282" t="s">
        <v>24</v>
      </c>
      <c r="E59" s="285">
        <f>M59</f>
        <v>33.92</v>
      </c>
      <c r="F59" s="283">
        <f>'COMPOSIÇÃO SINAPI W MENDES'!G1114</f>
        <v>82.17</v>
      </c>
      <c r="G59" s="284">
        <f>TRUNC(F59*$J$13,2)</f>
        <v>102.21</v>
      </c>
      <c r="H59" s="284">
        <f>TRUNC(E59*G59,2)</f>
        <v>3466.96</v>
      </c>
      <c r="I59" s="312"/>
      <c r="J59" s="33"/>
      <c r="K59" s="229" t="s">
        <v>66</v>
      </c>
      <c r="L59" s="34"/>
      <c r="M59" s="35">
        <v>33.92</v>
      </c>
      <c r="N59" s="14"/>
      <c r="O59" s="35"/>
      <c r="P59" s="28" t="s">
        <v>68</v>
      </c>
      <c r="Q59" s="36"/>
      <c r="R59" s="37"/>
      <c r="S59" s="236">
        <v>33.92</v>
      </c>
      <c r="T59" s="236">
        <v>92.82</v>
      </c>
      <c r="U59" s="236">
        <v>116.95</v>
      </c>
      <c r="V59" s="236">
        <v>3966.94</v>
      </c>
    </row>
    <row r="60" spans="1:22" s="13" customFormat="1" outlineLevel="1" x14ac:dyDescent="0.25">
      <c r="A60" s="279" t="s">
        <v>95</v>
      </c>
      <c r="B60" s="279"/>
      <c r="C60" s="294" t="s">
        <v>86</v>
      </c>
      <c r="D60" s="558"/>
      <c r="E60" s="294"/>
      <c r="F60" s="403"/>
      <c r="G60" s="296" t="s">
        <v>38</v>
      </c>
      <c r="H60" s="558"/>
      <c r="I60" s="559">
        <f>SUM(H61:H63)</f>
        <v>4991.58</v>
      </c>
      <c r="J60" s="24"/>
      <c r="K60" s="197"/>
      <c r="L60" s="317">
        <f>SUM(H61:H63)</f>
        <v>4991.58</v>
      </c>
      <c r="M60" s="2">
        <f>I60-L60</f>
        <v>0</v>
      </c>
      <c r="N60" s="14"/>
      <c r="O60" s="2"/>
      <c r="P60" s="3"/>
      <c r="Q60" s="12"/>
      <c r="R60" s="4"/>
    </row>
    <row r="61" spans="1:22" s="31" customFormat="1" outlineLevel="1" x14ac:dyDescent="0.25">
      <c r="A61" s="282" t="s">
        <v>97</v>
      </c>
      <c r="B61" s="280">
        <v>72117</v>
      </c>
      <c r="C61" s="289" t="s">
        <v>88</v>
      </c>
      <c r="D61" s="282" t="s">
        <v>24</v>
      </c>
      <c r="E61" s="285">
        <f>M61</f>
        <v>7.3599999999999994</v>
      </c>
      <c r="F61" s="283">
        <v>159.13</v>
      </c>
      <c r="G61" s="284">
        <f>TRUNC(F61*$J$13,2)</f>
        <v>197.94</v>
      </c>
      <c r="H61" s="284">
        <f>TRUNC(E61*G61,2)</f>
        <v>1456.83</v>
      </c>
      <c r="I61" s="312"/>
      <c r="J61" s="25"/>
      <c r="K61" s="229" t="s">
        <v>89</v>
      </c>
      <c r="L61" s="25"/>
      <c r="M61" s="27">
        <f>36.8*0.2</f>
        <v>7.3599999999999994</v>
      </c>
      <c r="N61" s="14"/>
      <c r="O61" s="27"/>
      <c r="P61" s="28"/>
      <c r="Q61" s="29"/>
      <c r="R61" s="30"/>
      <c r="S61" s="491">
        <v>7.3599999999999994</v>
      </c>
      <c r="T61" s="491">
        <v>159.13</v>
      </c>
      <c r="U61" s="491">
        <v>200.5</v>
      </c>
      <c r="V61" s="491">
        <v>1475.68</v>
      </c>
    </row>
    <row r="62" spans="1:22" s="31" customFormat="1" outlineLevel="1" x14ac:dyDescent="0.25">
      <c r="A62" s="282" t="s">
        <v>100</v>
      </c>
      <c r="B62" s="280">
        <v>84886</v>
      </c>
      <c r="C62" s="289" t="s">
        <v>91</v>
      </c>
      <c r="D62" s="282" t="s">
        <v>92</v>
      </c>
      <c r="E62" s="285">
        <v>2</v>
      </c>
      <c r="F62" s="283">
        <v>1114.46</v>
      </c>
      <c r="G62" s="284">
        <f>TRUNC(F62*$J$13,2)</f>
        <v>1386.27</v>
      </c>
      <c r="H62" s="284">
        <f>TRUNC(E62*G62,2)</f>
        <v>2772.54</v>
      </c>
      <c r="I62" s="312"/>
      <c r="J62" s="25"/>
      <c r="K62" s="229"/>
      <c r="L62" s="25"/>
      <c r="M62" s="27"/>
      <c r="N62" s="14"/>
      <c r="O62" s="27"/>
      <c r="P62" s="28"/>
      <c r="Q62" s="29"/>
      <c r="R62" s="30"/>
      <c r="S62" s="491">
        <v>2</v>
      </c>
      <c r="T62" s="491">
        <v>1139.6199999999999</v>
      </c>
      <c r="U62" s="491">
        <v>1435.92</v>
      </c>
      <c r="V62" s="491">
        <v>2871.84</v>
      </c>
    </row>
    <row r="63" spans="1:22" s="31" customFormat="1" ht="31.2" outlineLevel="1" x14ac:dyDescent="0.25">
      <c r="A63" s="282" t="s">
        <v>103</v>
      </c>
      <c r="B63" s="280">
        <v>84885</v>
      </c>
      <c r="C63" s="281" t="s">
        <v>94</v>
      </c>
      <c r="D63" s="282" t="s">
        <v>44</v>
      </c>
      <c r="E63" s="285">
        <v>1</v>
      </c>
      <c r="F63" s="283">
        <v>612.76</v>
      </c>
      <c r="G63" s="284">
        <f>TRUNC(F63*$J$13,2)</f>
        <v>762.21</v>
      </c>
      <c r="H63" s="284">
        <f>TRUNC(E63*G63,2)</f>
        <v>762.21</v>
      </c>
      <c r="I63" s="312"/>
      <c r="J63" s="25"/>
      <c r="K63" s="229"/>
      <c r="L63" s="25"/>
      <c r="M63" s="27"/>
      <c r="N63" s="14"/>
      <c r="O63" s="27"/>
      <c r="P63" s="28"/>
      <c r="Q63" s="29"/>
      <c r="R63" s="30"/>
      <c r="S63" s="491">
        <v>1</v>
      </c>
      <c r="T63" s="491">
        <v>612.76</v>
      </c>
      <c r="U63" s="491">
        <v>772.07</v>
      </c>
      <c r="V63" s="491">
        <v>772.07</v>
      </c>
    </row>
    <row r="64" spans="1:22" s="13" customFormat="1" outlineLevel="1" x14ac:dyDescent="0.25">
      <c r="A64" s="279" t="s">
        <v>116</v>
      </c>
      <c r="B64" s="279"/>
      <c r="C64" s="294" t="s">
        <v>96</v>
      </c>
      <c r="D64" s="558"/>
      <c r="E64" s="294"/>
      <c r="F64" s="403"/>
      <c r="G64" s="296" t="s">
        <v>38</v>
      </c>
      <c r="H64" s="558"/>
      <c r="I64" s="559">
        <f>SUM(H65:H74)</f>
        <v>25404.27</v>
      </c>
      <c r="J64" s="24"/>
      <c r="K64" s="197"/>
      <c r="L64" s="317">
        <f>SUM(H65:H74)</f>
        <v>25404.27</v>
      </c>
      <c r="M64" s="2">
        <f>I64-L64</f>
        <v>0</v>
      </c>
      <c r="N64" s="14"/>
      <c r="O64" s="2"/>
      <c r="P64" s="3"/>
      <c r="Q64" s="12"/>
      <c r="R64" s="4"/>
    </row>
    <row r="65" spans="1:22" s="39" customFormat="1" outlineLevel="1" x14ac:dyDescent="0.25">
      <c r="A65" s="282" t="s">
        <v>118</v>
      </c>
      <c r="B65" s="280">
        <v>88423</v>
      </c>
      <c r="C65" s="281" t="s">
        <v>98</v>
      </c>
      <c r="D65" s="282" t="s">
        <v>24</v>
      </c>
      <c r="E65" s="290">
        <f>M65</f>
        <v>228.59499999999997</v>
      </c>
      <c r="F65" s="283">
        <v>13.45</v>
      </c>
      <c r="G65" s="284">
        <f>TRUNC(F65*$J$13,2)</f>
        <v>16.73</v>
      </c>
      <c r="H65" s="284">
        <f t="shared" ref="H65:H74" si="7">TRUNC(E65*G65,2)</f>
        <v>3824.39</v>
      </c>
      <c r="I65" s="312"/>
      <c r="J65" s="25"/>
      <c r="K65" s="229" t="s">
        <v>99</v>
      </c>
      <c r="L65" s="25"/>
      <c r="M65" s="27">
        <f>(81.66*3.25-36.8)</f>
        <v>228.59499999999997</v>
      </c>
      <c r="N65" s="14"/>
      <c r="O65" s="27"/>
      <c r="P65" s="28"/>
      <c r="Q65" s="27"/>
      <c r="R65" s="27"/>
      <c r="S65" s="491">
        <v>228.59499999999997</v>
      </c>
      <c r="T65" s="491">
        <v>16.21</v>
      </c>
      <c r="U65" s="491">
        <v>20.420000000000002</v>
      </c>
      <c r="V65" s="491">
        <v>4667.8999999999996</v>
      </c>
    </row>
    <row r="66" spans="1:22" s="39" customFormat="1" outlineLevel="1" x14ac:dyDescent="0.25">
      <c r="A66" s="282" t="s">
        <v>120</v>
      </c>
      <c r="B66" s="280">
        <v>88496</v>
      </c>
      <c r="C66" s="288" t="s">
        <v>101</v>
      </c>
      <c r="D66" s="282" t="s">
        <v>24</v>
      </c>
      <c r="E66" s="290">
        <f>M66</f>
        <v>104.16600000000001</v>
      </c>
      <c r="F66" s="283">
        <f>'COMPOSIÇÃO SINAPI W MENDES'!G493</f>
        <v>10.510000000000002</v>
      </c>
      <c r="G66" s="284">
        <f t="shared" ref="G66:G74" si="8">TRUNC(F66*$J$13,2)</f>
        <v>13.07</v>
      </c>
      <c r="H66" s="284">
        <f t="shared" si="7"/>
        <v>1361.44</v>
      </c>
      <c r="I66" s="312"/>
      <c r="J66" s="25"/>
      <c r="K66" s="229" t="s">
        <v>102</v>
      </c>
      <c r="L66" s="25"/>
      <c r="M66" s="27">
        <f>347.22*0.3</f>
        <v>104.16600000000001</v>
      </c>
      <c r="N66" s="14"/>
      <c r="O66" s="27"/>
      <c r="P66" s="28"/>
      <c r="Q66" s="27"/>
      <c r="R66" s="27"/>
      <c r="S66" s="491">
        <v>104.16600000000001</v>
      </c>
      <c r="T66" s="491">
        <v>19.940000000000001</v>
      </c>
      <c r="U66" s="491">
        <v>25.12</v>
      </c>
      <c r="V66" s="491">
        <v>2616.64</v>
      </c>
    </row>
    <row r="67" spans="1:22" s="31" customFormat="1" outlineLevel="1" x14ac:dyDescent="0.25">
      <c r="A67" s="282" t="s">
        <v>122</v>
      </c>
      <c r="B67" s="280">
        <v>88488</v>
      </c>
      <c r="C67" s="281" t="s">
        <v>104</v>
      </c>
      <c r="D67" s="282" t="s">
        <v>24</v>
      </c>
      <c r="E67" s="290">
        <v>313.64999999999998</v>
      </c>
      <c r="F67" s="283">
        <f>'COMPOSIÇÃO SINAPI W MENDES'!G1871</f>
        <v>8.42</v>
      </c>
      <c r="G67" s="284">
        <f t="shared" si="8"/>
        <v>10.47</v>
      </c>
      <c r="H67" s="284">
        <f t="shared" si="7"/>
        <v>3283.91</v>
      </c>
      <c r="I67" s="312"/>
      <c r="J67" s="25"/>
      <c r="K67" s="229"/>
      <c r="L67" s="25"/>
      <c r="M67" s="27"/>
      <c r="N67" s="14"/>
      <c r="O67" s="27"/>
      <c r="P67" s="28"/>
      <c r="Q67" s="29"/>
      <c r="R67" s="30"/>
      <c r="S67" s="491">
        <v>313.64999999999998</v>
      </c>
      <c r="T67" s="491">
        <v>12.65</v>
      </c>
      <c r="U67" s="491">
        <v>15.93</v>
      </c>
      <c r="V67" s="491">
        <v>4996.4399999999996</v>
      </c>
    </row>
    <row r="68" spans="1:22" s="31" customFormat="1" outlineLevel="1" x14ac:dyDescent="0.25">
      <c r="A68" s="282" t="s">
        <v>124</v>
      </c>
      <c r="B68" s="280">
        <v>88497</v>
      </c>
      <c r="C68" s="281" t="s">
        <v>106</v>
      </c>
      <c r="D68" s="282" t="s">
        <v>24</v>
      </c>
      <c r="E68" s="290">
        <f>M68</f>
        <v>217.22249999999997</v>
      </c>
      <c r="F68" s="283">
        <v>9.74</v>
      </c>
      <c r="G68" s="284">
        <f t="shared" si="8"/>
        <v>12.11</v>
      </c>
      <c r="H68" s="284">
        <f t="shared" si="7"/>
        <v>2630.56</v>
      </c>
      <c r="I68" s="312"/>
      <c r="J68" s="25"/>
      <c r="K68" s="229" t="s">
        <v>107</v>
      </c>
      <c r="L68" s="25"/>
      <c r="M68" s="27">
        <f>((243.1*3.25)-66) * 0.3</f>
        <v>217.22249999999997</v>
      </c>
      <c r="N68" s="14"/>
      <c r="O68" s="27">
        <f>((243.1*3.25)-66)</f>
        <v>724.07499999999993</v>
      </c>
      <c r="P68" s="28"/>
      <c r="Q68" s="29"/>
      <c r="R68" s="30"/>
      <c r="S68" s="491">
        <v>217.22249999999997</v>
      </c>
      <c r="T68" s="491">
        <v>11.24</v>
      </c>
      <c r="U68" s="491">
        <v>14.16</v>
      </c>
      <c r="V68" s="491">
        <v>3075.87</v>
      </c>
    </row>
    <row r="69" spans="1:22" s="31" customFormat="1" outlineLevel="1" x14ac:dyDescent="0.25">
      <c r="A69" s="282" t="s">
        <v>126</v>
      </c>
      <c r="B69" s="280">
        <v>88489</v>
      </c>
      <c r="C69" s="281" t="s">
        <v>108</v>
      </c>
      <c r="D69" s="282" t="s">
        <v>24</v>
      </c>
      <c r="E69" s="290">
        <v>875.84</v>
      </c>
      <c r="F69" s="283">
        <f>'COMPOSIÇÃO SINAPI W MENDES'!G512</f>
        <v>8.14</v>
      </c>
      <c r="G69" s="284">
        <f t="shared" si="8"/>
        <v>10.119999999999999</v>
      </c>
      <c r="H69" s="284">
        <f t="shared" si="7"/>
        <v>8863.5</v>
      </c>
      <c r="I69" s="312"/>
      <c r="J69" s="25"/>
      <c r="K69" s="229"/>
      <c r="L69" s="25"/>
      <c r="M69" s="27"/>
      <c r="N69" s="14"/>
      <c r="O69" s="27"/>
      <c r="P69" s="28"/>
      <c r="Q69" s="29"/>
      <c r="R69" s="30"/>
      <c r="S69" s="491">
        <v>875.84</v>
      </c>
      <c r="T69" s="491">
        <v>11.3</v>
      </c>
      <c r="U69" s="491">
        <v>14.23</v>
      </c>
      <c r="V69" s="491">
        <v>12463.2</v>
      </c>
    </row>
    <row r="70" spans="1:22" s="31" customFormat="1" outlineLevel="1" x14ac:dyDescent="0.25">
      <c r="A70" s="282" t="s">
        <v>129</v>
      </c>
      <c r="B70" s="280" t="s">
        <v>109</v>
      </c>
      <c r="C70" s="281" t="s">
        <v>110</v>
      </c>
      <c r="D70" s="282" t="s">
        <v>24</v>
      </c>
      <c r="E70" s="285">
        <v>32</v>
      </c>
      <c r="F70" s="283">
        <v>12.4</v>
      </c>
      <c r="G70" s="284">
        <f t="shared" si="8"/>
        <v>15.42</v>
      </c>
      <c r="H70" s="284">
        <f t="shared" si="7"/>
        <v>493.44</v>
      </c>
      <c r="I70" s="312"/>
      <c r="J70" s="25"/>
      <c r="K70" s="229"/>
      <c r="L70" s="25"/>
      <c r="M70" s="27" t="e">
        <f>#REF!</f>
        <v>#REF!</v>
      </c>
      <c r="N70" s="14"/>
      <c r="O70" s="27"/>
      <c r="P70" s="28"/>
      <c r="Q70" s="29"/>
      <c r="R70" s="30"/>
      <c r="S70" s="491">
        <v>32</v>
      </c>
      <c r="T70" s="491">
        <v>15.01</v>
      </c>
      <c r="U70" s="491">
        <v>18.91</v>
      </c>
      <c r="V70" s="491">
        <v>605.12</v>
      </c>
    </row>
    <row r="71" spans="1:22" s="31" customFormat="1" outlineLevel="1" x14ac:dyDescent="0.25">
      <c r="A71" s="282" t="s">
        <v>131</v>
      </c>
      <c r="B71" s="280">
        <v>88489</v>
      </c>
      <c r="C71" s="291" t="s">
        <v>111</v>
      </c>
      <c r="D71" s="282" t="s">
        <v>24</v>
      </c>
      <c r="E71" s="290">
        <f>M71</f>
        <v>62.975999999999999</v>
      </c>
      <c r="F71" s="283">
        <f>'COMPOSIÇÃO SINAPI W MENDES'!G526</f>
        <v>8.14</v>
      </c>
      <c r="G71" s="284">
        <f t="shared" si="8"/>
        <v>10.119999999999999</v>
      </c>
      <c r="H71" s="284">
        <f t="shared" si="7"/>
        <v>637.30999999999995</v>
      </c>
      <c r="I71" s="312"/>
      <c r="J71" s="25"/>
      <c r="K71" s="230" t="s">
        <v>112</v>
      </c>
      <c r="L71" s="25"/>
      <c r="M71" s="25">
        <f>3.28*1.6*12</f>
        <v>62.975999999999999</v>
      </c>
      <c r="N71" s="14"/>
      <c r="O71" s="27"/>
      <c r="P71" s="28"/>
      <c r="Q71" s="29"/>
      <c r="R71" s="30"/>
      <c r="S71" s="491">
        <v>62.975999999999999</v>
      </c>
      <c r="T71" s="491">
        <v>11.24</v>
      </c>
      <c r="U71" s="491">
        <v>14.16</v>
      </c>
      <c r="V71" s="491">
        <v>891.74</v>
      </c>
    </row>
    <row r="72" spans="1:22" s="31" customFormat="1" outlineLevel="1" x14ac:dyDescent="0.25">
      <c r="A72" s="282" t="s">
        <v>133</v>
      </c>
      <c r="B72" s="280">
        <v>100725</v>
      </c>
      <c r="C72" s="281" t="s">
        <v>804</v>
      </c>
      <c r="D72" s="282" t="s">
        <v>24</v>
      </c>
      <c r="E72" s="290">
        <f>39.04*2</f>
        <v>78.08</v>
      </c>
      <c r="F72" s="283">
        <v>16.12</v>
      </c>
      <c r="G72" s="284">
        <f t="shared" si="8"/>
        <v>20.05</v>
      </c>
      <c r="H72" s="284">
        <f t="shared" si="7"/>
        <v>1565.5</v>
      </c>
      <c r="I72" s="312"/>
      <c r="J72" s="25"/>
      <c r="K72" s="229"/>
      <c r="L72" s="25"/>
      <c r="M72" s="27"/>
      <c r="N72" s="14"/>
      <c r="O72" s="27"/>
      <c r="P72" s="28"/>
      <c r="Q72" s="29"/>
      <c r="R72" s="30"/>
      <c r="S72" s="491">
        <v>78.08</v>
      </c>
      <c r="T72" s="491">
        <v>16.12</v>
      </c>
      <c r="U72" s="491">
        <v>20.309999999999999</v>
      </c>
      <c r="V72" s="491">
        <v>1585.8</v>
      </c>
    </row>
    <row r="73" spans="1:22" s="31" customFormat="1" ht="31.2" outlineLevel="1" x14ac:dyDescent="0.25">
      <c r="A73" s="282" t="s">
        <v>136</v>
      </c>
      <c r="B73" s="280">
        <v>100727</v>
      </c>
      <c r="C73" s="291" t="s">
        <v>805</v>
      </c>
      <c r="D73" s="282" t="s">
        <v>24</v>
      </c>
      <c r="E73" s="290">
        <f>43.62*2</f>
        <v>87.24</v>
      </c>
      <c r="F73" s="283">
        <v>11.97</v>
      </c>
      <c r="G73" s="284">
        <f t="shared" ref="G73" si="9">TRUNC(F73*$J$13,2)</f>
        <v>14.88</v>
      </c>
      <c r="H73" s="284">
        <f t="shared" ref="H73" si="10">TRUNC(E73*G73,2)</f>
        <v>1298.1300000000001</v>
      </c>
      <c r="I73" s="312"/>
      <c r="J73" s="25"/>
      <c r="K73" s="231" t="s">
        <v>799</v>
      </c>
      <c r="L73" s="25">
        <f>22*1*2</f>
        <v>44</v>
      </c>
      <c r="M73" s="27"/>
      <c r="N73" s="14"/>
      <c r="O73" s="27"/>
      <c r="P73" s="28"/>
      <c r="Q73" s="29"/>
      <c r="R73" s="30"/>
      <c r="S73" s="491">
        <v>87.24</v>
      </c>
      <c r="T73" s="491">
        <v>11.97</v>
      </c>
      <c r="U73" s="491">
        <v>15.08</v>
      </c>
      <c r="V73" s="491">
        <v>1315.57</v>
      </c>
    </row>
    <row r="74" spans="1:22" s="31" customFormat="1" outlineLevel="1" x14ac:dyDescent="0.25">
      <c r="A74" s="282" t="s">
        <v>138</v>
      </c>
      <c r="B74" s="280">
        <v>84665</v>
      </c>
      <c r="C74" s="281" t="s">
        <v>114</v>
      </c>
      <c r="D74" s="282" t="s">
        <v>24</v>
      </c>
      <c r="E74" s="285">
        <f>M74</f>
        <v>69.792000000000002</v>
      </c>
      <c r="F74" s="283">
        <v>16.66</v>
      </c>
      <c r="G74" s="284">
        <f t="shared" si="8"/>
        <v>20.72</v>
      </c>
      <c r="H74" s="284">
        <f t="shared" si="7"/>
        <v>1446.09</v>
      </c>
      <c r="I74" s="312"/>
      <c r="J74" s="25"/>
      <c r="K74" s="230" t="s">
        <v>115</v>
      </c>
      <c r="L74" s="25"/>
      <c r="M74" s="32">
        <f>1.6*21.81*2</f>
        <v>69.792000000000002</v>
      </c>
      <c r="N74" s="14"/>
      <c r="O74" s="27"/>
      <c r="P74" s="28"/>
      <c r="Q74" s="29"/>
      <c r="R74" s="30"/>
      <c r="S74" s="491">
        <v>69.792000000000002</v>
      </c>
      <c r="T74" s="491">
        <v>16.66</v>
      </c>
      <c r="U74" s="491">
        <v>20.99</v>
      </c>
      <c r="V74" s="491">
        <v>1464.93</v>
      </c>
    </row>
    <row r="75" spans="1:22" s="13" customFormat="1" outlineLevel="1" x14ac:dyDescent="0.25">
      <c r="A75" s="279" t="s">
        <v>160</v>
      </c>
      <c r="B75" s="279"/>
      <c r="C75" s="294" t="s">
        <v>117</v>
      </c>
      <c r="D75" s="558"/>
      <c r="E75" s="294"/>
      <c r="F75" s="403"/>
      <c r="G75" s="296" t="s">
        <v>38</v>
      </c>
      <c r="H75" s="558"/>
      <c r="I75" s="559">
        <f>SUM(H76:H102)</f>
        <v>50180.2</v>
      </c>
      <c r="J75" s="24"/>
      <c r="K75" s="197"/>
      <c r="L75" s="317">
        <f>SUM(H76:H102)</f>
        <v>50180.2</v>
      </c>
      <c r="M75" s="2">
        <f>I75-L75</f>
        <v>0</v>
      </c>
      <c r="N75" s="14"/>
      <c r="O75" s="2"/>
      <c r="P75" s="3"/>
      <c r="Q75" s="12"/>
      <c r="R75" s="4"/>
    </row>
    <row r="76" spans="1:22" s="38" customFormat="1" ht="31.2" outlineLevel="1" x14ac:dyDescent="0.25">
      <c r="A76" s="282" t="s">
        <v>162</v>
      </c>
      <c r="B76" s="280">
        <v>91932</v>
      </c>
      <c r="C76" s="281" t="s">
        <v>119</v>
      </c>
      <c r="D76" s="282" t="s">
        <v>55</v>
      </c>
      <c r="E76" s="285">
        <v>150</v>
      </c>
      <c r="F76" s="283">
        <v>9.9499999999999993</v>
      </c>
      <c r="G76" s="284">
        <f t="shared" ref="G76:G101" si="11">TRUNC(F76*$J$13,2)</f>
        <v>12.37</v>
      </c>
      <c r="H76" s="284">
        <f>TRUNC(E76*G76,2)</f>
        <v>1855.5</v>
      </c>
      <c r="I76" s="312"/>
      <c r="J76" s="33"/>
      <c r="K76" s="232"/>
      <c r="L76" s="33"/>
      <c r="M76" s="35"/>
      <c r="N76" s="14"/>
      <c r="O76" s="35"/>
      <c r="P76" s="40"/>
      <c r="Q76" s="36"/>
      <c r="R76" s="37"/>
      <c r="S76" s="236">
        <v>150</v>
      </c>
      <c r="T76" s="236">
        <v>9.9499999999999993</v>
      </c>
      <c r="U76" s="236">
        <v>12.53</v>
      </c>
      <c r="V76" s="236">
        <v>1879.5</v>
      </c>
    </row>
    <row r="77" spans="1:22" s="38" customFormat="1" ht="31.2" outlineLevel="1" x14ac:dyDescent="0.25">
      <c r="A77" s="282" t="s">
        <v>163</v>
      </c>
      <c r="B77" s="280">
        <v>91930</v>
      </c>
      <c r="C77" s="281" t="s">
        <v>121</v>
      </c>
      <c r="D77" s="282" t="s">
        <v>55</v>
      </c>
      <c r="E77" s="285">
        <v>300</v>
      </c>
      <c r="F77" s="283">
        <v>5.5</v>
      </c>
      <c r="G77" s="284">
        <f t="shared" si="11"/>
        <v>6.84</v>
      </c>
      <c r="H77" s="284">
        <f>TRUNC(E77*G77,2)</f>
        <v>2052</v>
      </c>
      <c r="I77" s="312"/>
      <c r="J77" s="33"/>
      <c r="K77" s="232"/>
      <c r="L77" s="33"/>
      <c r="M77" s="35"/>
      <c r="N77" s="14"/>
      <c r="O77" s="35"/>
      <c r="P77" s="40"/>
      <c r="Q77" s="36"/>
      <c r="R77" s="37"/>
      <c r="S77" s="236">
        <v>300</v>
      </c>
      <c r="T77" s="236">
        <v>6.06</v>
      </c>
      <c r="U77" s="236">
        <v>7.63</v>
      </c>
      <c r="V77" s="236">
        <v>2289</v>
      </c>
    </row>
    <row r="78" spans="1:22" s="38" customFormat="1" outlineLevel="1" x14ac:dyDescent="0.25">
      <c r="A78" s="282" t="s">
        <v>164</v>
      </c>
      <c r="B78" s="280">
        <v>91928</v>
      </c>
      <c r="C78" s="281" t="s">
        <v>123</v>
      </c>
      <c r="D78" s="282" t="s">
        <v>55</v>
      </c>
      <c r="E78" s="285">
        <v>700</v>
      </c>
      <c r="F78" s="283">
        <v>4.42</v>
      </c>
      <c r="G78" s="284">
        <f t="shared" si="11"/>
        <v>5.49</v>
      </c>
      <c r="H78" s="284">
        <f t="shared" ref="H78:H100" si="12">TRUNC(E78*G78,2)</f>
        <v>3843</v>
      </c>
      <c r="I78" s="312"/>
      <c r="J78" s="33"/>
      <c r="K78" s="233"/>
      <c r="L78" s="34"/>
      <c r="M78" s="35"/>
      <c r="N78" s="14"/>
      <c r="O78" s="35"/>
      <c r="P78" s="40"/>
      <c r="Q78" s="36"/>
      <c r="R78" s="37"/>
      <c r="S78" s="236">
        <v>700</v>
      </c>
      <c r="T78" s="236">
        <v>4.42</v>
      </c>
      <c r="U78" s="236">
        <v>5.56</v>
      </c>
      <c r="V78" s="236">
        <v>3892</v>
      </c>
    </row>
    <row r="79" spans="1:22" s="38" customFormat="1" outlineLevel="1" x14ac:dyDescent="0.25">
      <c r="A79" s="282" t="s">
        <v>165</v>
      </c>
      <c r="B79" s="280">
        <v>91927</v>
      </c>
      <c r="C79" s="281" t="s">
        <v>125</v>
      </c>
      <c r="D79" s="282" t="s">
        <v>55</v>
      </c>
      <c r="E79" s="285">
        <v>700</v>
      </c>
      <c r="F79" s="283">
        <v>3</v>
      </c>
      <c r="G79" s="284">
        <f t="shared" si="11"/>
        <v>3.73</v>
      </c>
      <c r="H79" s="284">
        <f t="shared" si="12"/>
        <v>2611</v>
      </c>
      <c r="I79" s="312"/>
      <c r="J79" s="33"/>
      <c r="K79" s="233"/>
      <c r="L79" s="34"/>
      <c r="M79" s="35"/>
      <c r="N79" s="14"/>
      <c r="O79" s="35"/>
      <c r="P79" s="40"/>
      <c r="Q79" s="36"/>
      <c r="R79" s="37"/>
      <c r="S79" s="236">
        <v>700</v>
      </c>
      <c r="T79" s="236">
        <v>3.58</v>
      </c>
      <c r="U79" s="236">
        <v>4.51</v>
      </c>
      <c r="V79" s="236">
        <v>3157</v>
      </c>
    </row>
    <row r="80" spans="1:22" s="38" customFormat="1" outlineLevel="1" x14ac:dyDescent="0.25">
      <c r="A80" s="282" t="s">
        <v>166</v>
      </c>
      <c r="B80" s="280">
        <v>90447</v>
      </c>
      <c r="C80" s="281" t="s">
        <v>127</v>
      </c>
      <c r="D80" s="282" t="s">
        <v>55</v>
      </c>
      <c r="E80" s="285">
        <v>180</v>
      </c>
      <c r="F80" s="283">
        <v>4.45</v>
      </c>
      <c r="G80" s="284">
        <f t="shared" si="11"/>
        <v>5.53</v>
      </c>
      <c r="H80" s="284">
        <f t="shared" si="12"/>
        <v>995.4</v>
      </c>
      <c r="I80" s="312"/>
      <c r="J80" s="33"/>
      <c r="K80" s="233" t="s">
        <v>128</v>
      </c>
      <c r="L80" s="34"/>
      <c r="M80" s="35"/>
      <c r="N80" s="14"/>
      <c r="O80" s="35"/>
      <c r="P80" s="40"/>
      <c r="Q80" s="36"/>
      <c r="R80" s="37"/>
      <c r="S80" s="236">
        <v>180</v>
      </c>
      <c r="T80" s="236">
        <v>4.45</v>
      </c>
      <c r="U80" s="236">
        <v>5.6</v>
      </c>
      <c r="V80" s="236">
        <v>1008</v>
      </c>
    </row>
    <row r="81" spans="1:22" s="23" customFormat="1" ht="31.2" outlineLevel="1" x14ac:dyDescent="0.25">
      <c r="A81" s="282" t="s">
        <v>167</v>
      </c>
      <c r="B81" s="280">
        <v>91836</v>
      </c>
      <c r="C81" s="281" t="s">
        <v>130</v>
      </c>
      <c r="D81" s="282" t="s">
        <v>55</v>
      </c>
      <c r="E81" s="285">
        <v>100</v>
      </c>
      <c r="F81" s="283">
        <v>7.55</v>
      </c>
      <c r="G81" s="284">
        <f t="shared" si="11"/>
        <v>9.39</v>
      </c>
      <c r="H81" s="284">
        <f t="shared" si="12"/>
        <v>939</v>
      </c>
      <c r="I81" s="312"/>
      <c r="J81" s="33"/>
      <c r="K81" s="233"/>
      <c r="L81" s="34"/>
      <c r="M81" s="41"/>
      <c r="N81" s="42"/>
      <c r="O81" s="43"/>
      <c r="P81" s="44"/>
      <c r="Q81" s="19"/>
      <c r="R81" s="43"/>
      <c r="S81" s="492">
        <v>100</v>
      </c>
      <c r="T81" s="492">
        <v>7.55</v>
      </c>
      <c r="U81" s="492">
        <v>9.51</v>
      </c>
      <c r="V81" s="492">
        <v>951</v>
      </c>
    </row>
    <row r="82" spans="1:22" s="38" customFormat="1" ht="31.2" outlineLevel="1" x14ac:dyDescent="0.25">
      <c r="A82" s="282" t="s">
        <v>169</v>
      </c>
      <c r="B82" s="280">
        <v>91869</v>
      </c>
      <c r="C82" s="281" t="s">
        <v>132</v>
      </c>
      <c r="D82" s="282" t="s">
        <v>55</v>
      </c>
      <c r="E82" s="285">
        <v>50</v>
      </c>
      <c r="F82" s="283">
        <v>10.32</v>
      </c>
      <c r="G82" s="284">
        <f t="shared" si="11"/>
        <v>12.83</v>
      </c>
      <c r="H82" s="284">
        <f t="shared" si="12"/>
        <v>641.5</v>
      </c>
      <c r="I82" s="312"/>
      <c r="J82" s="33"/>
      <c r="K82" s="234"/>
      <c r="N82" s="45"/>
      <c r="O82" s="35"/>
      <c r="P82" s="40"/>
      <c r="Q82" s="36"/>
      <c r="R82" s="37"/>
      <c r="S82" s="236">
        <v>50</v>
      </c>
      <c r="T82" s="236">
        <v>10.32</v>
      </c>
      <c r="U82" s="236">
        <v>13</v>
      </c>
      <c r="V82" s="236">
        <v>650</v>
      </c>
    </row>
    <row r="83" spans="1:22" s="38" customFormat="1" outlineLevel="1" x14ac:dyDescent="0.25">
      <c r="A83" s="282" t="s">
        <v>171</v>
      </c>
      <c r="B83" s="280">
        <v>91990</v>
      </c>
      <c r="C83" s="281" t="s">
        <v>134</v>
      </c>
      <c r="D83" s="282" t="s">
        <v>44</v>
      </c>
      <c r="E83" s="285">
        <v>100</v>
      </c>
      <c r="F83" s="283">
        <v>20.73</v>
      </c>
      <c r="G83" s="284">
        <f t="shared" si="11"/>
        <v>25.78</v>
      </c>
      <c r="H83" s="284">
        <f t="shared" si="12"/>
        <v>2578</v>
      </c>
      <c r="I83" s="312"/>
      <c r="J83" s="33"/>
      <c r="K83" s="233" t="s">
        <v>135</v>
      </c>
      <c r="L83" s="34"/>
      <c r="M83" s="35"/>
      <c r="N83" s="14"/>
      <c r="O83" s="35"/>
      <c r="P83" s="40"/>
      <c r="Q83" s="36"/>
      <c r="R83" s="37"/>
      <c r="S83" s="236">
        <v>100</v>
      </c>
      <c r="T83" s="236">
        <v>20.73</v>
      </c>
      <c r="U83" s="236">
        <v>26.11</v>
      </c>
      <c r="V83" s="236">
        <v>2611</v>
      </c>
    </row>
    <row r="84" spans="1:22" s="38" customFormat="1" outlineLevel="1" x14ac:dyDescent="0.25">
      <c r="A84" s="282" t="s">
        <v>173</v>
      </c>
      <c r="B84" s="280">
        <v>91991</v>
      </c>
      <c r="C84" s="281" t="s">
        <v>137</v>
      </c>
      <c r="D84" s="282" t="s">
        <v>44</v>
      </c>
      <c r="E84" s="285">
        <v>32</v>
      </c>
      <c r="F84" s="283">
        <v>21.99</v>
      </c>
      <c r="G84" s="284">
        <f t="shared" si="11"/>
        <v>27.35</v>
      </c>
      <c r="H84" s="284">
        <f t="shared" si="12"/>
        <v>875.2</v>
      </c>
      <c r="I84" s="312"/>
      <c r="J84" s="33"/>
      <c r="K84" s="232"/>
      <c r="L84" s="33"/>
      <c r="M84" s="35"/>
      <c r="N84" s="14"/>
      <c r="O84" s="35"/>
      <c r="P84" s="40"/>
      <c r="Q84" s="36"/>
      <c r="R84" s="37"/>
      <c r="S84" s="236">
        <v>32</v>
      </c>
      <c r="T84" s="236">
        <v>21.99</v>
      </c>
      <c r="U84" s="236">
        <v>27.7</v>
      </c>
      <c r="V84" s="236">
        <v>886.4</v>
      </c>
    </row>
    <row r="85" spans="1:22" s="38" customFormat="1" outlineLevel="1" x14ac:dyDescent="0.25">
      <c r="A85" s="282" t="s">
        <v>175</v>
      </c>
      <c r="B85" s="280">
        <v>91953</v>
      </c>
      <c r="C85" s="281" t="s">
        <v>139</v>
      </c>
      <c r="D85" s="282" t="s">
        <v>44</v>
      </c>
      <c r="E85" s="285">
        <v>15</v>
      </c>
      <c r="F85" s="283">
        <v>16.14</v>
      </c>
      <c r="G85" s="284">
        <f t="shared" si="11"/>
        <v>20.07</v>
      </c>
      <c r="H85" s="284">
        <f t="shared" si="12"/>
        <v>301.05</v>
      </c>
      <c r="I85" s="312"/>
      <c r="J85" s="33"/>
      <c r="K85" s="232"/>
      <c r="L85" s="33"/>
      <c r="M85" s="35"/>
      <c r="N85" s="14"/>
      <c r="O85" s="35"/>
      <c r="P85" s="40"/>
      <c r="Q85" s="36"/>
      <c r="R85" s="37"/>
      <c r="S85" s="236">
        <v>15</v>
      </c>
      <c r="T85" s="236">
        <v>16.14</v>
      </c>
      <c r="U85" s="236">
        <v>20.329999999999998</v>
      </c>
      <c r="V85" s="236">
        <v>304.95</v>
      </c>
    </row>
    <row r="86" spans="1:22" s="38" customFormat="1" outlineLevel="1" x14ac:dyDescent="0.25">
      <c r="A86" s="282" t="s">
        <v>177</v>
      </c>
      <c r="B86" s="280">
        <v>91959</v>
      </c>
      <c r="C86" s="281" t="s">
        <v>140</v>
      </c>
      <c r="D86" s="282" t="s">
        <v>44</v>
      </c>
      <c r="E86" s="285">
        <v>10</v>
      </c>
      <c r="F86" s="283">
        <v>25.5</v>
      </c>
      <c r="G86" s="284">
        <f t="shared" si="11"/>
        <v>31.71</v>
      </c>
      <c r="H86" s="284">
        <f t="shared" si="12"/>
        <v>317.10000000000002</v>
      </c>
      <c r="I86" s="312"/>
      <c r="J86" s="33"/>
      <c r="K86" s="232"/>
      <c r="L86" s="33"/>
      <c r="M86" s="35"/>
      <c r="N86" s="14"/>
      <c r="O86" s="35"/>
      <c r="P86" s="40"/>
      <c r="Q86" s="36"/>
      <c r="R86" s="37"/>
      <c r="S86" s="236">
        <v>10</v>
      </c>
      <c r="T86" s="236">
        <v>25.5</v>
      </c>
      <c r="U86" s="236">
        <v>32.130000000000003</v>
      </c>
      <c r="V86" s="236">
        <v>321.3</v>
      </c>
    </row>
    <row r="87" spans="1:22" s="38" customFormat="1" outlineLevel="1" x14ac:dyDescent="0.25">
      <c r="A87" s="282" t="s">
        <v>675</v>
      </c>
      <c r="B87" s="280">
        <v>93653</v>
      </c>
      <c r="C87" s="281" t="s">
        <v>141</v>
      </c>
      <c r="D87" s="282" t="s">
        <v>44</v>
      </c>
      <c r="E87" s="285">
        <v>8</v>
      </c>
      <c r="F87" s="283">
        <v>9.3699999999999992</v>
      </c>
      <c r="G87" s="284">
        <f t="shared" si="11"/>
        <v>11.65</v>
      </c>
      <c r="H87" s="284">
        <f t="shared" si="12"/>
        <v>93.2</v>
      </c>
      <c r="I87" s="312"/>
      <c r="J87" s="33"/>
      <c r="K87" s="232"/>
      <c r="L87" s="33"/>
      <c r="M87" s="35"/>
      <c r="N87" s="14"/>
      <c r="O87" s="35"/>
      <c r="P87" s="40"/>
      <c r="Q87" s="36"/>
      <c r="R87" s="37"/>
      <c r="S87" s="236">
        <v>8</v>
      </c>
      <c r="T87" s="236">
        <v>9.3699999999999992</v>
      </c>
      <c r="U87" s="236">
        <v>11.8</v>
      </c>
      <c r="V87" s="236">
        <v>94.4</v>
      </c>
    </row>
    <row r="88" spans="1:22" s="38" customFormat="1" outlineLevel="1" x14ac:dyDescent="0.25">
      <c r="A88" s="282" t="s">
        <v>676</v>
      </c>
      <c r="B88" s="280">
        <v>93655</v>
      </c>
      <c r="C88" s="281" t="s">
        <v>142</v>
      </c>
      <c r="D88" s="282" t="s">
        <v>44</v>
      </c>
      <c r="E88" s="285">
        <v>5</v>
      </c>
      <c r="F88" s="283">
        <v>10.59</v>
      </c>
      <c r="G88" s="284">
        <f>TRUNC(F88*$J$13,2)</f>
        <v>13.17</v>
      </c>
      <c r="H88" s="284">
        <f>TRUNC(E88*G88,2)</f>
        <v>65.849999999999994</v>
      </c>
      <c r="I88" s="312"/>
      <c r="J88" s="33"/>
      <c r="K88" s="232"/>
      <c r="L88" s="33"/>
      <c r="M88" s="35"/>
      <c r="N88" s="14"/>
      <c r="O88" s="35"/>
      <c r="P88" s="40"/>
      <c r="Q88" s="36"/>
      <c r="R88" s="37"/>
      <c r="S88" s="236">
        <v>5</v>
      </c>
      <c r="T88" s="236">
        <v>10.59</v>
      </c>
      <c r="U88" s="236">
        <v>13.34</v>
      </c>
      <c r="V88" s="236">
        <v>66.7</v>
      </c>
    </row>
    <row r="89" spans="1:22" s="38" customFormat="1" outlineLevel="1" x14ac:dyDescent="0.25">
      <c r="A89" s="282" t="s">
        <v>311</v>
      </c>
      <c r="B89" s="280">
        <v>93657</v>
      </c>
      <c r="C89" s="281" t="s">
        <v>143</v>
      </c>
      <c r="D89" s="282" t="s">
        <v>44</v>
      </c>
      <c r="E89" s="285">
        <v>3</v>
      </c>
      <c r="F89" s="283">
        <v>11.59</v>
      </c>
      <c r="G89" s="284">
        <f>TRUNC(F89*$J$13,2)</f>
        <v>14.41</v>
      </c>
      <c r="H89" s="284">
        <f>TRUNC(E89*G89,2)</f>
        <v>43.23</v>
      </c>
      <c r="I89" s="312"/>
      <c r="J89" s="33"/>
      <c r="K89" s="232"/>
      <c r="L89" s="33"/>
      <c r="M89" s="35"/>
      <c r="N89" s="14"/>
      <c r="O89" s="35"/>
      <c r="P89" s="40"/>
      <c r="Q89" s="36"/>
      <c r="R89" s="37"/>
      <c r="S89" s="236">
        <v>3</v>
      </c>
      <c r="T89" s="236">
        <v>11.59</v>
      </c>
      <c r="U89" s="236">
        <v>14.6</v>
      </c>
      <c r="V89" s="236">
        <v>43.8</v>
      </c>
    </row>
    <row r="90" spans="1:22" s="38" customFormat="1" outlineLevel="1" x14ac:dyDescent="0.25">
      <c r="A90" s="282" t="s">
        <v>181</v>
      </c>
      <c r="B90" s="280">
        <v>93660</v>
      </c>
      <c r="C90" s="281" t="s">
        <v>144</v>
      </c>
      <c r="D90" s="282" t="s">
        <v>44</v>
      </c>
      <c r="E90" s="285">
        <v>9</v>
      </c>
      <c r="F90" s="283">
        <v>46.9</v>
      </c>
      <c r="G90" s="284">
        <f>TRUNC(F90*$J$13,2)</f>
        <v>58.33</v>
      </c>
      <c r="H90" s="284">
        <f>TRUNC(E90*G90,2)</f>
        <v>524.97</v>
      </c>
      <c r="I90" s="312"/>
      <c r="J90" s="33"/>
      <c r="K90" s="232"/>
      <c r="L90" s="33"/>
      <c r="M90" s="35"/>
      <c r="N90" s="14"/>
      <c r="O90" s="35"/>
      <c r="P90" s="40"/>
      <c r="Q90" s="36"/>
      <c r="R90" s="37"/>
      <c r="S90" s="236">
        <v>9</v>
      </c>
      <c r="T90" s="236">
        <v>46.9</v>
      </c>
      <c r="U90" s="236">
        <v>59.09</v>
      </c>
      <c r="V90" s="236">
        <v>531.80999999999995</v>
      </c>
    </row>
    <row r="91" spans="1:22" s="38" customFormat="1" outlineLevel="1" x14ac:dyDescent="0.25">
      <c r="A91" s="282" t="s">
        <v>183</v>
      </c>
      <c r="B91" s="280">
        <v>93662</v>
      </c>
      <c r="C91" s="281" t="s">
        <v>145</v>
      </c>
      <c r="D91" s="282" t="s">
        <v>44</v>
      </c>
      <c r="E91" s="285">
        <v>8</v>
      </c>
      <c r="F91" s="283">
        <v>49.38</v>
      </c>
      <c r="G91" s="284">
        <f>TRUNC(F91*$J$13,2)</f>
        <v>61.42</v>
      </c>
      <c r="H91" s="284">
        <f>TRUNC(E91*G91,2)</f>
        <v>491.36</v>
      </c>
      <c r="I91" s="312"/>
      <c r="J91" s="33"/>
      <c r="K91" s="232"/>
      <c r="L91" s="33"/>
      <c r="M91" s="35"/>
      <c r="N91" s="14"/>
      <c r="O91" s="35"/>
      <c r="P91" s="40"/>
      <c r="Q91" s="36"/>
      <c r="R91" s="37"/>
      <c r="S91" s="236">
        <v>8</v>
      </c>
      <c r="T91" s="236">
        <v>49.38</v>
      </c>
      <c r="U91" s="236">
        <v>62.21</v>
      </c>
      <c r="V91" s="236">
        <v>497.68</v>
      </c>
    </row>
    <row r="92" spans="1:22" s="38" customFormat="1" outlineLevel="1" x14ac:dyDescent="0.25">
      <c r="A92" s="282" t="s">
        <v>677</v>
      </c>
      <c r="B92" s="280">
        <v>93664</v>
      </c>
      <c r="C92" s="281" t="s">
        <v>146</v>
      </c>
      <c r="D92" s="282" t="s">
        <v>44</v>
      </c>
      <c r="E92" s="285">
        <v>12</v>
      </c>
      <c r="F92" s="283">
        <v>51.34</v>
      </c>
      <c r="G92" s="284">
        <f>TRUNC(F92*$J$13,2)</f>
        <v>63.86</v>
      </c>
      <c r="H92" s="284">
        <f>TRUNC(E92*G92,2)</f>
        <v>766.32</v>
      </c>
      <c r="I92" s="312"/>
      <c r="J92" s="33"/>
      <c r="K92" s="232"/>
      <c r="L92" s="33"/>
      <c r="M92" s="35"/>
      <c r="N92" s="14"/>
      <c r="O92" s="35"/>
      <c r="P92" s="40"/>
      <c r="Q92" s="36"/>
      <c r="R92" s="37"/>
      <c r="S92" s="236">
        <v>12</v>
      </c>
      <c r="T92" s="236">
        <v>51.34</v>
      </c>
      <c r="U92" s="236">
        <v>64.680000000000007</v>
      </c>
      <c r="V92" s="236">
        <v>776.16</v>
      </c>
    </row>
    <row r="93" spans="1:22" s="38" customFormat="1" outlineLevel="1" x14ac:dyDescent="0.25">
      <c r="A93" s="282" t="s">
        <v>678</v>
      </c>
      <c r="B93" s="280">
        <v>93673</v>
      </c>
      <c r="C93" s="281" t="s">
        <v>147</v>
      </c>
      <c r="D93" s="282" t="s">
        <v>44</v>
      </c>
      <c r="E93" s="285">
        <v>2</v>
      </c>
      <c r="F93" s="283">
        <v>75.680000000000007</v>
      </c>
      <c r="G93" s="284">
        <f t="shared" ref="G93:G96" si="13">TRUNC(F93*$J$13,2)</f>
        <v>94.13</v>
      </c>
      <c r="H93" s="284">
        <f t="shared" ref="H93:H96" si="14">TRUNC(E93*G93,2)</f>
        <v>188.26</v>
      </c>
      <c r="I93" s="312"/>
      <c r="J93" s="33"/>
      <c r="K93" s="232"/>
      <c r="L93" s="33"/>
      <c r="M93" s="35"/>
      <c r="N93" s="14"/>
      <c r="O93" s="35"/>
      <c r="P93" s="40"/>
      <c r="Q93" s="36"/>
      <c r="R93" s="37"/>
      <c r="S93" s="236">
        <v>2</v>
      </c>
      <c r="T93" s="236">
        <v>75.680000000000007</v>
      </c>
      <c r="U93" s="236">
        <v>95.35</v>
      </c>
      <c r="V93" s="236">
        <v>190.7</v>
      </c>
    </row>
    <row r="94" spans="1:22" s="38" customFormat="1" outlineLevel="1" x14ac:dyDescent="0.25">
      <c r="A94" s="282" t="s">
        <v>679</v>
      </c>
      <c r="B94" s="280">
        <v>93667</v>
      </c>
      <c r="C94" s="281" t="s">
        <v>148</v>
      </c>
      <c r="D94" s="282" t="s">
        <v>44</v>
      </c>
      <c r="E94" s="285">
        <v>5</v>
      </c>
      <c r="F94" s="283">
        <v>58.47</v>
      </c>
      <c r="G94" s="284">
        <f t="shared" si="13"/>
        <v>72.73</v>
      </c>
      <c r="H94" s="284">
        <f t="shared" si="14"/>
        <v>363.65</v>
      </c>
      <c r="I94" s="312"/>
      <c r="J94" s="33"/>
      <c r="K94" s="232"/>
      <c r="L94" s="33"/>
      <c r="M94" s="35"/>
      <c r="N94" s="14"/>
      <c r="O94" s="35"/>
      <c r="P94" s="40"/>
      <c r="Q94" s="36"/>
      <c r="R94" s="37"/>
      <c r="S94" s="236">
        <v>5</v>
      </c>
      <c r="T94" s="236">
        <v>58.47</v>
      </c>
      <c r="U94" s="236">
        <v>73.67</v>
      </c>
      <c r="V94" s="236">
        <v>368.35</v>
      </c>
    </row>
    <row r="95" spans="1:22" s="38" customFormat="1" outlineLevel="1" x14ac:dyDescent="0.25">
      <c r="A95" s="282" t="s">
        <v>680</v>
      </c>
      <c r="B95" s="280">
        <v>93669</v>
      </c>
      <c r="C95" s="281" t="s">
        <v>149</v>
      </c>
      <c r="D95" s="282" t="s">
        <v>44</v>
      </c>
      <c r="E95" s="285">
        <v>5</v>
      </c>
      <c r="F95" s="283">
        <v>62.18</v>
      </c>
      <c r="G95" s="284">
        <f t="shared" si="13"/>
        <v>77.34</v>
      </c>
      <c r="H95" s="284">
        <f t="shared" si="14"/>
        <v>386.7</v>
      </c>
      <c r="I95" s="312"/>
      <c r="J95" s="33"/>
      <c r="K95" s="232"/>
      <c r="L95" s="33"/>
      <c r="M95" s="35"/>
      <c r="N95" s="14"/>
      <c r="O95" s="35"/>
      <c r="P95" s="40"/>
      <c r="Q95" s="36"/>
      <c r="R95" s="37"/>
      <c r="S95" s="236">
        <v>5</v>
      </c>
      <c r="T95" s="236">
        <v>62.18</v>
      </c>
      <c r="U95" s="236">
        <v>78.34</v>
      </c>
      <c r="V95" s="236">
        <v>391.7</v>
      </c>
    </row>
    <row r="96" spans="1:22" s="38" customFormat="1" outlineLevel="1" x14ac:dyDescent="0.25">
      <c r="A96" s="282" t="s">
        <v>681</v>
      </c>
      <c r="B96" s="280">
        <v>91941</v>
      </c>
      <c r="C96" s="281" t="s">
        <v>150</v>
      </c>
      <c r="D96" s="282" t="s">
        <v>44</v>
      </c>
      <c r="E96" s="285">
        <v>52</v>
      </c>
      <c r="F96" s="283">
        <v>6.8</v>
      </c>
      <c r="G96" s="284">
        <f t="shared" si="13"/>
        <v>8.4499999999999993</v>
      </c>
      <c r="H96" s="284">
        <f t="shared" si="14"/>
        <v>439.4</v>
      </c>
      <c r="I96" s="312"/>
      <c r="J96" s="33"/>
      <c r="K96" s="232"/>
      <c r="L96" s="33"/>
      <c r="M96" s="35"/>
      <c r="N96" s="14"/>
      <c r="O96" s="35"/>
      <c r="P96" s="40"/>
      <c r="Q96" s="36"/>
      <c r="R96" s="37"/>
      <c r="S96" s="236">
        <v>52</v>
      </c>
      <c r="T96" s="236">
        <v>6.8</v>
      </c>
      <c r="U96" s="236">
        <v>8.56</v>
      </c>
      <c r="V96" s="236">
        <v>445.12</v>
      </c>
    </row>
    <row r="97" spans="1:22" s="38" customFormat="1" outlineLevel="1" x14ac:dyDescent="0.25">
      <c r="A97" s="282" t="s">
        <v>682</v>
      </c>
      <c r="B97" s="280">
        <v>91944</v>
      </c>
      <c r="C97" s="281" t="s">
        <v>151</v>
      </c>
      <c r="D97" s="282" t="s">
        <v>44</v>
      </c>
      <c r="E97" s="285">
        <v>15</v>
      </c>
      <c r="F97" s="283">
        <f>'COMPOSIÇÃO SINAPI W MENDES'!G694</f>
        <v>9.06</v>
      </c>
      <c r="G97" s="284">
        <f t="shared" si="11"/>
        <v>11.26</v>
      </c>
      <c r="H97" s="284">
        <f t="shared" si="12"/>
        <v>168.9</v>
      </c>
      <c r="I97" s="559"/>
      <c r="J97" s="33"/>
      <c r="K97" s="232"/>
      <c r="L97" s="33"/>
      <c r="M97" s="35"/>
      <c r="N97" s="14"/>
      <c r="O97" s="35"/>
      <c r="P97" s="40"/>
      <c r="Q97" s="36"/>
      <c r="R97" s="37"/>
      <c r="S97" s="236">
        <v>15</v>
      </c>
      <c r="T97" s="236">
        <v>9.3000000000000007</v>
      </c>
      <c r="U97" s="236">
        <v>11.71</v>
      </c>
      <c r="V97" s="236">
        <v>175.65</v>
      </c>
    </row>
    <row r="98" spans="1:22" s="38" customFormat="1" ht="31.2" outlineLevel="1" x14ac:dyDescent="0.25">
      <c r="A98" s="282" t="s">
        <v>683</v>
      </c>
      <c r="B98" s="280">
        <v>83463</v>
      </c>
      <c r="C98" s="281" t="s">
        <v>152</v>
      </c>
      <c r="D98" s="282" t="s">
        <v>44</v>
      </c>
      <c r="E98" s="285">
        <v>1</v>
      </c>
      <c r="F98" s="283">
        <v>356.52</v>
      </c>
      <c r="G98" s="284">
        <f t="shared" si="11"/>
        <v>443.47</v>
      </c>
      <c r="H98" s="284">
        <f t="shared" si="12"/>
        <v>443.47</v>
      </c>
      <c r="I98" s="312"/>
      <c r="J98" s="33"/>
      <c r="K98" s="232"/>
      <c r="L98" s="33"/>
      <c r="M98" s="35"/>
      <c r="N98" s="14"/>
      <c r="O98" s="35"/>
      <c r="P98" s="40"/>
      <c r="Q98" s="36"/>
      <c r="R98" s="37"/>
      <c r="S98" s="236">
        <v>1</v>
      </c>
      <c r="T98" s="236">
        <v>356.52</v>
      </c>
      <c r="U98" s="236">
        <v>449.21</v>
      </c>
      <c r="V98" s="236">
        <v>449.21</v>
      </c>
    </row>
    <row r="99" spans="1:22" s="38" customFormat="1" ht="31.2" outlineLevel="1" x14ac:dyDescent="0.25">
      <c r="A99" s="282" t="s">
        <v>684</v>
      </c>
      <c r="B99" s="280" t="s">
        <v>153</v>
      </c>
      <c r="C99" s="281" t="s">
        <v>154</v>
      </c>
      <c r="D99" s="282" t="s">
        <v>44</v>
      </c>
      <c r="E99" s="285">
        <v>1</v>
      </c>
      <c r="F99" s="283">
        <v>606.13</v>
      </c>
      <c r="G99" s="284">
        <f t="shared" si="11"/>
        <v>753.96</v>
      </c>
      <c r="H99" s="284">
        <f t="shared" si="12"/>
        <v>753.96</v>
      </c>
      <c r="I99" s="312"/>
      <c r="J99" s="33"/>
      <c r="K99" s="232"/>
      <c r="L99" s="33"/>
      <c r="M99" s="35"/>
      <c r="N99" s="14"/>
      <c r="O99" s="35"/>
      <c r="P99" s="40"/>
      <c r="Q99" s="36"/>
      <c r="R99" s="37"/>
      <c r="S99" s="236">
        <v>1</v>
      </c>
      <c r="T99" s="236">
        <v>606.13</v>
      </c>
      <c r="U99" s="236">
        <v>763.72</v>
      </c>
      <c r="V99" s="236">
        <v>763.72</v>
      </c>
    </row>
    <row r="100" spans="1:22" s="38" customFormat="1" outlineLevel="1" x14ac:dyDescent="0.25">
      <c r="A100" s="282" t="s">
        <v>685</v>
      </c>
      <c r="B100" s="280">
        <v>93012</v>
      </c>
      <c r="C100" s="281" t="s">
        <v>155</v>
      </c>
      <c r="D100" s="282" t="s">
        <v>55</v>
      </c>
      <c r="E100" s="285">
        <v>12</v>
      </c>
      <c r="F100" s="283">
        <v>36.47</v>
      </c>
      <c r="G100" s="284">
        <f t="shared" si="11"/>
        <v>45.36</v>
      </c>
      <c r="H100" s="284">
        <f t="shared" si="12"/>
        <v>544.32000000000005</v>
      </c>
      <c r="I100" s="312"/>
      <c r="J100" s="33"/>
      <c r="K100" s="232"/>
      <c r="L100" s="33"/>
      <c r="M100" s="35"/>
      <c r="N100" s="14"/>
      <c r="O100" s="35"/>
      <c r="P100" s="40"/>
      <c r="Q100" s="36"/>
      <c r="R100" s="37"/>
      <c r="S100" s="236">
        <v>12</v>
      </c>
      <c r="T100" s="236">
        <v>36.47</v>
      </c>
      <c r="U100" s="236">
        <v>45.95</v>
      </c>
      <c r="V100" s="236">
        <v>551.4</v>
      </c>
    </row>
    <row r="101" spans="1:22" s="38" customFormat="1" ht="31.2" outlineLevel="1" x14ac:dyDescent="0.25">
      <c r="A101" s="282" t="s">
        <v>686</v>
      </c>
      <c r="B101" s="280" t="s">
        <v>156</v>
      </c>
      <c r="C101" s="281" t="s">
        <v>157</v>
      </c>
      <c r="D101" s="282" t="s">
        <v>44</v>
      </c>
      <c r="E101" s="285">
        <v>1</v>
      </c>
      <c r="F101" s="283">
        <v>852.27</v>
      </c>
      <c r="G101" s="284">
        <f t="shared" si="11"/>
        <v>1060.1300000000001</v>
      </c>
      <c r="H101" s="284">
        <f>TRUNC(E101*G101,2)</f>
        <v>1060.1300000000001</v>
      </c>
      <c r="I101" s="312"/>
      <c r="J101" s="33"/>
      <c r="K101" s="232"/>
      <c r="L101" s="33"/>
      <c r="M101" s="35"/>
      <c r="N101" s="14"/>
      <c r="O101" s="35"/>
      <c r="P101" s="40"/>
      <c r="Q101" s="36"/>
      <c r="R101" s="37"/>
      <c r="S101" s="236">
        <v>1</v>
      </c>
      <c r="T101" s="236">
        <v>852.27</v>
      </c>
      <c r="U101" s="236">
        <v>1073.8599999999999</v>
      </c>
      <c r="V101" s="236">
        <v>1073.8599999999999</v>
      </c>
    </row>
    <row r="102" spans="1:22" s="38" customFormat="1" ht="31.2" outlineLevel="1" x14ac:dyDescent="0.25">
      <c r="A102" s="282" t="s">
        <v>687</v>
      </c>
      <c r="B102" s="280" t="s">
        <v>158</v>
      </c>
      <c r="C102" s="281" t="s">
        <v>159</v>
      </c>
      <c r="D102" s="282" t="s">
        <v>55</v>
      </c>
      <c r="E102" s="285">
        <v>354.2</v>
      </c>
      <c r="F102" s="283">
        <f>'COMPOSIÇÃO SINAPI W MENDES'!G728</f>
        <v>60.92</v>
      </c>
      <c r="G102" s="284">
        <f>TRUNC(F102*$J$13,2)</f>
        <v>75.77</v>
      </c>
      <c r="H102" s="284">
        <f>TRUNC(E102*G102,2)</f>
        <v>26837.73</v>
      </c>
      <c r="I102" s="312"/>
      <c r="J102" s="33"/>
      <c r="K102" s="232"/>
      <c r="L102" s="33"/>
      <c r="M102" s="35"/>
      <c r="N102" s="14"/>
      <c r="O102" s="35"/>
      <c r="P102" s="40"/>
      <c r="Q102" s="36"/>
      <c r="R102" s="37"/>
      <c r="S102" s="236">
        <v>354.2</v>
      </c>
      <c r="T102" s="236">
        <v>73.088999999999999</v>
      </c>
      <c r="U102" s="236">
        <v>92.09</v>
      </c>
      <c r="V102" s="236">
        <v>32618.27</v>
      </c>
    </row>
    <row r="103" spans="1:22" s="13" customFormat="1" outlineLevel="1" x14ac:dyDescent="0.25">
      <c r="A103" s="279" t="s">
        <v>186</v>
      </c>
      <c r="B103" s="279"/>
      <c r="C103" s="294" t="s">
        <v>161</v>
      </c>
      <c r="D103" s="558"/>
      <c r="E103" s="294"/>
      <c r="F103" s="403"/>
      <c r="G103" s="296" t="s">
        <v>38</v>
      </c>
      <c r="H103" s="558"/>
      <c r="I103" s="559">
        <f>SUM(H104:H117)</f>
        <v>21255.64</v>
      </c>
      <c r="J103" s="10"/>
      <c r="K103" s="225"/>
      <c r="L103" s="317">
        <f>SUM(H104:H117)</f>
        <v>21255.64</v>
      </c>
      <c r="M103" s="12">
        <f>I103-L103</f>
        <v>0</v>
      </c>
      <c r="N103" s="46"/>
      <c r="O103" s="12"/>
      <c r="P103" s="47"/>
      <c r="Q103" s="12"/>
      <c r="R103" s="12"/>
    </row>
    <row r="104" spans="1:22" s="48" customFormat="1" outlineLevel="1" x14ac:dyDescent="0.25">
      <c r="A104" s="282" t="s">
        <v>188</v>
      </c>
      <c r="B104" s="280">
        <v>91944</v>
      </c>
      <c r="C104" s="281" t="s">
        <v>151</v>
      </c>
      <c r="D104" s="282" t="s">
        <v>44</v>
      </c>
      <c r="E104" s="285">
        <v>60</v>
      </c>
      <c r="F104" s="283">
        <f>'COMPOSIÇÃO SINAPI W MENDES'!G736</f>
        <v>9.06</v>
      </c>
      <c r="G104" s="284">
        <f>TRUNC(F104*$J$13,2)</f>
        <v>11.26</v>
      </c>
      <c r="H104" s="284">
        <f t="shared" ref="H104:H117" si="15">TRUNC(E104*G104,2)</f>
        <v>675.6</v>
      </c>
      <c r="I104" s="312"/>
      <c r="J104" s="33"/>
      <c r="K104" s="232"/>
      <c r="L104" s="33"/>
      <c r="M104" s="35"/>
      <c r="N104" s="14"/>
      <c r="O104" s="35"/>
      <c r="P104" s="40"/>
      <c r="Q104" s="35"/>
      <c r="R104" s="35"/>
      <c r="S104" s="493">
        <v>60</v>
      </c>
      <c r="T104" s="493">
        <v>9.3000000000000007</v>
      </c>
      <c r="U104" s="493">
        <v>11.71</v>
      </c>
      <c r="V104" s="493">
        <v>702.6</v>
      </c>
    </row>
    <row r="105" spans="1:22" s="38" customFormat="1" outlineLevel="1" x14ac:dyDescent="0.25">
      <c r="A105" s="282" t="s">
        <v>200</v>
      </c>
      <c r="B105" s="280">
        <v>90447</v>
      </c>
      <c r="C105" s="281" t="s">
        <v>127</v>
      </c>
      <c r="D105" s="282" t="s">
        <v>55</v>
      </c>
      <c r="E105" s="285">
        <v>25</v>
      </c>
      <c r="F105" s="283">
        <v>4.45</v>
      </c>
      <c r="G105" s="284">
        <f t="shared" ref="G105:G117" si="16">TRUNC(F105*$J$13,2)</f>
        <v>5.53</v>
      </c>
      <c r="H105" s="284">
        <f t="shared" si="15"/>
        <v>138.25</v>
      </c>
      <c r="I105" s="312"/>
      <c r="J105" s="33"/>
      <c r="K105" s="232"/>
      <c r="L105" s="33"/>
      <c r="M105" s="36"/>
      <c r="N105" s="46"/>
      <c r="O105" s="36"/>
      <c r="P105" s="49"/>
      <c r="Q105" s="36"/>
      <c r="R105" s="36"/>
      <c r="S105" s="493">
        <v>25</v>
      </c>
      <c r="T105" s="493">
        <v>4.45</v>
      </c>
      <c r="U105" s="493">
        <v>5.6</v>
      </c>
      <c r="V105" s="493">
        <v>140</v>
      </c>
    </row>
    <row r="106" spans="1:22" s="38" customFormat="1" ht="31.2" outlineLevel="1" x14ac:dyDescent="0.25">
      <c r="A106" s="282" t="s">
        <v>236</v>
      </c>
      <c r="B106" s="280">
        <v>91836</v>
      </c>
      <c r="C106" s="281" t="s">
        <v>130</v>
      </c>
      <c r="D106" s="282" t="s">
        <v>55</v>
      </c>
      <c r="E106" s="285">
        <v>24</v>
      </c>
      <c r="F106" s="283">
        <v>7.55</v>
      </c>
      <c r="G106" s="284">
        <f t="shared" si="16"/>
        <v>9.39</v>
      </c>
      <c r="H106" s="284">
        <f t="shared" si="15"/>
        <v>225.36</v>
      </c>
      <c r="I106" s="312"/>
      <c r="J106" s="33"/>
      <c r="K106" s="232"/>
      <c r="L106" s="33"/>
      <c r="M106" s="36"/>
      <c r="N106" s="46"/>
      <c r="O106" s="36"/>
      <c r="P106" s="49"/>
      <c r="Q106" s="36"/>
      <c r="R106" s="36"/>
      <c r="S106" s="493">
        <v>24</v>
      </c>
      <c r="T106" s="493">
        <v>7.55</v>
      </c>
      <c r="U106" s="493">
        <v>9.51</v>
      </c>
      <c r="V106" s="493">
        <v>228.24</v>
      </c>
    </row>
    <row r="107" spans="1:22" s="48" customFormat="1" ht="31.2" outlineLevel="1" x14ac:dyDescent="0.25">
      <c r="A107" s="282" t="s">
        <v>237</v>
      </c>
      <c r="B107" s="280">
        <v>91869</v>
      </c>
      <c r="C107" s="281" t="s">
        <v>132</v>
      </c>
      <c r="D107" s="282" t="s">
        <v>55</v>
      </c>
      <c r="E107" s="285">
        <v>120</v>
      </c>
      <c r="F107" s="283">
        <v>10.32</v>
      </c>
      <c r="G107" s="284">
        <f t="shared" si="16"/>
        <v>12.83</v>
      </c>
      <c r="H107" s="284">
        <f t="shared" si="15"/>
        <v>1539.6</v>
      </c>
      <c r="I107" s="312"/>
      <c r="J107" s="33"/>
      <c r="K107" s="235"/>
      <c r="L107" s="33"/>
      <c r="M107" s="35"/>
      <c r="N107" s="14"/>
      <c r="O107" s="35"/>
      <c r="P107" s="40"/>
      <c r="Q107" s="35"/>
      <c r="R107" s="35"/>
      <c r="S107" s="493">
        <v>120</v>
      </c>
      <c r="T107" s="493">
        <v>10.32</v>
      </c>
      <c r="U107" s="493">
        <v>13</v>
      </c>
      <c r="V107" s="493">
        <v>1560</v>
      </c>
    </row>
    <row r="108" spans="1:22" s="48" customFormat="1" outlineLevel="1" x14ac:dyDescent="0.25">
      <c r="A108" s="282" t="s">
        <v>238</v>
      </c>
      <c r="B108" s="280">
        <v>91941</v>
      </c>
      <c r="C108" s="281" t="s">
        <v>150</v>
      </c>
      <c r="D108" s="282" t="s">
        <v>44</v>
      </c>
      <c r="E108" s="285">
        <v>60</v>
      </c>
      <c r="F108" s="283">
        <v>6.8</v>
      </c>
      <c r="G108" s="284">
        <f t="shared" si="16"/>
        <v>8.4499999999999993</v>
      </c>
      <c r="H108" s="284">
        <f t="shared" si="15"/>
        <v>507</v>
      </c>
      <c r="I108" s="312"/>
      <c r="J108" s="33"/>
      <c r="K108" s="232"/>
      <c r="L108" s="33"/>
      <c r="M108" s="35"/>
      <c r="N108" s="14"/>
      <c r="O108" s="35"/>
      <c r="P108" s="40"/>
      <c r="Q108" s="35"/>
      <c r="R108" s="35"/>
      <c r="S108" s="493">
        <v>60</v>
      </c>
      <c r="T108" s="493">
        <v>6.8</v>
      </c>
      <c r="U108" s="493">
        <v>8.56</v>
      </c>
      <c r="V108" s="493">
        <v>513.6</v>
      </c>
    </row>
    <row r="109" spans="1:22" s="48" customFormat="1" outlineLevel="1" x14ac:dyDescent="0.25">
      <c r="A109" s="282" t="s">
        <v>239</v>
      </c>
      <c r="B109" s="280">
        <v>95778</v>
      </c>
      <c r="C109" s="281" t="s">
        <v>168</v>
      </c>
      <c r="D109" s="282" t="s">
        <v>55</v>
      </c>
      <c r="E109" s="285">
        <v>120</v>
      </c>
      <c r="F109" s="283">
        <v>20.28</v>
      </c>
      <c r="G109" s="284">
        <f t="shared" si="16"/>
        <v>25.22</v>
      </c>
      <c r="H109" s="284">
        <f t="shared" si="15"/>
        <v>3026.4</v>
      </c>
      <c r="I109" s="312"/>
      <c r="J109" s="33"/>
      <c r="K109" s="232"/>
      <c r="L109" s="33"/>
      <c r="M109" s="35"/>
      <c r="N109" s="14"/>
      <c r="O109" s="35"/>
      <c r="P109" s="40"/>
      <c r="Q109" s="35"/>
      <c r="R109" s="35"/>
      <c r="S109" s="493">
        <v>120</v>
      </c>
      <c r="T109" s="493">
        <v>20.28</v>
      </c>
      <c r="U109" s="493">
        <v>25.55</v>
      </c>
      <c r="V109" s="493">
        <v>3066</v>
      </c>
    </row>
    <row r="110" spans="1:22" s="38" customFormat="1" outlineLevel="1" x14ac:dyDescent="0.25">
      <c r="A110" s="282" t="s">
        <v>240</v>
      </c>
      <c r="B110" s="292">
        <v>98294</v>
      </c>
      <c r="C110" s="291" t="s">
        <v>170</v>
      </c>
      <c r="D110" s="282" t="s">
        <v>55</v>
      </c>
      <c r="E110" s="285">
        <v>2000</v>
      </c>
      <c r="F110" s="283">
        <v>1.65</v>
      </c>
      <c r="G110" s="284">
        <f t="shared" si="16"/>
        <v>2.0499999999999998</v>
      </c>
      <c r="H110" s="284">
        <f t="shared" si="15"/>
        <v>4100</v>
      </c>
      <c r="I110" s="312"/>
      <c r="J110" s="33"/>
      <c r="K110" s="232"/>
      <c r="L110" s="33"/>
      <c r="M110" s="36"/>
      <c r="N110" s="46"/>
      <c r="O110" s="36"/>
      <c r="P110" s="49"/>
      <c r="Q110" s="36"/>
      <c r="R110" s="36"/>
      <c r="S110" s="493">
        <v>2000</v>
      </c>
      <c r="T110" s="493">
        <v>1.65</v>
      </c>
      <c r="U110" s="493">
        <v>2.0699999999999998</v>
      </c>
      <c r="V110" s="493">
        <v>4140</v>
      </c>
    </row>
    <row r="111" spans="1:22" s="38" customFormat="1" outlineLevel="1" x14ac:dyDescent="0.25">
      <c r="A111" s="282" t="s">
        <v>241</v>
      </c>
      <c r="B111" s="292">
        <v>98296</v>
      </c>
      <c r="C111" s="291" t="s">
        <v>172</v>
      </c>
      <c r="D111" s="282" t="s">
        <v>55</v>
      </c>
      <c r="E111" s="285">
        <v>900</v>
      </c>
      <c r="F111" s="283">
        <v>2.52</v>
      </c>
      <c r="G111" s="284">
        <f t="shared" si="16"/>
        <v>3.13</v>
      </c>
      <c r="H111" s="284">
        <f t="shared" si="15"/>
        <v>2817</v>
      </c>
      <c r="I111" s="312"/>
      <c r="J111" s="33"/>
      <c r="K111" s="232"/>
      <c r="L111" s="33"/>
      <c r="M111" s="36"/>
      <c r="N111" s="46"/>
      <c r="O111" s="36"/>
      <c r="P111" s="49"/>
      <c r="Q111" s="36"/>
      <c r="R111" s="36"/>
      <c r="S111" s="493">
        <v>900</v>
      </c>
      <c r="T111" s="493">
        <v>2.52</v>
      </c>
      <c r="U111" s="493">
        <v>3.17</v>
      </c>
      <c r="V111" s="493">
        <v>2853</v>
      </c>
    </row>
    <row r="112" spans="1:22" s="38" customFormat="1" outlineLevel="1" x14ac:dyDescent="0.25">
      <c r="A112" s="282" t="s">
        <v>242</v>
      </c>
      <c r="B112" s="280">
        <v>98302</v>
      </c>
      <c r="C112" s="289" t="s">
        <v>174</v>
      </c>
      <c r="D112" s="282" t="s">
        <v>44</v>
      </c>
      <c r="E112" s="285">
        <v>4</v>
      </c>
      <c r="F112" s="283">
        <v>497.66</v>
      </c>
      <c r="G112" s="284">
        <f t="shared" si="16"/>
        <v>619.03</v>
      </c>
      <c r="H112" s="284">
        <f t="shared" si="15"/>
        <v>2476.12</v>
      </c>
      <c r="I112" s="312"/>
      <c r="J112" s="33"/>
      <c r="K112" s="232"/>
      <c r="L112" s="33"/>
      <c r="M112" s="36"/>
      <c r="N112" s="46"/>
      <c r="O112" s="36"/>
      <c r="P112" s="49"/>
      <c r="Q112" s="36"/>
      <c r="R112" s="36"/>
      <c r="S112" s="493">
        <v>4</v>
      </c>
      <c r="T112" s="493">
        <v>497.66</v>
      </c>
      <c r="U112" s="493">
        <v>627.04999999999995</v>
      </c>
      <c r="V112" s="493">
        <v>2508.1999999999998</v>
      </c>
    </row>
    <row r="113" spans="1:22" s="38" customFormat="1" outlineLevel="1" x14ac:dyDescent="0.25">
      <c r="A113" s="282" t="s">
        <v>243</v>
      </c>
      <c r="B113" s="280">
        <v>98593</v>
      </c>
      <c r="C113" s="293" t="s">
        <v>176</v>
      </c>
      <c r="D113" s="282" t="s">
        <v>44</v>
      </c>
      <c r="E113" s="285">
        <v>2</v>
      </c>
      <c r="F113" s="283">
        <v>650.59</v>
      </c>
      <c r="G113" s="284">
        <f t="shared" si="16"/>
        <v>809.26</v>
      </c>
      <c r="H113" s="284">
        <f t="shared" si="15"/>
        <v>1618.52</v>
      </c>
      <c r="I113" s="312"/>
      <c r="J113" s="33"/>
      <c r="K113" s="232"/>
      <c r="L113" s="33"/>
      <c r="M113" s="36"/>
      <c r="N113" s="46"/>
      <c r="O113" s="36"/>
      <c r="P113" s="49"/>
      <c r="Q113" s="36"/>
      <c r="R113" s="36"/>
      <c r="S113" s="493">
        <v>2</v>
      </c>
      <c r="T113" s="493">
        <v>650.59</v>
      </c>
      <c r="U113" s="493">
        <v>819.74</v>
      </c>
      <c r="V113" s="493">
        <v>1639.48</v>
      </c>
    </row>
    <row r="114" spans="1:22" s="38" customFormat="1" ht="31.2" outlineLevel="1" x14ac:dyDescent="0.25">
      <c r="A114" s="282" t="s">
        <v>244</v>
      </c>
      <c r="B114" s="280" t="s">
        <v>178</v>
      </c>
      <c r="C114" s="289" t="s">
        <v>179</v>
      </c>
      <c r="D114" s="282" t="s">
        <v>44</v>
      </c>
      <c r="E114" s="285">
        <v>1</v>
      </c>
      <c r="F114" s="283">
        <f>'COMPOSIÇÃO SINAPI W MENDES'!G2794</f>
        <v>1488.24</v>
      </c>
      <c r="G114" s="284">
        <f t="shared" si="16"/>
        <v>1851.22</v>
      </c>
      <c r="H114" s="284">
        <f t="shared" si="15"/>
        <v>1851.22</v>
      </c>
      <c r="I114" s="312"/>
      <c r="J114" s="33"/>
      <c r="K114" s="232"/>
      <c r="L114" s="33"/>
      <c r="M114" s="36"/>
      <c r="N114" s="46"/>
      <c r="O114" s="36"/>
      <c r="P114" s="49"/>
      <c r="Q114" s="36"/>
      <c r="R114" s="36"/>
      <c r="S114" s="493">
        <v>1</v>
      </c>
      <c r="T114" s="493">
        <v>1489.4</v>
      </c>
      <c r="U114" s="493">
        <v>1876.64</v>
      </c>
      <c r="V114" s="493">
        <v>1876.64</v>
      </c>
    </row>
    <row r="115" spans="1:22" s="38" customFormat="1" outlineLevel="1" x14ac:dyDescent="0.25">
      <c r="A115" s="282" t="s">
        <v>368</v>
      </c>
      <c r="B115" s="280">
        <v>98308</v>
      </c>
      <c r="C115" s="281" t="s">
        <v>180</v>
      </c>
      <c r="D115" s="282" t="s">
        <v>44</v>
      </c>
      <c r="E115" s="285">
        <v>6</v>
      </c>
      <c r="F115" s="283">
        <v>18.43</v>
      </c>
      <c r="G115" s="284">
        <f>TRUNC(F115*$J$13,2)</f>
        <v>22.92</v>
      </c>
      <c r="H115" s="284">
        <f>TRUNC(E115*G115,2)</f>
        <v>137.52000000000001</v>
      </c>
      <c r="I115" s="312"/>
      <c r="J115" s="33"/>
      <c r="K115" s="232"/>
      <c r="L115" s="33"/>
      <c r="M115" s="36"/>
      <c r="N115" s="46"/>
      <c r="O115" s="36"/>
      <c r="P115" s="49"/>
      <c r="Q115" s="36"/>
      <c r="R115" s="36"/>
      <c r="S115" s="493">
        <v>6</v>
      </c>
      <c r="T115" s="493">
        <v>18.43</v>
      </c>
      <c r="U115" s="493">
        <v>23.22</v>
      </c>
      <c r="V115" s="493">
        <v>139.32</v>
      </c>
    </row>
    <row r="116" spans="1:22" s="31" customFormat="1" outlineLevel="1" x14ac:dyDescent="0.25">
      <c r="A116" s="282" t="s">
        <v>339</v>
      </c>
      <c r="B116" s="280">
        <v>98307</v>
      </c>
      <c r="C116" s="281" t="s">
        <v>182</v>
      </c>
      <c r="D116" s="282" t="s">
        <v>44</v>
      </c>
      <c r="E116" s="285">
        <v>60</v>
      </c>
      <c r="F116" s="283">
        <v>27.38</v>
      </c>
      <c r="G116" s="284">
        <f t="shared" si="16"/>
        <v>34.049999999999997</v>
      </c>
      <c r="H116" s="284">
        <f t="shared" si="15"/>
        <v>2043</v>
      </c>
      <c r="I116" s="312"/>
      <c r="J116" s="25"/>
      <c r="K116" s="229"/>
      <c r="L116" s="25"/>
      <c r="M116" s="29"/>
      <c r="N116" s="46"/>
      <c r="O116" s="29"/>
      <c r="P116" s="50"/>
      <c r="Q116" s="29"/>
      <c r="R116" s="29"/>
      <c r="S116" s="494">
        <v>60</v>
      </c>
      <c r="T116" s="494">
        <v>27.38</v>
      </c>
      <c r="U116" s="494">
        <v>34.49</v>
      </c>
      <c r="V116" s="494">
        <v>2069.4</v>
      </c>
    </row>
    <row r="117" spans="1:22" s="38" customFormat="1" ht="31.2" outlineLevel="1" x14ac:dyDescent="0.25">
      <c r="A117" s="282" t="s">
        <v>340</v>
      </c>
      <c r="B117" s="280">
        <v>100560</v>
      </c>
      <c r="C117" s="281" t="s">
        <v>184</v>
      </c>
      <c r="D117" s="282" t="s">
        <v>185</v>
      </c>
      <c r="E117" s="285">
        <v>1</v>
      </c>
      <c r="F117" s="283">
        <v>80.44</v>
      </c>
      <c r="G117" s="284">
        <f t="shared" si="16"/>
        <v>100.05</v>
      </c>
      <c r="H117" s="284">
        <f t="shared" si="15"/>
        <v>100.05</v>
      </c>
      <c r="I117" s="312"/>
      <c r="J117" s="33"/>
      <c r="K117" s="232"/>
      <c r="L117" s="33"/>
      <c r="M117" s="35"/>
      <c r="N117" s="14"/>
      <c r="O117" s="35"/>
      <c r="P117" s="40"/>
      <c r="Q117" s="36"/>
      <c r="R117" s="37"/>
      <c r="S117" s="493">
        <v>1</v>
      </c>
      <c r="T117" s="493">
        <v>80.44</v>
      </c>
      <c r="U117" s="493">
        <v>101.35</v>
      </c>
      <c r="V117" s="493">
        <v>101.35</v>
      </c>
    </row>
    <row r="118" spans="1:22" s="13" customFormat="1" outlineLevel="1" x14ac:dyDescent="0.25">
      <c r="A118" s="279" t="s">
        <v>206</v>
      </c>
      <c r="B118" s="279"/>
      <c r="C118" s="294" t="s">
        <v>187</v>
      </c>
      <c r="D118" s="558"/>
      <c r="E118" s="296"/>
      <c r="F118" s="403"/>
      <c r="G118" s="296" t="s">
        <v>38</v>
      </c>
      <c r="H118" s="558"/>
      <c r="I118" s="559">
        <f>SUM(H119:H136)</f>
        <v>8008.5400000000009</v>
      </c>
      <c r="J118" s="24"/>
      <c r="K118" s="197"/>
      <c r="L118" s="317">
        <f>SUM(H120:H136)</f>
        <v>8008.5400000000009</v>
      </c>
      <c r="M118" s="2">
        <f>I118-L118</f>
        <v>0</v>
      </c>
      <c r="N118" s="14"/>
      <c r="O118" s="2"/>
      <c r="P118" s="3"/>
      <c r="Q118" s="12"/>
      <c r="R118" s="4"/>
    </row>
    <row r="119" spans="1:22" s="13" customFormat="1" outlineLevel="1" x14ac:dyDescent="0.25">
      <c r="A119" s="279" t="s">
        <v>208</v>
      </c>
      <c r="B119" s="280"/>
      <c r="C119" s="294" t="s">
        <v>189</v>
      </c>
      <c r="D119" s="282"/>
      <c r="E119" s="288"/>
      <c r="F119" s="297"/>
      <c r="G119" s="288"/>
      <c r="H119" s="298"/>
      <c r="I119" s="312"/>
      <c r="J119" s="24"/>
      <c r="K119" s="197"/>
      <c r="L119" s="7"/>
      <c r="M119" s="2"/>
      <c r="N119" s="14"/>
      <c r="O119" s="2"/>
      <c r="P119" s="3"/>
      <c r="Q119" s="12"/>
      <c r="R119" s="4"/>
    </row>
    <row r="120" spans="1:22" s="38" customFormat="1" outlineLevel="1" x14ac:dyDescent="0.25">
      <c r="A120" s="282" t="s">
        <v>688</v>
      </c>
      <c r="B120" s="280">
        <v>90443</v>
      </c>
      <c r="C120" s="281" t="s">
        <v>190</v>
      </c>
      <c r="D120" s="282" t="s">
        <v>55</v>
      </c>
      <c r="E120" s="285">
        <v>12</v>
      </c>
      <c r="F120" s="283">
        <v>8.9499999999999993</v>
      </c>
      <c r="G120" s="284">
        <f>TRUNC(F120*$J$13,2)</f>
        <v>11.13</v>
      </c>
      <c r="H120" s="284">
        <f t="shared" ref="H120:H129" si="17">TRUNC(E120*G120,2)</f>
        <v>133.56</v>
      </c>
      <c r="I120" s="312"/>
      <c r="J120" s="33"/>
      <c r="K120" s="233"/>
      <c r="L120" s="34"/>
      <c r="M120" s="35"/>
      <c r="N120" s="14"/>
      <c r="O120" s="35"/>
      <c r="P120" s="40"/>
      <c r="Q120" s="36"/>
      <c r="R120" s="37"/>
      <c r="S120" s="236">
        <v>12</v>
      </c>
      <c r="T120" s="236">
        <v>8.9499999999999993</v>
      </c>
      <c r="U120" s="236">
        <v>11.27</v>
      </c>
      <c r="V120" s="236">
        <v>135.24</v>
      </c>
    </row>
    <row r="121" spans="1:22" s="23" customFormat="1" outlineLevel="1" x14ac:dyDescent="0.25">
      <c r="A121" s="279" t="s">
        <v>689</v>
      </c>
      <c r="B121" s="280">
        <v>86895</v>
      </c>
      <c r="C121" s="281" t="s">
        <v>191</v>
      </c>
      <c r="D121" s="282" t="s">
        <v>44</v>
      </c>
      <c r="E121" s="285">
        <v>6</v>
      </c>
      <c r="F121" s="283">
        <v>269.19</v>
      </c>
      <c r="G121" s="284">
        <f t="shared" ref="G121:G136" si="18">TRUNC(F121*$J$13,2)</f>
        <v>334.84</v>
      </c>
      <c r="H121" s="284">
        <f t="shared" si="17"/>
        <v>2009.04</v>
      </c>
      <c r="I121" s="312"/>
      <c r="J121" s="33"/>
      <c r="K121" s="233"/>
      <c r="L121" s="34"/>
      <c r="M121" s="43"/>
      <c r="N121" s="51"/>
      <c r="O121" s="43"/>
      <c r="P121" s="44"/>
      <c r="Q121" s="19"/>
      <c r="R121" s="43"/>
      <c r="S121" s="492">
        <v>6</v>
      </c>
      <c r="T121" s="492">
        <v>269.19</v>
      </c>
      <c r="U121" s="492">
        <v>339.17</v>
      </c>
      <c r="V121" s="492">
        <v>2035.02</v>
      </c>
    </row>
    <row r="122" spans="1:22" s="23" customFormat="1" outlineLevel="1" x14ac:dyDescent="0.25">
      <c r="A122" s="282" t="s">
        <v>690</v>
      </c>
      <c r="B122" s="280">
        <v>86901</v>
      </c>
      <c r="C122" s="281" t="s">
        <v>192</v>
      </c>
      <c r="D122" s="282" t="s">
        <v>44</v>
      </c>
      <c r="E122" s="285">
        <v>6</v>
      </c>
      <c r="F122" s="283">
        <v>108.45</v>
      </c>
      <c r="G122" s="284">
        <f t="shared" si="18"/>
        <v>134.9</v>
      </c>
      <c r="H122" s="284">
        <f t="shared" si="17"/>
        <v>809.4</v>
      </c>
      <c r="I122" s="312"/>
      <c r="J122" s="33"/>
      <c r="K122" s="233"/>
      <c r="L122" s="34"/>
      <c r="M122" s="43"/>
      <c r="N122" s="51"/>
      <c r="O122" s="43"/>
      <c r="P122" s="44"/>
      <c r="Q122" s="19"/>
      <c r="R122" s="43"/>
      <c r="S122" s="492">
        <v>6</v>
      </c>
      <c r="T122" s="492">
        <v>108.45</v>
      </c>
      <c r="U122" s="492">
        <v>136.63999999999999</v>
      </c>
      <c r="V122" s="492">
        <v>819.84</v>
      </c>
    </row>
    <row r="123" spans="1:22" s="23" customFormat="1" outlineLevel="1" x14ac:dyDescent="0.25">
      <c r="A123" s="279" t="s">
        <v>691</v>
      </c>
      <c r="B123" s="280">
        <v>86915</v>
      </c>
      <c r="C123" s="281" t="s">
        <v>193</v>
      </c>
      <c r="D123" s="282" t="s">
        <v>44</v>
      </c>
      <c r="E123" s="285">
        <v>6</v>
      </c>
      <c r="F123" s="283">
        <v>84.78</v>
      </c>
      <c r="G123" s="284">
        <f t="shared" si="18"/>
        <v>105.45</v>
      </c>
      <c r="H123" s="284">
        <f t="shared" si="17"/>
        <v>632.70000000000005</v>
      </c>
      <c r="I123" s="312"/>
      <c r="J123" s="33"/>
      <c r="K123" s="233"/>
      <c r="L123" s="34"/>
      <c r="M123" s="43"/>
      <c r="N123" s="51"/>
      <c r="O123" s="43"/>
      <c r="P123" s="44"/>
      <c r="Q123" s="19"/>
      <c r="R123" s="43"/>
      <c r="S123" s="492">
        <v>6</v>
      </c>
      <c r="T123" s="492">
        <v>84.78</v>
      </c>
      <c r="U123" s="492">
        <v>106.82</v>
      </c>
      <c r="V123" s="492">
        <v>640.91999999999996</v>
      </c>
    </row>
    <row r="124" spans="1:22" s="52" customFormat="1" outlineLevel="1" x14ac:dyDescent="0.25">
      <c r="A124" s="282" t="s">
        <v>692</v>
      </c>
      <c r="B124" s="280">
        <v>99635</v>
      </c>
      <c r="C124" s="281" t="s">
        <v>194</v>
      </c>
      <c r="D124" s="282" t="s">
        <v>44</v>
      </c>
      <c r="E124" s="285">
        <v>2</v>
      </c>
      <c r="F124" s="283">
        <v>184.35</v>
      </c>
      <c r="G124" s="284">
        <f t="shared" si="18"/>
        <v>229.31</v>
      </c>
      <c r="H124" s="284">
        <f t="shared" si="17"/>
        <v>458.62</v>
      </c>
      <c r="I124" s="312"/>
      <c r="J124" s="33"/>
      <c r="K124" s="233"/>
      <c r="L124" s="34"/>
      <c r="M124" s="35"/>
      <c r="N124" s="14"/>
      <c r="O124" s="35"/>
      <c r="P124" s="40"/>
      <c r="Q124" s="37"/>
      <c r="R124" s="37"/>
      <c r="S124" s="236">
        <v>2</v>
      </c>
      <c r="T124" s="236">
        <v>184.35</v>
      </c>
      <c r="U124" s="236">
        <v>232.28</v>
      </c>
      <c r="V124" s="236">
        <v>464.56</v>
      </c>
    </row>
    <row r="125" spans="1:22" s="52" customFormat="1" ht="31.2" outlineLevel="1" x14ac:dyDescent="0.25">
      <c r="A125" s="279" t="s">
        <v>693</v>
      </c>
      <c r="B125" s="280">
        <v>89714</v>
      </c>
      <c r="C125" s="281" t="s">
        <v>195</v>
      </c>
      <c r="D125" s="282" t="s">
        <v>55</v>
      </c>
      <c r="E125" s="285">
        <v>6</v>
      </c>
      <c r="F125" s="283">
        <v>42.17</v>
      </c>
      <c r="G125" s="284">
        <f>TRUNC(F125*$J$13,2)</f>
        <v>52.45</v>
      </c>
      <c r="H125" s="284">
        <f t="shared" si="17"/>
        <v>314.7</v>
      </c>
      <c r="I125" s="312"/>
      <c r="J125" s="33"/>
      <c r="K125" s="233"/>
      <c r="L125" s="34"/>
      <c r="M125" s="35"/>
      <c r="N125" s="14"/>
      <c r="O125" s="35"/>
      <c r="P125" s="40"/>
      <c r="Q125" s="37"/>
      <c r="R125" s="37"/>
      <c r="S125" s="236">
        <v>6</v>
      </c>
      <c r="T125" s="236">
        <v>42.17</v>
      </c>
      <c r="U125" s="236">
        <v>53.13</v>
      </c>
      <c r="V125" s="236">
        <v>318.77999999999997</v>
      </c>
    </row>
    <row r="126" spans="1:22" s="52" customFormat="1" ht="31.2" outlineLevel="1" x14ac:dyDescent="0.25">
      <c r="A126" s="282" t="s">
        <v>694</v>
      </c>
      <c r="B126" s="280">
        <v>89712</v>
      </c>
      <c r="C126" s="281" t="s">
        <v>196</v>
      </c>
      <c r="D126" s="282" t="s">
        <v>55</v>
      </c>
      <c r="E126" s="285">
        <v>8</v>
      </c>
      <c r="F126" s="283">
        <v>21.1</v>
      </c>
      <c r="G126" s="284">
        <f>TRUNC(F126*$J$13,2)</f>
        <v>26.24</v>
      </c>
      <c r="H126" s="284">
        <f t="shared" si="17"/>
        <v>209.92</v>
      </c>
      <c r="I126" s="312"/>
      <c r="J126" s="33"/>
      <c r="K126" s="233"/>
      <c r="L126" s="34"/>
      <c r="M126" s="35"/>
      <c r="N126" s="14"/>
      <c r="O126" s="35"/>
      <c r="P126" s="40"/>
      <c r="Q126" s="37"/>
      <c r="R126" s="37"/>
      <c r="S126" s="236">
        <v>8</v>
      </c>
      <c r="T126" s="236">
        <v>21.1</v>
      </c>
      <c r="U126" s="236">
        <v>26.58</v>
      </c>
      <c r="V126" s="236">
        <v>212.64</v>
      </c>
    </row>
    <row r="127" spans="1:22" s="52" customFormat="1" ht="31.2" outlineLevel="1" x14ac:dyDescent="0.25">
      <c r="A127" s="279" t="s">
        <v>695</v>
      </c>
      <c r="B127" s="280">
        <v>89567</v>
      </c>
      <c r="C127" s="281" t="s">
        <v>197</v>
      </c>
      <c r="D127" s="282" t="s">
        <v>44</v>
      </c>
      <c r="E127" s="285">
        <v>2</v>
      </c>
      <c r="F127" s="283">
        <v>57.95</v>
      </c>
      <c r="G127" s="284">
        <f>TRUNC(F127*$J$13,2)</f>
        <v>72.08</v>
      </c>
      <c r="H127" s="284">
        <f t="shared" si="17"/>
        <v>144.16</v>
      </c>
      <c r="I127" s="312"/>
      <c r="J127" s="33"/>
      <c r="K127" s="233"/>
      <c r="L127" s="34"/>
      <c r="M127" s="35"/>
      <c r="N127" s="14"/>
      <c r="O127" s="35"/>
      <c r="P127" s="40"/>
      <c r="Q127" s="37"/>
      <c r="R127" s="37"/>
      <c r="S127" s="236">
        <v>2</v>
      </c>
      <c r="T127" s="236">
        <v>57.95</v>
      </c>
      <c r="U127" s="236">
        <v>73.010000000000005</v>
      </c>
      <c r="V127" s="236">
        <v>146.02000000000001</v>
      </c>
    </row>
    <row r="128" spans="1:22" s="52" customFormat="1" ht="31.2" outlineLevel="1" x14ac:dyDescent="0.25">
      <c r="A128" s="282" t="s">
        <v>696</v>
      </c>
      <c r="B128" s="280">
        <v>89731</v>
      </c>
      <c r="C128" s="281" t="s">
        <v>198</v>
      </c>
      <c r="D128" s="282" t="s">
        <v>44</v>
      </c>
      <c r="E128" s="285">
        <v>6</v>
      </c>
      <c r="F128" s="283">
        <v>8.56</v>
      </c>
      <c r="G128" s="284">
        <f>TRUNC(F128*$J$13,2)</f>
        <v>10.64</v>
      </c>
      <c r="H128" s="284">
        <f t="shared" si="17"/>
        <v>63.84</v>
      </c>
      <c r="I128" s="312"/>
      <c r="J128" s="33"/>
      <c r="K128" s="233"/>
      <c r="L128" s="34"/>
      <c r="M128" s="35"/>
      <c r="N128" s="14"/>
      <c r="O128" s="35"/>
      <c r="P128" s="40"/>
      <c r="Q128" s="37"/>
      <c r="R128" s="37"/>
      <c r="S128" s="236">
        <v>6</v>
      </c>
      <c r="T128" s="236">
        <v>8.56</v>
      </c>
      <c r="U128" s="236">
        <v>10.78</v>
      </c>
      <c r="V128" s="236">
        <v>64.680000000000007</v>
      </c>
    </row>
    <row r="129" spans="1:22" s="52" customFormat="1" ht="31.2" outlineLevel="1" x14ac:dyDescent="0.25">
      <c r="A129" s="279" t="s">
        <v>697</v>
      </c>
      <c r="B129" s="280">
        <v>89744</v>
      </c>
      <c r="C129" s="281" t="s">
        <v>199</v>
      </c>
      <c r="D129" s="282" t="s">
        <v>44</v>
      </c>
      <c r="E129" s="285">
        <v>6</v>
      </c>
      <c r="F129" s="283">
        <v>18.88</v>
      </c>
      <c r="G129" s="284">
        <f>TRUNC(F129*$J$13,2)</f>
        <v>23.48</v>
      </c>
      <c r="H129" s="284">
        <f t="shared" si="17"/>
        <v>140.88</v>
      </c>
      <c r="I129" s="312"/>
      <c r="J129" s="33"/>
      <c r="K129" s="233"/>
      <c r="L129" s="34"/>
      <c r="M129" s="35"/>
      <c r="N129" s="14"/>
      <c r="O129" s="35"/>
      <c r="P129" s="40"/>
      <c r="Q129" s="37"/>
      <c r="R129" s="37"/>
      <c r="S129" s="236">
        <v>6</v>
      </c>
      <c r="T129" s="236">
        <v>18.88</v>
      </c>
      <c r="U129" s="236">
        <v>23.78</v>
      </c>
      <c r="V129" s="236">
        <v>142.68</v>
      </c>
    </row>
    <row r="130" spans="1:22" s="52" customFormat="1" outlineLevel="1" x14ac:dyDescent="0.25">
      <c r="A130" s="282" t="s">
        <v>252</v>
      </c>
      <c r="B130" s="280"/>
      <c r="C130" s="294" t="s">
        <v>201</v>
      </c>
      <c r="D130" s="282"/>
      <c r="E130" s="285"/>
      <c r="F130" s="283"/>
      <c r="G130" s="284"/>
      <c r="H130" s="284"/>
      <c r="I130" s="312"/>
      <c r="J130" s="33"/>
      <c r="K130" s="232"/>
      <c r="L130" s="33"/>
      <c r="M130" s="35"/>
      <c r="N130" s="14"/>
      <c r="O130" s="35"/>
      <c r="P130" s="40"/>
      <c r="Q130" s="37"/>
      <c r="S130" s="236"/>
      <c r="T130" s="236"/>
      <c r="U130" s="236"/>
      <c r="V130" s="236"/>
    </row>
    <row r="131" spans="1:22" s="48" customFormat="1" outlineLevel="1" x14ac:dyDescent="0.25">
      <c r="A131" s="282" t="s">
        <v>698</v>
      </c>
      <c r="B131" s="280">
        <v>95544</v>
      </c>
      <c r="C131" s="281" t="s">
        <v>202</v>
      </c>
      <c r="D131" s="282" t="s">
        <v>44</v>
      </c>
      <c r="E131" s="285">
        <v>6</v>
      </c>
      <c r="F131" s="283">
        <v>30.21</v>
      </c>
      <c r="G131" s="284">
        <f t="shared" si="18"/>
        <v>37.57</v>
      </c>
      <c r="H131" s="284">
        <f t="shared" ref="H131:H136" si="19">TRUNC(E131*G131,2)</f>
        <v>225.42</v>
      </c>
      <c r="I131" s="312"/>
      <c r="J131" s="33"/>
      <c r="K131" s="232"/>
      <c r="L131" s="33"/>
      <c r="M131" s="35"/>
      <c r="N131" s="14"/>
      <c r="O131" s="35"/>
      <c r="P131" s="40"/>
      <c r="Q131" s="35"/>
      <c r="S131" s="236">
        <v>6</v>
      </c>
      <c r="T131" s="236">
        <v>30.21</v>
      </c>
      <c r="U131" s="236">
        <v>38.06</v>
      </c>
      <c r="V131" s="236">
        <v>228.36</v>
      </c>
    </row>
    <row r="132" spans="1:22" s="48" customFormat="1" outlineLevel="1" x14ac:dyDescent="0.25">
      <c r="A132" s="282" t="s">
        <v>699</v>
      </c>
      <c r="B132" s="280">
        <v>95545</v>
      </c>
      <c r="C132" s="281" t="s">
        <v>203</v>
      </c>
      <c r="D132" s="282" t="s">
        <v>44</v>
      </c>
      <c r="E132" s="285">
        <v>6</v>
      </c>
      <c r="F132" s="283">
        <v>29.63</v>
      </c>
      <c r="G132" s="284">
        <f t="shared" si="18"/>
        <v>36.85</v>
      </c>
      <c r="H132" s="284">
        <f t="shared" si="19"/>
        <v>221.1</v>
      </c>
      <c r="I132" s="312"/>
      <c r="J132" s="33"/>
      <c r="K132" s="232"/>
      <c r="L132" s="33"/>
      <c r="M132" s="35"/>
      <c r="N132" s="14"/>
      <c r="O132" s="35"/>
      <c r="P132" s="40"/>
      <c r="Q132" s="35"/>
      <c r="S132" s="236">
        <v>6</v>
      </c>
      <c r="T132" s="236">
        <v>29.63</v>
      </c>
      <c r="U132" s="236">
        <v>37.33</v>
      </c>
      <c r="V132" s="236">
        <v>223.98</v>
      </c>
    </row>
    <row r="133" spans="1:22" s="48" customFormat="1" ht="31.2" outlineLevel="1" x14ac:dyDescent="0.25">
      <c r="A133" s="282" t="s">
        <v>700</v>
      </c>
      <c r="B133" s="280">
        <v>95471</v>
      </c>
      <c r="C133" s="281" t="s">
        <v>204</v>
      </c>
      <c r="D133" s="282" t="s">
        <v>44</v>
      </c>
      <c r="E133" s="285">
        <v>1</v>
      </c>
      <c r="F133" s="283">
        <v>611.63</v>
      </c>
      <c r="G133" s="284">
        <f>TRUNC(F133*$J$13,2)</f>
        <v>760.8</v>
      </c>
      <c r="H133" s="284">
        <f t="shared" si="19"/>
        <v>760.8</v>
      </c>
      <c r="I133" s="312"/>
      <c r="J133" s="33"/>
      <c r="K133" s="232"/>
      <c r="L133" s="33"/>
      <c r="M133" s="35"/>
      <c r="N133" s="14"/>
      <c r="O133" s="35"/>
      <c r="P133" s="40"/>
      <c r="Q133" s="35"/>
      <c r="S133" s="236">
        <v>1</v>
      </c>
      <c r="T133" s="236">
        <v>611.63</v>
      </c>
      <c r="U133" s="236">
        <v>770.65</v>
      </c>
      <c r="V133" s="236">
        <v>770.65</v>
      </c>
    </row>
    <row r="134" spans="1:22" s="48" customFormat="1" outlineLevel="1" x14ac:dyDescent="0.25">
      <c r="A134" s="282" t="s">
        <v>701</v>
      </c>
      <c r="B134" s="280" t="s">
        <v>810</v>
      </c>
      <c r="C134" s="281" t="s">
        <v>808</v>
      </c>
      <c r="D134" s="295" t="s">
        <v>185</v>
      </c>
      <c r="E134" s="285">
        <v>2</v>
      </c>
      <c r="F134" s="283">
        <f>'COMPOSIÇÃO SINAPI W MENDES'!G930</f>
        <v>234.28</v>
      </c>
      <c r="G134" s="284">
        <f>TRUNC(F134*$J$13,2)</f>
        <v>291.42</v>
      </c>
      <c r="H134" s="284">
        <f t="shared" si="19"/>
        <v>582.84</v>
      </c>
      <c r="I134" s="312"/>
      <c r="J134" s="33"/>
      <c r="K134" s="232"/>
      <c r="L134" s="33"/>
      <c r="M134" s="35"/>
      <c r="N134" s="14"/>
      <c r="O134" s="35"/>
      <c r="P134" s="40"/>
      <c r="Q134" s="35"/>
      <c r="S134" s="236">
        <v>2</v>
      </c>
      <c r="T134" s="236">
        <v>234.43</v>
      </c>
      <c r="U134" s="236">
        <v>295.38</v>
      </c>
      <c r="V134" s="236">
        <v>590.76</v>
      </c>
    </row>
    <row r="135" spans="1:22" s="48" customFormat="1" outlineLevel="1" x14ac:dyDescent="0.25">
      <c r="A135" s="282" t="s">
        <v>816</v>
      </c>
      <c r="B135" s="280" t="s">
        <v>811</v>
      </c>
      <c r="C135" s="281" t="s">
        <v>809</v>
      </c>
      <c r="D135" s="295" t="s">
        <v>185</v>
      </c>
      <c r="E135" s="285">
        <v>1</v>
      </c>
      <c r="F135" s="283">
        <f>'COMPOSIÇÃO SINAPI W MENDES'!G936</f>
        <v>198.73999999999998</v>
      </c>
      <c r="G135" s="284">
        <f>TRUNC(F135*$J$13,2)</f>
        <v>247.21</v>
      </c>
      <c r="H135" s="284">
        <f t="shared" si="19"/>
        <v>247.21</v>
      </c>
      <c r="I135" s="312"/>
      <c r="J135" s="33"/>
      <c r="K135" s="232"/>
      <c r="L135" s="33"/>
      <c r="M135" s="35"/>
      <c r="N135" s="14"/>
      <c r="O135" s="35"/>
      <c r="P135" s="40"/>
      <c r="Q135" s="35"/>
      <c r="S135" s="236">
        <v>1</v>
      </c>
      <c r="T135" s="236">
        <v>198.89</v>
      </c>
      <c r="U135" s="236">
        <v>250.6</v>
      </c>
      <c r="V135" s="236">
        <v>250.6</v>
      </c>
    </row>
    <row r="136" spans="1:22" s="52" customFormat="1" ht="31.2" outlineLevel="1" x14ac:dyDescent="0.25">
      <c r="A136" s="282" t="s">
        <v>817</v>
      </c>
      <c r="B136" s="280">
        <v>95470</v>
      </c>
      <c r="C136" s="281" t="s">
        <v>205</v>
      </c>
      <c r="D136" s="282" t="s">
        <v>44</v>
      </c>
      <c r="E136" s="285">
        <v>5</v>
      </c>
      <c r="F136" s="283">
        <v>169.53</v>
      </c>
      <c r="G136" s="284">
        <f t="shared" si="18"/>
        <v>210.87</v>
      </c>
      <c r="H136" s="284">
        <f t="shared" si="19"/>
        <v>1054.3499999999999</v>
      </c>
      <c r="I136" s="312"/>
      <c r="J136" s="33"/>
      <c r="K136" s="232"/>
      <c r="L136" s="33"/>
      <c r="M136" s="35"/>
      <c r="N136" s="14"/>
      <c r="O136" s="35"/>
      <c r="P136" s="40"/>
      <c r="Q136" s="37"/>
      <c r="R136" s="37"/>
      <c r="S136" s="236">
        <v>5</v>
      </c>
      <c r="T136" s="236">
        <v>169.53</v>
      </c>
      <c r="U136" s="236">
        <v>213.6</v>
      </c>
      <c r="V136" s="236">
        <v>1068</v>
      </c>
    </row>
    <row r="137" spans="1:22" s="52" customFormat="1" outlineLevel="1" x14ac:dyDescent="0.25">
      <c r="A137" s="279" t="s">
        <v>211</v>
      </c>
      <c r="B137" s="279"/>
      <c r="C137" s="294" t="s">
        <v>207</v>
      </c>
      <c r="D137" s="558"/>
      <c r="E137" s="294"/>
      <c r="F137" s="403"/>
      <c r="G137" s="296" t="s">
        <v>38</v>
      </c>
      <c r="H137" s="294"/>
      <c r="I137" s="559">
        <f>SUM(H138:H139)</f>
        <v>2047.36</v>
      </c>
      <c r="J137" s="24"/>
      <c r="K137" s="197"/>
      <c r="L137" s="317">
        <f>SUM(H138:H139)</f>
        <v>2047.36</v>
      </c>
      <c r="M137" s="35">
        <f>I137-L137</f>
        <v>0</v>
      </c>
      <c r="N137" s="53"/>
      <c r="O137" s="35"/>
      <c r="P137" s="40"/>
      <c r="Q137" s="37"/>
      <c r="R137" s="4"/>
    </row>
    <row r="138" spans="1:22" s="52" customFormat="1" outlineLevel="1" x14ac:dyDescent="0.25">
      <c r="A138" s="282" t="s">
        <v>213</v>
      </c>
      <c r="B138" s="280">
        <v>72178</v>
      </c>
      <c r="C138" s="281" t="s">
        <v>50</v>
      </c>
      <c r="D138" s="282" t="s">
        <v>24</v>
      </c>
      <c r="E138" s="285">
        <v>32</v>
      </c>
      <c r="F138" s="283">
        <v>22.6</v>
      </c>
      <c r="G138" s="284">
        <f>TRUNC(F138*$J$13,2)</f>
        <v>28.11</v>
      </c>
      <c r="H138" s="284">
        <f>TRUNC(E138*G138,2)</f>
        <v>899.52</v>
      </c>
      <c r="I138" s="297"/>
      <c r="J138" s="33"/>
      <c r="K138" s="232"/>
      <c r="L138" s="33"/>
      <c r="M138" s="35"/>
      <c r="N138" s="53"/>
      <c r="O138" s="35"/>
      <c r="P138" s="40"/>
      <c r="Q138" s="37"/>
      <c r="R138" s="37"/>
      <c r="S138" s="236">
        <v>32</v>
      </c>
      <c r="T138" s="236">
        <v>22.6</v>
      </c>
      <c r="U138" s="236">
        <v>28.47</v>
      </c>
      <c r="V138" s="236">
        <v>911.04</v>
      </c>
    </row>
    <row r="139" spans="1:22" s="52" customFormat="1" ht="31.2" outlineLevel="1" x14ac:dyDescent="0.25">
      <c r="A139" s="282" t="s">
        <v>278</v>
      </c>
      <c r="B139" s="280">
        <v>72181</v>
      </c>
      <c r="C139" s="291" t="s">
        <v>210</v>
      </c>
      <c r="D139" s="282" t="s">
        <v>24</v>
      </c>
      <c r="E139" s="285">
        <v>32</v>
      </c>
      <c r="F139" s="283">
        <v>28.84</v>
      </c>
      <c r="G139" s="284">
        <f>TRUNC(F139*$J$13,2)</f>
        <v>35.869999999999997</v>
      </c>
      <c r="H139" s="284">
        <f>TRUNC(E139*G139,2)</f>
        <v>1147.8399999999999</v>
      </c>
      <c r="I139" s="297"/>
      <c r="J139" s="33"/>
      <c r="K139" s="236"/>
      <c r="M139" s="35"/>
      <c r="N139" s="53"/>
      <c r="O139" s="35"/>
      <c r="P139" s="40"/>
      <c r="Q139" s="37"/>
      <c r="R139" s="37"/>
      <c r="S139" s="236">
        <v>32</v>
      </c>
      <c r="T139" s="236">
        <v>28.84</v>
      </c>
      <c r="U139" s="236">
        <v>36.33</v>
      </c>
      <c r="V139" s="236">
        <v>1162.56</v>
      </c>
    </row>
    <row r="140" spans="1:22" s="52" customFormat="1" outlineLevel="1" x14ac:dyDescent="0.25">
      <c r="A140" s="279">
        <v>11</v>
      </c>
      <c r="B140" s="296"/>
      <c r="C140" s="294" t="s">
        <v>212</v>
      </c>
      <c r="D140" s="558"/>
      <c r="E140" s="294"/>
      <c r="F140" s="403"/>
      <c r="G140" s="294"/>
      <c r="H140" s="558"/>
      <c r="I140" s="404">
        <f>SUM(H141:H141)</f>
        <v>3062</v>
      </c>
      <c r="J140" s="33"/>
      <c r="K140" s="236"/>
      <c r="L140" s="318">
        <f>SUM(H141)</f>
        <v>3062</v>
      </c>
      <c r="M140" s="35">
        <f>I140-L140</f>
        <v>0</v>
      </c>
      <c r="N140" s="53"/>
      <c r="O140" s="35"/>
      <c r="P140" s="40"/>
      <c r="Q140" s="37"/>
      <c r="R140" s="37"/>
    </row>
    <row r="141" spans="1:22" s="52" customFormat="1" outlineLevel="1" x14ac:dyDescent="0.25">
      <c r="A141" s="282" t="s">
        <v>300</v>
      </c>
      <c r="B141" s="280">
        <v>96114</v>
      </c>
      <c r="C141" s="289" t="s">
        <v>639</v>
      </c>
      <c r="D141" s="282" t="s">
        <v>24</v>
      </c>
      <c r="E141" s="285">
        <v>50</v>
      </c>
      <c r="F141" s="283">
        <f>'COMPOSIÇÃO SINAPI W MENDES'!G967</f>
        <v>49.239999999999995</v>
      </c>
      <c r="G141" s="284">
        <f>TRUNC(F141*$J$13,2)</f>
        <v>61.24</v>
      </c>
      <c r="H141" s="284">
        <f>TRUNC(E141*G141,2)</f>
        <v>3062</v>
      </c>
      <c r="I141" s="297"/>
      <c r="J141" s="33"/>
      <c r="K141" s="236"/>
      <c r="M141" s="35"/>
      <c r="N141" s="53"/>
      <c r="O141" s="35"/>
      <c r="P141" s="40"/>
      <c r="Q141" s="37"/>
      <c r="R141" s="37"/>
      <c r="S141" s="495">
        <v>50</v>
      </c>
      <c r="T141" s="495">
        <v>56.98</v>
      </c>
      <c r="U141" s="198">
        <f>TRUNC(T141*$J$13,2)</f>
        <v>70.87</v>
      </c>
      <c r="V141" s="198">
        <f>TRUNC(S141*U141,2)</f>
        <v>3543.5</v>
      </c>
    </row>
    <row r="142" spans="1:22" s="52" customFormat="1" x14ac:dyDescent="0.25">
      <c r="A142" s="282"/>
      <c r="B142" s="280"/>
      <c r="C142" s="289"/>
      <c r="D142" s="282"/>
      <c r="E142" s="296"/>
      <c r="F142" s="297"/>
      <c r="G142" s="288"/>
      <c r="H142" s="298"/>
      <c r="I142" s="297"/>
      <c r="J142" s="33"/>
      <c r="K142" s="232"/>
      <c r="L142" s="33"/>
      <c r="M142" s="35"/>
      <c r="N142" s="53"/>
      <c r="O142" s="35"/>
      <c r="P142" s="40"/>
      <c r="Q142" s="37"/>
      <c r="R142" s="37"/>
    </row>
    <row r="143" spans="1:22" s="23" customFormat="1" x14ac:dyDescent="0.25">
      <c r="A143" s="561" t="s">
        <v>215</v>
      </c>
      <c r="B143" s="506"/>
      <c r="C143" s="508"/>
      <c r="D143" s="562"/>
      <c r="E143" s="508"/>
      <c r="F143" s="563"/>
      <c r="G143" s="296" t="s">
        <v>19</v>
      </c>
      <c r="H143" s="564"/>
      <c r="I143" s="565">
        <f>SUM(I144:I259)</f>
        <v>261095.31</v>
      </c>
      <c r="J143" s="17" t="s">
        <v>36</v>
      </c>
      <c r="K143" s="227"/>
      <c r="L143" s="18"/>
      <c r="M143" s="19"/>
      <c r="N143" s="54"/>
      <c r="O143" s="19"/>
      <c r="P143" s="21"/>
      <c r="Q143" s="19"/>
      <c r="R143" s="22"/>
    </row>
    <row r="144" spans="1:22" s="60" customFormat="1" outlineLevel="1" x14ac:dyDescent="0.25">
      <c r="A144" s="279" t="s">
        <v>20</v>
      </c>
      <c r="B144" s="279"/>
      <c r="C144" s="294" t="s">
        <v>37</v>
      </c>
      <c r="D144" s="558"/>
      <c r="E144" s="294"/>
      <c r="F144" s="403"/>
      <c r="G144" s="296" t="s">
        <v>38</v>
      </c>
      <c r="H144" s="558"/>
      <c r="I144" s="559">
        <f>SUM(H145:H152)</f>
        <v>6609.62</v>
      </c>
      <c r="J144" s="55"/>
      <c r="K144" s="237"/>
      <c r="L144" s="319">
        <f>SUM(H145:H152)</f>
        <v>6609.62</v>
      </c>
      <c r="M144" s="57">
        <f>I144-L144</f>
        <v>0</v>
      </c>
      <c r="N144" s="58"/>
      <c r="O144" s="57"/>
      <c r="P144" s="59"/>
      <c r="Q144" s="57"/>
      <c r="R144" s="57"/>
    </row>
    <row r="145" spans="1:22" s="60" customFormat="1" outlineLevel="1" x14ac:dyDescent="0.25">
      <c r="A145" s="282" t="s">
        <v>22</v>
      </c>
      <c r="B145" s="286" t="s">
        <v>39</v>
      </c>
      <c r="C145" s="288" t="s">
        <v>40</v>
      </c>
      <c r="D145" s="282" t="s">
        <v>41</v>
      </c>
      <c r="E145" s="285">
        <f t="shared" ref="E145:E156" si="20">J145</f>
        <v>8.8869999999999987</v>
      </c>
      <c r="F145" s="283">
        <f>'COMPOSIÇÃO SINAPI W MENDES'!G311</f>
        <v>209.74</v>
      </c>
      <c r="G145" s="284">
        <f t="shared" ref="G145:G156" si="21">TRUNC(F145*$J$13,2)</f>
        <v>260.89</v>
      </c>
      <c r="H145" s="284">
        <f t="shared" ref="H145:H156" si="22">TRUNC(E145*G145,2)</f>
        <v>2318.52</v>
      </c>
      <c r="I145" s="283"/>
      <c r="J145" s="55">
        <f>(131.35+18.78+18.78+1.44+7.39)*0.05</f>
        <v>8.8869999999999987</v>
      </c>
      <c r="K145" s="237"/>
      <c r="L145" s="56"/>
      <c r="M145" s="57"/>
      <c r="N145" s="58"/>
      <c r="O145" s="57"/>
      <c r="P145" s="59"/>
      <c r="Q145" s="57"/>
      <c r="R145" s="57"/>
      <c r="S145" s="496">
        <v>8.8869999999999987</v>
      </c>
      <c r="T145" s="496">
        <v>216.762</v>
      </c>
      <c r="U145" s="496">
        <v>273.12</v>
      </c>
      <c r="V145" s="496">
        <v>2427.21</v>
      </c>
    </row>
    <row r="146" spans="1:22" s="60" customFormat="1" outlineLevel="1" x14ac:dyDescent="0.25">
      <c r="A146" s="282" t="s">
        <v>25</v>
      </c>
      <c r="B146" s="286">
        <v>97633</v>
      </c>
      <c r="C146" s="281" t="s">
        <v>42</v>
      </c>
      <c r="D146" s="287" t="s">
        <v>24</v>
      </c>
      <c r="E146" s="285">
        <f t="shared" si="20"/>
        <v>86.961000000000013</v>
      </c>
      <c r="F146" s="283">
        <v>14.85</v>
      </c>
      <c r="G146" s="284">
        <f t="shared" si="21"/>
        <v>18.47</v>
      </c>
      <c r="H146" s="284">
        <f t="shared" si="22"/>
        <v>1606.16</v>
      </c>
      <c r="I146" s="283"/>
      <c r="J146" s="55">
        <f>(18.3+18.3+4.81)*2.1</f>
        <v>86.961000000000013</v>
      </c>
      <c r="K146" s="237"/>
      <c r="L146" s="56"/>
      <c r="M146" s="57"/>
      <c r="N146" s="58"/>
      <c r="O146" s="57"/>
      <c r="P146" s="59"/>
      <c r="Q146" s="57"/>
      <c r="R146" s="57"/>
      <c r="S146" s="496">
        <v>86.961000000000013</v>
      </c>
      <c r="T146" s="496">
        <v>14.85</v>
      </c>
      <c r="U146" s="496">
        <v>18.71</v>
      </c>
      <c r="V146" s="496">
        <v>1627.04</v>
      </c>
    </row>
    <row r="147" spans="1:22" s="60" customFormat="1" outlineLevel="1" x14ac:dyDescent="0.25">
      <c r="A147" s="282" t="s">
        <v>56</v>
      </c>
      <c r="B147" s="286">
        <v>97644</v>
      </c>
      <c r="C147" s="288" t="s">
        <v>43</v>
      </c>
      <c r="D147" s="287" t="s">
        <v>44</v>
      </c>
      <c r="E147" s="285">
        <f t="shared" si="20"/>
        <v>32</v>
      </c>
      <c r="F147" s="283">
        <v>6.04</v>
      </c>
      <c r="G147" s="284">
        <f t="shared" si="21"/>
        <v>7.51</v>
      </c>
      <c r="H147" s="284">
        <f t="shared" si="22"/>
        <v>240.32</v>
      </c>
      <c r="I147" s="283"/>
      <c r="J147" s="55">
        <v>32</v>
      </c>
      <c r="K147" s="237"/>
      <c r="L147" s="56"/>
      <c r="M147" s="57"/>
      <c r="N147" s="58"/>
      <c r="O147" s="57"/>
      <c r="P147" s="59"/>
      <c r="Q147" s="57"/>
      <c r="R147" s="57"/>
      <c r="S147" s="496">
        <v>32</v>
      </c>
      <c r="T147" s="496">
        <v>6.04</v>
      </c>
      <c r="U147" s="496">
        <v>7.61</v>
      </c>
      <c r="V147" s="496">
        <v>243.52</v>
      </c>
    </row>
    <row r="148" spans="1:22" s="60" customFormat="1" outlineLevel="1" x14ac:dyDescent="0.25">
      <c r="A148" s="282" t="s">
        <v>216</v>
      </c>
      <c r="B148" s="286">
        <v>97663</v>
      </c>
      <c r="C148" s="288" t="s">
        <v>45</v>
      </c>
      <c r="D148" s="287" t="s">
        <v>44</v>
      </c>
      <c r="E148" s="285">
        <f t="shared" si="20"/>
        <v>22</v>
      </c>
      <c r="F148" s="283">
        <v>8.07</v>
      </c>
      <c r="G148" s="284">
        <f t="shared" si="21"/>
        <v>10.029999999999999</v>
      </c>
      <c r="H148" s="284">
        <f t="shared" si="22"/>
        <v>220.66</v>
      </c>
      <c r="I148" s="283"/>
      <c r="J148" s="55">
        <v>22</v>
      </c>
      <c r="K148" s="237"/>
      <c r="L148" s="56"/>
      <c r="M148" s="57"/>
      <c r="N148" s="58"/>
      <c r="O148" s="57"/>
      <c r="P148" s="59"/>
      <c r="Q148" s="57"/>
      <c r="R148" s="57"/>
      <c r="S148" s="496">
        <v>22</v>
      </c>
      <c r="T148" s="496">
        <v>8.07</v>
      </c>
      <c r="U148" s="496">
        <v>10.16</v>
      </c>
      <c r="V148" s="496">
        <v>223.52</v>
      </c>
    </row>
    <row r="149" spans="1:22" s="60" customFormat="1" outlineLevel="1" x14ac:dyDescent="0.25">
      <c r="A149" s="282" t="s">
        <v>217</v>
      </c>
      <c r="B149" s="286">
        <v>97666</v>
      </c>
      <c r="C149" s="281" t="s">
        <v>46</v>
      </c>
      <c r="D149" s="287" t="s">
        <v>44</v>
      </c>
      <c r="E149" s="285">
        <f t="shared" si="20"/>
        <v>22</v>
      </c>
      <c r="F149" s="283">
        <v>5.88</v>
      </c>
      <c r="G149" s="284">
        <f t="shared" si="21"/>
        <v>7.31</v>
      </c>
      <c r="H149" s="284">
        <f t="shared" si="22"/>
        <v>160.82</v>
      </c>
      <c r="I149" s="283"/>
      <c r="J149" s="55">
        <v>22</v>
      </c>
      <c r="K149" s="237"/>
      <c r="L149" s="56"/>
      <c r="M149" s="57"/>
      <c r="N149" s="58"/>
      <c r="O149" s="57"/>
      <c r="P149" s="59"/>
      <c r="Q149" s="57"/>
      <c r="R149" s="57"/>
      <c r="S149" s="496">
        <v>22</v>
      </c>
      <c r="T149" s="496">
        <v>5.88</v>
      </c>
      <c r="U149" s="496">
        <v>7.4</v>
      </c>
      <c r="V149" s="496">
        <v>162.80000000000001</v>
      </c>
    </row>
    <row r="150" spans="1:22" s="60" customFormat="1" outlineLevel="1" x14ac:dyDescent="0.25">
      <c r="A150" s="282" t="s">
        <v>218</v>
      </c>
      <c r="B150" s="280">
        <v>97622</v>
      </c>
      <c r="C150" s="281" t="s">
        <v>47</v>
      </c>
      <c r="D150" s="282" t="s">
        <v>41</v>
      </c>
      <c r="E150" s="285">
        <f t="shared" si="20"/>
        <v>8.4238499999999998</v>
      </c>
      <c r="F150" s="283">
        <v>37.39</v>
      </c>
      <c r="G150" s="284">
        <f t="shared" si="21"/>
        <v>46.5</v>
      </c>
      <c r="H150" s="284">
        <f t="shared" si="22"/>
        <v>391.7</v>
      </c>
      <c r="I150" s="283"/>
      <c r="J150" s="55">
        <f>((3.25+1+3.47)*3.2+0.8*2.1+59.55*0.5)*0.15</f>
        <v>8.4238499999999998</v>
      </c>
      <c r="K150" s="237"/>
      <c r="L150" s="56"/>
      <c r="M150" s="57"/>
      <c r="N150" s="58"/>
      <c r="O150" s="57"/>
      <c r="P150" s="59"/>
      <c r="Q150" s="57"/>
      <c r="R150" s="57"/>
      <c r="S150" s="496">
        <v>8.4238499999999998</v>
      </c>
      <c r="T150" s="496">
        <v>37.39</v>
      </c>
      <c r="U150" s="496">
        <v>47.11</v>
      </c>
      <c r="V150" s="496">
        <v>396.84</v>
      </c>
    </row>
    <row r="151" spans="1:22" s="60" customFormat="1" outlineLevel="1" x14ac:dyDescent="0.25">
      <c r="A151" s="282" t="s">
        <v>219</v>
      </c>
      <c r="B151" s="286" t="s">
        <v>48</v>
      </c>
      <c r="C151" s="288" t="s">
        <v>49</v>
      </c>
      <c r="D151" s="287" t="s">
        <v>24</v>
      </c>
      <c r="E151" s="285">
        <f t="shared" si="20"/>
        <v>20.52</v>
      </c>
      <c r="F151" s="283">
        <f>'COMPOSIÇÃO SINAPI W MENDES'!G1004</f>
        <v>16.200000000000003</v>
      </c>
      <c r="G151" s="284">
        <f t="shared" si="21"/>
        <v>20.149999999999999</v>
      </c>
      <c r="H151" s="284">
        <f t="shared" si="22"/>
        <v>413.47</v>
      </c>
      <c r="I151" s="283"/>
      <c r="J151" s="55">
        <f>(6*1.2+1.7+0.1+0.3+1.7+0.1+0.3)*1.8</f>
        <v>20.52</v>
      </c>
      <c r="K151" s="237"/>
      <c r="L151" s="56"/>
      <c r="M151" s="57"/>
      <c r="N151" s="58"/>
      <c r="O151" s="57"/>
      <c r="P151" s="59"/>
      <c r="Q151" s="57"/>
      <c r="R151" s="57"/>
      <c r="S151" s="496">
        <v>20.52</v>
      </c>
      <c r="T151" s="496">
        <v>16.420000000000002</v>
      </c>
      <c r="U151" s="496">
        <v>20.68</v>
      </c>
      <c r="V151" s="496">
        <v>424.35</v>
      </c>
    </row>
    <row r="152" spans="1:22" s="60" customFormat="1" outlineLevel="1" x14ac:dyDescent="0.25">
      <c r="A152" s="282" t="s">
        <v>220</v>
      </c>
      <c r="B152" s="286">
        <v>72178</v>
      </c>
      <c r="C152" s="288" t="s">
        <v>50</v>
      </c>
      <c r="D152" s="282" t="s">
        <v>24</v>
      </c>
      <c r="E152" s="285">
        <f t="shared" si="20"/>
        <v>44.75200000000001</v>
      </c>
      <c r="F152" s="283">
        <v>22.6</v>
      </c>
      <c r="G152" s="284">
        <f t="shared" si="21"/>
        <v>28.11</v>
      </c>
      <c r="H152" s="284">
        <f t="shared" si="22"/>
        <v>1257.97</v>
      </c>
      <c r="I152" s="283"/>
      <c r="J152" s="55">
        <f>(5.15+6.06)*3.2+(2.6+4.8)*1.2</f>
        <v>44.75200000000001</v>
      </c>
      <c r="K152" s="237"/>
      <c r="L152" s="56"/>
      <c r="M152" s="57"/>
      <c r="N152" s="58"/>
      <c r="O152" s="57"/>
      <c r="P152" s="59"/>
      <c r="Q152" s="57"/>
      <c r="R152" s="57"/>
      <c r="S152" s="496">
        <v>44.75200000000001</v>
      </c>
      <c r="T152" s="496">
        <v>22.6</v>
      </c>
      <c r="U152" s="496">
        <v>28.47</v>
      </c>
      <c r="V152" s="496">
        <v>1274.08</v>
      </c>
    </row>
    <row r="153" spans="1:22" s="60" customFormat="1" outlineLevel="1" x14ac:dyDescent="0.25">
      <c r="A153" s="279" t="s">
        <v>60</v>
      </c>
      <c r="B153" s="279"/>
      <c r="C153" s="294" t="s">
        <v>221</v>
      </c>
      <c r="D153" s="558"/>
      <c r="E153" s="294"/>
      <c r="F153" s="403"/>
      <c r="G153" s="296" t="s">
        <v>38</v>
      </c>
      <c r="H153" s="558"/>
      <c r="I153" s="559">
        <f>SUM(H154:H156)</f>
        <v>36234.310000000005</v>
      </c>
      <c r="J153" s="55"/>
      <c r="K153" s="237"/>
      <c r="L153" s="319">
        <f>SUM(H154:H156)</f>
        <v>36234.310000000005</v>
      </c>
      <c r="M153" s="57">
        <f>I153-L153</f>
        <v>0</v>
      </c>
      <c r="N153" s="58"/>
      <c r="O153" s="57"/>
      <c r="P153" s="59"/>
      <c r="Q153" s="57"/>
      <c r="R153" s="57"/>
    </row>
    <row r="154" spans="1:22" s="60" customFormat="1" ht="31.2" outlineLevel="1" x14ac:dyDescent="0.25">
      <c r="A154" s="282" t="s">
        <v>64</v>
      </c>
      <c r="B154" s="280">
        <v>87477</v>
      </c>
      <c r="C154" s="281" t="s">
        <v>70</v>
      </c>
      <c r="D154" s="282" t="s">
        <v>24</v>
      </c>
      <c r="E154" s="285">
        <f>J154</f>
        <v>79.359000000000009</v>
      </c>
      <c r="F154" s="283">
        <v>40.9</v>
      </c>
      <c r="G154" s="284">
        <f>TRUNC(F154*$J$13,2)</f>
        <v>50.87</v>
      </c>
      <c r="H154" s="284">
        <f>TRUNC(E154*G154,2)</f>
        <v>4036.99</v>
      </c>
      <c r="I154" s="297"/>
      <c r="J154" s="25">
        <f>1.2*1.1*6+0.8*2.1*6+(6.4+3.47)*3.2+59.55*0.5</f>
        <v>79.359000000000009</v>
      </c>
      <c r="K154" s="237"/>
      <c r="L154" s="56"/>
      <c r="M154" s="57"/>
      <c r="N154" s="58"/>
      <c r="O154" s="57"/>
      <c r="P154" s="59"/>
      <c r="Q154" s="57"/>
      <c r="R154" s="57"/>
      <c r="S154" s="497">
        <v>79.359000000000009</v>
      </c>
      <c r="T154" s="497">
        <v>40.9</v>
      </c>
      <c r="U154" s="497">
        <v>51.53</v>
      </c>
      <c r="V154" s="497">
        <v>4089.36</v>
      </c>
    </row>
    <row r="155" spans="1:22" s="60" customFormat="1" ht="31.2" outlineLevel="1" x14ac:dyDescent="0.25">
      <c r="A155" s="282" t="s">
        <v>69</v>
      </c>
      <c r="B155" s="286">
        <v>79627</v>
      </c>
      <c r="C155" s="281" t="s">
        <v>222</v>
      </c>
      <c r="D155" s="287" t="s">
        <v>24</v>
      </c>
      <c r="E155" s="299">
        <f>J155</f>
        <v>20.52</v>
      </c>
      <c r="F155" s="300">
        <v>658</v>
      </c>
      <c r="G155" s="301">
        <f>TRUNC(F155*$J$13,2)</f>
        <v>818.48</v>
      </c>
      <c r="H155" s="301">
        <f>TRUNC(E155*G155,2)</f>
        <v>16795.2</v>
      </c>
      <c r="I155" s="283"/>
      <c r="J155" s="55">
        <f>(6*1.2+1.7+0.1+0.3+1.7+0.1+0.3)*1.8</f>
        <v>20.52</v>
      </c>
      <c r="K155" s="237"/>
      <c r="L155" s="278"/>
      <c r="M155" s="57"/>
      <c r="N155" s="58"/>
      <c r="O155" s="57"/>
      <c r="P155" s="59"/>
      <c r="Q155" s="57"/>
      <c r="R155" s="57"/>
      <c r="S155" s="497">
        <v>20.52</v>
      </c>
      <c r="T155" s="497">
        <v>658</v>
      </c>
      <c r="U155" s="497">
        <v>829.08</v>
      </c>
      <c r="V155" s="497">
        <v>17012.72</v>
      </c>
    </row>
    <row r="156" spans="1:22" s="60" customFormat="1" ht="31.2" outlineLevel="1" x14ac:dyDescent="0.25">
      <c r="A156" s="282" t="s">
        <v>72</v>
      </c>
      <c r="B156" s="286">
        <v>96359</v>
      </c>
      <c r="C156" s="281" t="s">
        <v>223</v>
      </c>
      <c r="D156" s="282" t="s">
        <v>24</v>
      </c>
      <c r="E156" s="285">
        <f t="shared" si="20"/>
        <v>156.22400000000002</v>
      </c>
      <c r="F156" s="283">
        <v>79.260000000000005</v>
      </c>
      <c r="G156" s="284">
        <f t="shared" si="21"/>
        <v>98.59</v>
      </c>
      <c r="H156" s="284">
        <f t="shared" si="22"/>
        <v>15402.12</v>
      </c>
      <c r="I156" s="283"/>
      <c r="J156" s="55">
        <f>(5.25+6.06+2.55+3.97+1.18+4.18+5.25+5.25+3.67+4.18+3.38+3.9)*3.2</f>
        <v>156.22400000000002</v>
      </c>
      <c r="K156" s="237"/>
      <c r="L156" s="56"/>
      <c r="M156" s="57"/>
      <c r="N156" s="58"/>
      <c r="O156" s="57"/>
      <c r="P156" s="59"/>
      <c r="Q156" s="57"/>
      <c r="R156" s="57"/>
      <c r="S156" s="497">
        <v>156.22400000000002</v>
      </c>
      <c r="T156" s="497">
        <v>84.5</v>
      </c>
      <c r="U156" s="497">
        <v>106.47</v>
      </c>
      <c r="V156" s="497">
        <v>16633.16</v>
      </c>
    </row>
    <row r="157" spans="1:22" s="13" customFormat="1" outlineLevel="1" x14ac:dyDescent="0.25">
      <c r="A157" s="279" t="s">
        <v>74</v>
      </c>
      <c r="B157" s="279"/>
      <c r="C157" s="294" t="s">
        <v>51</v>
      </c>
      <c r="D157" s="550"/>
      <c r="E157" s="294"/>
      <c r="F157" s="403"/>
      <c r="G157" s="296" t="s">
        <v>38</v>
      </c>
      <c r="H157" s="558"/>
      <c r="I157" s="559">
        <f>SUM(H158:H159)</f>
        <v>19759.419999999998</v>
      </c>
      <c r="J157" s="24"/>
      <c r="K157" s="197"/>
      <c r="L157" s="317">
        <f>SUM(H158:H159)</f>
        <v>19759.419999999998</v>
      </c>
      <c r="M157" s="2">
        <f>I157-L157</f>
        <v>0</v>
      </c>
      <c r="N157" s="2"/>
      <c r="O157" s="2"/>
      <c r="P157" s="3"/>
      <c r="Q157" s="12"/>
      <c r="R157" s="4"/>
    </row>
    <row r="158" spans="1:22" s="13" customFormat="1" ht="46.8" outlineLevel="1" x14ac:dyDescent="0.25">
      <c r="A158" s="279" t="s">
        <v>77</v>
      </c>
      <c r="B158" s="280">
        <v>90843</v>
      </c>
      <c r="C158" s="281" t="s">
        <v>53</v>
      </c>
      <c r="D158" s="282" t="s">
        <v>44</v>
      </c>
      <c r="E158" s="285">
        <v>16</v>
      </c>
      <c r="F158" s="283">
        <f>'COMPOSIÇÃO SINAPI W MENDES'!G1048</f>
        <v>640</v>
      </c>
      <c r="G158" s="284">
        <f>TRUNC(F158*$J$13,2)</f>
        <v>796.09</v>
      </c>
      <c r="H158" s="284">
        <f>TRUNC(E158*G158,2)</f>
        <v>12737.44</v>
      </c>
      <c r="I158" s="297"/>
      <c r="J158" s="24">
        <v>32</v>
      </c>
      <c r="K158" s="197">
        <v>32</v>
      </c>
      <c r="L158" s="7"/>
      <c r="M158" s="2"/>
      <c r="N158" s="2"/>
      <c r="O158" s="2"/>
      <c r="P158" s="3"/>
      <c r="Q158" s="12"/>
      <c r="R158" s="4"/>
      <c r="S158" s="243">
        <v>16</v>
      </c>
      <c r="T158" s="243">
        <v>742.69</v>
      </c>
      <c r="U158" s="243">
        <v>935.78</v>
      </c>
      <c r="V158" s="243">
        <v>14972.48</v>
      </c>
    </row>
    <row r="159" spans="1:22" s="31" customFormat="1" ht="31.2" outlineLevel="1" x14ac:dyDescent="0.25">
      <c r="A159" s="279" t="s">
        <v>83</v>
      </c>
      <c r="B159" s="280">
        <v>91338</v>
      </c>
      <c r="C159" s="281" t="s">
        <v>57</v>
      </c>
      <c r="D159" s="282" t="s">
        <v>24</v>
      </c>
      <c r="E159" s="285">
        <f>J159</f>
        <v>6.48</v>
      </c>
      <c r="F159" s="283">
        <f>'COMPOSIÇÃO SINAPI W MENDES'!G1057</f>
        <v>871.17000000000007</v>
      </c>
      <c r="G159" s="284">
        <f>TRUNC(F159*$J$13,2)</f>
        <v>1083.6400000000001</v>
      </c>
      <c r="H159" s="284">
        <f>TRUNC(E159*G159,2)</f>
        <v>7021.98</v>
      </c>
      <c r="I159" s="297"/>
      <c r="J159" s="25">
        <f>0.8*1.2+0.9*1.2*2+0.8*2.1*2</f>
        <v>6.48</v>
      </c>
      <c r="K159" s="228" t="s">
        <v>58</v>
      </c>
      <c r="L159" s="26"/>
      <c r="M159" s="27">
        <f>(0.8*2.1)+(0.7*2.1*6)</f>
        <v>10.5</v>
      </c>
      <c r="N159" s="27"/>
      <c r="O159" s="27"/>
      <c r="P159" s="28" t="s">
        <v>59</v>
      </c>
      <c r="Q159" s="29"/>
      <c r="R159" s="30"/>
      <c r="S159" s="491">
        <v>6.48</v>
      </c>
      <c r="T159" s="491">
        <v>975.13</v>
      </c>
      <c r="U159" s="491">
        <v>1228.6600000000001</v>
      </c>
      <c r="V159" s="491">
        <v>7961.71</v>
      </c>
    </row>
    <row r="160" spans="1:22" s="13" customFormat="1" outlineLevel="1" x14ac:dyDescent="0.25">
      <c r="A160" s="279" t="s">
        <v>85</v>
      </c>
      <c r="B160" s="279"/>
      <c r="C160" s="294" t="s">
        <v>61</v>
      </c>
      <c r="D160" s="558"/>
      <c r="E160" s="294"/>
      <c r="F160" s="403"/>
      <c r="G160" s="296" t="s">
        <v>38</v>
      </c>
      <c r="H160" s="558"/>
      <c r="I160" s="559">
        <f>SUM(H161:H165)</f>
        <v>18336.440000000002</v>
      </c>
      <c r="J160" s="24"/>
      <c r="K160" s="197"/>
      <c r="L160" s="317">
        <f>SUM(H161:H165)</f>
        <v>18336.440000000002</v>
      </c>
      <c r="M160" s="2">
        <f>I160-L160</f>
        <v>0</v>
      </c>
      <c r="N160" s="2"/>
      <c r="O160" s="2"/>
      <c r="P160" s="3"/>
      <c r="Q160" s="12"/>
      <c r="R160" s="4"/>
    </row>
    <row r="161" spans="1:22" s="31" customFormat="1" ht="31.2" outlineLevel="1" x14ac:dyDescent="0.25">
      <c r="A161" s="282" t="s">
        <v>87</v>
      </c>
      <c r="B161" s="280">
        <v>87266</v>
      </c>
      <c r="C161" s="281" t="s">
        <v>65</v>
      </c>
      <c r="D161" s="282" t="s">
        <v>24</v>
      </c>
      <c r="E161" s="285">
        <f>J161</f>
        <v>168.042</v>
      </c>
      <c r="F161" s="283">
        <f>'COMPOSIÇÃO SINAPI W MENDES'!G1066</f>
        <v>32.790000000000006</v>
      </c>
      <c r="G161" s="284">
        <f>TRUNC(F161*$J$13,2)</f>
        <v>40.78</v>
      </c>
      <c r="H161" s="284">
        <f>TRUNC(E161*G161,2)</f>
        <v>6852.75</v>
      </c>
      <c r="I161" s="297"/>
      <c r="J161" s="25">
        <f>(4.81+16.16+18.79+18.62+9.8+11.84)*2.1</f>
        <v>168.042</v>
      </c>
      <c r="K161" s="229" t="s">
        <v>66</v>
      </c>
      <c r="L161" s="25"/>
      <c r="M161" s="27">
        <v>248.42</v>
      </c>
      <c r="N161" s="27"/>
      <c r="O161" s="27"/>
      <c r="P161" s="28" t="s">
        <v>68</v>
      </c>
      <c r="Q161" s="29"/>
      <c r="R161" s="30"/>
      <c r="S161" s="491">
        <v>168.042</v>
      </c>
      <c r="T161" s="491">
        <v>43.91</v>
      </c>
      <c r="U161" s="491">
        <v>55.32</v>
      </c>
      <c r="V161" s="491">
        <v>9296.08</v>
      </c>
    </row>
    <row r="162" spans="1:22" s="31" customFormat="1" ht="31.2" outlineLevel="1" x14ac:dyDescent="0.25">
      <c r="A162" s="282" t="s">
        <v>90</v>
      </c>
      <c r="B162" s="280">
        <v>87477</v>
      </c>
      <c r="C162" s="281" t="s">
        <v>70</v>
      </c>
      <c r="D162" s="282" t="s">
        <v>24</v>
      </c>
      <c r="E162" s="285">
        <f>J162</f>
        <v>70.359000000000009</v>
      </c>
      <c r="F162" s="283">
        <v>40.9</v>
      </c>
      <c r="G162" s="284">
        <f>TRUNC(F162*$J$13,2)</f>
        <v>50.87</v>
      </c>
      <c r="H162" s="284">
        <f>TRUNC(E162*G162,2)</f>
        <v>3579.16</v>
      </c>
      <c r="I162" s="297"/>
      <c r="J162" s="25">
        <f>1.2*1.1*3+0.8*2.1*3+(6.4+3.47)*3.2+59.55*0.5</f>
        <v>70.359000000000009</v>
      </c>
      <c r="K162" s="230" t="s">
        <v>224</v>
      </c>
      <c r="L162" s="25"/>
      <c r="M162" s="27">
        <f>40.65*3.3</f>
        <v>134.14499999999998</v>
      </c>
      <c r="N162" s="27"/>
      <c r="O162" s="27"/>
      <c r="P162" s="28"/>
      <c r="Q162" s="29"/>
      <c r="R162" s="30"/>
      <c r="S162" s="491">
        <v>70.359000000000009</v>
      </c>
      <c r="T162" s="491">
        <v>40.9</v>
      </c>
      <c r="U162" s="491">
        <v>51.53</v>
      </c>
      <c r="V162" s="491">
        <v>3625.59</v>
      </c>
    </row>
    <row r="163" spans="1:22" s="31" customFormat="1" ht="31.2" outlineLevel="1" x14ac:dyDescent="0.25">
      <c r="A163" s="282" t="s">
        <v>93</v>
      </c>
      <c r="B163" s="286">
        <v>87879</v>
      </c>
      <c r="C163" s="281" t="s">
        <v>225</v>
      </c>
      <c r="D163" s="282" t="s">
        <v>24</v>
      </c>
      <c r="E163" s="285">
        <f>J163</f>
        <v>140.71800000000002</v>
      </c>
      <c r="F163" s="283">
        <v>2.72</v>
      </c>
      <c r="G163" s="284">
        <f>TRUNC(F163*$J$13,2)</f>
        <v>3.38</v>
      </c>
      <c r="H163" s="284">
        <f>TRUNC(E163*G163,2)</f>
        <v>475.62</v>
      </c>
      <c r="I163" s="297"/>
      <c r="J163" s="25">
        <f>J165</f>
        <v>140.71800000000002</v>
      </c>
      <c r="K163" s="230"/>
      <c r="L163" s="25"/>
      <c r="M163" s="27"/>
      <c r="N163" s="27"/>
      <c r="O163" s="27"/>
      <c r="P163" s="28"/>
      <c r="Q163" s="29"/>
      <c r="R163" s="30"/>
      <c r="S163" s="491">
        <v>140.71800000000002</v>
      </c>
      <c r="T163" s="491">
        <v>2.72</v>
      </c>
      <c r="U163" s="491">
        <v>3.42</v>
      </c>
      <c r="V163" s="491">
        <v>481.25</v>
      </c>
    </row>
    <row r="164" spans="1:22" s="31" customFormat="1" ht="31.2" outlineLevel="1" x14ac:dyDescent="0.25">
      <c r="A164" s="282" t="s">
        <v>226</v>
      </c>
      <c r="B164" s="280">
        <v>87266</v>
      </c>
      <c r="C164" s="281" t="s">
        <v>65</v>
      </c>
      <c r="D164" s="282" t="s">
        <v>24</v>
      </c>
      <c r="E164" s="288">
        <v>85</v>
      </c>
      <c r="F164" s="283">
        <f>'COMPOSIÇÃO SINAPI W MENDES'!G1089</f>
        <v>32.790000000000006</v>
      </c>
      <c r="G164" s="284">
        <f>TRUNC(F164*$J$13,2)</f>
        <v>40.78</v>
      </c>
      <c r="H164" s="284">
        <f>TRUNC(E164*G164,2)</f>
        <v>3466.3</v>
      </c>
      <c r="I164" s="297"/>
      <c r="J164" s="25"/>
      <c r="K164" s="230"/>
      <c r="L164" s="25"/>
      <c r="M164" s="27"/>
      <c r="N164" s="27"/>
      <c r="O164" s="27"/>
      <c r="P164" s="28"/>
      <c r="Q164" s="29"/>
      <c r="R164" s="30"/>
      <c r="S164" s="491">
        <v>85</v>
      </c>
      <c r="T164" s="491">
        <v>43.91</v>
      </c>
      <c r="U164" s="491">
        <v>55.32</v>
      </c>
      <c r="V164" s="491">
        <v>4702.2</v>
      </c>
    </row>
    <row r="165" spans="1:22" s="31" customFormat="1" ht="31.2" outlineLevel="1" x14ac:dyDescent="0.25">
      <c r="A165" s="282" t="s">
        <v>394</v>
      </c>
      <c r="B165" s="280">
        <v>90408</v>
      </c>
      <c r="C165" s="281" t="s">
        <v>73</v>
      </c>
      <c r="D165" s="282" t="s">
        <v>24</v>
      </c>
      <c r="E165" s="285">
        <f>J165</f>
        <v>140.71800000000002</v>
      </c>
      <c r="F165" s="283">
        <v>22.64</v>
      </c>
      <c r="G165" s="284">
        <f>TRUNC(F165*$J$13,2)</f>
        <v>28.16</v>
      </c>
      <c r="H165" s="284">
        <f>TRUNC(E165*G165,2)</f>
        <v>3962.61</v>
      </c>
      <c r="I165" s="297"/>
      <c r="J165" s="25">
        <f>J162*2</f>
        <v>140.71800000000002</v>
      </c>
      <c r="K165" s="230" t="s">
        <v>227</v>
      </c>
      <c r="L165" s="25"/>
      <c r="M165" s="27">
        <f>40.65*3.3</f>
        <v>134.14499999999998</v>
      </c>
      <c r="N165" s="27"/>
      <c r="O165" s="27"/>
      <c r="P165" s="28"/>
      <c r="Q165" s="29"/>
      <c r="R165" s="30"/>
      <c r="S165" s="491">
        <v>140.71800000000002</v>
      </c>
      <c r="T165" s="491">
        <v>22.64</v>
      </c>
      <c r="U165" s="491">
        <v>28.52</v>
      </c>
      <c r="V165" s="491">
        <v>4013.27</v>
      </c>
    </row>
    <row r="166" spans="1:22" s="13" customFormat="1" outlineLevel="1" x14ac:dyDescent="0.25">
      <c r="A166" s="279" t="s">
        <v>95</v>
      </c>
      <c r="B166" s="279"/>
      <c r="C166" s="294" t="s">
        <v>75</v>
      </c>
      <c r="D166" s="558"/>
      <c r="E166" s="294"/>
      <c r="F166" s="403"/>
      <c r="G166" s="296" t="s">
        <v>38</v>
      </c>
      <c r="H166" s="558"/>
      <c r="I166" s="559">
        <f>SUM(H167:H168)</f>
        <v>17096</v>
      </c>
      <c r="J166" s="24"/>
      <c r="K166" s="197"/>
      <c r="L166" s="317">
        <f>SUM(H167:H168)</f>
        <v>17096</v>
      </c>
      <c r="M166" s="2">
        <f>I166-L166</f>
        <v>0</v>
      </c>
      <c r="N166" s="2"/>
      <c r="O166" s="2"/>
      <c r="P166" s="3"/>
      <c r="Q166" s="12"/>
      <c r="R166" s="4"/>
    </row>
    <row r="167" spans="1:22" s="31" customFormat="1" ht="31.2" outlineLevel="1" x14ac:dyDescent="0.25">
      <c r="A167" s="282" t="s">
        <v>97</v>
      </c>
      <c r="B167" s="280">
        <v>94993</v>
      </c>
      <c r="C167" s="281" t="s">
        <v>78</v>
      </c>
      <c r="D167" s="282" t="s">
        <v>24</v>
      </c>
      <c r="E167" s="285">
        <f>J167</f>
        <v>131.55000000000001</v>
      </c>
      <c r="F167" s="283">
        <v>62.94</v>
      </c>
      <c r="G167" s="284">
        <f>TRUNC(F167*$J$13,2)</f>
        <v>78.290000000000006</v>
      </c>
      <c r="H167" s="284">
        <f>TRUNC(E167*G167,2)</f>
        <v>10299.040000000001</v>
      </c>
      <c r="I167" s="297"/>
      <c r="J167" s="25">
        <f>131.55</f>
        <v>131.55000000000001</v>
      </c>
      <c r="K167" s="228" t="s">
        <v>79</v>
      </c>
      <c r="L167" s="26"/>
      <c r="M167" s="27">
        <f>0.6*21.81*2</f>
        <v>26.171999999999997</v>
      </c>
      <c r="N167" s="27"/>
      <c r="O167" s="27"/>
      <c r="P167" s="28" t="s">
        <v>80</v>
      </c>
      <c r="Q167" s="29"/>
      <c r="R167" s="30"/>
      <c r="S167" s="491">
        <v>131.55000000000001</v>
      </c>
      <c r="T167" s="491">
        <v>62.94</v>
      </c>
      <c r="U167" s="491">
        <v>79.3</v>
      </c>
      <c r="V167" s="491">
        <v>10431.91</v>
      </c>
    </row>
    <row r="168" spans="1:22" s="38" customFormat="1" ht="31.2" outlineLevel="1" x14ac:dyDescent="0.25">
      <c r="A168" s="282" t="s">
        <v>100</v>
      </c>
      <c r="B168" s="280">
        <v>87262</v>
      </c>
      <c r="C168" s="281" t="s">
        <v>84</v>
      </c>
      <c r="D168" s="282" t="s">
        <v>24</v>
      </c>
      <c r="E168" s="285">
        <f>J168</f>
        <v>66.5</v>
      </c>
      <c r="F168" s="283">
        <f>'COMPOSIÇÃO SINAPI W MENDES'!G1830</f>
        <v>82.17</v>
      </c>
      <c r="G168" s="284">
        <f>TRUNC(F168*$J$13,2)</f>
        <v>102.21</v>
      </c>
      <c r="H168" s="284">
        <f>TRUNC(E168*G168,2)</f>
        <v>6796.96</v>
      </c>
      <c r="I168" s="297"/>
      <c r="J168" s="55">
        <f>18.78+18.78+1.44+7.39+3.8+16.31</f>
        <v>66.5</v>
      </c>
      <c r="K168" s="233" t="s">
        <v>66</v>
      </c>
      <c r="L168" s="34"/>
      <c r="M168" s="35">
        <v>60.22</v>
      </c>
      <c r="N168" s="35"/>
      <c r="O168" s="35"/>
      <c r="P168" s="28" t="s">
        <v>68</v>
      </c>
      <c r="Q168" s="36"/>
      <c r="R168" s="37"/>
      <c r="S168" s="236">
        <v>66.5</v>
      </c>
      <c r="T168" s="236">
        <v>92.82</v>
      </c>
      <c r="U168" s="236">
        <v>116.95</v>
      </c>
      <c r="V168" s="236">
        <v>7777.17</v>
      </c>
    </row>
    <row r="169" spans="1:22" s="13" customFormat="1" outlineLevel="1" x14ac:dyDescent="0.25">
      <c r="A169" s="279" t="s">
        <v>116</v>
      </c>
      <c r="B169" s="279"/>
      <c r="C169" s="294" t="s">
        <v>86</v>
      </c>
      <c r="D169" s="558"/>
      <c r="E169" s="294"/>
      <c r="F169" s="403"/>
      <c r="G169" s="296" t="s">
        <v>38</v>
      </c>
      <c r="H169" s="558"/>
      <c r="I169" s="559">
        <f>SUM(H170:H173)</f>
        <v>8365.35</v>
      </c>
      <c r="J169" s="24"/>
      <c r="K169" s="197"/>
      <c r="L169" s="317">
        <f>SUM(H170:H173)</f>
        <v>8365.35</v>
      </c>
      <c r="M169" s="2">
        <f>I169-L169</f>
        <v>0</v>
      </c>
      <c r="N169" s="2"/>
      <c r="O169" s="2"/>
      <c r="P169" s="3"/>
      <c r="Q169" s="12"/>
      <c r="R169" s="4"/>
    </row>
    <row r="170" spans="1:22" s="31" customFormat="1" outlineLevel="1" x14ac:dyDescent="0.25">
      <c r="A170" s="282" t="s">
        <v>118</v>
      </c>
      <c r="B170" s="280">
        <v>72117</v>
      </c>
      <c r="C170" s="289" t="s">
        <v>88</v>
      </c>
      <c r="D170" s="282" t="s">
        <v>24</v>
      </c>
      <c r="E170" s="285">
        <f>M170</f>
        <v>9.89</v>
      </c>
      <c r="F170" s="283">
        <v>159.13</v>
      </c>
      <c r="G170" s="284">
        <f>TRUNC(F170*$J$13,2)</f>
        <v>197.94</v>
      </c>
      <c r="H170" s="284">
        <f>TRUNC(E170*G170,2)</f>
        <v>1957.62</v>
      </c>
      <c r="I170" s="297"/>
      <c r="J170" s="25"/>
      <c r="K170" s="229" t="s">
        <v>228</v>
      </c>
      <c r="L170" s="25"/>
      <c r="M170" s="27">
        <f>49.45*0.2</f>
        <v>9.89</v>
      </c>
      <c r="N170" s="27"/>
      <c r="O170" s="27"/>
      <c r="P170" s="28"/>
      <c r="Q170" s="29"/>
      <c r="R170" s="30"/>
      <c r="S170" s="491">
        <v>9.89</v>
      </c>
      <c r="T170" s="491">
        <v>159.13</v>
      </c>
      <c r="U170" s="491">
        <v>200.5</v>
      </c>
      <c r="V170" s="491">
        <v>1982.94</v>
      </c>
    </row>
    <row r="171" spans="1:22" s="31" customFormat="1" outlineLevel="1" x14ac:dyDescent="0.25">
      <c r="A171" s="282" t="s">
        <v>120</v>
      </c>
      <c r="B171" s="280">
        <v>84886</v>
      </c>
      <c r="C171" s="289" t="s">
        <v>91</v>
      </c>
      <c r="D171" s="282" t="s">
        <v>92</v>
      </c>
      <c r="E171" s="285">
        <v>2</v>
      </c>
      <c r="F171" s="283">
        <v>1114.46</v>
      </c>
      <c r="G171" s="284">
        <f>TRUNC(F171*$J$13,2)</f>
        <v>1386.27</v>
      </c>
      <c r="H171" s="284">
        <f>TRUNC(E171*G171,2)</f>
        <v>2772.54</v>
      </c>
      <c r="I171" s="297"/>
      <c r="J171" s="25"/>
      <c r="K171" s="229"/>
      <c r="L171" s="25"/>
      <c r="M171" s="27"/>
      <c r="N171" s="27"/>
      <c r="O171" s="27"/>
      <c r="P171" s="28"/>
      <c r="Q171" s="29"/>
      <c r="R171" s="30"/>
      <c r="S171" s="491">
        <v>2</v>
      </c>
      <c r="T171" s="491">
        <v>1139.6199999999999</v>
      </c>
      <c r="U171" s="491">
        <v>1435.92</v>
      </c>
      <c r="V171" s="491">
        <v>2871.84</v>
      </c>
    </row>
    <row r="172" spans="1:22" s="31" customFormat="1" ht="31.2" outlineLevel="1" x14ac:dyDescent="0.25">
      <c r="A172" s="282" t="s">
        <v>122</v>
      </c>
      <c r="B172" s="280">
        <v>84885</v>
      </c>
      <c r="C172" s="281" t="s">
        <v>94</v>
      </c>
      <c r="D172" s="282" t="s">
        <v>44</v>
      </c>
      <c r="E172" s="285">
        <v>1</v>
      </c>
      <c r="F172" s="283">
        <v>612.76</v>
      </c>
      <c r="G172" s="284">
        <f>TRUNC(F172*$J$13,2)</f>
        <v>762.21</v>
      </c>
      <c r="H172" s="284">
        <f>TRUNC(E172*G172,2)</f>
        <v>762.21</v>
      </c>
      <c r="I172" s="297"/>
      <c r="J172" s="25"/>
      <c r="K172" s="229"/>
      <c r="L172" s="25"/>
      <c r="M172" s="27"/>
      <c r="N172" s="27"/>
      <c r="O172" s="27"/>
      <c r="P172" s="28"/>
      <c r="Q172" s="29"/>
      <c r="R172" s="30"/>
      <c r="S172" s="491">
        <v>1</v>
      </c>
      <c r="T172" s="491">
        <v>612.76</v>
      </c>
      <c r="U172" s="491">
        <v>772.07</v>
      </c>
      <c r="V172" s="491">
        <v>772.07</v>
      </c>
    </row>
    <row r="173" spans="1:22" s="31" customFormat="1" outlineLevel="1" x14ac:dyDescent="0.25">
      <c r="A173" s="282" t="s">
        <v>124</v>
      </c>
      <c r="B173" s="280">
        <v>72120</v>
      </c>
      <c r="C173" s="281" t="s">
        <v>229</v>
      </c>
      <c r="D173" s="282" t="s">
        <v>24</v>
      </c>
      <c r="E173" s="285">
        <f>N173</f>
        <v>7.2675000000000001</v>
      </c>
      <c r="F173" s="283">
        <f>'COMPOSIÇÃO SINAPI W MENDES'!G3748</f>
        <v>317.81</v>
      </c>
      <c r="G173" s="284">
        <f>TRUNC(F173*$J$13,2)</f>
        <v>395.32</v>
      </c>
      <c r="H173" s="284">
        <f>TRUNC(E173*G173,2)</f>
        <v>2872.98</v>
      </c>
      <c r="I173" s="297"/>
      <c r="J173" s="25"/>
      <c r="K173" s="229"/>
      <c r="L173" s="25" t="s">
        <v>230</v>
      </c>
      <c r="M173" s="27"/>
      <c r="N173" s="27">
        <f>2.55*2.85</f>
        <v>7.2675000000000001</v>
      </c>
      <c r="O173" s="27"/>
      <c r="P173" s="28"/>
      <c r="Q173" s="29"/>
      <c r="R173" s="30"/>
      <c r="S173" s="491">
        <v>7.2675000000000001</v>
      </c>
      <c r="T173" s="491">
        <v>347.26</v>
      </c>
      <c r="U173" s="491">
        <v>437.54</v>
      </c>
      <c r="V173" s="491">
        <v>3179.82</v>
      </c>
    </row>
    <row r="174" spans="1:22" s="13" customFormat="1" outlineLevel="1" x14ac:dyDescent="0.25">
      <c r="A174" s="279" t="s">
        <v>160</v>
      </c>
      <c r="B174" s="279"/>
      <c r="C174" s="294" t="s">
        <v>96</v>
      </c>
      <c r="D174" s="558"/>
      <c r="E174" s="294"/>
      <c r="F174" s="403"/>
      <c r="G174" s="296" t="s">
        <v>38</v>
      </c>
      <c r="H174" s="558"/>
      <c r="I174" s="559">
        <f>SUM(H175:H184)</f>
        <v>58351.579999999987</v>
      </c>
      <c r="J174" s="24"/>
      <c r="K174" s="197"/>
      <c r="L174" s="317">
        <f>SUM(H175:H184)</f>
        <v>58351.579999999987</v>
      </c>
      <c r="M174" s="2">
        <f>I174-L174</f>
        <v>0</v>
      </c>
      <c r="N174" s="2"/>
      <c r="O174" s="2"/>
      <c r="P174" s="3"/>
      <c r="Q174" s="12"/>
      <c r="R174" s="4"/>
    </row>
    <row r="175" spans="1:22" s="39" customFormat="1" outlineLevel="1" x14ac:dyDescent="0.25">
      <c r="A175" s="282" t="s">
        <v>162</v>
      </c>
      <c r="B175" s="280">
        <v>88496</v>
      </c>
      <c r="C175" s="288" t="s">
        <v>101</v>
      </c>
      <c r="D175" s="282" t="s">
        <v>24</v>
      </c>
      <c r="E175" s="290">
        <f>J175</f>
        <v>584.24204699999984</v>
      </c>
      <c r="F175" s="283">
        <f>'COMPOSIÇÃO SINAPI W MENDES'!G1150</f>
        <v>10.510000000000002</v>
      </c>
      <c r="G175" s="284">
        <f t="shared" ref="G175:G184" si="23">TRUNC(F175*$J$13,2)</f>
        <v>13.07</v>
      </c>
      <c r="H175" s="284">
        <f t="shared" ref="H175:H184" si="24">TRUNC(E175*G175,2)</f>
        <v>7636.04</v>
      </c>
      <c r="I175" s="297"/>
      <c r="J175" s="25">
        <f>1.44+25.74+20.47+6.5+11.24+20.45+20.39+20.27+48.82+13.38+16.31+29.36+9.08+27.56+10.12+17.94+17.94+27.56+9.84+27.45+12+9.95+7.39+33.46+20.27+41.732047+15.4+50.8+6.5+4.88</f>
        <v>584.24204699999984</v>
      </c>
      <c r="K175" s="229" t="s">
        <v>102</v>
      </c>
      <c r="L175" s="25"/>
      <c r="M175" s="27">
        <v>347.22</v>
      </c>
      <c r="N175" s="27"/>
      <c r="O175" s="27"/>
      <c r="P175" s="28"/>
      <c r="Q175" s="27"/>
      <c r="R175" s="27"/>
      <c r="S175" s="491">
        <v>584.24204699999984</v>
      </c>
      <c r="T175" s="491">
        <v>19.940000000000001</v>
      </c>
      <c r="U175" s="491">
        <v>25.12</v>
      </c>
      <c r="V175" s="491">
        <v>14676.16</v>
      </c>
    </row>
    <row r="176" spans="1:22" s="31" customFormat="1" outlineLevel="1" x14ac:dyDescent="0.25">
      <c r="A176" s="282" t="s">
        <v>163</v>
      </c>
      <c r="B176" s="280">
        <v>88486</v>
      </c>
      <c r="C176" s="281" t="s">
        <v>231</v>
      </c>
      <c r="D176" s="282" t="s">
        <v>24</v>
      </c>
      <c r="E176" s="290">
        <f>J176</f>
        <v>584.24204699999984</v>
      </c>
      <c r="F176" s="283">
        <v>8.2200000000000006</v>
      </c>
      <c r="G176" s="284">
        <f t="shared" si="23"/>
        <v>10.220000000000001</v>
      </c>
      <c r="H176" s="284">
        <f t="shared" si="24"/>
        <v>5970.95</v>
      </c>
      <c r="I176" s="297"/>
      <c r="J176" s="25">
        <f>J175</f>
        <v>584.24204699999984</v>
      </c>
      <c r="K176" s="229"/>
      <c r="L176" s="25"/>
      <c r="M176" s="27"/>
      <c r="N176" s="27"/>
      <c r="O176" s="27"/>
      <c r="P176" s="28"/>
      <c r="Q176" s="29"/>
      <c r="R176" s="30"/>
      <c r="S176" s="491">
        <v>584.24204699999984</v>
      </c>
      <c r="T176" s="491">
        <v>9.9499999999999993</v>
      </c>
      <c r="U176" s="491">
        <v>12.53</v>
      </c>
      <c r="V176" s="491">
        <v>7320.55</v>
      </c>
    </row>
    <row r="177" spans="1:22" s="31" customFormat="1" outlineLevel="1" x14ac:dyDescent="0.25">
      <c r="A177" s="282" t="s">
        <v>164</v>
      </c>
      <c r="B177" s="280">
        <v>88497</v>
      </c>
      <c r="C177" s="288" t="s">
        <v>232</v>
      </c>
      <c r="D177" s="282" t="s">
        <v>24</v>
      </c>
      <c r="E177" s="290">
        <f>J177</f>
        <v>1586.3270000000002</v>
      </c>
      <c r="F177" s="283">
        <v>9.74</v>
      </c>
      <c r="G177" s="284">
        <f t="shared" si="23"/>
        <v>12.11</v>
      </c>
      <c r="H177" s="284">
        <f t="shared" si="24"/>
        <v>19210.41</v>
      </c>
      <c r="I177" s="297"/>
      <c r="J177" s="25">
        <f>(21+18.3+10.2+4.8+18.3+18.26+21+29.1+15.6+23.34+13.04+21+16.26+7.46+68.56+17+17+21+14.25+20.96+21.32+13.18+26.54+21+26.4+18.3+15.7+10.2+31.8+8.98)*3.2+(16.16+11.84+4.8+7.57+18.8+18.8)*1.1-((58*1.2*1.1+32*0.8*2.1)+(5.25+7.26+3.67+3.28+4.18+2.55+3.67+4.18+6.06)*3.2*2)</f>
        <v>1586.3270000000002</v>
      </c>
      <c r="K177" s="229" t="s">
        <v>233</v>
      </c>
      <c r="L177" s="25"/>
      <c r="M177" s="27">
        <f>(243.1*3.25)-66</f>
        <v>724.07499999999993</v>
      </c>
      <c r="N177" s="27"/>
      <c r="O177" s="27"/>
      <c r="P177" s="28"/>
      <c r="Q177" s="29"/>
      <c r="R177" s="30"/>
      <c r="S177" s="491">
        <v>1586.3270000000002</v>
      </c>
      <c r="T177" s="491">
        <v>11.24</v>
      </c>
      <c r="U177" s="491">
        <v>14.16</v>
      </c>
      <c r="V177" s="491">
        <v>22462.39</v>
      </c>
    </row>
    <row r="178" spans="1:22" s="31" customFormat="1" outlineLevel="1" x14ac:dyDescent="0.25">
      <c r="A178" s="282" t="s">
        <v>165</v>
      </c>
      <c r="B178" s="280">
        <v>88489</v>
      </c>
      <c r="C178" s="281" t="s">
        <v>108</v>
      </c>
      <c r="D178" s="282" t="s">
        <v>24</v>
      </c>
      <c r="E178" s="290">
        <f>J178</f>
        <v>1586.3270000000002</v>
      </c>
      <c r="F178" s="283">
        <f>'COMPOSIÇÃO SINAPI W MENDES'!G1169</f>
        <v>8.14</v>
      </c>
      <c r="G178" s="284">
        <f t="shared" si="23"/>
        <v>10.119999999999999</v>
      </c>
      <c r="H178" s="284">
        <f t="shared" si="24"/>
        <v>16053.62</v>
      </c>
      <c r="I178" s="297"/>
      <c r="J178" s="25">
        <f>J177</f>
        <v>1586.3270000000002</v>
      </c>
      <c r="K178" s="229"/>
      <c r="L178" s="25"/>
      <c r="M178" s="27"/>
      <c r="N178" s="27"/>
      <c r="O178" s="27"/>
      <c r="P178" s="28"/>
      <c r="Q178" s="29"/>
      <c r="R178" s="30"/>
      <c r="S178" s="491">
        <v>1586.3270000000002</v>
      </c>
      <c r="T178" s="491">
        <v>11.3</v>
      </c>
      <c r="U178" s="491">
        <v>14.23</v>
      </c>
      <c r="V178" s="491">
        <v>22573.43</v>
      </c>
    </row>
    <row r="179" spans="1:22" s="31" customFormat="1" ht="31.2" outlineLevel="1" x14ac:dyDescent="0.25">
      <c r="A179" s="282" t="s">
        <v>166</v>
      </c>
      <c r="B179" s="280">
        <v>100725</v>
      </c>
      <c r="C179" s="281" t="s">
        <v>234</v>
      </c>
      <c r="D179" s="282" t="s">
        <v>24</v>
      </c>
      <c r="E179" s="285">
        <v>107.62</v>
      </c>
      <c r="F179" s="283">
        <v>16.12</v>
      </c>
      <c r="G179" s="284">
        <f t="shared" si="23"/>
        <v>20.05</v>
      </c>
      <c r="H179" s="284">
        <f t="shared" si="24"/>
        <v>2157.7800000000002</v>
      </c>
      <c r="I179" s="297"/>
      <c r="J179" s="25" t="e">
        <f>#REF!</f>
        <v>#REF!</v>
      </c>
      <c r="K179" s="229"/>
      <c r="L179" s="25"/>
      <c r="M179" s="27" t="e">
        <f>#REF!</f>
        <v>#REF!</v>
      </c>
      <c r="N179" s="27"/>
      <c r="O179" s="27"/>
      <c r="P179" s="28"/>
      <c r="Q179" s="29"/>
      <c r="R179" s="30"/>
      <c r="S179" s="491">
        <v>107.62</v>
      </c>
      <c r="T179" s="491">
        <v>16.12</v>
      </c>
      <c r="U179" s="491">
        <v>20.309999999999999</v>
      </c>
      <c r="V179" s="491">
        <v>2185.7600000000002</v>
      </c>
    </row>
    <row r="180" spans="1:22" s="31" customFormat="1" outlineLevel="1" x14ac:dyDescent="0.25">
      <c r="A180" s="282" t="s">
        <v>167</v>
      </c>
      <c r="B180" s="280">
        <v>100725</v>
      </c>
      <c r="C180" s="281" t="s">
        <v>804</v>
      </c>
      <c r="D180" s="282" t="s">
        <v>24</v>
      </c>
      <c r="E180" s="290">
        <f>62*2</f>
        <v>124</v>
      </c>
      <c r="F180" s="283">
        <v>16.12</v>
      </c>
      <c r="G180" s="284">
        <f t="shared" ref="G180" si="25">TRUNC(F180*$J$13,2)</f>
        <v>20.05</v>
      </c>
      <c r="H180" s="284">
        <f t="shared" ref="H180" si="26">TRUNC(E180*G180,2)</f>
        <v>2486.1999999999998</v>
      </c>
      <c r="I180" s="297"/>
      <c r="J180" s="25"/>
      <c r="K180" s="229"/>
      <c r="L180" s="25"/>
      <c r="M180" s="27"/>
      <c r="N180" s="27"/>
      <c r="O180" s="27"/>
      <c r="P180" s="28"/>
      <c r="Q180" s="29"/>
      <c r="R180" s="30"/>
      <c r="S180" s="491">
        <v>124</v>
      </c>
      <c r="T180" s="491">
        <v>17.12</v>
      </c>
      <c r="U180" s="491">
        <v>21.57</v>
      </c>
      <c r="V180" s="491">
        <v>2674.68</v>
      </c>
    </row>
    <row r="181" spans="1:22" s="31" customFormat="1" ht="31.2" outlineLevel="1" x14ac:dyDescent="0.25">
      <c r="A181" s="282" t="s">
        <v>169</v>
      </c>
      <c r="B181" s="280">
        <v>100727</v>
      </c>
      <c r="C181" s="291" t="s">
        <v>805</v>
      </c>
      <c r="D181" s="282" t="s">
        <v>24</v>
      </c>
      <c r="E181" s="290">
        <f>84*2</f>
        <v>168</v>
      </c>
      <c r="F181" s="283">
        <v>11.97</v>
      </c>
      <c r="G181" s="284">
        <f t="shared" si="23"/>
        <v>14.88</v>
      </c>
      <c r="H181" s="284">
        <f t="shared" si="24"/>
        <v>2499.84</v>
      </c>
      <c r="I181" s="297"/>
      <c r="J181" s="25"/>
      <c r="K181" s="231" t="s">
        <v>798</v>
      </c>
      <c r="L181" s="25">
        <f>42*1*2</f>
        <v>84</v>
      </c>
      <c r="M181" s="27"/>
      <c r="N181" s="27"/>
      <c r="O181" s="27"/>
      <c r="P181" s="28"/>
      <c r="Q181" s="29"/>
      <c r="R181" s="30"/>
      <c r="S181" s="491">
        <v>168</v>
      </c>
      <c r="T181" s="491">
        <v>11.97</v>
      </c>
      <c r="U181" s="491">
        <v>15.08</v>
      </c>
      <c r="V181" s="491">
        <v>2533.44</v>
      </c>
    </row>
    <row r="182" spans="1:22" s="31" customFormat="1" outlineLevel="1" x14ac:dyDescent="0.25">
      <c r="A182" s="282" t="s">
        <v>171</v>
      </c>
      <c r="B182" s="280" t="s">
        <v>109</v>
      </c>
      <c r="C182" s="281" t="s">
        <v>110</v>
      </c>
      <c r="D182" s="282" t="s">
        <v>24</v>
      </c>
      <c r="E182" s="290">
        <f>J182</f>
        <v>3.3600000000000003</v>
      </c>
      <c r="F182" s="283">
        <v>12.4</v>
      </c>
      <c r="G182" s="284">
        <f t="shared" si="23"/>
        <v>15.42</v>
      </c>
      <c r="H182" s="284">
        <f t="shared" si="24"/>
        <v>51.81</v>
      </c>
      <c r="I182" s="297"/>
      <c r="J182" s="25">
        <f>0.8*2.1*2</f>
        <v>3.3600000000000003</v>
      </c>
      <c r="K182" s="229"/>
      <c r="L182" s="25"/>
      <c r="M182" s="27"/>
      <c r="N182" s="27"/>
      <c r="O182" s="27"/>
      <c r="P182" s="28"/>
      <c r="Q182" s="29"/>
      <c r="R182" s="30"/>
      <c r="S182" s="491">
        <v>3.3600000000000003</v>
      </c>
      <c r="T182" s="491">
        <v>15.01</v>
      </c>
      <c r="U182" s="491">
        <v>18.91</v>
      </c>
      <c r="V182" s="491">
        <v>63.53</v>
      </c>
    </row>
    <row r="183" spans="1:22" s="31" customFormat="1" outlineLevel="1" x14ac:dyDescent="0.25">
      <c r="A183" s="282" t="s">
        <v>173</v>
      </c>
      <c r="B183" s="280">
        <v>88489</v>
      </c>
      <c r="C183" s="281" t="s">
        <v>235</v>
      </c>
      <c r="D183" s="282" t="s">
        <v>24</v>
      </c>
      <c r="E183" s="290">
        <f>J183</f>
        <v>82.889999999999986</v>
      </c>
      <c r="F183" s="283">
        <f>'COMPOSIÇÃO SINAPI W MENDES'!G1169</f>
        <v>8.14</v>
      </c>
      <c r="G183" s="284">
        <f>TRUNC(F183*$J$13,2)</f>
        <v>10.119999999999999</v>
      </c>
      <c r="H183" s="284">
        <f>TRUNC(E183*G183,2)</f>
        <v>838.84</v>
      </c>
      <c r="I183" s="297"/>
      <c r="J183" s="25">
        <f>(40.35+40.35+18.75+18.75*3.2-(58*1.1*1.2))</f>
        <v>82.889999999999986</v>
      </c>
      <c r="K183" s="229"/>
      <c r="L183" s="25"/>
      <c r="M183" s="27"/>
      <c r="N183" s="27"/>
      <c r="O183" s="27"/>
      <c r="P183" s="28"/>
      <c r="Q183" s="29"/>
      <c r="R183" s="30"/>
      <c r="S183" s="491">
        <v>82.889999999999986</v>
      </c>
      <c r="T183" s="491">
        <v>11.24</v>
      </c>
      <c r="U183" s="491">
        <v>14.16</v>
      </c>
      <c r="V183" s="491">
        <v>1173.72</v>
      </c>
    </row>
    <row r="184" spans="1:22" s="31" customFormat="1" outlineLevel="1" x14ac:dyDescent="0.25">
      <c r="A184" s="282" t="s">
        <v>175</v>
      </c>
      <c r="B184" s="280">
        <v>84665</v>
      </c>
      <c r="C184" s="281" t="s">
        <v>114</v>
      </c>
      <c r="D184" s="282" t="s">
        <v>24</v>
      </c>
      <c r="E184" s="285">
        <f>M184</f>
        <v>69.792000000000002</v>
      </c>
      <c r="F184" s="283">
        <v>16.66</v>
      </c>
      <c r="G184" s="284">
        <f t="shared" si="23"/>
        <v>20.72</v>
      </c>
      <c r="H184" s="284">
        <f t="shared" si="24"/>
        <v>1446.09</v>
      </c>
      <c r="I184" s="297"/>
      <c r="J184" s="25"/>
      <c r="K184" s="230" t="s">
        <v>115</v>
      </c>
      <c r="L184" s="25"/>
      <c r="M184" s="32">
        <f>1.6*21.81*2</f>
        <v>69.792000000000002</v>
      </c>
      <c r="N184" s="27"/>
      <c r="O184" s="27"/>
      <c r="P184" s="28"/>
      <c r="Q184" s="29"/>
      <c r="R184" s="30"/>
      <c r="S184" s="491">
        <v>69.792000000000002</v>
      </c>
      <c r="T184" s="491">
        <v>16.66</v>
      </c>
      <c r="U184" s="491">
        <v>20.99</v>
      </c>
      <c r="V184" s="491">
        <v>1464.93</v>
      </c>
    </row>
    <row r="185" spans="1:22" s="52" customFormat="1" outlineLevel="1" x14ac:dyDescent="0.25">
      <c r="A185" s="279" t="s">
        <v>186</v>
      </c>
      <c r="B185" s="279"/>
      <c r="C185" s="294" t="s">
        <v>117</v>
      </c>
      <c r="D185" s="558"/>
      <c r="E185" s="294"/>
      <c r="F185" s="403"/>
      <c r="G185" s="296" t="s">
        <v>38</v>
      </c>
      <c r="H185" s="558"/>
      <c r="I185" s="559">
        <f>SUM(H186:H212)</f>
        <v>52019.37000000001</v>
      </c>
      <c r="J185" s="24"/>
      <c r="K185" s="197"/>
      <c r="L185" s="317">
        <f>SUM(H186:H212)</f>
        <v>52019.37000000001</v>
      </c>
      <c r="M185" s="35">
        <f>I185-L185</f>
        <v>0</v>
      </c>
      <c r="N185" s="61"/>
      <c r="O185" s="35"/>
      <c r="P185" s="40"/>
      <c r="Q185" s="37"/>
      <c r="R185" s="4"/>
    </row>
    <row r="186" spans="1:22" s="52" customFormat="1" ht="31.2" outlineLevel="1" x14ac:dyDescent="0.25">
      <c r="A186" s="282" t="s">
        <v>188</v>
      </c>
      <c r="B186" s="280">
        <v>91932</v>
      </c>
      <c r="C186" s="281" t="s">
        <v>119</v>
      </c>
      <c r="D186" s="282" t="s">
        <v>55</v>
      </c>
      <c r="E186" s="285">
        <v>150</v>
      </c>
      <c r="F186" s="283">
        <v>9.9499999999999993</v>
      </c>
      <c r="G186" s="284">
        <f t="shared" ref="G186:G211" si="27">TRUNC(F186*$J$13,2)</f>
        <v>12.37</v>
      </c>
      <c r="H186" s="284">
        <f>TRUNC(E186*G186,2)</f>
        <v>1855.5</v>
      </c>
      <c r="I186" s="312"/>
      <c r="J186" s="24"/>
      <c r="K186" s="197"/>
      <c r="L186" s="7"/>
      <c r="M186" s="35"/>
      <c r="N186" s="61"/>
      <c r="O186" s="35"/>
      <c r="P186" s="40"/>
      <c r="Q186" s="37"/>
      <c r="R186" s="4"/>
      <c r="S186" s="236">
        <v>150</v>
      </c>
      <c r="T186" s="236">
        <v>9.9499999999999993</v>
      </c>
      <c r="U186" s="236">
        <v>12.53</v>
      </c>
      <c r="V186" s="236">
        <v>1879.5</v>
      </c>
    </row>
    <row r="187" spans="1:22" s="52" customFormat="1" ht="31.2" outlineLevel="1" x14ac:dyDescent="0.25">
      <c r="A187" s="282" t="s">
        <v>200</v>
      </c>
      <c r="B187" s="280">
        <v>91930</v>
      </c>
      <c r="C187" s="281" t="s">
        <v>121</v>
      </c>
      <c r="D187" s="282" t="s">
        <v>55</v>
      </c>
      <c r="E187" s="285">
        <v>300</v>
      </c>
      <c r="F187" s="283">
        <v>5.5</v>
      </c>
      <c r="G187" s="284">
        <f t="shared" si="27"/>
        <v>6.84</v>
      </c>
      <c r="H187" s="284">
        <f>TRUNC(E187*G187,2)</f>
        <v>2052</v>
      </c>
      <c r="I187" s="312"/>
      <c r="J187" s="24"/>
      <c r="K187" s="197"/>
      <c r="L187" s="7"/>
      <c r="M187" s="35"/>
      <c r="N187" s="61"/>
      <c r="O187" s="35"/>
      <c r="P187" s="40"/>
      <c r="Q187" s="37"/>
      <c r="R187" s="4"/>
      <c r="S187" s="236">
        <v>300</v>
      </c>
      <c r="T187" s="236">
        <v>6.06</v>
      </c>
      <c r="U187" s="236">
        <v>7.63</v>
      </c>
      <c r="V187" s="236">
        <v>2289</v>
      </c>
    </row>
    <row r="188" spans="1:22" s="52" customFormat="1" outlineLevel="1" x14ac:dyDescent="0.25">
      <c r="A188" s="282" t="s">
        <v>236</v>
      </c>
      <c r="B188" s="280">
        <v>91928</v>
      </c>
      <c r="C188" s="281" t="s">
        <v>123</v>
      </c>
      <c r="D188" s="282" t="s">
        <v>55</v>
      </c>
      <c r="E188" s="285">
        <v>700</v>
      </c>
      <c r="F188" s="283">
        <v>4.42</v>
      </c>
      <c r="G188" s="284">
        <f t="shared" si="27"/>
        <v>5.49</v>
      </c>
      <c r="H188" s="284">
        <f t="shared" ref="H188:H210" si="28">TRUNC(E188*G188,2)</f>
        <v>3843</v>
      </c>
      <c r="I188" s="312"/>
      <c r="J188" s="24"/>
      <c r="K188" s="197"/>
      <c r="L188" s="7"/>
      <c r="M188" s="35"/>
      <c r="N188" s="61"/>
      <c r="O188" s="35"/>
      <c r="P188" s="40"/>
      <c r="Q188" s="37"/>
      <c r="R188" s="4"/>
      <c r="S188" s="236">
        <v>700</v>
      </c>
      <c r="T188" s="236">
        <v>4.42</v>
      </c>
      <c r="U188" s="236">
        <v>5.56</v>
      </c>
      <c r="V188" s="236">
        <v>3892</v>
      </c>
    </row>
    <row r="189" spans="1:22" s="52" customFormat="1" outlineLevel="1" x14ac:dyDescent="0.25">
      <c r="A189" s="282" t="s">
        <v>237</v>
      </c>
      <c r="B189" s="280">
        <v>91927</v>
      </c>
      <c r="C189" s="281" t="s">
        <v>125</v>
      </c>
      <c r="D189" s="282" t="s">
        <v>55</v>
      </c>
      <c r="E189" s="285">
        <v>1200</v>
      </c>
      <c r="F189" s="283">
        <v>3</v>
      </c>
      <c r="G189" s="284">
        <f t="shared" si="27"/>
        <v>3.73</v>
      </c>
      <c r="H189" s="284">
        <f t="shared" si="28"/>
        <v>4476</v>
      </c>
      <c r="I189" s="312"/>
      <c r="J189" s="24"/>
      <c r="K189" s="197"/>
      <c r="L189" s="7"/>
      <c r="M189" s="35"/>
      <c r="N189" s="61"/>
      <c r="O189" s="35"/>
      <c r="P189" s="40"/>
      <c r="Q189" s="37"/>
      <c r="R189" s="4"/>
      <c r="S189" s="236">
        <v>1200</v>
      </c>
      <c r="T189" s="236">
        <v>3.58</v>
      </c>
      <c r="U189" s="236">
        <v>4.51</v>
      </c>
      <c r="V189" s="236">
        <v>5412</v>
      </c>
    </row>
    <row r="190" spans="1:22" s="52" customFormat="1" outlineLevel="1" x14ac:dyDescent="0.25">
      <c r="A190" s="282" t="s">
        <v>238</v>
      </c>
      <c r="B190" s="280">
        <v>90447</v>
      </c>
      <c r="C190" s="281" t="s">
        <v>127</v>
      </c>
      <c r="D190" s="282" t="s">
        <v>55</v>
      </c>
      <c r="E190" s="285">
        <v>180</v>
      </c>
      <c r="F190" s="283">
        <v>4.45</v>
      </c>
      <c r="G190" s="284">
        <f t="shared" si="27"/>
        <v>5.53</v>
      </c>
      <c r="H190" s="284">
        <f t="shared" si="28"/>
        <v>995.4</v>
      </c>
      <c r="I190" s="312"/>
      <c r="J190" s="24"/>
      <c r="K190" s="197"/>
      <c r="L190" s="7"/>
      <c r="M190" s="35"/>
      <c r="N190" s="61"/>
      <c r="O190" s="35"/>
      <c r="P190" s="40"/>
      <c r="Q190" s="37"/>
      <c r="R190" s="4"/>
      <c r="S190" s="236">
        <v>180</v>
      </c>
      <c r="T190" s="236">
        <v>4.45</v>
      </c>
      <c r="U190" s="236">
        <v>5.6</v>
      </c>
      <c r="V190" s="236">
        <v>1008</v>
      </c>
    </row>
    <row r="191" spans="1:22" s="52" customFormat="1" ht="31.2" outlineLevel="1" x14ac:dyDescent="0.25">
      <c r="A191" s="282" t="s">
        <v>239</v>
      </c>
      <c r="B191" s="280">
        <v>91836</v>
      </c>
      <c r="C191" s="281" t="s">
        <v>130</v>
      </c>
      <c r="D191" s="282" t="s">
        <v>55</v>
      </c>
      <c r="E191" s="285">
        <v>100</v>
      </c>
      <c r="F191" s="283">
        <v>7.55</v>
      </c>
      <c r="G191" s="284">
        <f t="shared" si="27"/>
        <v>9.39</v>
      </c>
      <c r="H191" s="284">
        <f t="shared" si="28"/>
        <v>939</v>
      </c>
      <c r="I191" s="312"/>
      <c r="J191" s="24"/>
      <c r="K191" s="197"/>
      <c r="L191" s="7"/>
      <c r="M191" s="35"/>
      <c r="N191" s="61"/>
      <c r="O191" s="35"/>
      <c r="P191" s="40"/>
      <c r="Q191" s="37"/>
      <c r="R191" s="4"/>
      <c r="S191" s="236">
        <v>100</v>
      </c>
      <c r="T191" s="236">
        <v>7.55</v>
      </c>
      <c r="U191" s="236">
        <v>9.51</v>
      </c>
      <c r="V191" s="236">
        <v>951</v>
      </c>
    </row>
    <row r="192" spans="1:22" s="52" customFormat="1" ht="31.2" outlineLevel="1" x14ac:dyDescent="0.25">
      <c r="A192" s="282" t="s">
        <v>240</v>
      </c>
      <c r="B192" s="280">
        <v>91869</v>
      </c>
      <c r="C192" s="281" t="s">
        <v>132</v>
      </c>
      <c r="D192" s="282" t="s">
        <v>55</v>
      </c>
      <c r="E192" s="285">
        <v>50</v>
      </c>
      <c r="F192" s="283">
        <v>10.32</v>
      </c>
      <c r="G192" s="284">
        <f t="shared" si="27"/>
        <v>12.83</v>
      </c>
      <c r="H192" s="284">
        <f t="shared" si="28"/>
        <v>641.5</v>
      </c>
      <c r="I192" s="312"/>
      <c r="J192" s="24"/>
      <c r="K192" s="197"/>
      <c r="L192" s="7"/>
      <c r="M192" s="35"/>
      <c r="N192" s="61"/>
      <c r="O192" s="35"/>
      <c r="P192" s="40"/>
      <c r="Q192" s="37"/>
      <c r="R192" s="4"/>
      <c r="S192" s="236">
        <v>50</v>
      </c>
      <c r="T192" s="236">
        <v>10.32</v>
      </c>
      <c r="U192" s="236">
        <v>13</v>
      </c>
      <c r="V192" s="236">
        <v>650</v>
      </c>
    </row>
    <row r="193" spans="1:22" s="52" customFormat="1" outlineLevel="1" x14ac:dyDescent="0.25">
      <c r="A193" s="282" t="s">
        <v>241</v>
      </c>
      <c r="B193" s="280">
        <v>91990</v>
      </c>
      <c r="C193" s="281" t="s">
        <v>134</v>
      </c>
      <c r="D193" s="282" t="s">
        <v>44</v>
      </c>
      <c r="E193" s="285">
        <v>100</v>
      </c>
      <c r="F193" s="283">
        <v>20.73</v>
      </c>
      <c r="G193" s="284">
        <f t="shared" si="27"/>
        <v>25.78</v>
      </c>
      <c r="H193" s="284">
        <f t="shared" si="28"/>
        <v>2578</v>
      </c>
      <c r="I193" s="312"/>
      <c r="J193" s="24"/>
      <c r="K193" s="197"/>
      <c r="L193" s="7"/>
      <c r="M193" s="35"/>
      <c r="N193" s="61"/>
      <c r="O193" s="35"/>
      <c r="P193" s="40"/>
      <c r="Q193" s="37"/>
      <c r="R193" s="4"/>
      <c r="S193" s="236">
        <v>100</v>
      </c>
      <c r="T193" s="236">
        <v>20.73</v>
      </c>
      <c r="U193" s="236">
        <v>26.11</v>
      </c>
      <c r="V193" s="236">
        <v>2611</v>
      </c>
    </row>
    <row r="194" spans="1:22" s="52" customFormat="1" outlineLevel="1" x14ac:dyDescent="0.25">
      <c r="A194" s="282" t="s">
        <v>242</v>
      </c>
      <c r="B194" s="280">
        <v>91991</v>
      </c>
      <c r="C194" s="281" t="s">
        <v>137</v>
      </c>
      <c r="D194" s="282" t="s">
        <v>44</v>
      </c>
      <c r="E194" s="285">
        <v>32</v>
      </c>
      <c r="F194" s="283">
        <v>21.99</v>
      </c>
      <c r="G194" s="284">
        <f t="shared" si="27"/>
        <v>27.35</v>
      </c>
      <c r="H194" s="284">
        <f t="shared" si="28"/>
        <v>875.2</v>
      </c>
      <c r="I194" s="312"/>
      <c r="J194" s="24"/>
      <c r="K194" s="197"/>
      <c r="L194" s="7"/>
      <c r="M194" s="35"/>
      <c r="N194" s="61"/>
      <c r="O194" s="35"/>
      <c r="P194" s="40"/>
      <c r="Q194" s="37"/>
      <c r="R194" s="4"/>
      <c r="S194" s="236">
        <v>32</v>
      </c>
      <c r="T194" s="236">
        <v>21.99</v>
      </c>
      <c r="U194" s="236">
        <v>27.7</v>
      </c>
      <c r="V194" s="236">
        <v>886.4</v>
      </c>
    </row>
    <row r="195" spans="1:22" s="52" customFormat="1" outlineLevel="1" x14ac:dyDescent="0.25">
      <c r="A195" s="282" t="s">
        <v>243</v>
      </c>
      <c r="B195" s="280">
        <v>91953</v>
      </c>
      <c r="C195" s="281" t="s">
        <v>139</v>
      </c>
      <c r="D195" s="282" t="s">
        <v>44</v>
      </c>
      <c r="E195" s="285">
        <v>15</v>
      </c>
      <c r="F195" s="283">
        <v>16.14</v>
      </c>
      <c r="G195" s="284">
        <f t="shared" si="27"/>
        <v>20.07</v>
      </c>
      <c r="H195" s="284">
        <f t="shared" si="28"/>
        <v>301.05</v>
      </c>
      <c r="I195" s="312"/>
      <c r="J195" s="24"/>
      <c r="K195" s="197"/>
      <c r="L195" s="7"/>
      <c r="M195" s="35"/>
      <c r="N195" s="61"/>
      <c r="O195" s="35"/>
      <c r="P195" s="40"/>
      <c r="Q195" s="37"/>
      <c r="R195" s="4"/>
      <c r="S195" s="236">
        <v>15</v>
      </c>
      <c r="T195" s="236">
        <v>16.14</v>
      </c>
      <c r="U195" s="236">
        <v>20.329999999999998</v>
      </c>
      <c r="V195" s="236">
        <v>304.95</v>
      </c>
    </row>
    <row r="196" spans="1:22" s="52" customFormat="1" outlineLevel="1" x14ac:dyDescent="0.25">
      <c r="A196" s="282" t="s">
        <v>244</v>
      </c>
      <c r="B196" s="280">
        <v>91959</v>
      </c>
      <c r="C196" s="281" t="s">
        <v>140</v>
      </c>
      <c r="D196" s="282" t="s">
        <v>44</v>
      </c>
      <c r="E196" s="285">
        <v>10</v>
      </c>
      <c r="F196" s="283">
        <v>25.5</v>
      </c>
      <c r="G196" s="284">
        <f t="shared" si="27"/>
        <v>31.71</v>
      </c>
      <c r="H196" s="284">
        <f t="shared" si="28"/>
        <v>317.10000000000002</v>
      </c>
      <c r="I196" s="312"/>
      <c r="J196" s="24"/>
      <c r="K196" s="197"/>
      <c r="L196" s="7"/>
      <c r="M196" s="35"/>
      <c r="N196" s="61"/>
      <c r="O196" s="35"/>
      <c r="P196" s="40"/>
      <c r="Q196" s="37"/>
      <c r="R196" s="4"/>
      <c r="S196" s="236">
        <v>10</v>
      </c>
      <c r="T196" s="236">
        <v>25.5</v>
      </c>
      <c r="U196" s="236">
        <v>32.130000000000003</v>
      </c>
      <c r="V196" s="236">
        <v>321.3</v>
      </c>
    </row>
    <row r="197" spans="1:22" s="52" customFormat="1" outlineLevel="1" x14ac:dyDescent="0.25">
      <c r="A197" s="282" t="s">
        <v>368</v>
      </c>
      <c r="B197" s="280">
        <v>93653</v>
      </c>
      <c r="C197" s="281" t="s">
        <v>141</v>
      </c>
      <c r="D197" s="282" t="s">
        <v>44</v>
      </c>
      <c r="E197" s="285">
        <v>10</v>
      </c>
      <c r="F197" s="283">
        <v>9.3699999999999992</v>
      </c>
      <c r="G197" s="284">
        <f t="shared" si="27"/>
        <v>11.65</v>
      </c>
      <c r="H197" s="284">
        <f t="shared" si="28"/>
        <v>116.5</v>
      </c>
      <c r="I197" s="312"/>
      <c r="J197" s="24"/>
      <c r="K197" s="197"/>
      <c r="L197" s="7"/>
      <c r="M197" s="35"/>
      <c r="N197" s="61"/>
      <c r="O197" s="35"/>
      <c r="P197" s="40"/>
      <c r="Q197" s="37"/>
      <c r="R197" s="4"/>
      <c r="S197" s="236">
        <v>10</v>
      </c>
      <c r="T197" s="236">
        <v>9.3699999999999992</v>
      </c>
      <c r="U197" s="236">
        <v>11.8</v>
      </c>
      <c r="V197" s="236">
        <v>118</v>
      </c>
    </row>
    <row r="198" spans="1:22" s="52" customFormat="1" outlineLevel="1" x14ac:dyDescent="0.25">
      <c r="A198" s="282" t="s">
        <v>339</v>
      </c>
      <c r="B198" s="280">
        <v>93655</v>
      </c>
      <c r="C198" s="281" t="s">
        <v>142</v>
      </c>
      <c r="D198" s="282" t="s">
        <v>44</v>
      </c>
      <c r="E198" s="285">
        <v>8</v>
      </c>
      <c r="F198" s="283">
        <v>10.59</v>
      </c>
      <c r="G198" s="284">
        <f t="shared" si="27"/>
        <v>13.17</v>
      </c>
      <c r="H198" s="284">
        <f t="shared" si="28"/>
        <v>105.36</v>
      </c>
      <c r="I198" s="312"/>
      <c r="J198" s="24"/>
      <c r="K198" s="197"/>
      <c r="L198" s="7"/>
      <c r="M198" s="35"/>
      <c r="N198" s="61"/>
      <c r="O198" s="35"/>
      <c r="P198" s="40"/>
      <c r="Q198" s="37"/>
      <c r="R198" s="4"/>
      <c r="S198" s="236">
        <v>8</v>
      </c>
      <c r="T198" s="236">
        <v>10.59</v>
      </c>
      <c r="U198" s="236">
        <v>13.34</v>
      </c>
      <c r="V198" s="236">
        <v>106.72</v>
      </c>
    </row>
    <row r="199" spans="1:22" s="52" customFormat="1" outlineLevel="1" x14ac:dyDescent="0.25">
      <c r="A199" s="282" t="s">
        <v>340</v>
      </c>
      <c r="B199" s="280">
        <v>93657</v>
      </c>
      <c r="C199" s="281" t="s">
        <v>143</v>
      </c>
      <c r="D199" s="282" t="s">
        <v>44</v>
      </c>
      <c r="E199" s="285">
        <v>6</v>
      </c>
      <c r="F199" s="283">
        <v>11.59</v>
      </c>
      <c r="G199" s="284">
        <f t="shared" si="27"/>
        <v>14.41</v>
      </c>
      <c r="H199" s="284">
        <f t="shared" si="28"/>
        <v>86.46</v>
      </c>
      <c r="I199" s="312"/>
      <c r="J199" s="24"/>
      <c r="K199" s="197"/>
      <c r="L199" s="7"/>
      <c r="M199" s="35"/>
      <c r="N199" s="61"/>
      <c r="O199" s="35"/>
      <c r="P199" s="40"/>
      <c r="Q199" s="37"/>
      <c r="R199" s="4"/>
      <c r="S199" s="236">
        <v>6</v>
      </c>
      <c r="T199" s="236">
        <v>11.59</v>
      </c>
      <c r="U199" s="236">
        <v>14.6</v>
      </c>
      <c r="V199" s="236">
        <v>87.6</v>
      </c>
    </row>
    <row r="200" spans="1:22" s="52" customFormat="1" outlineLevel="1" x14ac:dyDescent="0.25">
      <c r="A200" s="282" t="s">
        <v>343</v>
      </c>
      <c r="B200" s="280">
        <v>93660</v>
      </c>
      <c r="C200" s="281" t="s">
        <v>144</v>
      </c>
      <c r="D200" s="282" t="s">
        <v>44</v>
      </c>
      <c r="E200" s="285">
        <v>8</v>
      </c>
      <c r="F200" s="283">
        <v>46.9</v>
      </c>
      <c r="G200" s="284">
        <f t="shared" si="27"/>
        <v>58.33</v>
      </c>
      <c r="H200" s="284">
        <f t="shared" si="28"/>
        <v>466.64</v>
      </c>
      <c r="I200" s="312"/>
      <c r="J200" s="24"/>
      <c r="K200" s="197"/>
      <c r="L200" s="7"/>
      <c r="M200" s="35"/>
      <c r="N200" s="61"/>
      <c r="O200" s="35"/>
      <c r="P200" s="40"/>
      <c r="Q200" s="37"/>
      <c r="R200" s="4"/>
      <c r="S200" s="236">
        <v>8</v>
      </c>
      <c r="T200" s="236">
        <v>46.9</v>
      </c>
      <c r="U200" s="236">
        <v>59.09</v>
      </c>
      <c r="V200" s="236">
        <v>472.72</v>
      </c>
    </row>
    <row r="201" spans="1:22" s="52" customFormat="1" outlineLevel="1" x14ac:dyDescent="0.25">
      <c r="A201" s="282" t="s">
        <v>346</v>
      </c>
      <c r="B201" s="280">
        <v>93662</v>
      </c>
      <c r="C201" s="281" t="s">
        <v>145</v>
      </c>
      <c r="D201" s="282" t="s">
        <v>44</v>
      </c>
      <c r="E201" s="285">
        <v>6</v>
      </c>
      <c r="F201" s="283">
        <v>49.38</v>
      </c>
      <c r="G201" s="284">
        <f t="shared" si="27"/>
        <v>61.42</v>
      </c>
      <c r="H201" s="284">
        <f t="shared" si="28"/>
        <v>368.52</v>
      </c>
      <c r="I201" s="312"/>
      <c r="J201" s="24"/>
      <c r="K201" s="197"/>
      <c r="L201" s="7"/>
      <c r="M201" s="35"/>
      <c r="N201" s="61"/>
      <c r="O201" s="35"/>
      <c r="P201" s="40"/>
      <c r="Q201" s="37"/>
      <c r="R201" s="4"/>
      <c r="S201" s="236">
        <v>6</v>
      </c>
      <c r="T201" s="236">
        <v>49.38</v>
      </c>
      <c r="U201" s="236">
        <v>62.21</v>
      </c>
      <c r="V201" s="236">
        <v>373.26</v>
      </c>
    </row>
    <row r="202" spans="1:22" s="52" customFormat="1" outlineLevel="1" x14ac:dyDescent="0.25">
      <c r="A202" s="282" t="s">
        <v>245</v>
      </c>
      <c r="B202" s="280">
        <v>93664</v>
      </c>
      <c r="C202" s="281" t="s">
        <v>146</v>
      </c>
      <c r="D202" s="282" t="s">
        <v>44</v>
      </c>
      <c r="E202" s="285">
        <v>6</v>
      </c>
      <c r="F202" s="283">
        <v>51.34</v>
      </c>
      <c r="G202" s="284">
        <f t="shared" si="27"/>
        <v>63.86</v>
      </c>
      <c r="H202" s="284">
        <f t="shared" si="28"/>
        <v>383.16</v>
      </c>
      <c r="I202" s="312"/>
      <c r="J202" s="24"/>
      <c r="K202" s="197"/>
      <c r="L202" s="7"/>
      <c r="M202" s="35"/>
      <c r="N202" s="61"/>
      <c r="O202" s="35"/>
      <c r="P202" s="40"/>
      <c r="Q202" s="37"/>
      <c r="R202" s="4"/>
      <c r="S202" s="236">
        <v>6</v>
      </c>
      <c r="T202" s="236">
        <v>51.34</v>
      </c>
      <c r="U202" s="236">
        <v>64.680000000000007</v>
      </c>
      <c r="V202" s="236">
        <v>388.08</v>
      </c>
    </row>
    <row r="203" spans="1:22" s="52" customFormat="1" outlineLevel="1" x14ac:dyDescent="0.25">
      <c r="A203" s="282" t="s">
        <v>246</v>
      </c>
      <c r="B203" s="280">
        <v>93673</v>
      </c>
      <c r="C203" s="281" t="s">
        <v>147</v>
      </c>
      <c r="D203" s="282" t="s">
        <v>44</v>
      </c>
      <c r="E203" s="285">
        <v>5</v>
      </c>
      <c r="F203" s="283">
        <v>75.680000000000007</v>
      </c>
      <c r="G203" s="284">
        <f t="shared" si="27"/>
        <v>94.13</v>
      </c>
      <c r="H203" s="284">
        <f t="shared" si="28"/>
        <v>470.65</v>
      </c>
      <c r="I203" s="312"/>
      <c r="J203" s="24"/>
      <c r="K203" s="197"/>
      <c r="L203" s="7"/>
      <c r="M203" s="35"/>
      <c r="N203" s="61"/>
      <c r="O203" s="35"/>
      <c r="P203" s="40"/>
      <c r="Q203" s="37"/>
      <c r="R203" s="4"/>
      <c r="S203" s="236">
        <v>5</v>
      </c>
      <c r="T203" s="236">
        <v>75.680000000000007</v>
      </c>
      <c r="U203" s="236">
        <v>95.35</v>
      </c>
      <c r="V203" s="236">
        <v>476.75</v>
      </c>
    </row>
    <row r="204" spans="1:22" s="52" customFormat="1" outlineLevel="1" x14ac:dyDescent="0.25">
      <c r="A204" s="282" t="s">
        <v>247</v>
      </c>
      <c r="B204" s="280">
        <v>93667</v>
      </c>
      <c r="C204" s="281" t="s">
        <v>148</v>
      </c>
      <c r="D204" s="282" t="s">
        <v>44</v>
      </c>
      <c r="E204" s="285">
        <v>6</v>
      </c>
      <c r="F204" s="283">
        <v>58.47</v>
      </c>
      <c r="G204" s="284">
        <f t="shared" si="27"/>
        <v>72.73</v>
      </c>
      <c r="H204" s="284">
        <f t="shared" si="28"/>
        <v>436.38</v>
      </c>
      <c r="I204" s="312"/>
      <c r="J204" s="24"/>
      <c r="K204" s="197"/>
      <c r="L204" s="7"/>
      <c r="M204" s="35"/>
      <c r="N204" s="61"/>
      <c r="O204" s="35"/>
      <c r="P204" s="40"/>
      <c r="Q204" s="37"/>
      <c r="R204" s="4"/>
      <c r="S204" s="236">
        <v>6</v>
      </c>
      <c r="T204" s="236">
        <v>58.47</v>
      </c>
      <c r="U204" s="236">
        <v>73.67</v>
      </c>
      <c r="V204" s="236">
        <v>442.02</v>
      </c>
    </row>
    <row r="205" spans="1:22" s="52" customFormat="1" outlineLevel="1" x14ac:dyDescent="0.25">
      <c r="A205" s="282" t="s">
        <v>248</v>
      </c>
      <c r="B205" s="280">
        <v>93669</v>
      </c>
      <c r="C205" s="281" t="s">
        <v>149</v>
      </c>
      <c r="D205" s="282" t="s">
        <v>44</v>
      </c>
      <c r="E205" s="285">
        <v>6</v>
      </c>
      <c r="F205" s="283">
        <v>62.18</v>
      </c>
      <c r="G205" s="284">
        <f t="shared" si="27"/>
        <v>77.34</v>
      </c>
      <c r="H205" s="284">
        <f t="shared" si="28"/>
        <v>464.04</v>
      </c>
      <c r="I205" s="312"/>
      <c r="J205" s="24"/>
      <c r="K205" s="197"/>
      <c r="L205" s="7"/>
      <c r="M205" s="35"/>
      <c r="N205" s="61"/>
      <c r="O205" s="35"/>
      <c r="P205" s="40"/>
      <c r="Q205" s="37"/>
      <c r="R205" s="4"/>
      <c r="S205" s="236">
        <v>6</v>
      </c>
      <c r="T205" s="236">
        <v>62.18</v>
      </c>
      <c r="U205" s="236">
        <v>78.34</v>
      </c>
      <c r="V205" s="236">
        <v>470.04</v>
      </c>
    </row>
    <row r="206" spans="1:22" s="52" customFormat="1" outlineLevel="1" x14ac:dyDescent="0.25">
      <c r="A206" s="282" t="s">
        <v>249</v>
      </c>
      <c r="B206" s="280">
        <v>91944</v>
      </c>
      <c r="C206" s="281" t="s">
        <v>151</v>
      </c>
      <c r="D206" s="282" t="s">
        <v>44</v>
      </c>
      <c r="E206" s="285">
        <v>15</v>
      </c>
      <c r="F206" s="283">
        <f>'COMPOSIÇÃO SINAPI W MENDES'!G1352</f>
        <v>9.06</v>
      </c>
      <c r="G206" s="284">
        <f t="shared" si="27"/>
        <v>11.26</v>
      </c>
      <c r="H206" s="284">
        <f t="shared" si="28"/>
        <v>168.9</v>
      </c>
      <c r="I206" s="559"/>
      <c r="J206" s="24"/>
      <c r="K206" s="197"/>
      <c r="L206" s="7"/>
      <c r="M206" s="35"/>
      <c r="N206" s="61"/>
      <c r="O206" s="35"/>
      <c r="P206" s="40"/>
      <c r="Q206" s="37"/>
      <c r="R206" s="4"/>
      <c r="S206" s="236">
        <v>15</v>
      </c>
      <c r="T206" s="236">
        <v>9.3000000000000007</v>
      </c>
      <c r="U206" s="236">
        <v>11.71</v>
      </c>
      <c r="V206" s="236">
        <v>175.65</v>
      </c>
    </row>
    <row r="207" spans="1:22" s="52" customFormat="1" ht="31.2" outlineLevel="1" x14ac:dyDescent="0.25">
      <c r="A207" s="282" t="s">
        <v>250</v>
      </c>
      <c r="B207" s="280">
        <v>83463</v>
      </c>
      <c r="C207" s="281" t="s">
        <v>152</v>
      </c>
      <c r="D207" s="282" t="s">
        <v>44</v>
      </c>
      <c r="E207" s="285">
        <v>1</v>
      </c>
      <c r="F207" s="283">
        <v>356.52</v>
      </c>
      <c r="G207" s="284">
        <f t="shared" si="27"/>
        <v>443.47</v>
      </c>
      <c r="H207" s="284">
        <f t="shared" si="28"/>
        <v>443.47</v>
      </c>
      <c r="I207" s="312"/>
      <c r="J207" s="24"/>
      <c r="K207" s="197"/>
      <c r="L207" s="7"/>
      <c r="M207" s="35"/>
      <c r="N207" s="61"/>
      <c r="O207" s="35"/>
      <c r="P207" s="40"/>
      <c r="Q207" s="37"/>
      <c r="R207" s="4"/>
      <c r="S207" s="236">
        <v>1</v>
      </c>
      <c r="T207" s="236">
        <v>356.52</v>
      </c>
      <c r="U207" s="236">
        <v>449.21</v>
      </c>
      <c r="V207" s="236">
        <v>449.21</v>
      </c>
    </row>
    <row r="208" spans="1:22" s="52" customFormat="1" ht="31.2" outlineLevel="1" x14ac:dyDescent="0.25">
      <c r="A208" s="282" t="s">
        <v>251</v>
      </c>
      <c r="B208" s="280" t="s">
        <v>153</v>
      </c>
      <c r="C208" s="281" t="s">
        <v>154</v>
      </c>
      <c r="D208" s="282" t="s">
        <v>44</v>
      </c>
      <c r="E208" s="285">
        <v>1</v>
      </c>
      <c r="F208" s="283">
        <v>606.13</v>
      </c>
      <c r="G208" s="284">
        <f t="shared" si="27"/>
        <v>753.96</v>
      </c>
      <c r="H208" s="284">
        <f t="shared" si="28"/>
        <v>753.96</v>
      </c>
      <c r="I208" s="312"/>
      <c r="J208" s="24"/>
      <c r="K208" s="197"/>
      <c r="L208" s="7"/>
      <c r="M208" s="35"/>
      <c r="N208" s="61"/>
      <c r="O208" s="35"/>
      <c r="P208" s="40"/>
      <c r="Q208" s="37"/>
      <c r="R208" s="4"/>
      <c r="S208" s="236">
        <v>1</v>
      </c>
      <c r="T208" s="236">
        <v>606.13</v>
      </c>
      <c r="U208" s="236">
        <v>763.72</v>
      </c>
      <c r="V208" s="236">
        <v>763.72</v>
      </c>
    </row>
    <row r="209" spans="1:22" s="52" customFormat="1" outlineLevel="1" x14ac:dyDescent="0.25">
      <c r="A209" s="282" t="s">
        <v>702</v>
      </c>
      <c r="B209" s="280">
        <v>91941</v>
      </c>
      <c r="C209" s="281" t="s">
        <v>150</v>
      </c>
      <c r="D209" s="282" t="s">
        <v>44</v>
      </c>
      <c r="E209" s="285">
        <v>52</v>
      </c>
      <c r="F209" s="283">
        <v>6.8</v>
      </c>
      <c r="G209" s="284">
        <f t="shared" si="27"/>
        <v>8.4499999999999993</v>
      </c>
      <c r="H209" s="284">
        <f t="shared" si="28"/>
        <v>439.4</v>
      </c>
      <c r="I209" s="312"/>
      <c r="J209" s="24"/>
      <c r="K209" s="197"/>
      <c r="L209" s="7"/>
      <c r="M209" s="35"/>
      <c r="N209" s="61"/>
      <c r="O209" s="35"/>
      <c r="P209" s="40"/>
      <c r="Q209" s="37"/>
      <c r="R209" s="4"/>
      <c r="S209" s="236">
        <v>52</v>
      </c>
      <c r="T209" s="236">
        <v>6.8</v>
      </c>
      <c r="U209" s="236">
        <v>8.56</v>
      </c>
      <c r="V209" s="236">
        <v>445.12</v>
      </c>
    </row>
    <row r="210" spans="1:22" s="52" customFormat="1" outlineLevel="1" x14ac:dyDescent="0.25">
      <c r="A210" s="282" t="s">
        <v>703</v>
      </c>
      <c r="B210" s="280">
        <v>93012</v>
      </c>
      <c r="C210" s="281" t="s">
        <v>155</v>
      </c>
      <c r="D210" s="282" t="s">
        <v>55</v>
      </c>
      <c r="E210" s="285">
        <v>12</v>
      </c>
      <c r="F210" s="283">
        <v>36.47</v>
      </c>
      <c r="G210" s="284">
        <f t="shared" si="27"/>
        <v>45.36</v>
      </c>
      <c r="H210" s="284">
        <f t="shared" si="28"/>
        <v>544.32000000000005</v>
      </c>
      <c r="I210" s="312"/>
      <c r="J210" s="24"/>
      <c r="K210" s="197"/>
      <c r="L210" s="7"/>
      <c r="M210" s="35"/>
      <c r="N210" s="61"/>
      <c r="O210" s="35"/>
      <c r="P210" s="40"/>
      <c r="Q210" s="37"/>
      <c r="R210" s="4"/>
      <c r="S210" s="236">
        <v>12</v>
      </c>
      <c r="T210" s="236">
        <v>36.47</v>
      </c>
      <c r="U210" s="236">
        <v>45.95</v>
      </c>
      <c r="V210" s="236">
        <v>551.4</v>
      </c>
    </row>
    <row r="211" spans="1:22" s="52" customFormat="1" ht="31.2" outlineLevel="1" x14ac:dyDescent="0.25">
      <c r="A211" s="282" t="s">
        <v>704</v>
      </c>
      <c r="B211" s="280" t="s">
        <v>156</v>
      </c>
      <c r="C211" s="281" t="s">
        <v>157</v>
      </c>
      <c r="D211" s="282" t="s">
        <v>44</v>
      </c>
      <c r="E211" s="285">
        <v>1</v>
      </c>
      <c r="F211" s="283">
        <v>852.27</v>
      </c>
      <c r="G211" s="284">
        <f t="shared" si="27"/>
        <v>1060.1300000000001</v>
      </c>
      <c r="H211" s="284">
        <f>TRUNC(E211*G211,2)</f>
        <v>1060.1300000000001</v>
      </c>
      <c r="I211" s="312"/>
      <c r="J211" s="24"/>
      <c r="K211" s="197"/>
      <c r="L211" s="7"/>
      <c r="M211" s="35"/>
      <c r="N211" s="61"/>
      <c r="O211" s="35"/>
      <c r="P211" s="40"/>
      <c r="Q211" s="37"/>
      <c r="R211" s="4"/>
      <c r="S211" s="236">
        <v>1</v>
      </c>
      <c r="T211" s="236">
        <v>852.27</v>
      </c>
      <c r="U211" s="236">
        <v>1073.8599999999999</v>
      </c>
      <c r="V211" s="236">
        <v>1073.8599999999999</v>
      </c>
    </row>
    <row r="212" spans="1:22" s="52" customFormat="1" ht="31.2" outlineLevel="1" x14ac:dyDescent="0.25">
      <c r="A212" s="282" t="s">
        <v>705</v>
      </c>
      <c r="B212" s="280" t="s">
        <v>158</v>
      </c>
      <c r="C212" s="281" t="s">
        <v>159</v>
      </c>
      <c r="D212" s="282" t="s">
        <v>55</v>
      </c>
      <c r="E212" s="285">
        <v>354.2</v>
      </c>
      <c r="F212" s="283">
        <f>'COMPOSIÇÃO SINAPI W MENDES'!G1393</f>
        <v>60.92</v>
      </c>
      <c r="G212" s="284">
        <f>TRUNC(F212*$J$13,2)</f>
        <v>75.77</v>
      </c>
      <c r="H212" s="284">
        <f>TRUNC(E212*G212,2)</f>
        <v>26837.73</v>
      </c>
      <c r="I212" s="312"/>
      <c r="J212" s="24"/>
      <c r="K212" s="197"/>
      <c r="L212" s="7"/>
      <c r="M212" s="35"/>
      <c r="N212" s="61"/>
      <c r="O212" s="35"/>
      <c r="P212" s="40"/>
      <c r="Q212" s="37"/>
      <c r="R212" s="4"/>
      <c r="S212" s="236">
        <v>354.2</v>
      </c>
      <c r="T212" s="236">
        <v>73.088999999999999</v>
      </c>
      <c r="U212" s="236">
        <v>92.09</v>
      </c>
      <c r="V212" s="236">
        <v>32618.27</v>
      </c>
    </row>
    <row r="213" spans="1:22" s="52" customFormat="1" outlineLevel="1" x14ac:dyDescent="0.25">
      <c r="A213" s="279" t="s">
        <v>206</v>
      </c>
      <c r="B213" s="279"/>
      <c r="C213" s="294" t="s">
        <v>161</v>
      </c>
      <c r="D213" s="558"/>
      <c r="E213" s="294"/>
      <c r="F213" s="403"/>
      <c r="G213" s="296" t="s">
        <v>38</v>
      </c>
      <c r="H213" s="558"/>
      <c r="I213" s="559">
        <f>SUM(H214:H226)</f>
        <v>23294.280000000002</v>
      </c>
      <c r="J213" s="24"/>
      <c r="K213" s="197"/>
      <c r="L213" s="317">
        <f>SUM(H214:H226)</f>
        <v>23294.280000000002</v>
      </c>
      <c r="M213" s="35">
        <f>I213-L213</f>
        <v>0</v>
      </c>
      <c r="N213" s="61"/>
      <c r="O213" s="35"/>
      <c r="P213" s="40"/>
      <c r="Q213" s="37"/>
      <c r="R213" s="4"/>
    </row>
    <row r="214" spans="1:22" s="52" customFormat="1" outlineLevel="1" x14ac:dyDescent="0.25">
      <c r="A214" s="282" t="s">
        <v>208</v>
      </c>
      <c r="B214" s="280">
        <v>91944</v>
      </c>
      <c r="C214" s="281" t="s">
        <v>151</v>
      </c>
      <c r="D214" s="282" t="s">
        <v>44</v>
      </c>
      <c r="E214" s="285">
        <v>60</v>
      </c>
      <c r="F214" s="283">
        <f>'COMPOSIÇÃO SINAPI W MENDES'!G1401</f>
        <v>9.06</v>
      </c>
      <c r="G214" s="284">
        <f>TRUNC(F214*$J$13,2)</f>
        <v>11.26</v>
      </c>
      <c r="H214" s="284">
        <f>TRUNC(E214*G214,2)</f>
        <v>675.6</v>
      </c>
      <c r="I214" s="312"/>
      <c r="J214" s="24"/>
      <c r="K214" s="197"/>
      <c r="L214" s="7"/>
      <c r="M214" s="35"/>
      <c r="N214" s="61"/>
      <c r="O214" s="35"/>
      <c r="P214" s="40"/>
      <c r="Q214" s="37"/>
      <c r="R214" s="4"/>
      <c r="S214" s="236">
        <v>60</v>
      </c>
      <c r="T214" s="236">
        <v>9.3000000000000007</v>
      </c>
      <c r="U214" s="236">
        <v>11.71</v>
      </c>
      <c r="V214" s="236">
        <v>702.6</v>
      </c>
    </row>
    <row r="215" spans="1:22" s="52" customFormat="1" outlineLevel="1" x14ac:dyDescent="0.25">
      <c r="A215" s="282" t="s">
        <v>252</v>
      </c>
      <c r="B215" s="280">
        <v>90447</v>
      </c>
      <c r="C215" s="281" t="s">
        <v>127</v>
      </c>
      <c r="D215" s="282" t="s">
        <v>55</v>
      </c>
      <c r="E215" s="285">
        <v>200</v>
      </c>
      <c r="F215" s="283">
        <v>4.45</v>
      </c>
      <c r="G215" s="284">
        <f t="shared" ref="G215:G226" si="29">TRUNC(F215*$J$13,2)</f>
        <v>5.53</v>
      </c>
      <c r="H215" s="284">
        <f t="shared" ref="H215:H226" si="30">TRUNC(E215*G215,2)</f>
        <v>1106</v>
      </c>
      <c r="I215" s="312"/>
      <c r="J215" s="24"/>
      <c r="K215" s="197"/>
      <c r="L215" s="7"/>
      <c r="M215" s="35"/>
      <c r="N215" s="61"/>
      <c r="O215" s="35"/>
      <c r="P215" s="40"/>
      <c r="Q215" s="37"/>
      <c r="R215" s="4"/>
      <c r="S215" s="236">
        <v>200</v>
      </c>
      <c r="T215" s="236">
        <v>4.45</v>
      </c>
      <c r="U215" s="236">
        <v>5.6</v>
      </c>
      <c r="V215" s="236">
        <v>1120</v>
      </c>
    </row>
    <row r="216" spans="1:22" s="52" customFormat="1" ht="31.2" outlineLevel="1" x14ac:dyDescent="0.25">
      <c r="A216" s="282" t="s">
        <v>209</v>
      </c>
      <c r="B216" s="280">
        <v>91836</v>
      </c>
      <c r="C216" s="281" t="s">
        <v>130</v>
      </c>
      <c r="D216" s="282" t="s">
        <v>55</v>
      </c>
      <c r="E216" s="285">
        <v>150</v>
      </c>
      <c r="F216" s="283">
        <v>7.55</v>
      </c>
      <c r="G216" s="284">
        <f t="shared" si="29"/>
        <v>9.39</v>
      </c>
      <c r="H216" s="284">
        <f t="shared" si="30"/>
        <v>1408.5</v>
      </c>
      <c r="I216" s="312"/>
      <c r="J216" s="24"/>
      <c r="K216" s="197"/>
      <c r="L216" s="7"/>
      <c r="M216" s="35"/>
      <c r="N216" s="61"/>
      <c r="O216" s="35"/>
      <c r="P216" s="40"/>
      <c r="Q216" s="37"/>
      <c r="R216" s="4"/>
      <c r="S216" s="236">
        <v>150</v>
      </c>
      <c r="T216" s="236">
        <v>7.55</v>
      </c>
      <c r="U216" s="236">
        <v>9.51</v>
      </c>
      <c r="V216" s="236">
        <v>1426.5</v>
      </c>
    </row>
    <row r="217" spans="1:22" s="52" customFormat="1" ht="31.2" outlineLevel="1" x14ac:dyDescent="0.25">
      <c r="A217" s="282" t="s">
        <v>253</v>
      </c>
      <c r="B217" s="280">
        <v>91869</v>
      </c>
      <c r="C217" s="281" t="s">
        <v>132</v>
      </c>
      <c r="D217" s="282" t="s">
        <v>55</v>
      </c>
      <c r="E217" s="285">
        <v>200</v>
      </c>
      <c r="F217" s="283">
        <v>10.32</v>
      </c>
      <c r="G217" s="284">
        <f t="shared" si="29"/>
        <v>12.83</v>
      </c>
      <c r="H217" s="284">
        <f t="shared" si="30"/>
        <v>2566</v>
      </c>
      <c r="I217" s="312"/>
      <c r="J217" s="24"/>
      <c r="K217" s="197"/>
      <c r="L217" s="7"/>
      <c r="M217" s="35"/>
      <c r="N217" s="61"/>
      <c r="O217" s="35"/>
      <c r="P217" s="40"/>
      <c r="Q217" s="37"/>
      <c r="R217" s="4"/>
      <c r="S217" s="236">
        <v>200</v>
      </c>
      <c r="T217" s="236">
        <v>10.32</v>
      </c>
      <c r="U217" s="236">
        <v>13</v>
      </c>
      <c r="V217" s="236">
        <v>2600</v>
      </c>
    </row>
    <row r="218" spans="1:22" s="52" customFormat="1" outlineLevel="1" x14ac:dyDescent="0.25">
      <c r="A218" s="282" t="s">
        <v>254</v>
      </c>
      <c r="B218" s="280">
        <v>91941</v>
      </c>
      <c r="C218" s="281" t="s">
        <v>150</v>
      </c>
      <c r="D218" s="282" t="s">
        <v>44</v>
      </c>
      <c r="E218" s="285">
        <v>3</v>
      </c>
      <c r="F218" s="283">
        <v>6.8</v>
      </c>
      <c r="G218" s="284">
        <f t="shared" si="29"/>
        <v>8.4499999999999993</v>
      </c>
      <c r="H218" s="284">
        <f t="shared" si="30"/>
        <v>25.35</v>
      </c>
      <c r="I218" s="312"/>
      <c r="J218" s="24"/>
      <c r="K218" s="197"/>
      <c r="L218" s="7"/>
      <c r="M218" s="35"/>
      <c r="N218" s="61"/>
      <c r="O218" s="35"/>
      <c r="P218" s="40"/>
      <c r="Q218" s="37"/>
      <c r="R218" s="4"/>
      <c r="S218" s="236">
        <v>3</v>
      </c>
      <c r="T218" s="236">
        <v>6.8</v>
      </c>
      <c r="U218" s="236">
        <v>8.56</v>
      </c>
      <c r="V218" s="236">
        <v>25.68</v>
      </c>
    </row>
    <row r="219" spans="1:22" s="52" customFormat="1" outlineLevel="1" x14ac:dyDescent="0.25">
      <c r="A219" s="282" t="s">
        <v>255</v>
      </c>
      <c r="B219" s="280">
        <v>95778</v>
      </c>
      <c r="C219" s="281" t="s">
        <v>168</v>
      </c>
      <c r="D219" s="282" t="s">
        <v>55</v>
      </c>
      <c r="E219" s="285">
        <v>120</v>
      </c>
      <c r="F219" s="283">
        <v>20.28</v>
      </c>
      <c r="G219" s="284">
        <f t="shared" si="29"/>
        <v>25.22</v>
      </c>
      <c r="H219" s="284">
        <f t="shared" si="30"/>
        <v>3026.4</v>
      </c>
      <c r="I219" s="312"/>
      <c r="J219" s="24"/>
      <c r="K219" s="197"/>
      <c r="L219" s="7"/>
      <c r="M219" s="35"/>
      <c r="N219" s="61"/>
      <c r="O219" s="35"/>
      <c r="P219" s="40"/>
      <c r="Q219" s="37"/>
      <c r="R219" s="4"/>
      <c r="S219" s="236">
        <v>120</v>
      </c>
      <c r="T219" s="236">
        <v>20.28</v>
      </c>
      <c r="U219" s="236">
        <v>25.55</v>
      </c>
      <c r="V219" s="236">
        <v>3066</v>
      </c>
    </row>
    <row r="220" spans="1:22" s="52" customFormat="1" outlineLevel="1" x14ac:dyDescent="0.25">
      <c r="A220" s="282" t="s">
        <v>256</v>
      </c>
      <c r="B220" s="292">
        <v>98296</v>
      </c>
      <c r="C220" s="291" t="s">
        <v>172</v>
      </c>
      <c r="D220" s="282" t="s">
        <v>55</v>
      </c>
      <c r="E220" s="285">
        <v>2000</v>
      </c>
      <c r="F220" s="283">
        <v>2.52</v>
      </c>
      <c r="G220" s="284">
        <f t="shared" si="29"/>
        <v>3.13</v>
      </c>
      <c r="H220" s="284">
        <f t="shared" si="30"/>
        <v>6260</v>
      </c>
      <c r="I220" s="312"/>
      <c r="J220" s="24"/>
      <c r="K220" s="197"/>
      <c r="L220" s="7"/>
      <c r="M220" s="35"/>
      <c r="N220" s="61"/>
      <c r="O220" s="35"/>
      <c r="P220" s="40"/>
      <c r="Q220" s="37"/>
      <c r="R220" s="4"/>
      <c r="S220" s="236">
        <v>2000</v>
      </c>
      <c r="T220" s="236">
        <v>2.52</v>
      </c>
      <c r="U220" s="236">
        <v>3.17</v>
      </c>
      <c r="V220" s="236">
        <v>6340</v>
      </c>
    </row>
    <row r="221" spans="1:22" s="52" customFormat="1" outlineLevel="1" x14ac:dyDescent="0.25">
      <c r="A221" s="282" t="s">
        <v>257</v>
      </c>
      <c r="B221" s="280">
        <v>98302</v>
      </c>
      <c r="C221" s="289" t="s">
        <v>174</v>
      </c>
      <c r="D221" s="282" t="s">
        <v>44</v>
      </c>
      <c r="E221" s="285">
        <v>4</v>
      </c>
      <c r="F221" s="283">
        <v>497.66</v>
      </c>
      <c r="G221" s="284">
        <f t="shared" si="29"/>
        <v>619.03</v>
      </c>
      <c r="H221" s="284">
        <f t="shared" si="30"/>
        <v>2476.12</v>
      </c>
      <c r="I221" s="312"/>
      <c r="J221" s="24"/>
      <c r="K221" s="197"/>
      <c r="L221" s="7"/>
      <c r="M221" s="35"/>
      <c r="N221" s="61"/>
      <c r="O221" s="35"/>
      <c r="P221" s="40"/>
      <c r="Q221" s="37"/>
      <c r="R221" s="4"/>
      <c r="S221" s="236">
        <v>4</v>
      </c>
      <c r="T221" s="236">
        <v>497.66</v>
      </c>
      <c r="U221" s="236">
        <v>627.04999999999995</v>
      </c>
      <c r="V221" s="236">
        <v>2508.1999999999998</v>
      </c>
    </row>
    <row r="222" spans="1:22" s="52" customFormat="1" outlineLevel="1" x14ac:dyDescent="0.25">
      <c r="A222" s="282" t="s">
        <v>258</v>
      </c>
      <c r="B222" s="280">
        <v>98593</v>
      </c>
      <c r="C222" s="293" t="s">
        <v>176</v>
      </c>
      <c r="D222" s="282" t="s">
        <v>44</v>
      </c>
      <c r="E222" s="285">
        <v>2</v>
      </c>
      <c r="F222" s="283">
        <v>650.59</v>
      </c>
      <c r="G222" s="284">
        <f t="shared" si="29"/>
        <v>809.26</v>
      </c>
      <c r="H222" s="284">
        <f t="shared" si="30"/>
        <v>1618.52</v>
      </c>
      <c r="I222" s="312"/>
      <c r="J222" s="24"/>
      <c r="K222" s="197"/>
      <c r="L222" s="7"/>
      <c r="M222" s="35"/>
      <c r="N222" s="61"/>
      <c r="O222" s="35"/>
      <c r="P222" s="40"/>
      <c r="Q222" s="37"/>
      <c r="R222" s="4"/>
      <c r="S222" s="236">
        <v>2</v>
      </c>
      <c r="T222" s="236">
        <v>650.59</v>
      </c>
      <c r="U222" s="236">
        <v>819.74</v>
      </c>
      <c r="V222" s="236">
        <v>1639.48</v>
      </c>
    </row>
    <row r="223" spans="1:22" s="52" customFormat="1" ht="31.2" outlineLevel="1" x14ac:dyDescent="0.25">
      <c r="A223" s="282" t="s">
        <v>259</v>
      </c>
      <c r="B223" s="280" t="s">
        <v>178</v>
      </c>
      <c r="C223" s="289" t="s">
        <v>179</v>
      </c>
      <c r="D223" s="282" t="s">
        <v>44</v>
      </c>
      <c r="E223" s="285">
        <v>1</v>
      </c>
      <c r="F223" s="283">
        <f>'COMPOSIÇÃO SINAPI W MENDES'!G3990</f>
        <v>1488.24</v>
      </c>
      <c r="G223" s="284">
        <f t="shared" si="29"/>
        <v>1851.22</v>
      </c>
      <c r="H223" s="284">
        <f t="shared" si="30"/>
        <v>1851.22</v>
      </c>
      <c r="I223" s="312"/>
      <c r="J223" s="24"/>
      <c r="K223" s="197"/>
      <c r="L223" s="7"/>
      <c r="M223" s="35"/>
      <c r="N223" s="61"/>
      <c r="O223" s="35"/>
      <c r="P223" s="40"/>
      <c r="Q223" s="37"/>
      <c r="R223" s="4"/>
      <c r="S223" s="236">
        <v>1</v>
      </c>
      <c r="T223" s="236">
        <v>1489.4</v>
      </c>
      <c r="U223" s="236">
        <v>1876.64</v>
      </c>
      <c r="V223" s="236">
        <v>1876.64</v>
      </c>
    </row>
    <row r="224" spans="1:22" s="52" customFormat="1" outlineLevel="1" x14ac:dyDescent="0.25">
      <c r="A224" s="282" t="s">
        <v>260</v>
      </c>
      <c r="B224" s="280">
        <v>98307</v>
      </c>
      <c r="C224" s="281" t="s">
        <v>182</v>
      </c>
      <c r="D224" s="282" t="s">
        <v>44</v>
      </c>
      <c r="E224" s="285">
        <v>60</v>
      </c>
      <c r="F224" s="283">
        <v>27.38</v>
      </c>
      <c r="G224" s="284">
        <f t="shared" si="29"/>
        <v>34.049999999999997</v>
      </c>
      <c r="H224" s="284">
        <f t="shared" si="30"/>
        <v>2043</v>
      </c>
      <c r="I224" s="312"/>
      <c r="J224" s="24"/>
      <c r="K224" s="197"/>
      <c r="L224" s="7"/>
      <c r="M224" s="35"/>
      <c r="N224" s="61"/>
      <c r="O224" s="35"/>
      <c r="P224" s="40"/>
      <c r="Q224" s="37"/>
      <c r="R224" s="4"/>
      <c r="S224" s="236">
        <v>60</v>
      </c>
      <c r="T224" s="236">
        <v>27.38</v>
      </c>
      <c r="U224" s="236">
        <v>34.49</v>
      </c>
      <c r="V224" s="236">
        <v>2069.4</v>
      </c>
    </row>
    <row r="225" spans="1:22" s="52" customFormat="1" outlineLevel="1" x14ac:dyDescent="0.25">
      <c r="A225" s="282" t="s">
        <v>261</v>
      </c>
      <c r="B225" s="280">
        <v>98308</v>
      </c>
      <c r="C225" s="281" t="s">
        <v>180</v>
      </c>
      <c r="D225" s="282" t="s">
        <v>44</v>
      </c>
      <c r="E225" s="285">
        <v>6</v>
      </c>
      <c r="F225" s="283">
        <v>18.43</v>
      </c>
      <c r="G225" s="284">
        <f t="shared" si="29"/>
        <v>22.92</v>
      </c>
      <c r="H225" s="284">
        <f t="shared" si="30"/>
        <v>137.52000000000001</v>
      </c>
      <c r="I225" s="312"/>
      <c r="J225" s="24"/>
      <c r="K225" s="197"/>
      <c r="L225" s="7"/>
      <c r="M225" s="35"/>
      <c r="N225" s="61"/>
      <c r="O225" s="35"/>
      <c r="P225" s="40"/>
      <c r="Q225" s="37"/>
      <c r="R225" s="4"/>
      <c r="S225" s="236">
        <v>6</v>
      </c>
      <c r="T225" s="236">
        <v>18.43</v>
      </c>
      <c r="U225" s="236">
        <v>23.22</v>
      </c>
      <c r="V225" s="236">
        <v>139.32</v>
      </c>
    </row>
    <row r="226" spans="1:22" s="52" customFormat="1" ht="31.2" outlineLevel="1" x14ac:dyDescent="0.25">
      <c r="A226" s="282" t="s">
        <v>262</v>
      </c>
      <c r="B226" s="280">
        <v>100560</v>
      </c>
      <c r="C226" s="281" t="s">
        <v>184</v>
      </c>
      <c r="D226" s="282" t="s">
        <v>185</v>
      </c>
      <c r="E226" s="285">
        <v>1</v>
      </c>
      <c r="F226" s="283">
        <v>80.44</v>
      </c>
      <c r="G226" s="284">
        <f t="shared" si="29"/>
        <v>100.05</v>
      </c>
      <c r="H226" s="284">
        <f t="shared" si="30"/>
        <v>100.05</v>
      </c>
      <c r="I226" s="312"/>
      <c r="J226" s="24"/>
      <c r="K226" s="197"/>
      <c r="L226" s="7"/>
      <c r="M226" s="35"/>
      <c r="N226" s="61"/>
      <c r="O226" s="35"/>
      <c r="P226" s="40"/>
      <c r="Q226" s="37"/>
      <c r="R226" s="4"/>
      <c r="S226" s="236">
        <v>1</v>
      </c>
      <c r="T226" s="236">
        <v>80.44</v>
      </c>
      <c r="U226" s="236">
        <v>101.35</v>
      </c>
      <c r="V226" s="236">
        <v>101.35</v>
      </c>
    </row>
    <row r="227" spans="1:22" s="52" customFormat="1" outlineLevel="1" x14ac:dyDescent="0.25">
      <c r="A227" s="279" t="s">
        <v>211</v>
      </c>
      <c r="B227" s="279"/>
      <c r="C227" s="294" t="s">
        <v>187</v>
      </c>
      <c r="D227" s="558"/>
      <c r="E227" s="296"/>
      <c r="F227" s="403"/>
      <c r="G227" s="296" t="s">
        <v>38</v>
      </c>
      <c r="H227" s="558"/>
      <c r="I227" s="559">
        <f>SUM(H228:H255)</f>
        <v>13776.180000000002</v>
      </c>
      <c r="J227" s="24"/>
      <c r="K227" s="197"/>
      <c r="L227" s="317">
        <f>SUM(H229:H255)</f>
        <v>13776.180000000002</v>
      </c>
      <c r="M227" s="35">
        <f>I227-L227</f>
        <v>0</v>
      </c>
      <c r="N227" s="61"/>
      <c r="O227" s="35"/>
      <c r="P227" s="40"/>
      <c r="Q227" s="37"/>
      <c r="R227" s="4"/>
    </row>
    <row r="228" spans="1:22" s="52" customFormat="1" outlineLevel="1" x14ac:dyDescent="0.25">
      <c r="A228" s="279" t="s">
        <v>213</v>
      </c>
      <c r="B228" s="280"/>
      <c r="C228" s="294" t="s">
        <v>189</v>
      </c>
      <c r="D228" s="282"/>
      <c r="E228" s="288"/>
      <c r="F228" s="297"/>
      <c r="G228" s="288"/>
      <c r="H228" s="298"/>
      <c r="I228" s="312"/>
      <c r="J228" s="24"/>
      <c r="K228" s="197"/>
      <c r="L228" s="7"/>
      <c r="M228" s="35"/>
      <c r="N228" s="61"/>
      <c r="O228" s="35"/>
      <c r="P228" s="40"/>
      <c r="Q228" s="37"/>
      <c r="R228" s="4"/>
    </row>
    <row r="229" spans="1:22" s="52" customFormat="1" outlineLevel="1" x14ac:dyDescent="0.25">
      <c r="A229" s="282" t="s">
        <v>263</v>
      </c>
      <c r="B229" s="280">
        <v>90443</v>
      </c>
      <c r="C229" s="281" t="s">
        <v>190</v>
      </c>
      <c r="D229" s="282" t="s">
        <v>55</v>
      </c>
      <c r="E229" s="285">
        <f t="shared" ref="E229:E238" si="31">J229</f>
        <v>17</v>
      </c>
      <c r="F229" s="283">
        <v>8.9499999999999993</v>
      </c>
      <c r="G229" s="284">
        <f>TRUNC(F229*$J$13,2)</f>
        <v>11.13</v>
      </c>
      <c r="H229" s="284">
        <f t="shared" ref="H229:H238" si="32">TRUNC(E229*G229,2)</f>
        <v>189.21</v>
      </c>
      <c r="I229" s="312"/>
      <c r="J229" s="24">
        <v>17</v>
      </c>
      <c r="K229" s="197"/>
      <c r="L229" s="7"/>
      <c r="M229" s="35"/>
      <c r="N229" s="61"/>
      <c r="O229" s="35"/>
      <c r="P229" s="40"/>
      <c r="Q229" s="37"/>
      <c r="R229" s="4"/>
      <c r="S229" s="236">
        <v>17</v>
      </c>
      <c r="T229" s="236">
        <v>8.9499999999999993</v>
      </c>
      <c r="U229" s="236">
        <v>11.27</v>
      </c>
      <c r="V229" s="236">
        <v>191.59</v>
      </c>
    </row>
    <row r="230" spans="1:22" s="52" customFormat="1" outlineLevel="1" x14ac:dyDescent="0.25">
      <c r="A230" s="282" t="s">
        <v>264</v>
      </c>
      <c r="B230" s="280">
        <v>86895</v>
      </c>
      <c r="C230" s="281" t="s">
        <v>191</v>
      </c>
      <c r="D230" s="282" t="s">
        <v>44</v>
      </c>
      <c r="E230" s="285">
        <f t="shared" si="31"/>
        <v>1</v>
      </c>
      <c r="F230" s="283">
        <v>269.19</v>
      </c>
      <c r="G230" s="284">
        <f>TRUNC(F230*$J$13,2)</f>
        <v>334.84</v>
      </c>
      <c r="H230" s="284">
        <f t="shared" si="32"/>
        <v>334.84</v>
      </c>
      <c r="I230" s="312"/>
      <c r="J230" s="24">
        <v>1</v>
      </c>
      <c r="K230" s="197"/>
      <c r="L230" s="7"/>
      <c r="M230" s="35"/>
      <c r="N230" s="61"/>
      <c r="O230" s="35"/>
      <c r="P230" s="40"/>
      <c r="Q230" s="37"/>
      <c r="R230" s="4"/>
      <c r="S230" s="236">
        <v>1</v>
      </c>
      <c r="T230" s="236">
        <v>269.19</v>
      </c>
      <c r="U230" s="236">
        <v>339.17</v>
      </c>
      <c r="V230" s="236">
        <v>339.17</v>
      </c>
    </row>
    <row r="231" spans="1:22" s="52" customFormat="1" ht="46.8" outlineLevel="1" x14ac:dyDescent="0.25">
      <c r="A231" s="282" t="s">
        <v>265</v>
      </c>
      <c r="B231" s="280">
        <v>93441</v>
      </c>
      <c r="C231" s="281" t="s">
        <v>266</v>
      </c>
      <c r="D231" s="282" t="s">
        <v>44</v>
      </c>
      <c r="E231" s="285">
        <v>1</v>
      </c>
      <c r="F231" s="283">
        <v>843.67</v>
      </c>
      <c r="G231" s="284">
        <f>TRUNC(F231*$J$13,2)</f>
        <v>1049.44</v>
      </c>
      <c r="H231" s="284">
        <f t="shared" si="32"/>
        <v>1049.44</v>
      </c>
      <c r="I231" s="312"/>
      <c r="J231" s="24">
        <f>1.07*2+2.8*0.6</f>
        <v>3.8200000000000003</v>
      </c>
      <c r="K231" s="197"/>
      <c r="L231" s="7"/>
      <c r="M231" s="35"/>
      <c r="N231" s="61"/>
      <c r="O231" s="35"/>
      <c r="P231" s="40"/>
      <c r="Q231" s="37"/>
      <c r="R231" s="4"/>
      <c r="S231" s="236">
        <v>1</v>
      </c>
      <c r="T231" s="236">
        <v>843.67</v>
      </c>
      <c r="U231" s="236">
        <v>1063.02</v>
      </c>
      <c r="V231" s="236">
        <v>1063.02</v>
      </c>
    </row>
    <row r="232" spans="1:22" s="52" customFormat="1" outlineLevel="1" x14ac:dyDescent="0.25">
      <c r="A232" s="282" t="s">
        <v>267</v>
      </c>
      <c r="B232" s="280">
        <v>86889</v>
      </c>
      <c r="C232" s="281" t="s">
        <v>268</v>
      </c>
      <c r="D232" s="282" t="s">
        <v>44</v>
      </c>
      <c r="E232" s="285">
        <f t="shared" si="31"/>
        <v>1</v>
      </c>
      <c r="F232" s="283">
        <v>574.45000000000005</v>
      </c>
      <c r="G232" s="284">
        <v>544.1</v>
      </c>
      <c r="H232" s="284">
        <f t="shared" si="32"/>
        <v>544.1</v>
      </c>
      <c r="I232" s="312"/>
      <c r="J232" s="24">
        <v>1</v>
      </c>
      <c r="K232" s="197"/>
      <c r="L232" s="7"/>
      <c r="M232" s="35"/>
      <c r="N232" s="61"/>
      <c r="O232" s="35"/>
      <c r="P232" s="40"/>
      <c r="Q232" s="37"/>
      <c r="R232" s="4"/>
      <c r="S232" s="236">
        <v>1</v>
      </c>
      <c r="T232" s="236">
        <v>574.45000000000005</v>
      </c>
      <c r="U232" s="236">
        <v>544.1</v>
      </c>
      <c r="V232" s="236">
        <v>544.1</v>
      </c>
    </row>
    <row r="233" spans="1:22" s="52" customFormat="1" outlineLevel="1" x14ac:dyDescent="0.25">
      <c r="A233" s="282" t="s">
        <v>269</v>
      </c>
      <c r="B233" s="280">
        <v>86901</v>
      </c>
      <c r="C233" s="281" t="s">
        <v>192</v>
      </c>
      <c r="D233" s="282" t="s">
        <v>44</v>
      </c>
      <c r="E233" s="285">
        <f t="shared" si="31"/>
        <v>5</v>
      </c>
      <c r="F233" s="283">
        <v>108.45</v>
      </c>
      <c r="G233" s="284">
        <f t="shared" ref="G233:G238" si="33">TRUNC(F233*$J$13,2)</f>
        <v>134.9</v>
      </c>
      <c r="H233" s="284">
        <f t="shared" si="32"/>
        <v>674.5</v>
      </c>
      <c r="I233" s="312"/>
      <c r="J233" s="24">
        <v>5</v>
      </c>
      <c r="K233" s="197"/>
      <c r="L233" s="7"/>
      <c r="M233" s="35"/>
      <c r="N233" s="61"/>
      <c r="O233" s="35"/>
      <c r="P233" s="40"/>
      <c r="Q233" s="37"/>
      <c r="R233" s="4"/>
      <c r="S233" s="236">
        <v>5</v>
      </c>
      <c r="T233" s="236">
        <v>108.45</v>
      </c>
      <c r="U233" s="236">
        <v>136.63999999999999</v>
      </c>
      <c r="V233" s="236">
        <v>683.2</v>
      </c>
    </row>
    <row r="234" spans="1:22" s="52" customFormat="1" outlineLevel="1" x14ac:dyDescent="0.25">
      <c r="A234" s="282" t="s">
        <v>270</v>
      </c>
      <c r="B234" s="280">
        <v>86915</v>
      </c>
      <c r="C234" s="281" t="s">
        <v>193</v>
      </c>
      <c r="D234" s="282" t="s">
        <v>44</v>
      </c>
      <c r="E234" s="285">
        <f t="shared" si="31"/>
        <v>7</v>
      </c>
      <c r="F234" s="283">
        <v>84.78</v>
      </c>
      <c r="G234" s="284">
        <f t="shared" si="33"/>
        <v>105.45</v>
      </c>
      <c r="H234" s="284">
        <f t="shared" si="32"/>
        <v>738.15</v>
      </c>
      <c r="I234" s="312"/>
      <c r="J234" s="24">
        <v>7</v>
      </c>
      <c r="K234" s="197"/>
      <c r="L234" s="7"/>
      <c r="M234" s="35"/>
      <c r="N234" s="61"/>
      <c r="O234" s="35"/>
      <c r="P234" s="40"/>
      <c r="Q234" s="37"/>
      <c r="R234" s="4"/>
      <c r="S234" s="236">
        <v>7</v>
      </c>
      <c r="T234" s="236">
        <v>84.78</v>
      </c>
      <c r="U234" s="236">
        <v>106.82</v>
      </c>
      <c r="V234" s="236">
        <v>747.74</v>
      </c>
    </row>
    <row r="235" spans="1:22" s="52" customFormat="1" outlineLevel="1" x14ac:dyDescent="0.25">
      <c r="A235" s="282" t="s">
        <v>271</v>
      </c>
      <c r="B235" s="280">
        <v>99635</v>
      </c>
      <c r="C235" s="281" t="s">
        <v>194</v>
      </c>
      <c r="D235" s="282" t="s">
        <v>44</v>
      </c>
      <c r="E235" s="285">
        <f t="shared" si="31"/>
        <v>6</v>
      </c>
      <c r="F235" s="283">
        <v>184.35</v>
      </c>
      <c r="G235" s="284">
        <f t="shared" si="33"/>
        <v>229.31</v>
      </c>
      <c r="H235" s="284">
        <f t="shared" si="32"/>
        <v>1375.86</v>
      </c>
      <c r="I235" s="312"/>
      <c r="J235" s="24">
        <v>6</v>
      </c>
      <c r="K235" s="197"/>
      <c r="L235" s="7"/>
      <c r="M235" s="35"/>
      <c r="N235" s="61"/>
      <c r="O235" s="35"/>
      <c r="P235" s="40"/>
      <c r="Q235" s="37"/>
      <c r="R235" s="4"/>
      <c r="S235" s="236">
        <v>6</v>
      </c>
      <c r="T235" s="236">
        <v>184.35</v>
      </c>
      <c r="U235" s="236">
        <v>232.28</v>
      </c>
      <c r="V235" s="236">
        <v>1393.68</v>
      </c>
    </row>
    <row r="236" spans="1:22" s="52" customFormat="1" outlineLevel="1" x14ac:dyDescent="0.25">
      <c r="A236" s="282" t="s">
        <v>272</v>
      </c>
      <c r="B236" s="280">
        <v>100860</v>
      </c>
      <c r="C236" s="281" t="s">
        <v>273</v>
      </c>
      <c r="D236" s="282" t="s">
        <v>44</v>
      </c>
      <c r="E236" s="285">
        <f t="shared" si="31"/>
        <v>2</v>
      </c>
      <c r="F236" s="283">
        <v>73.790000000000006</v>
      </c>
      <c r="G236" s="284">
        <f t="shared" si="33"/>
        <v>91.78</v>
      </c>
      <c r="H236" s="284">
        <f t="shared" si="32"/>
        <v>183.56</v>
      </c>
      <c r="I236" s="312"/>
      <c r="J236" s="24">
        <v>2</v>
      </c>
      <c r="K236" s="197"/>
      <c r="L236" s="7"/>
      <c r="M236" s="35"/>
      <c r="N236" s="61"/>
      <c r="O236" s="35"/>
      <c r="P236" s="40"/>
      <c r="Q236" s="37"/>
      <c r="R236" s="4"/>
      <c r="S236" s="236">
        <v>2</v>
      </c>
      <c r="T236" s="236">
        <v>73.790000000000006</v>
      </c>
      <c r="U236" s="236">
        <v>92.97</v>
      </c>
      <c r="V236" s="236">
        <v>185.94</v>
      </c>
    </row>
    <row r="237" spans="1:22" s="52" customFormat="1" ht="31.2" outlineLevel="1" x14ac:dyDescent="0.25">
      <c r="A237" s="282" t="s">
        <v>274</v>
      </c>
      <c r="B237" s="280">
        <v>89986</v>
      </c>
      <c r="C237" s="281" t="s">
        <v>275</v>
      </c>
      <c r="D237" s="282" t="s">
        <v>44</v>
      </c>
      <c r="E237" s="285">
        <f t="shared" si="31"/>
        <v>5</v>
      </c>
      <c r="F237" s="283">
        <v>52.15</v>
      </c>
      <c r="G237" s="284">
        <f t="shared" si="33"/>
        <v>64.86</v>
      </c>
      <c r="H237" s="284">
        <f t="shared" si="32"/>
        <v>324.3</v>
      </c>
      <c r="I237" s="312"/>
      <c r="J237" s="24">
        <v>5</v>
      </c>
      <c r="K237" s="197"/>
      <c r="L237" s="7"/>
      <c r="M237" s="35"/>
      <c r="N237" s="61"/>
      <c r="O237" s="35"/>
      <c r="P237" s="40"/>
      <c r="Q237" s="37"/>
      <c r="R237" s="4"/>
      <c r="S237" s="236">
        <v>5</v>
      </c>
      <c r="T237" s="236">
        <v>52.15</v>
      </c>
      <c r="U237" s="236">
        <v>65.7</v>
      </c>
      <c r="V237" s="236">
        <v>328.5</v>
      </c>
    </row>
    <row r="238" spans="1:22" s="52" customFormat="1" ht="31.2" outlineLevel="1" x14ac:dyDescent="0.25">
      <c r="A238" s="282" t="s">
        <v>276</v>
      </c>
      <c r="B238" s="280">
        <v>89984</v>
      </c>
      <c r="C238" s="281" t="s">
        <v>277</v>
      </c>
      <c r="D238" s="282" t="s">
        <v>44</v>
      </c>
      <c r="E238" s="285">
        <f t="shared" si="31"/>
        <v>2</v>
      </c>
      <c r="F238" s="283">
        <v>53.43</v>
      </c>
      <c r="G238" s="284">
        <f t="shared" si="33"/>
        <v>66.459999999999994</v>
      </c>
      <c r="H238" s="284">
        <f t="shared" si="32"/>
        <v>132.91999999999999</v>
      </c>
      <c r="I238" s="312"/>
      <c r="J238" s="24">
        <v>2</v>
      </c>
      <c r="K238" s="197"/>
      <c r="L238" s="7"/>
      <c r="M238" s="35"/>
      <c r="N238" s="61"/>
      <c r="O238" s="35"/>
      <c r="P238" s="40"/>
      <c r="Q238" s="37"/>
      <c r="R238" s="4"/>
      <c r="S238" s="236">
        <v>2</v>
      </c>
      <c r="T238" s="236">
        <v>53.43</v>
      </c>
      <c r="U238" s="236">
        <v>67.319999999999993</v>
      </c>
      <c r="V238" s="236">
        <v>134.63999999999999</v>
      </c>
    </row>
    <row r="239" spans="1:22" s="52" customFormat="1" outlineLevel="1" x14ac:dyDescent="0.25">
      <c r="A239" s="282" t="s">
        <v>278</v>
      </c>
      <c r="B239" s="280"/>
      <c r="C239" s="294" t="s">
        <v>201</v>
      </c>
      <c r="D239" s="282"/>
      <c r="E239" s="285"/>
      <c r="F239" s="283"/>
      <c r="G239" s="284"/>
      <c r="H239" s="284"/>
      <c r="I239" s="312"/>
      <c r="J239" s="24"/>
      <c r="K239" s="197"/>
      <c r="L239" s="7"/>
      <c r="M239" s="35"/>
      <c r="N239" s="61"/>
      <c r="O239" s="35"/>
      <c r="P239" s="40"/>
      <c r="Q239" s="37"/>
      <c r="R239" s="4"/>
      <c r="S239" s="236"/>
      <c r="T239" s="236"/>
      <c r="U239" s="236"/>
      <c r="V239" s="236"/>
    </row>
    <row r="240" spans="1:22" s="52" customFormat="1" ht="31.2" outlineLevel="1" x14ac:dyDescent="0.25">
      <c r="A240" s="282" t="s">
        <v>279</v>
      </c>
      <c r="B240" s="280">
        <v>95471</v>
      </c>
      <c r="C240" s="281" t="s">
        <v>280</v>
      </c>
      <c r="D240" s="282" t="s">
        <v>44</v>
      </c>
      <c r="E240" s="285">
        <v>2</v>
      </c>
      <c r="F240" s="283">
        <v>611.63</v>
      </c>
      <c r="G240" s="284">
        <f t="shared" ref="G240:G255" si="34">TRUNC(F240*$J$13,2)</f>
        <v>760.8</v>
      </c>
      <c r="H240" s="284">
        <f t="shared" ref="H240:H255" si="35">TRUNC(E240*G240,2)</f>
        <v>1521.6</v>
      </c>
      <c r="I240" s="312"/>
      <c r="J240" s="24">
        <v>1</v>
      </c>
      <c r="K240" s="197"/>
      <c r="L240" s="7"/>
      <c r="M240" s="35"/>
      <c r="N240" s="61"/>
      <c r="O240" s="35"/>
      <c r="P240" s="40"/>
      <c r="Q240" s="37"/>
      <c r="R240" s="4"/>
      <c r="S240" s="236">
        <v>2</v>
      </c>
      <c r="T240" s="236">
        <v>611.63</v>
      </c>
      <c r="U240" s="236">
        <v>770.65</v>
      </c>
      <c r="V240" s="236">
        <v>1541.3</v>
      </c>
    </row>
    <row r="241" spans="1:22" s="52" customFormat="1" ht="31.2" outlineLevel="1" x14ac:dyDescent="0.25">
      <c r="A241" s="282" t="s">
        <v>281</v>
      </c>
      <c r="B241" s="280">
        <v>95470</v>
      </c>
      <c r="C241" s="281" t="s">
        <v>205</v>
      </c>
      <c r="D241" s="282" t="s">
        <v>44</v>
      </c>
      <c r="E241" s="285">
        <f>J241</f>
        <v>7</v>
      </c>
      <c r="F241" s="283">
        <v>169.53</v>
      </c>
      <c r="G241" s="284">
        <f t="shared" si="34"/>
        <v>210.87</v>
      </c>
      <c r="H241" s="284">
        <f t="shared" si="35"/>
        <v>1476.09</v>
      </c>
      <c r="I241" s="312"/>
      <c r="J241" s="24">
        <v>7</v>
      </c>
      <c r="K241" s="197"/>
      <c r="L241" s="7"/>
      <c r="M241" s="35"/>
      <c r="N241" s="61"/>
      <c r="O241" s="35"/>
      <c r="P241" s="40"/>
      <c r="Q241" s="37"/>
      <c r="R241" s="4"/>
      <c r="S241" s="236">
        <v>7</v>
      </c>
      <c r="T241" s="236">
        <v>169.53</v>
      </c>
      <c r="U241" s="236">
        <v>213.6</v>
      </c>
      <c r="V241" s="236">
        <v>1495.2</v>
      </c>
    </row>
    <row r="242" spans="1:22" s="52" customFormat="1" outlineLevel="1" x14ac:dyDescent="0.25">
      <c r="A242" s="282" t="s">
        <v>282</v>
      </c>
      <c r="B242" s="280" t="s">
        <v>283</v>
      </c>
      <c r="C242" s="281" t="s">
        <v>284</v>
      </c>
      <c r="D242" s="282" t="s">
        <v>44</v>
      </c>
      <c r="E242" s="285">
        <v>1</v>
      </c>
      <c r="F242" s="283">
        <f>'COMPOSIÇÃO SINAPI W MENDES'!G1580</f>
        <v>690.14</v>
      </c>
      <c r="G242" s="284">
        <f t="shared" si="34"/>
        <v>858.46</v>
      </c>
      <c r="H242" s="284">
        <f t="shared" si="35"/>
        <v>858.46</v>
      </c>
      <c r="I242" s="312"/>
      <c r="J242" s="24">
        <v>1</v>
      </c>
      <c r="K242" s="207" t="e">
        <f>[1]COMPOSIÇÃO!L57</f>
        <v>#REF!</v>
      </c>
      <c r="L242" s="317"/>
      <c r="M242" s="35"/>
      <c r="N242" s="61"/>
      <c r="O242" s="35"/>
      <c r="P242" s="40"/>
      <c r="Q242" s="37"/>
      <c r="R242" s="4"/>
      <c r="S242" s="236">
        <v>1</v>
      </c>
      <c r="T242" s="236">
        <v>690.19</v>
      </c>
      <c r="U242" s="236">
        <v>869.63</v>
      </c>
      <c r="V242" s="236">
        <v>869.63</v>
      </c>
    </row>
    <row r="243" spans="1:22" s="52" customFormat="1" outlineLevel="1" x14ac:dyDescent="0.25">
      <c r="A243" s="282" t="s">
        <v>285</v>
      </c>
      <c r="B243" s="280">
        <v>86881</v>
      </c>
      <c r="C243" s="281" t="s">
        <v>286</v>
      </c>
      <c r="D243" s="282" t="s">
        <v>44</v>
      </c>
      <c r="E243" s="285">
        <v>7</v>
      </c>
      <c r="F243" s="283">
        <v>155.91999999999999</v>
      </c>
      <c r="G243" s="284">
        <f t="shared" si="34"/>
        <v>193.94</v>
      </c>
      <c r="H243" s="284">
        <f t="shared" si="35"/>
        <v>1357.58</v>
      </c>
      <c r="I243" s="312"/>
      <c r="J243" s="24">
        <f>7</f>
        <v>7</v>
      </c>
      <c r="K243" s="197"/>
      <c r="L243" s="7"/>
      <c r="M243" s="35"/>
      <c r="N243" s="61"/>
      <c r="O243" s="35"/>
      <c r="P243" s="40"/>
      <c r="Q243" s="37"/>
      <c r="R243" s="4"/>
      <c r="S243" s="236">
        <v>7</v>
      </c>
      <c r="T243" s="236">
        <v>155.91999999999999</v>
      </c>
      <c r="U243" s="236">
        <v>196.45</v>
      </c>
      <c r="V243" s="236">
        <v>1375.15</v>
      </c>
    </row>
    <row r="244" spans="1:22" s="52" customFormat="1" ht="31.2" outlineLevel="1" x14ac:dyDescent="0.25">
      <c r="A244" s="282" t="s">
        <v>287</v>
      </c>
      <c r="B244" s="280">
        <v>86877</v>
      </c>
      <c r="C244" s="281" t="s">
        <v>288</v>
      </c>
      <c r="D244" s="282" t="s">
        <v>44</v>
      </c>
      <c r="E244" s="285">
        <v>7</v>
      </c>
      <c r="F244" s="283">
        <v>25.76</v>
      </c>
      <c r="G244" s="284">
        <f t="shared" si="34"/>
        <v>32.04</v>
      </c>
      <c r="H244" s="284">
        <f t="shared" si="35"/>
        <v>224.28</v>
      </c>
      <c r="I244" s="312"/>
      <c r="J244" s="24">
        <v>7</v>
      </c>
      <c r="K244" s="197"/>
      <c r="L244" s="7"/>
      <c r="M244" s="35"/>
      <c r="N244" s="61"/>
      <c r="O244" s="35"/>
      <c r="P244" s="40"/>
      <c r="Q244" s="37"/>
      <c r="R244" s="4"/>
      <c r="S244" s="236">
        <v>7</v>
      </c>
      <c r="T244" s="236">
        <v>25.76</v>
      </c>
      <c r="U244" s="236">
        <v>32.450000000000003</v>
      </c>
      <c r="V244" s="236">
        <v>227.15</v>
      </c>
    </row>
    <row r="245" spans="1:22" s="52" customFormat="1" outlineLevel="1" x14ac:dyDescent="0.25">
      <c r="A245" s="282" t="s">
        <v>289</v>
      </c>
      <c r="B245" s="280">
        <v>86887</v>
      </c>
      <c r="C245" s="281" t="s">
        <v>290</v>
      </c>
      <c r="D245" s="282" t="s">
        <v>44</v>
      </c>
      <c r="E245" s="285">
        <v>2</v>
      </c>
      <c r="F245" s="283">
        <v>41.05</v>
      </c>
      <c r="G245" s="284">
        <f t="shared" si="34"/>
        <v>51.06</v>
      </c>
      <c r="H245" s="284">
        <f t="shared" si="35"/>
        <v>102.12</v>
      </c>
      <c r="I245" s="312"/>
      <c r="J245" s="24"/>
      <c r="K245" s="197"/>
      <c r="L245" s="7"/>
      <c r="M245" s="35"/>
      <c r="N245" s="61"/>
      <c r="O245" s="35"/>
      <c r="P245" s="40"/>
      <c r="Q245" s="37"/>
      <c r="R245" s="4"/>
      <c r="S245" s="236">
        <v>2</v>
      </c>
      <c r="T245" s="236">
        <v>41.05</v>
      </c>
      <c r="U245" s="236">
        <v>51.72</v>
      </c>
      <c r="V245" s="236">
        <v>103.44</v>
      </c>
    </row>
    <row r="246" spans="1:22" s="52" customFormat="1" ht="31.2" outlineLevel="1" x14ac:dyDescent="0.25">
      <c r="A246" s="282" t="s">
        <v>291</v>
      </c>
      <c r="B246" s="280">
        <v>89707</v>
      </c>
      <c r="C246" s="281" t="s">
        <v>292</v>
      </c>
      <c r="D246" s="282" t="s">
        <v>44</v>
      </c>
      <c r="E246" s="285">
        <v>3</v>
      </c>
      <c r="F246" s="283">
        <v>25.09</v>
      </c>
      <c r="G246" s="284">
        <f t="shared" si="34"/>
        <v>31.2</v>
      </c>
      <c r="H246" s="284">
        <f t="shared" si="35"/>
        <v>93.6</v>
      </c>
      <c r="I246" s="312"/>
      <c r="J246" s="24">
        <v>3</v>
      </c>
      <c r="K246" s="197"/>
      <c r="L246" s="7"/>
      <c r="M246" s="35"/>
      <c r="N246" s="61"/>
      <c r="O246" s="35"/>
      <c r="P246" s="40"/>
      <c r="Q246" s="37"/>
      <c r="R246" s="4"/>
      <c r="S246" s="236">
        <v>3</v>
      </c>
      <c r="T246" s="236">
        <v>25.09</v>
      </c>
      <c r="U246" s="236">
        <v>31.61</v>
      </c>
      <c r="V246" s="236">
        <v>94.83</v>
      </c>
    </row>
    <row r="247" spans="1:22" s="52" customFormat="1" outlineLevel="1" x14ac:dyDescent="0.25">
      <c r="A247" s="282" t="s">
        <v>293</v>
      </c>
      <c r="B247" s="280">
        <v>95544</v>
      </c>
      <c r="C247" s="281" t="s">
        <v>202</v>
      </c>
      <c r="D247" s="282" t="s">
        <v>44</v>
      </c>
      <c r="E247" s="285">
        <v>7</v>
      </c>
      <c r="F247" s="283">
        <v>30.21</v>
      </c>
      <c r="G247" s="284">
        <f t="shared" si="34"/>
        <v>37.57</v>
      </c>
      <c r="H247" s="284">
        <f t="shared" si="35"/>
        <v>262.99</v>
      </c>
      <c r="I247" s="312"/>
      <c r="J247" s="24">
        <v>7</v>
      </c>
      <c r="K247" s="197"/>
      <c r="L247" s="7"/>
      <c r="M247" s="35"/>
      <c r="N247" s="61"/>
      <c r="O247" s="35"/>
      <c r="P247" s="40"/>
      <c r="Q247" s="37"/>
      <c r="R247" s="4"/>
      <c r="S247" s="236">
        <v>7</v>
      </c>
      <c r="T247" s="236">
        <v>30.21</v>
      </c>
      <c r="U247" s="236">
        <v>38.06</v>
      </c>
      <c r="V247" s="236">
        <v>266.42</v>
      </c>
    </row>
    <row r="248" spans="1:22" s="52" customFormat="1" ht="31.2" outlineLevel="1" x14ac:dyDescent="0.25">
      <c r="A248" s="282" t="s">
        <v>294</v>
      </c>
      <c r="B248" s="280">
        <v>89714</v>
      </c>
      <c r="C248" s="281" t="s">
        <v>195</v>
      </c>
      <c r="D248" s="282" t="s">
        <v>55</v>
      </c>
      <c r="E248" s="285">
        <v>12</v>
      </c>
      <c r="F248" s="283">
        <v>42.17</v>
      </c>
      <c r="G248" s="284">
        <f t="shared" si="34"/>
        <v>52.45</v>
      </c>
      <c r="H248" s="284">
        <f t="shared" si="35"/>
        <v>629.4</v>
      </c>
      <c r="I248" s="312"/>
      <c r="J248" s="24">
        <v>12</v>
      </c>
      <c r="K248" s="197"/>
      <c r="L248" s="7"/>
      <c r="M248" s="35"/>
      <c r="N248" s="61"/>
      <c r="O248" s="35"/>
      <c r="P248" s="40"/>
      <c r="Q248" s="37"/>
      <c r="R248" s="4"/>
      <c r="S248" s="236">
        <v>12</v>
      </c>
      <c r="T248" s="236">
        <v>42.17</v>
      </c>
      <c r="U248" s="236">
        <v>53.13</v>
      </c>
      <c r="V248" s="236">
        <v>637.55999999999995</v>
      </c>
    </row>
    <row r="249" spans="1:22" s="52" customFormat="1" ht="31.2" outlineLevel="1" x14ac:dyDescent="0.25">
      <c r="A249" s="282" t="s">
        <v>295</v>
      </c>
      <c r="B249" s="280">
        <v>89712</v>
      </c>
      <c r="C249" s="281" t="s">
        <v>196</v>
      </c>
      <c r="D249" s="282" t="s">
        <v>55</v>
      </c>
      <c r="E249" s="285">
        <v>12</v>
      </c>
      <c r="F249" s="283">
        <v>21.1</v>
      </c>
      <c r="G249" s="284">
        <f t="shared" si="34"/>
        <v>26.24</v>
      </c>
      <c r="H249" s="284">
        <f t="shared" si="35"/>
        <v>314.88</v>
      </c>
      <c r="I249" s="312"/>
      <c r="J249" s="24">
        <v>12</v>
      </c>
      <c r="K249" s="197"/>
      <c r="L249" s="7"/>
      <c r="M249" s="35"/>
      <c r="N249" s="61"/>
      <c r="O249" s="35"/>
      <c r="P249" s="40"/>
      <c r="Q249" s="37"/>
      <c r="R249" s="4"/>
      <c r="S249" s="236">
        <v>12</v>
      </c>
      <c r="T249" s="236">
        <v>21.1</v>
      </c>
      <c r="U249" s="236">
        <v>26.58</v>
      </c>
      <c r="V249" s="236">
        <v>318.95999999999998</v>
      </c>
    </row>
    <row r="250" spans="1:22" s="52" customFormat="1" ht="31.2" outlineLevel="1" x14ac:dyDescent="0.25">
      <c r="A250" s="282" t="s">
        <v>296</v>
      </c>
      <c r="B250" s="280">
        <v>89567</v>
      </c>
      <c r="C250" s="281" t="s">
        <v>197</v>
      </c>
      <c r="D250" s="282" t="s">
        <v>44</v>
      </c>
      <c r="E250" s="285">
        <v>3</v>
      </c>
      <c r="F250" s="283">
        <v>57.95</v>
      </c>
      <c r="G250" s="284">
        <f t="shared" si="34"/>
        <v>72.08</v>
      </c>
      <c r="H250" s="284">
        <f t="shared" si="35"/>
        <v>216.24</v>
      </c>
      <c r="I250" s="312"/>
      <c r="J250" s="24">
        <v>3</v>
      </c>
      <c r="K250" s="197"/>
      <c r="L250" s="7"/>
      <c r="M250" s="35"/>
      <c r="N250" s="61"/>
      <c r="O250" s="35"/>
      <c r="P250" s="40"/>
      <c r="Q250" s="37"/>
      <c r="R250" s="4"/>
      <c r="S250" s="236">
        <v>3</v>
      </c>
      <c r="T250" s="236">
        <v>57.95</v>
      </c>
      <c r="U250" s="236">
        <v>73.010000000000005</v>
      </c>
      <c r="V250" s="236">
        <v>219.03</v>
      </c>
    </row>
    <row r="251" spans="1:22" s="52" customFormat="1" ht="31.2" outlineLevel="1" x14ac:dyDescent="0.25">
      <c r="A251" s="282" t="s">
        <v>706</v>
      </c>
      <c r="B251" s="280">
        <v>89731</v>
      </c>
      <c r="C251" s="281" t="s">
        <v>198</v>
      </c>
      <c r="D251" s="282" t="s">
        <v>44</v>
      </c>
      <c r="E251" s="285">
        <v>6</v>
      </c>
      <c r="F251" s="283">
        <v>8.56</v>
      </c>
      <c r="G251" s="284">
        <f t="shared" si="34"/>
        <v>10.64</v>
      </c>
      <c r="H251" s="284">
        <f t="shared" si="35"/>
        <v>63.84</v>
      </c>
      <c r="I251" s="312"/>
      <c r="J251" s="24">
        <v>6</v>
      </c>
      <c r="K251" s="197"/>
      <c r="L251" s="7"/>
      <c r="M251" s="35"/>
      <c r="N251" s="61"/>
      <c r="O251" s="35"/>
      <c r="P251" s="40"/>
      <c r="Q251" s="37"/>
      <c r="R251" s="4"/>
      <c r="S251" s="236">
        <v>6</v>
      </c>
      <c r="T251" s="236">
        <v>8.56</v>
      </c>
      <c r="U251" s="236">
        <v>10.78</v>
      </c>
      <c r="V251" s="236">
        <v>64.680000000000007</v>
      </c>
    </row>
    <row r="252" spans="1:22" s="52" customFormat="1" outlineLevel="1" x14ac:dyDescent="0.25">
      <c r="A252" s="282" t="s">
        <v>297</v>
      </c>
      <c r="B252" s="280" t="s">
        <v>810</v>
      </c>
      <c r="C252" s="281" t="s">
        <v>808</v>
      </c>
      <c r="D252" s="295" t="s">
        <v>185</v>
      </c>
      <c r="E252" s="285">
        <v>2</v>
      </c>
      <c r="F252" s="283">
        <f>'COMPOSIÇÃO SINAPI W MENDES'!G1658</f>
        <v>234.28</v>
      </c>
      <c r="G252" s="284">
        <f>TRUNC(F252*$J$13,2)</f>
        <v>291.42</v>
      </c>
      <c r="H252" s="284">
        <f>TRUNC(E252*G252,2)</f>
        <v>582.84</v>
      </c>
      <c r="I252" s="312"/>
      <c r="J252" s="24"/>
      <c r="K252" s="197"/>
      <c r="L252" s="7"/>
      <c r="M252" s="35"/>
      <c r="N252" s="61"/>
      <c r="O252" s="35"/>
      <c r="P252" s="40"/>
      <c r="Q252" s="37"/>
      <c r="R252" s="4"/>
      <c r="S252" s="236">
        <v>2</v>
      </c>
      <c r="T252" s="236">
        <v>234.43</v>
      </c>
      <c r="U252" s="236">
        <v>295.38</v>
      </c>
      <c r="V252" s="236">
        <v>590.76</v>
      </c>
    </row>
    <row r="253" spans="1:22" s="52" customFormat="1" outlineLevel="1" x14ac:dyDescent="0.25">
      <c r="A253" s="282" t="s">
        <v>298</v>
      </c>
      <c r="B253" s="280" t="s">
        <v>811</v>
      </c>
      <c r="C253" s="281" t="s">
        <v>809</v>
      </c>
      <c r="D253" s="295" t="s">
        <v>185</v>
      </c>
      <c r="E253" s="285">
        <v>1</v>
      </c>
      <c r="F253" s="283">
        <f>'COMPOSIÇÃO SINAPI W MENDES'!G2336</f>
        <v>198.73999999999998</v>
      </c>
      <c r="G253" s="284">
        <f>TRUNC(F253*$J$13,2)</f>
        <v>247.21</v>
      </c>
      <c r="H253" s="284">
        <f>TRUNC(E253*G253,2)</f>
        <v>247.21</v>
      </c>
      <c r="I253" s="312"/>
      <c r="J253" s="24"/>
      <c r="K253" s="197"/>
      <c r="L253" s="7"/>
      <c r="M253" s="35"/>
      <c r="N253" s="61"/>
      <c r="O253" s="35"/>
      <c r="P253" s="40"/>
      <c r="Q253" s="37"/>
      <c r="R253" s="4"/>
      <c r="S253" s="236">
        <v>1</v>
      </c>
      <c r="T253" s="236">
        <v>198.89</v>
      </c>
      <c r="U253" s="236">
        <v>250.6</v>
      </c>
      <c r="V253" s="236">
        <v>250.6</v>
      </c>
    </row>
    <row r="254" spans="1:22" s="52" customFormat="1" ht="31.2" outlineLevel="1" x14ac:dyDescent="0.25">
      <c r="A254" s="282" t="s">
        <v>818</v>
      </c>
      <c r="B254" s="280">
        <v>89744</v>
      </c>
      <c r="C254" s="281" t="s">
        <v>199</v>
      </c>
      <c r="D254" s="282" t="s">
        <v>44</v>
      </c>
      <c r="E254" s="285">
        <v>4</v>
      </c>
      <c r="F254" s="283">
        <v>18.88</v>
      </c>
      <c r="G254" s="284">
        <f t="shared" si="34"/>
        <v>23.48</v>
      </c>
      <c r="H254" s="284">
        <f t="shared" si="35"/>
        <v>93.92</v>
      </c>
      <c r="I254" s="312"/>
      <c r="J254" s="24">
        <v>4</v>
      </c>
      <c r="K254" s="197"/>
      <c r="L254" s="7"/>
      <c r="M254" s="35"/>
      <c r="N254" s="61"/>
      <c r="O254" s="35"/>
      <c r="P254" s="40"/>
      <c r="Q254" s="37"/>
      <c r="R254" s="4"/>
      <c r="S254" s="236">
        <v>4</v>
      </c>
      <c r="T254" s="236">
        <v>18.88</v>
      </c>
      <c r="U254" s="236">
        <v>23.78</v>
      </c>
      <c r="V254" s="236">
        <v>95.12</v>
      </c>
    </row>
    <row r="255" spans="1:22" s="52" customFormat="1" outlineLevel="1" x14ac:dyDescent="0.25">
      <c r="A255" s="282" t="s">
        <v>819</v>
      </c>
      <c r="B255" s="280">
        <v>95545</v>
      </c>
      <c r="C255" s="281" t="s">
        <v>203</v>
      </c>
      <c r="D255" s="282" t="s">
        <v>44</v>
      </c>
      <c r="E255" s="285">
        <v>5</v>
      </c>
      <c r="F255" s="283">
        <v>29.63</v>
      </c>
      <c r="G255" s="284">
        <f t="shared" si="34"/>
        <v>36.85</v>
      </c>
      <c r="H255" s="284">
        <f t="shared" si="35"/>
        <v>184.25</v>
      </c>
      <c r="I255" s="312"/>
      <c r="J255" s="24">
        <v>5</v>
      </c>
      <c r="K255" s="197"/>
      <c r="L255" s="7"/>
      <c r="M255" s="35"/>
      <c r="N255" s="61"/>
      <c r="O255" s="35"/>
      <c r="P255" s="40"/>
      <c r="Q255" s="37"/>
      <c r="R255" s="4"/>
      <c r="S255" s="236">
        <v>5</v>
      </c>
      <c r="T255" s="236">
        <v>29.63</v>
      </c>
      <c r="U255" s="236">
        <v>37.33</v>
      </c>
      <c r="V255" s="236">
        <v>186.65</v>
      </c>
    </row>
    <row r="256" spans="1:22" s="52" customFormat="1" outlineLevel="1" x14ac:dyDescent="0.25">
      <c r="A256" s="279" t="s">
        <v>299</v>
      </c>
      <c r="B256" s="279"/>
      <c r="C256" s="294" t="s">
        <v>207</v>
      </c>
      <c r="D256" s="558"/>
      <c r="E256" s="294"/>
      <c r="F256" s="403"/>
      <c r="G256" s="296" t="s">
        <v>38</v>
      </c>
      <c r="H256" s="294"/>
      <c r="I256" s="559">
        <f>SUM(H257:H258)</f>
        <v>2047.36</v>
      </c>
      <c r="J256" s="24"/>
      <c r="K256" s="197"/>
      <c r="L256" s="317">
        <f>SUM(H257:H258)</f>
        <v>2047.36</v>
      </c>
      <c r="M256" s="35">
        <f>I256-L256</f>
        <v>0</v>
      </c>
      <c r="N256" s="61"/>
      <c r="O256" s="35"/>
      <c r="P256" s="40"/>
      <c r="Q256" s="37"/>
      <c r="R256" s="4"/>
    </row>
    <row r="257" spans="1:22" s="52" customFormat="1" outlineLevel="1" x14ac:dyDescent="0.25">
      <c r="A257" s="282" t="s">
        <v>300</v>
      </c>
      <c r="B257" s="280">
        <v>72178</v>
      </c>
      <c r="C257" s="281" t="s">
        <v>50</v>
      </c>
      <c r="D257" s="282" t="s">
        <v>24</v>
      </c>
      <c r="E257" s="285">
        <v>32</v>
      </c>
      <c r="F257" s="283">
        <v>22.6</v>
      </c>
      <c r="G257" s="284">
        <f>TRUNC(F257*$J$13,2)</f>
        <v>28.11</v>
      </c>
      <c r="H257" s="284">
        <f>TRUNC(E257*G257,2)</f>
        <v>899.52</v>
      </c>
      <c r="I257" s="297"/>
      <c r="J257" s="24"/>
      <c r="K257" s="197"/>
      <c r="L257" s="7"/>
      <c r="M257" s="35"/>
      <c r="N257" s="61"/>
      <c r="O257" s="35"/>
      <c r="P257" s="40"/>
      <c r="Q257" s="37"/>
      <c r="R257" s="4"/>
      <c r="S257" s="493">
        <v>32</v>
      </c>
      <c r="T257" s="493">
        <v>22.6</v>
      </c>
      <c r="U257" s="493">
        <v>28.47</v>
      </c>
      <c r="V257" s="493">
        <v>911.04</v>
      </c>
    </row>
    <row r="258" spans="1:22" s="52" customFormat="1" ht="31.2" outlineLevel="1" x14ac:dyDescent="0.25">
      <c r="A258" s="282" t="s">
        <v>301</v>
      </c>
      <c r="B258" s="280">
        <v>72181</v>
      </c>
      <c r="C258" s="291" t="s">
        <v>210</v>
      </c>
      <c r="D258" s="282" t="s">
        <v>24</v>
      </c>
      <c r="E258" s="285">
        <v>32</v>
      </c>
      <c r="F258" s="283">
        <v>28.84</v>
      </c>
      <c r="G258" s="284">
        <f>TRUNC(F258*$J$13,2)</f>
        <v>35.869999999999997</v>
      </c>
      <c r="H258" s="284">
        <f>TRUNC(E258*G258,2)</f>
        <v>1147.8399999999999</v>
      </c>
      <c r="I258" s="297"/>
      <c r="J258" s="24"/>
      <c r="K258" s="197"/>
      <c r="L258" s="7"/>
      <c r="M258" s="35"/>
      <c r="N258" s="61"/>
      <c r="O258" s="35"/>
      <c r="P258" s="40"/>
      <c r="Q258" s="37"/>
      <c r="R258" s="4"/>
      <c r="S258" s="493">
        <v>32</v>
      </c>
      <c r="T258" s="493">
        <v>28.84</v>
      </c>
      <c r="U258" s="493">
        <v>36.33</v>
      </c>
      <c r="V258" s="493">
        <v>1162.56</v>
      </c>
    </row>
    <row r="259" spans="1:22" s="52" customFormat="1" outlineLevel="1" x14ac:dyDescent="0.25">
      <c r="A259" s="279">
        <v>12</v>
      </c>
      <c r="B259" s="296"/>
      <c r="C259" s="294" t="s">
        <v>212</v>
      </c>
      <c r="D259" s="558"/>
      <c r="E259" s="294"/>
      <c r="F259" s="403"/>
      <c r="G259" s="294"/>
      <c r="H259" s="558"/>
      <c r="I259" s="404">
        <f>SUM(H260:H260)</f>
        <v>5205.3999999999996</v>
      </c>
      <c r="J259" s="24"/>
      <c r="K259" s="197"/>
      <c r="L259" s="317">
        <f>SUM(H260)</f>
        <v>5205.3999999999996</v>
      </c>
      <c r="M259" s="35">
        <f>I259-L259</f>
        <v>0</v>
      </c>
      <c r="N259" s="61"/>
      <c r="O259" s="35"/>
      <c r="P259" s="40"/>
      <c r="Q259" s="37"/>
      <c r="R259" s="4"/>
    </row>
    <row r="260" spans="1:22" s="52" customFormat="1" outlineLevel="1" x14ac:dyDescent="0.25">
      <c r="A260" s="282" t="s">
        <v>388</v>
      </c>
      <c r="B260" s="280">
        <v>96114</v>
      </c>
      <c r="C260" s="289" t="s">
        <v>639</v>
      </c>
      <c r="D260" s="282" t="s">
        <v>24</v>
      </c>
      <c r="E260" s="285">
        <v>85</v>
      </c>
      <c r="F260" s="283">
        <f>'COMPOSIÇÃO SINAPI W MENDES'!G1704</f>
        <v>49.239999999999995</v>
      </c>
      <c r="G260" s="284">
        <f>TRUNC(F260*$J$13,2)</f>
        <v>61.24</v>
      </c>
      <c r="H260" s="284">
        <f>TRUNC(E260*G260,2)</f>
        <v>5205.3999999999996</v>
      </c>
      <c r="I260" s="297"/>
      <c r="J260" s="24"/>
      <c r="K260" s="197"/>
      <c r="L260" s="7"/>
      <c r="M260" s="35"/>
      <c r="N260" s="61"/>
      <c r="O260" s="35"/>
      <c r="P260" s="40"/>
      <c r="Q260" s="37"/>
      <c r="R260" s="4"/>
      <c r="S260" s="493">
        <v>85</v>
      </c>
      <c r="T260" s="493">
        <v>56.98</v>
      </c>
      <c r="U260" s="493">
        <v>71.790000000000006</v>
      </c>
      <c r="V260" s="493">
        <v>6102.15</v>
      </c>
    </row>
    <row r="261" spans="1:22" s="52" customFormat="1" x14ac:dyDescent="0.25">
      <c r="A261" s="282"/>
      <c r="B261" s="280"/>
      <c r="C261" s="289"/>
      <c r="D261" s="282"/>
      <c r="E261" s="296"/>
      <c r="F261" s="297"/>
      <c r="G261" s="288"/>
      <c r="H261" s="298"/>
      <c r="I261" s="297"/>
      <c r="J261" s="24"/>
      <c r="K261" s="197"/>
      <c r="L261" s="7"/>
      <c r="M261" s="35"/>
      <c r="N261" s="61"/>
      <c r="O261" s="35"/>
      <c r="P261" s="40"/>
      <c r="Q261" s="37"/>
      <c r="R261" s="4"/>
    </row>
    <row r="262" spans="1:22" s="52" customFormat="1" x14ac:dyDescent="0.25">
      <c r="A262" s="554" t="s">
        <v>302</v>
      </c>
      <c r="B262" s="551"/>
      <c r="C262" s="555"/>
      <c r="D262" s="558"/>
      <c r="E262" s="555"/>
      <c r="F262" s="563"/>
      <c r="G262" s="296" t="s">
        <v>19</v>
      </c>
      <c r="H262" s="555"/>
      <c r="I262" s="565">
        <f>SUM(I263:I371)</f>
        <v>151341.57999999999</v>
      </c>
      <c r="J262" s="17" t="s">
        <v>36</v>
      </c>
      <c r="K262" s="238"/>
      <c r="L262" s="7"/>
      <c r="M262" s="35"/>
      <c r="N262" s="61"/>
      <c r="O262" s="35"/>
      <c r="P262" s="40"/>
      <c r="Q262" s="37"/>
      <c r="R262" s="4"/>
    </row>
    <row r="263" spans="1:22" outlineLevel="1" x14ac:dyDescent="0.25">
      <c r="A263" s="279" t="s">
        <v>20</v>
      </c>
      <c r="B263" s="279"/>
      <c r="C263" s="294" t="s">
        <v>37</v>
      </c>
      <c r="D263" s="558"/>
      <c r="E263" s="294"/>
      <c r="F263" s="403"/>
      <c r="G263" s="294"/>
      <c r="H263" s="558"/>
      <c r="I263" s="402">
        <f>SUM(H264:H270)</f>
        <v>5459</v>
      </c>
      <c r="L263" s="320">
        <f>SUM(H264:H270)</f>
        <v>5459</v>
      </c>
      <c r="M263" s="2">
        <f>I263-L263</f>
        <v>0</v>
      </c>
    </row>
    <row r="264" spans="1:22" s="66" customFormat="1" outlineLevel="1" x14ac:dyDescent="0.25">
      <c r="A264" s="282" t="s">
        <v>22</v>
      </c>
      <c r="B264" s="286">
        <v>97622</v>
      </c>
      <c r="C264" s="281" t="s">
        <v>303</v>
      </c>
      <c r="D264" s="282" t="s">
        <v>41</v>
      </c>
      <c r="E264" s="285">
        <f t="shared" ref="E264:E270" si="36">J264</f>
        <v>49.430999999999997</v>
      </c>
      <c r="F264" s="283">
        <v>37.39</v>
      </c>
      <c r="G264" s="284">
        <f>TRUNC(F264*$J$13,2)</f>
        <v>46.5</v>
      </c>
      <c r="H264" s="284">
        <f t="shared" ref="H264:H270" si="37">TRUNC(E264*G264,2)</f>
        <v>2298.54</v>
      </c>
      <c r="I264" s="401"/>
      <c r="J264" s="62">
        <f>(0.8*2.1)*4+(3.2+5.26+1.15+4.48+4.48)*2.3</f>
        <v>49.430999999999997</v>
      </c>
      <c r="K264" s="239"/>
      <c r="L264" s="62"/>
      <c r="M264" s="63"/>
      <c r="N264" s="53"/>
      <c r="O264" s="63"/>
      <c r="P264" s="64"/>
      <c r="Q264" s="65"/>
      <c r="R264" s="65"/>
      <c r="S264" s="498">
        <v>49.430999999999997</v>
      </c>
      <c r="T264" s="498">
        <v>37.39</v>
      </c>
      <c r="U264" s="498">
        <v>47.11</v>
      </c>
      <c r="V264" s="498">
        <v>2328.69</v>
      </c>
    </row>
    <row r="265" spans="1:22" s="66" customFormat="1" outlineLevel="1" x14ac:dyDescent="0.25">
      <c r="A265" s="282" t="s">
        <v>25</v>
      </c>
      <c r="B265" s="286">
        <v>97644</v>
      </c>
      <c r="C265" s="288" t="s">
        <v>43</v>
      </c>
      <c r="D265" s="282" t="s">
        <v>24</v>
      </c>
      <c r="E265" s="285">
        <f t="shared" si="36"/>
        <v>13.440000000000001</v>
      </c>
      <c r="F265" s="283">
        <v>6.04</v>
      </c>
      <c r="G265" s="284">
        <f t="shared" ref="G265:G274" si="38">TRUNC(F265*$J$13,2)</f>
        <v>7.51</v>
      </c>
      <c r="H265" s="284">
        <f t="shared" si="37"/>
        <v>100.93</v>
      </c>
      <c r="I265" s="402"/>
      <c r="J265" s="62">
        <f>8*0.8*2.1</f>
        <v>13.440000000000001</v>
      </c>
      <c r="K265" s="239"/>
      <c r="L265" s="62"/>
      <c r="M265" s="63"/>
      <c r="N265" s="53"/>
      <c r="O265" s="63"/>
      <c r="P265" s="64"/>
      <c r="Q265" s="65"/>
      <c r="R265" s="65"/>
      <c r="S265" s="498">
        <v>13.440000000000001</v>
      </c>
      <c r="T265" s="498">
        <v>6.04</v>
      </c>
      <c r="U265" s="498">
        <v>7.61</v>
      </c>
      <c r="V265" s="498">
        <v>102.27</v>
      </c>
    </row>
    <row r="266" spans="1:22" s="66" customFormat="1" outlineLevel="1" x14ac:dyDescent="0.25">
      <c r="A266" s="282" t="s">
        <v>216</v>
      </c>
      <c r="B266" s="286" t="s">
        <v>39</v>
      </c>
      <c r="C266" s="288" t="s">
        <v>40</v>
      </c>
      <c r="D266" s="282" t="s">
        <v>41</v>
      </c>
      <c r="E266" s="285">
        <f t="shared" si="36"/>
        <v>6.1524999999999999</v>
      </c>
      <c r="F266" s="283">
        <f>'COMPOSIÇÃO SINAPI W MENDES'!G1720</f>
        <v>209.74</v>
      </c>
      <c r="G266" s="284">
        <f t="shared" si="38"/>
        <v>260.89</v>
      </c>
      <c r="H266" s="284">
        <f t="shared" si="37"/>
        <v>1605.12</v>
      </c>
      <c r="I266" s="402"/>
      <c r="J266" s="62">
        <f>(20.62*2+9.87+9.8+62.14)*0.05</f>
        <v>6.1524999999999999</v>
      </c>
      <c r="K266" s="239"/>
      <c r="L266" s="62"/>
      <c r="M266" s="63"/>
      <c r="N266" s="53"/>
      <c r="O266" s="63"/>
      <c r="P266" s="64"/>
      <c r="Q266" s="65"/>
      <c r="R266" s="65"/>
      <c r="S266" s="498">
        <v>6.1524999999999999</v>
      </c>
      <c r="T266" s="498">
        <v>216.762</v>
      </c>
      <c r="U266" s="498">
        <v>273.12</v>
      </c>
      <c r="V266" s="498">
        <v>1680.37</v>
      </c>
    </row>
    <row r="267" spans="1:22" s="66" customFormat="1" outlineLevel="1" x14ac:dyDescent="0.25">
      <c r="A267" s="282" t="s">
        <v>217</v>
      </c>
      <c r="B267" s="286">
        <v>97663</v>
      </c>
      <c r="C267" s="288" t="s">
        <v>45</v>
      </c>
      <c r="D267" s="282" t="s">
        <v>44</v>
      </c>
      <c r="E267" s="285">
        <f t="shared" si="36"/>
        <v>8</v>
      </c>
      <c r="F267" s="283">
        <v>8.07</v>
      </c>
      <c r="G267" s="284">
        <f t="shared" si="38"/>
        <v>10.029999999999999</v>
      </c>
      <c r="H267" s="284">
        <f t="shared" si="37"/>
        <v>80.239999999999995</v>
      </c>
      <c r="I267" s="402"/>
      <c r="J267" s="62">
        <v>8</v>
      </c>
      <c r="K267" s="239"/>
      <c r="L267" s="62"/>
      <c r="M267" s="63"/>
      <c r="N267" s="53"/>
      <c r="O267" s="63"/>
      <c r="P267" s="64"/>
      <c r="Q267" s="65"/>
      <c r="R267" s="65"/>
      <c r="S267" s="498">
        <v>8</v>
      </c>
      <c r="T267" s="498">
        <v>8.07</v>
      </c>
      <c r="U267" s="498">
        <v>10.16</v>
      </c>
      <c r="V267" s="498">
        <v>81.28</v>
      </c>
    </row>
    <row r="268" spans="1:22" s="66" customFormat="1" outlineLevel="1" x14ac:dyDescent="0.25">
      <c r="A268" s="282" t="s">
        <v>218</v>
      </c>
      <c r="B268" s="286">
        <v>97666</v>
      </c>
      <c r="C268" s="281" t="s">
        <v>46</v>
      </c>
      <c r="D268" s="282" t="s">
        <v>44</v>
      </c>
      <c r="E268" s="285">
        <f t="shared" si="36"/>
        <v>8</v>
      </c>
      <c r="F268" s="283">
        <v>5.88</v>
      </c>
      <c r="G268" s="284">
        <f t="shared" si="38"/>
        <v>7.31</v>
      </c>
      <c r="H268" s="284">
        <f t="shared" si="37"/>
        <v>58.48</v>
      </c>
      <c r="I268" s="402"/>
      <c r="J268" s="62">
        <v>8</v>
      </c>
      <c r="K268" s="239"/>
      <c r="L268" s="62"/>
      <c r="M268" s="63"/>
      <c r="N268" s="53"/>
      <c r="O268" s="63"/>
      <c r="P268" s="64"/>
      <c r="Q268" s="65"/>
      <c r="R268" s="65"/>
      <c r="S268" s="498">
        <v>8</v>
      </c>
      <c r="T268" s="498">
        <v>5.88</v>
      </c>
      <c r="U268" s="498">
        <v>7.4</v>
      </c>
      <c r="V268" s="498">
        <v>59.2</v>
      </c>
    </row>
    <row r="269" spans="1:22" s="66" customFormat="1" outlineLevel="1" x14ac:dyDescent="0.25">
      <c r="A269" s="282" t="s">
        <v>219</v>
      </c>
      <c r="B269" s="286" t="s">
        <v>48</v>
      </c>
      <c r="C269" s="288" t="s">
        <v>49</v>
      </c>
      <c r="D269" s="282" t="s">
        <v>24</v>
      </c>
      <c r="E269" s="285">
        <f t="shared" si="36"/>
        <v>16.056000000000001</v>
      </c>
      <c r="F269" s="283">
        <f>'COMPOSIÇÃO SINAPI W MENDES'!G1735</f>
        <v>16.200000000000003</v>
      </c>
      <c r="G269" s="284">
        <f t="shared" si="38"/>
        <v>20.149999999999999</v>
      </c>
      <c r="H269" s="284">
        <f t="shared" si="37"/>
        <v>323.52</v>
      </c>
      <c r="I269" s="402"/>
      <c r="J269" s="62">
        <f>(4.46+4.46)*1.8</f>
        <v>16.056000000000001</v>
      </c>
      <c r="K269" s="239"/>
      <c r="L269" s="62"/>
      <c r="M269" s="63"/>
      <c r="N269" s="53"/>
      <c r="O269" s="63"/>
      <c r="P269" s="64"/>
      <c r="Q269" s="65"/>
      <c r="R269" s="65"/>
      <c r="S269" s="498">
        <v>16.056000000000001</v>
      </c>
      <c r="T269" s="498">
        <v>16.424099999999999</v>
      </c>
      <c r="U269" s="498">
        <v>20.69</v>
      </c>
      <c r="V269" s="498">
        <v>332.19</v>
      </c>
    </row>
    <row r="270" spans="1:22" s="66" customFormat="1" outlineLevel="1" x14ac:dyDescent="0.25">
      <c r="A270" s="282" t="s">
        <v>220</v>
      </c>
      <c r="B270" s="286">
        <v>97633</v>
      </c>
      <c r="C270" s="281" t="s">
        <v>42</v>
      </c>
      <c r="D270" s="282" t="s">
        <v>24</v>
      </c>
      <c r="E270" s="285">
        <f t="shared" si="36"/>
        <v>53.717999999999996</v>
      </c>
      <c r="F270" s="283">
        <v>14.85</v>
      </c>
      <c r="G270" s="284">
        <f t="shared" si="38"/>
        <v>18.47</v>
      </c>
      <c r="H270" s="284">
        <f t="shared" si="37"/>
        <v>992.17</v>
      </c>
      <c r="I270" s="402"/>
      <c r="J270" s="62">
        <f>(12.82+12.76)*2.1</f>
        <v>53.717999999999996</v>
      </c>
      <c r="K270" s="239"/>
      <c r="L270" s="62"/>
      <c r="M270" s="63"/>
      <c r="N270" s="53"/>
      <c r="O270" s="63"/>
      <c r="P270" s="64"/>
      <c r="Q270" s="65"/>
      <c r="R270" s="65"/>
      <c r="S270" s="498">
        <v>53.717999999999996</v>
      </c>
      <c r="T270" s="498">
        <v>14.85</v>
      </c>
      <c r="U270" s="498">
        <v>18.71</v>
      </c>
      <c r="V270" s="498">
        <v>1005.06</v>
      </c>
    </row>
    <row r="271" spans="1:22" s="66" customFormat="1" outlineLevel="1" x14ac:dyDescent="0.25">
      <c r="A271" s="279" t="s">
        <v>60</v>
      </c>
      <c r="B271" s="279"/>
      <c r="C271" s="294" t="s">
        <v>221</v>
      </c>
      <c r="D271" s="550"/>
      <c r="E271" s="294"/>
      <c r="F271" s="403"/>
      <c r="G271" s="294"/>
      <c r="H271" s="558"/>
      <c r="I271" s="402">
        <f>SUM(H272:H274)</f>
        <v>21148.35</v>
      </c>
      <c r="J271" s="62"/>
      <c r="K271" s="239"/>
      <c r="L271" s="321">
        <f>SUM(H272:H274)</f>
        <v>21148.35</v>
      </c>
      <c r="M271" s="63">
        <f>I271-L271</f>
        <v>0</v>
      </c>
      <c r="N271" s="53"/>
      <c r="O271" s="63"/>
      <c r="P271" s="64"/>
      <c r="Q271" s="65"/>
      <c r="R271" s="65"/>
    </row>
    <row r="272" spans="1:22" s="66" customFormat="1" ht="31.2" outlineLevel="1" x14ac:dyDescent="0.25">
      <c r="A272" s="282" t="s">
        <v>64</v>
      </c>
      <c r="B272" s="286">
        <v>87471</v>
      </c>
      <c r="C272" s="281" t="s">
        <v>306</v>
      </c>
      <c r="D272" s="282" t="s">
        <v>24</v>
      </c>
      <c r="E272" s="285">
        <f>J272</f>
        <v>77.808000000000007</v>
      </c>
      <c r="F272" s="283">
        <v>40.9</v>
      </c>
      <c r="G272" s="284">
        <f>TRUNC(F272*$J$13,2)</f>
        <v>50.87</v>
      </c>
      <c r="H272" s="284">
        <f>TRUNC(E272*G272,2)</f>
        <v>3958.09</v>
      </c>
      <c r="I272" s="402"/>
      <c r="J272" s="62">
        <f>(0.8*2.1)*3+(8.11+6.6+8.03)*3.2</f>
        <v>77.808000000000007</v>
      </c>
      <c r="K272" s="239"/>
      <c r="L272" s="62"/>
      <c r="M272" s="63"/>
      <c r="N272" s="53"/>
      <c r="O272" s="63"/>
      <c r="P272" s="64"/>
      <c r="Q272" s="65"/>
      <c r="R272" s="65"/>
      <c r="S272" s="498">
        <v>77.808000000000007</v>
      </c>
      <c r="T272" s="498">
        <v>40.9</v>
      </c>
      <c r="U272" s="498">
        <v>51.53</v>
      </c>
      <c r="V272" s="498">
        <v>4009.44</v>
      </c>
    </row>
    <row r="273" spans="1:22" s="66" customFormat="1" ht="31.2" outlineLevel="1" x14ac:dyDescent="0.25">
      <c r="A273" s="282" t="s">
        <v>69</v>
      </c>
      <c r="B273" s="286">
        <v>96359</v>
      </c>
      <c r="C273" s="281" t="s">
        <v>223</v>
      </c>
      <c r="D273" s="282" t="s">
        <v>24</v>
      </c>
      <c r="E273" s="285">
        <v>85</v>
      </c>
      <c r="F273" s="283">
        <v>79.260000000000005</v>
      </c>
      <c r="G273" s="284">
        <f>TRUNC(F273*$J$13,2)</f>
        <v>98.59</v>
      </c>
      <c r="H273" s="284">
        <f>TRUNC(E273*G273,2)</f>
        <v>8380.15</v>
      </c>
      <c r="I273" s="402"/>
      <c r="J273" s="62"/>
      <c r="K273" s="239"/>
      <c r="L273" s="62"/>
      <c r="M273" s="63"/>
      <c r="N273" s="53"/>
      <c r="O273" s="63"/>
      <c r="P273" s="64"/>
      <c r="Q273" s="65"/>
      <c r="R273" s="65"/>
      <c r="S273" s="498">
        <v>85</v>
      </c>
      <c r="T273" s="498">
        <v>84.5</v>
      </c>
      <c r="U273" s="498">
        <v>106.47</v>
      </c>
      <c r="V273" s="498">
        <v>9049.9500000000007</v>
      </c>
    </row>
    <row r="274" spans="1:22" s="66" customFormat="1" ht="31.2" outlineLevel="1" x14ac:dyDescent="0.25">
      <c r="A274" s="282" t="s">
        <v>72</v>
      </c>
      <c r="B274" s="286">
        <v>79627</v>
      </c>
      <c r="C274" s="281" t="s">
        <v>222</v>
      </c>
      <c r="D274" s="282" t="s">
        <v>24</v>
      </c>
      <c r="E274" s="285">
        <f>J274</f>
        <v>10.764000000000001</v>
      </c>
      <c r="F274" s="300">
        <v>658</v>
      </c>
      <c r="G274" s="284">
        <f t="shared" si="38"/>
        <v>818.48</v>
      </c>
      <c r="H274" s="284">
        <f>TRUNC(E274*G274,2)</f>
        <v>8810.11</v>
      </c>
      <c r="I274" s="402"/>
      <c r="J274" s="62">
        <f>(2.99+2.99)*1.8</f>
        <v>10.764000000000001</v>
      </c>
      <c r="K274" s="239"/>
      <c r="L274" s="62"/>
      <c r="M274" s="63"/>
      <c r="N274" s="53"/>
      <c r="O274" s="63"/>
      <c r="P274" s="64"/>
      <c r="Q274" s="65"/>
      <c r="R274" s="65"/>
      <c r="S274" s="498">
        <v>10.764000000000001</v>
      </c>
      <c r="T274" s="498">
        <v>658</v>
      </c>
      <c r="U274" s="498">
        <v>829.08</v>
      </c>
      <c r="V274" s="498">
        <v>8924.2099999999991</v>
      </c>
    </row>
    <row r="275" spans="1:22" s="52" customFormat="1" outlineLevel="1" x14ac:dyDescent="0.25">
      <c r="A275" s="279" t="s">
        <v>74</v>
      </c>
      <c r="B275" s="279"/>
      <c r="C275" s="294" t="s">
        <v>51</v>
      </c>
      <c r="D275" s="558"/>
      <c r="E275" s="294"/>
      <c r="F275" s="403"/>
      <c r="G275" s="294"/>
      <c r="H275" s="558"/>
      <c r="I275" s="402">
        <f>SUM(H276:H278)</f>
        <v>11278.380000000001</v>
      </c>
      <c r="J275" s="24"/>
      <c r="K275" s="197"/>
      <c r="L275" s="317">
        <f>SUM(H277:H278)</f>
        <v>11278.380000000001</v>
      </c>
      <c r="M275" s="35">
        <f>I275-L275</f>
        <v>0</v>
      </c>
      <c r="N275" s="61"/>
      <c r="O275" s="35"/>
      <c r="P275" s="40"/>
      <c r="Q275" s="37"/>
      <c r="R275" s="4"/>
    </row>
    <row r="276" spans="1:22" s="52" customFormat="1" outlineLevel="1" x14ac:dyDescent="0.25">
      <c r="A276" s="282"/>
      <c r="B276" s="280"/>
      <c r="C276" s="560" t="s">
        <v>52</v>
      </c>
      <c r="D276" s="282"/>
      <c r="E276" s="288"/>
      <c r="F276" s="297"/>
      <c r="G276" s="288"/>
      <c r="H276" s="298"/>
      <c r="I276" s="297"/>
      <c r="J276" s="24"/>
      <c r="K276" s="197"/>
      <c r="L276" s="7"/>
      <c r="M276" s="35"/>
      <c r="N276" s="61"/>
      <c r="O276" s="35"/>
      <c r="P276" s="40"/>
      <c r="Q276" s="37"/>
      <c r="R276" s="4"/>
    </row>
    <row r="277" spans="1:22" s="52" customFormat="1" ht="46.8" outlineLevel="1" x14ac:dyDescent="0.25">
      <c r="A277" s="282" t="s">
        <v>77</v>
      </c>
      <c r="B277" s="280">
        <v>90843</v>
      </c>
      <c r="C277" s="281" t="s">
        <v>53</v>
      </c>
      <c r="D277" s="282" t="s">
        <v>44</v>
      </c>
      <c r="E277" s="285">
        <v>6</v>
      </c>
      <c r="F277" s="283">
        <f>'COMPOSIÇÃO SINAPI W MENDES'!G1781</f>
        <v>640</v>
      </c>
      <c r="G277" s="284">
        <f>TRUNC(F277*$J$13,2)</f>
        <v>796.09</v>
      </c>
      <c r="H277" s="284">
        <f>TRUNC(E277*G277,2)</f>
        <v>4776.54</v>
      </c>
      <c r="I277" s="297"/>
      <c r="J277" s="24">
        <v>8</v>
      </c>
      <c r="K277" s="197" t="s">
        <v>307</v>
      </c>
      <c r="L277" s="7"/>
      <c r="M277" s="35"/>
      <c r="N277" s="61"/>
      <c r="O277" s="35"/>
      <c r="P277" s="40"/>
      <c r="Q277" s="37"/>
      <c r="R277" s="4"/>
      <c r="S277" s="236">
        <v>6</v>
      </c>
      <c r="T277" s="236">
        <v>742.69</v>
      </c>
      <c r="U277" s="236">
        <v>935.78</v>
      </c>
      <c r="V277" s="236">
        <v>5614.68</v>
      </c>
    </row>
    <row r="278" spans="1:22" s="52" customFormat="1" ht="31.2" outlineLevel="1" x14ac:dyDescent="0.25">
      <c r="A278" s="282" t="s">
        <v>83</v>
      </c>
      <c r="B278" s="280">
        <v>91338</v>
      </c>
      <c r="C278" s="281" t="s">
        <v>57</v>
      </c>
      <c r="D278" s="282" t="s">
        <v>24</v>
      </c>
      <c r="E278" s="285">
        <f>J278</f>
        <v>6</v>
      </c>
      <c r="F278" s="283">
        <f>'COMPOSIÇÃO SINAPI W MENDES'!G1790</f>
        <v>871.17000000000007</v>
      </c>
      <c r="G278" s="284">
        <f>TRUNC(F278*$J$13,2)</f>
        <v>1083.6400000000001</v>
      </c>
      <c r="H278" s="284">
        <f>TRUNC(E278*G278,2)</f>
        <v>6501.84</v>
      </c>
      <c r="I278" s="297"/>
      <c r="J278" s="24">
        <f>(0.9*2+0.8*4)*1.2</f>
        <v>6</v>
      </c>
      <c r="K278" s="240" t="s">
        <v>308</v>
      </c>
      <c r="L278" s="7">
        <f>0.8*2.1*8</f>
        <v>13.440000000000001</v>
      </c>
      <c r="M278" s="35"/>
      <c r="N278" s="61"/>
      <c r="O278" s="35"/>
      <c r="P278" s="40"/>
      <c r="Q278" s="37"/>
      <c r="R278" s="4"/>
      <c r="S278" s="236">
        <v>6</v>
      </c>
      <c r="T278" s="236">
        <v>975.13</v>
      </c>
      <c r="U278" s="236">
        <v>1228.6600000000001</v>
      </c>
      <c r="V278" s="236">
        <v>7371.96</v>
      </c>
    </row>
    <row r="279" spans="1:22" s="52" customFormat="1" outlineLevel="1" x14ac:dyDescent="0.25">
      <c r="A279" s="279" t="s">
        <v>85</v>
      </c>
      <c r="B279" s="279"/>
      <c r="C279" s="294" t="s">
        <v>61</v>
      </c>
      <c r="D279" s="558"/>
      <c r="E279" s="294"/>
      <c r="F279" s="403"/>
      <c r="G279" s="294"/>
      <c r="H279" s="558"/>
      <c r="I279" s="402">
        <f>SUM(H280:H282)</f>
        <v>3884.87</v>
      </c>
      <c r="J279" s="24"/>
      <c r="K279" s="197"/>
      <c r="L279" s="317">
        <f>SUM(H280:H282)</f>
        <v>3884.87</v>
      </c>
      <c r="M279" s="35">
        <f>I279-L279</f>
        <v>0</v>
      </c>
      <c r="N279" s="61"/>
      <c r="O279" s="35"/>
      <c r="P279" s="40"/>
      <c r="Q279" s="37"/>
      <c r="R279" s="4"/>
    </row>
    <row r="280" spans="1:22" s="52" customFormat="1" ht="31.2" outlineLevel="1" x14ac:dyDescent="0.25">
      <c r="A280" s="282" t="s">
        <v>87</v>
      </c>
      <c r="B280" s="286">
        <v>87879</v>
      </c>
      <c r="C280" s="281" t="s">
        <v>225</v>
      </c>
      <c r="D280" s="282" t="s">
        <v>24</v>
      </c>
      <c r="E280" s="288">
        <f>J280</f>
        <v>53.717999999999996</v>
      </c>
      <c r="F280" s="283">
        <v>2.72</v>
      </c>
      <c r="G280" s="284">
        <f>TRUNC(F280*$J$13,2)</f>
        <v>3.38</v>
      </c>
      <c r="H280" s="284">
        <f>TRUNC(E280*G280,2)</f>
        <v>181.56</v>
      </c>
      <c r="I280" s="403"/>
      <c r="J280" s="24">
        <f>J270</f>
        <v>53.717999999999996</v>
      </c>
      <c r="K280" s="197"/>
      <c r="L280" s="7"/>
      <c r="M280" s="35"/>
      <c r="N280" s="61"/>
      <c r="O280" s="35"/>
      <c r="P280" s="40"/>
      <c r="Q280" s="37"/>
      <c r="R280" s="4"/>
      <c r="S280" s="236">
        <v>53.717999999999996</v>
      </c>
      <c r="T280" s="236">
        <v>2.72</v>
      </c>
      <c r="U280" s="236">
        <v>3.42</v>
      </c>
      <c r="V280" s="236">
        <v>183.71</v>
      </c>
    </row>
    <row r="281" spans="1:22" s="52" customFormat="1" ht="31.2" outlineLevel="1" x14ac:dyDescent="0.25">
      <c r="A281" s="282" t="s">
        <v>90</v>
      </c>
      <c r="B281" s="280">
        <v>90408</v>
      </c>
      <c r="C281" s="281" t="s">
        <v>73</v>
      </c>
      <c r="D281" s="282" t="s">
        <v>24</v>
      </c>
      <c r="E281" s="288">
        <f>J281</f>
        <v>53.717999999999996</v>
      </c>
      <c r="F281" s="283">
        <v>22.64</v>
      </c>
      <c r="G281" s="284">
        <f>TRUNC(F281*$J$13,2)</f>
        <v>28.16</v>
      </c>
      <c r="H281" s="284">
        <f>TRUNC(E281*G281,2)</f>
        <v>1512.69</v>
      </c>
      <c r="I281" s="403"/>
      <c r="J281" s="24">
        <f>J280</f>
        <v>53.717999999999996</v>
      </c>
      <c r="K281" s="197"/>
      <c r="L281" s="7"/>
      <c r="M281" s="35"/>
      <c r="N281" s="61"/>
      <c r="O281" s="35"/>
      <c r="P281" s="40"/>
      <c r="Q281" s="37"/>
      <c r="R281" s="4"/>
      <c r="S281" s="236">
        <v>53.717999999999996</v>
      </c>
      <c r="T281" s="236">
        <v>22.64</v>
      </c>
      <c r="U281" s="236">
        <v>28.52</v>
      </c>
      <c r="V281" s="236">
        <v>1532.03</v>
      </c>
    </row>
    <row r="282" spans="1:22" s="52" customFormat="1" ht="31.2" outlineLevel="1" x14ac:dyDescent="0.25">
      <c r="A282" s="282" t="s">
        <v>93</v>
      </c>
      <c r="B282" s="280">
        <v>87266</v>
      </c>
      <c r="C282" s="281" t="s">
        <v>65</v>
      </c>
      <c r="D282" s="282" t="s">
        <v>24</v>
      </c>
      <c r="E282" s="288">
        <f>J282</f>
        <v>53.717999999999996</v>
      </c>
      <c r="F282" s="283">
        <f>'COMPOSIÇÃO SINAPI W MENDES'!G1811</f>
        <v>32.790000000000006</v>
      </c>
      <c r="G282" s="284">
        <f>TRUNC(F282*$J$13,2)</f>
        <v>40.78</v>
      </c>
      <c r="H282" s="284">
        <f>TRUNC(E282*G282,2)</f>
        <v>2190.62</v>
      </c>
      <c r="I282" s="297"/>
      <c r="J282" s="24">
        <f>J280</f>
        <v>53.717999999999996</v>
      </c>
      <c r="K282" s="197"/>
      <c r="M282" s="35"/>
      <c r="N282" s="61"/>
      <c r="O282" s="35"/>
      <c r="P282" s="40"/>
      <c r="Q282" s="37"/>
      <c r="R282" s="4"/>
      <c r="S282" s="236">
        <v>53.717999999999996</v>
      </c>
      <c r="T282" s="236">
        <v>43.91</v>
      </c>
      <c r="U282" s="236">
        <v>55.32</v>
      </c>
      <c r="V282" s="236">
        <v>2971.67</v>
      </c>
    </row>
    <row r="283" spans="1:22" s="52" customFormat="1" outlineLevel="1" x14ac:dyDescent="0.25">
      <c r="A283" s="279" t="s">
        <v>95</v>
      </c>
      <c r="B283" s="279"/>
      <c r="C283" s="294" t="s">
        <v>75</v>
      </c>
      <c r="D283" s="558"/>
      <c r="E283" s="294"/>
      <c r="F283" s="403"/>
      <c r="G283" s="294"/>
      <c r="H283" s="558"/>
      <c r="I283" s="402">
        <f>SUM(H284:H285)</f>
        <v>9579.99</v>
      </c>
      <c r="J283" s="24"/>
      <c r="K283" s="197"/>
      <c r="L283" s="317">
        <f>SUM(H284:H285)</f>
        <v>9579.99</v>
      </c>
      <c r="M283" s="35">
        <f>I283-L283</f>
        <v>0</v>
      </c>
      <c r="N283" s="61"/>
      <c r="O283" s="35"/>
      <c r="P283" s="40"/>
      <c r="Q283" s="37"/>
      <c r="R283" s="4"/>
    </row>
    <row r="284" spans="1:22" s="52" customFormat="1" ht="31.2" outlineLevel="1" x14ac:dyDescent="0.25">
      <c r="A284" s="282" t="s">
        <v>97</v>
      </c>
      <c r="B284" s="280">
        <v>94993</v>
      </c>
      <c r="C284" s="281" t="s">
        <v>78</v>
      </c>
      <c r="D284" s="282" t="s">
        <v>24</v>
      </c>
      <c r="E284" s="285">
        <f>J284</f>
        <v>41.24</v>
      </c>
      <c r="F284" s="283">
        <v>62.94</v>
      </c>
      <c r="G284" s="284">
        <f>TRUNC(F284*$J$13,2)</f>
        <v>78.290000000000006</v>
      </c>
      <c r="H284" s="284">
        <f>TRUNC(E284*G284,2)</f>
        <v>3228.67</v>
      </c>
      <c r="I284" s="297"/>
      <c r="J284" s="62">
        <f>20.62*2</f>
        <v>41.24</v>
      </c>
      <c r="K284" s="197" t="s">
        <v>66</v>
      </c>
      <c r="L284" s="7">
        <f>68</f>
        <v>68</v>
      </c>
      <c r="M284" s="35"/>
      <c r="N284" s="61"/>
      <c r="O284" s="35"/>
      <c r="P284" s="40"/>
      <c r="Q284" s="37"/>
      <c r="R284" s="4"/>
      <c r="S284" s="236">
        <v>41.24</v>
      </c>
      <c r="T284" s="236">
        <v>62.94</v>
      </c>
      <c r="U284" s="236">
        <v>79.3</v>
      </c>
      <c r="V284" s="236">
        <v>3270.33</v>
      </c>
    </row>
    <row r="285" spans="1:22" s="52" customFormat="1" ht="31.2" outlineLevel="1" x14ac:dyDescent="0.25">
      <c r="A285" s="282" t="s">
        <v>100</v>
      </c>
      <c r="B285" s="280">
        <v>87262</v>
      </c>
      <c r="C285" s="281" t="s">
        <v>84</v>
      </c>
      <c r="D285" s="282" t="s">
        <v>24</v>
      </c>
      <c r="E285" s="285">
        <f>J285</f>
        <v>62.14</v>
      </c>
      <c r="F285" s="283">
        <f>'COMPOSIÇÃO SINAPI W MENDES'!G3104</f>
        <v>82.17</v>
      </c>
      <c r="G285" s="284">
        <f>TRUNC(F285*$J$13,2)</f>
        <v>102.21</v>
      </c>
      <c r="H285" s="284">
        <f>TRUNC(E285*G285,2)</f>
        <v>6351.32</v>
      </c>
      <c r="I285" s="297"/>
      <c r="J285" s="24">
        <f>42.47+9.87+9.8</f>
        <v>62.14</v>
      </c>
      <c r="K285" s="197"/>
      <c r="L285" s="7">
        <v>29.2</v>
      </c>
      <c r="M285" s="35"/>
      <c r="N285" s="61"/>
      <c r="O285" s="35"/>
      <c r="P285" s="40"/>
      <c r="Q285" s="37"/>
      <c r="R285" s="4"/>
      <c r="S285" s="236">
        <v>62.14</v>
      </c>
      <c r="T285" s="236">
        <v>92.82</v>
      </c>
      <c r="U285" s="236">
        <v>116.95</v>
      </c>
      <c r="V285" s="236">
        <v>7267.27</v>
      </c>
    </row>
    <row r="286" spans="1:22" s="52" customFormat="1" outlineLevel="1" x14ac:dyDescent="0.25">
      <c r="A286" s="279" t="s">
        <v>116</v>
      </c>
      <c r="B286" s="279"/>
      <c r="C286" s="294" t="s">
        <v>86</v>
      </c>
      <c r="D286" s="558"/>
      <c r="E286" s="294"/>
      <c r="F286" s="403"/>
      <c r="G286" s="294"/>
      <c r="H286" s="558"/>
      <c r="I286" s="402">
        <f>SUM(H287:H289)</f>
        <v>3138.1800000000003</v>
      </c>
      <c r="J286" s="24"/>
      <c r="K286" s="197"/>
      <c r="L286" s="317">
        <f>SUM(H287:H289)</f>
        <v>3138.1800000000003</v>
      </c>
      <c r="M286" s="35">
        <f>I286-L286</f>
        <v>0</v>
      </c>
      <c r="N286" s="61"/>
      <c r="O286" s="35"/>
      <c r="P286" s="40"/>
      <c r="Q286" s="37"/>
      <c r="R286" s="4"/>
    </row>
    <row r="287" spans="1:22" s="52" customFormat="1" outlineLevel="1" x14ac:dyDescent="0.25">
      <c r="A287" s="282" t="s">
        <v>118</v>
      </c>
      <c r="B287" s="280">
        <v>72117</v>
      </c>
      <c r="C287" s="289" t="s">
        <v>88</v>
      </c>
      <c r="D287" s="282" t="s">
        <v>24</v>
      </c>
      <c r="E287" s="285">
        <f>J287</f>
        <v>5</v>
      </c>
      <c r="F287" s="283">
        <v>159.13</v>
      </c>
      <c r="G287" s="284">
        <f>TRUNC(F287*$J$13,2)</f>
        <v>197.94</v>
      </c>
      <c r="H287" s="284">
        <f>TRUNC(E287*G287,2)</f>
        <v>989.7</v>
      </c>
      <c r="I287" s="297"/>
      <c r="J287" s="24">
        <v>5</v>
      </c>
      <c r="K287" s="197"/>
      <c r="L287" s="7"/>
      <c r="M287" s="35"/>
      <c r="N287" s="61"/>
      <c r="O287" s="35"/>
      <c r="P287" s="40"/>
      <c r="Q287" s="37"/>
      <c r="R287" s="4"/>
      <c r="S287" s="236">
        <v>5</v>
      </c>
      <c r="T287" s="236">
        <v>159.13</v>
      </c>
      <c r="U287" s="236">
        <v>200.5</v>
      </c>
      <c r="V287" s="236">
        <v>1002.5</v>
      </c>
    </row>
    <row r="288" spans="1:22" s="52" customFormat="1" outlineLevel="1" x14ac:dyDescent="0.25">
      <c r="A288" s="282" t="s">
        <v>120</v>
      </c>
      <c r="B288" s="280">
        <v>84886</v>
      </c>
      <c r="C288" s="289" t="s">
        <v>91</v>
      </c>
      <c r="D288" s="282" t="s">
        <v>92</v>
      </c>
      <c r="E288" s="285">
        <f>J288</f>
        <v>1</v>
      </c>
      <c r="F288" s="283">
        <v>1114.46</v>
      </c>
      <c r="G288" s="284">
        <f>TRUNC(F288*$J$13,2)</f>
        <v>1386.27</v>
      </c>
      <c r="H288" s="284">
        <f>TRUNC(E288*G288,2)</f>
        <v>1386.27</v>
      </c>
      <c r="I288" s="297"/>
      <c r="J288" s="24">
        <v>1</v>
      </c>
      <c r="K288" s="197"/>
      <c r="L288" s="7"/>
      <c r="M288" s="35"/>
      <c r="N288" s="61"/>
      <c r="O288" s="35"/>
      <c r="P288" s="40"/>
      <c r="Q288" s="37"/>
      <c r="R288" s="4"/>
      <c r="S288" s="236">
        <v>1</v>
      </c>
      <c r="T288" s="236">
        <v>1139.6199999999999</v>
      </c>
      <c r="U288" s="236">
        <v>1435.92</v>
      </c>
      <c r="V288" s="236">
        <v>1435.92</v>
      </c>
    </row>
    <row r="289" spans="1:22" s="52" customFormat="1" ht="31.2" outlineLevel="1" x14ac:dyDescent="0.25">
      <c r="A289" s="282" t="s">
        <v>122</v>
      </c>
      <c r="B289" s="280">
        <v>84885</v>
      </c>
      <c r="C289" s="281" t="s">
        <v>94</v>
      </c>
      <c r="D289" s="282" t="s">
        <v>44</v>
      </c>
      <c r="E289" s="285">
        <f>J289</f>
        <v>1</v>
      </c>
      <c r="F289" s="283">
        <v>612.76</v>
      </c>
      <c r="G289" s="284">
        <f>TRUNC(F289*$J$13,2)</f>
        <v>762.21</v>
      </c>
      <c r="H289" s="284">
        <f>TRUNC(E289*G289,2)</f>
        <v>762.21</v>
      </c>
      <c r="I289" s="297"/>
      <c r="J289" s="24">
        <v>1</v>
      </c>
      <c r="K289" s="197"/>
      <c r="L289" s="7"/>
      <c r="M289" s="35"/>
      <c r="N289" s="61"/>
      <c r="O289" s="35"/>
      <c r="P289" s="40"/>
      <c r="Q289" s="37"/>
      <c r="R289" s="4"/>
      <c r="S289" s="236">
        <v>1</v>
      </c>
      <c r="T289" s="236">
        <v>612.76</v>
      </c>
      <c r="U289" s="236">
        <v>772.07</v>
      </c>
      <c r="V289" s="236">
        <v>772.07</v>
      </c>
    </row>
    <row r="290" spans="1:22" s="52" customFormat="1" outlineLevel="1" x14ac:dyDescent="0.25">
      <c r="A290" s="279" t="s">
        <v>160</v>
      </c>
      <c r="B290" s="279"/>
      <c r="C290" s="294" t="s">
        <v>96</v>
      </c>
      <c r="D290" s="558"/>
      <c r="E290" s="294"/>
      <c r="F290" s="403"/>
      <c r="G290" s="294"/>
      <c r="H290" s="558"/>
      <c r="I290" s="402">
        <f>SUM(H291:H301)</f>
        <v>28053.729999999996</v>
      </c>
      <c r="J290" s="24"/>
      <c r="K290" s="197"/>
      <c r="L290" s="317">
        <f>SUM(H291:H301)</f>
        <v>28053.729999999996</v>
      </c>
      <c r="M290" s="35">
        <f>I290-L290</f>
        <v>0</v>
      </c>
      <c r="N290" s="61"/>
      <c r="O290" s="35"/>
      <c r="P290" s="40"/>
      <c r="Q290" s="37"/>
      <c r="R290" s="4"/>
    </row>
    <row r="291" spans="1:22" s="52" customFormat="1" outlineLevel="1" x14ac:dyDescent="0.25">
      <c r="A291" s="282" t="s">
        <v>162</v>
      </c>
      <c r="B291" s="280">
        <v>88423</v>
      </c>
      <c r="C291" s="281" t="s">
        <v>98</v>
      </c>
      <c r="D291" s="282" t="s">
        <v>24</v>
      </c>
      <c r="E291" s="290">
        <f>L291</f>
        <v>202.02</v>
      </c>
      <c r="F291" s="283">
        <v>13.45</v>
      </c>
      <c r="G291" s="284">
        <f>TRUNC(F291*$J$13,2)</f>
        <v>16.73</v>
      </c>
      <c r="H291" s="284">
        <f t="shared" ref="H291:H301" si="39">TRUNC(E291*G291,2)</f>
        <v>3379.79</v>
      </c>
      <c r="I291" s="297"/>
      <c r="J291" s="24"/>
      <c r="K291" s="197" t="s">
        <v>66</v>
      </c>
      <c r="L291" s="7">
        <v>202.02</v>
      </c>
      <c r="M291" s="35"/>
      <c r="N291" s="61"/>
      <c r="O291" s="35"/>
      <c r="P291" s="40"/>
      <c r="Q291" s="37"/>
      <c r="R291" s="4"/>
      <c r="S291" s="52">
        <v>202.02</v>
      </c>
      <c r="T291" s="52">
        <v>16.21</v>
      </c>
      <c r="U291" s="52">
        <v>20.420000000000002</v>
      </c>
      <c r="V291" s="52">
        <v>4125.24</v>
      </c>
    </row>
    <row r="292" spans="1:22" s="52" customFormat="1" outlineLevel="1" x14ac:dyDescent="0.25">
      <c r="A292" s="282" t="s">
        <v>163</v>
      </c>
      <c r="B292" s="280">
        <v>88496</v>
      </c>
      <c r="C292" s="288" t="s">
        <v>101</v>
      </c>
      <c r="D292" s="282" t="s">
        <v>24</v>
      </c>
      <c r="E292" s="290">
        <f>J292</f>
        <v>210.05</v>
      </c>
      <c r="F292" s="283">
        <f>'COMPOSIÇÃO SINAPI W MENDES'!G1865</f>
        <v>10.510000000000002</v>
      </c>
      <c r="G292" s="284">
        <f t="shared" ref="G292:G301" si="40">TRUNC(F292*$J$13,2)</f>
        <v>13.07</v>
      </c>
      <c r="H292" s="284">
        <f t="shared" si="39"/>
        <v>2745.35</v>
      </c>
      <c r="I292" s="297"/>
      <c r="J292" s="24">
        <f>4.05+9.87+9.8+4.05+43.07+17.54+9.43+33.4+11.24+1.45+6.62+59.53</f>
        <v>210.05</v>
      </c>
      <c r="K292" s="197" t="s">
        <v>66</v>
      </c>
      <c r="L292" s="7">
        <v>266.22000000000003</v>
      </c>
      <c r="M292" s="35"/>
      <c r="N292" s="61"/>
      <c r="O292" s="35"/>
      <c r="P292" s="40"/>
      <c r="Q292" s="37"/>
      <c r="R292" s="4"/>
      <c r="S292" s="52">
        <v>210.05</v>
      </c>
      <c r="T292" s="52">
        <v>19.940000000000001</v>
      </c>
      <c r="U292" s="52">
        <v>25.12</v>
      </c>
      <c r="V292" s="52">
        <v>5276.45</v>
      </c>
    </row>
    <row r="293" spans="1:22" s="52" customFormat="1" outlineLevel="1" x14ac:dyDescent="0.25">
      <c r="A293" s="282" t="s">
        <v>164</v>
      </c>
      <c r="B293" s="280">
        <v>88488</v>
      </c>
      <c r="C293" s="281" t="s">
        <v>104</v>
      </c>
      <c r="D293" s="282" t="s">
        <v>24</v>
      </c>
      <c r="E293" s="290">
        <f>J293</f>
        <v>210.05</v>
      </c>
      <c r="F293" s="283">
        <f>'COMPOSIÇÃO SINAPI W MENDES'!G2593</f>
        <v>8.42</v>
      </c>
      <c r="G293" s="284">
        <f t="shared" si="40"/>
        <v>10.47</v>
      </c>
      <c r="H293" s="284">
        <f t="shared" si="39"/>
        <v>2199.2199999999998</v>
      </c>
      <c r="I293" s="297"/>
      <c r="J293" s="24">
        <f>J292</f>
        <v>210.05</v>
      </c>
      <c r="K293" s="197"/>
      <c r="L293" s="7">
        <v>266.22000000000003</v>
      </c>
      <c r="M293" s="35"/>
      <c r="N293" s="61"/>
      <c r="O293" s="35"/>
      <c r="P293" s="40"/>
      <c r="Q293" s="37"/>
      <c r="R293" s="4"/>
      <c r="S293" s="52">
        <v>210.05</v>
      </c>
      <c r="T293" s="52">
        <v>12.65</v>
      </c>
      <c r="U293" s="52">
        <v>15.93</v>
      </c>
      <c r="V293" s="52">
        <v>3346.09</v>
      </c>
    </row>
    <row r="294" spans="1:22" s="52" customFormat="1" outlineLevel="1" x14ac:dyDescent="0.25">
      <c r="A294" s="282" t="s">
        <v>165</v>
      </c>
      <c r="B294" s="280">
        <v>88497</v>
      </c>
      <c r="C294" s="288" t="s">
        <v>232</v>
      </c>
      <c r="D294" s="282" t="s">
        <v>24</v>
      </c>
      <c r="E294" s="290">
        <f>J294</f>
        <v>678.33</v>
      </c>
      <c r="F294" s="283">
        <v>9.74</v>
      </c>
      <c r="G294" s="284">
        <f t="shared" si="40"/>
        <v>12.11</v>
      </c>
      <c r="H294" s="284">
        <f t="shared" si="39"/>
        <v>8214.57</v>
      </c>
      <c r="I294" s="297"/>
      <c r="J294" s="24">
        <f>((8.36+8.36+34.8+29.74+32.09+18.84+12.55+10.3+4.82+23.8+13.82+26.48)*3.2+(12.82+12.76)*1.1)-(8*0.8*2.1*2+30*1.2*1.1)</f>
        <v>678.33</v>
      </c>
      <c r="K294" s="197"/>
      <c r="L294" s="7"/>
      <c r="M294" s="35"/>
      <c r="N294" s="61"/>
      <c r="O294" s="35"/>
      <c r="P294" s="40"/>
      <c r="Q294" s="37"/>
      <c r="R294" s="4"/>
      <c r="S294" s="52">
        <v>678.33</v>
      </c>
      <c r="T294" s="52">
        <v>11.24</v>
      </c>
      <c r="U294" s="52">
        <v>14.16</v>
      </c>
      <c r="V294" s="52">
        <v>9605.15</v>
      </c>
    </row>
    <row r="295" spans="1:22" s="52" customFormat="1" outlineLevel="1" x14ac:dyDescent="0.25">
      <c r="A295" s="282" t="s">
        <v>166</v>
      </c>
      <c r="B295" s="280">
        <v>88489</v>
      </c>
      <c r="C295" s="281" t="s">
        <v>108</v>
      </c>
      <c r="D295" s="282" t="s">
        <v>24</v>
      </c>
      <c r="E295" s="290">
        <v>547.14</v>
      </c>
      <c r="F295" s="283">
        <f>'COMPOSIÇÃO SINAPI W MENDES'!G1884</f>
        <v>8.14</v>
      </c>
      <c r="G295" s="284">
        <f t="shared" si="40"/>
        <v>10.119999999999999</v>
      </c>
      <c r="H295" s="284">
        <f t="shared" si="39"/>
        <v>5537.05</v>
      </c>
      <c r="I295" s="297"/>
      <c r="J295" s="24">
        <f>J294</f>
        <v>678.33</v>
      </c>
      <c r="K295" s="197"/>
      <c r="L295" s="7"/>
      <c r="M295" s="35"/>
      <c r="N295" s="61"/>
      <c r="O295" s="35"/>
      <c r="P295" s="40"/>
      <c r="Q295" s="37"/>
      <c r="R295" s="4"/>
      <c r="S295" s="52">
        <v>547.14</v>
      </c>
      <c r="T295" s="52">
        <v>11.3</v>
      </c>
      <c r="U295" s="52">
        <v>14.23</v>
      </c>
      <c r="V295" s="52">
        <v>7785.8</v>
      </c>
    </row>
    <row r="296" spans="1:22" s="52" customFormat="1" outlineLevel="1" x14ac:dyDescent="0.25">
      <c r="A296" s="282" t="s">
        <v>167</v>
      </c>
      <c r="B296" s="280" t="s">
        <v>109</v>
      </c>
      <c r="C296" s="281" t="s">
        <v>110</v>
      </c>
      <c r="D296" s="282" t="s">
        <v>24</v>
      </c>
      <c r="E296" s="285">
        <v>26.88</v>
      </c>
      <c r="F296" s="283">
        <v>12.4</v>
      </c>
      <c r="G296" s="284">
        <f t="shared" si="40"/>
        <v>15.42</v>
      </c>
      <c r="H296" s="284">
        <f t="shared" si="39"/>
        <v>414.48</v>
      </c>
      <c r="I296" s="297"/>
      <c r="J296" s="24" t="e">
        <f>#REF!</f>
        <v>#REF!</v>
      </c>
      <c r="K296" s="197"/>
      <c r="L296" s="7" t="e">
        <f>#REF!</f>
        <v>#REF!</v>
      </c>
      <c r="M296" s="35"/>
      <c r="N296" s="61"/>
      <c r="O296" s="35"/>
      <c r="P296" s="40"/>
      <c r="Q296" s="37"/>
      <c r="R296" s="4"/>
      <c r="S296" s="52">
        <v>26.88</v>
      </c>
      <c r="T296" s="52">
        <v>15.01</v>
      </c>
      <c r="U296" s="52">
        <v>18.91</v>
      </c>
      <c r="V296" s="52">
        <v>508.3</v>
      </c>
    </row>
    <row r="297" spans="1:22" s="52" customFormat="1" outlineLevel="1" x14ac:dyDescent="0.25">
      <c r="A297" s="282" t="s">
        <v>169</v>
      </c>
      <c r="B297" s="280">
        <v>100725</v>
      </c>
      <c r="C297" s="281" t="s">
        <v>804</v>
      </c>
      <c r="D297" s="282" t="s">
        <v>24</v>
      </c>
      <c r="E297" s="285">
        <f>24*2</f>
        <v>48</v>
      </c>
      <c r="F297" s="283">
        <v>16.12</v>
      </c>
      <c r="G297" s="284">
        <f t="shared" ref="G297" si="41">TRUNC(F297*$J$13,2)</f>
        <v>20.05</v>
      </c>
      <c r="H297" s="284">
        <f t="shared" ref="H297" si="42">TRUNC(E297*G297,2)</f>
        <v>962.4</v>
      </c>
      <c r="I297" s="297"/>
      <c r="J297" s="24"/>
      <c r="K297" s="197"/>
      <c r="L297" s="7"/>
      <c r="M297" s="35"/>
      <c r="N297" s="61"/>
      <c r="O297" s="35"/>
      <c r="P297" s="40"/>
      <c r="Q297" s="37"/>
      <c r="R297" s="4"/>
      <c r="S297" s="52">
        <v>48</v>
      </c>
      <c r="T297" s="52">
        <v>16.12</v>
      </c>
      <c r="U297" s="52">
        <v>20.309999999999999</v>
      </c>
      <c r="V297" s="52">
        <v>974.88</v>
      </c>
    </row>
    <row r="298" spans="1:22" s="52" customFormat="1" ht="31.2" outlineLevel="1" x14ac:dyDescent="0.25">
      <c r="A298" s="282" t="s">
        <v>171</v>
      </c>
      <c r="B298" s="280">
        <v>100727</v>
      </c>
      <c r="C298" s="291" t="s">
        <v>805</v>
      </c>
      <c r="D298" s="282" t="s">
        <v>24</v>
      </c>
      <c r="E298" s="290">
        <f>32.92*2</f>
        <v>65.84</v>
      </c>
      <c r="F298" s="283">
        <v>11.97</v>
      </c>
      <c r="G298" s="284">
        <f t="shared" si="40"/>
        <v>14.88</v>
      </c>
      <c r="H298" s="284">
        <f t="shared" si="39"/>
        <v>979.69</v>
      </c>
      <c r="I298" s="297"/>
      <c r="J298" s="24"/>
      <c r="K298" s="197"/>
      <c r="L298" s="7"/>
      <c r="M298" s="35"/>
      <c r="N298" s="61"/>
      <c r="O298" s="35"/>
      <c r="P298" s="40"/>
      <c r="Q298" s="37"/>
      <c r="R298" s="4"/>
      <c r="S298" s="52">
        <v>65.84</v>
      </c>
      <c r="T298" s="52">
        <v>11.97</v>
      </c>
      <c r="U298" s="52">
        <v>15.08</v>
      </c>
      <c r="V298" s="52">
        <v>992.86</v>
      </c>
    </row>
    <row r="299" spans="1:22" s="52" customFormat="1" outlineLevel="1" x14ac:dyDescent="0.25">
      <c r="A299" s="282" t="s">
        <v>173</v>
      </c>
      <c r="B299" s="280">
        <v>88497</v>
      </c>
      <c r="C299" s="288" t="s">
        <v>309</v>
      </c>
      <c r="D299" s="282" t="s">
        <v>24</v>
      </c>
      <c r="E299" s="290">
        <f>J299</f>
        <v>78.122000000000014</v>
      </c>
      <c r="F299" s="283">
        <v>9.74</v>
      </c>
      <c r="G299" s="284">
        <f t="shared" si="40"/>
        <v>12.11</v>
      </c>
      <c r="H299" s="284">
        <f t="shared" si="39"/>
        <v>946.05</v>
      </c>
      <c r="I299" s="297"/>
      <c r="J299" s="24">
        <f>(16.46*2+19.05*2)*1.1</f>
        <v>78.122000000000014</v>
      </c>
      <c r="K299" s="240" t="s">
        <v>310</v>
      </c>
      <c r="L299" s="7">
        <f>10*1.5*4</f>
        <v>60</v>
      </c>
      <c r="M299" s="35"/>
      <c r="N299" s="61"/>
      <c r="O299" s="35"/>
      <c r="P299" s="40"/>
      <c r="Q299" s="37"/>
      <c r="R299" s="4"/>
      <c r="S299" s="52">
        <v>78.122000000000014</v>
      </c>
      <c r="T299" s="52">
        <v>11.24</v>
      </c>
      <c r="U299" s="52">
        <v>14.16</v>
      </c>
      <c r="V299" s="52">
        <v>1106.2</v>
      </c>
    </row>
    <row r="300" spans="1:22" s="52" customFormat="1" outlineLevel="1" x14ac:dyDescent="0.25">
      <c r="A300" s="282" t="s">
        <v>175</v>
      </c>
      <c r="B300" s="280">
        <v>95626</v>
      </c>
      <c r="C300" s="281" t="s">
        <v>235</v>
      </c>
      <c r="D300" s="282" t="s">
        <v>24</v>
      </c>
      <c r="E300" s="290">
        <f>J300</f>
        <v>187.66400000000004</v>
      </c>
      <c r="F300" s="283">
        <v>10.4</v>
      </c>
      <c r="G300" s="284">
        <f t="shared" si="40"/>
        <v>12.93</v>
      </c>
      <c r="H300" s="284">
        <f t="shared" si="39"/>
        <v>2426.4899999999998</v>
      </c>
      <c r="I300" s="297"/>
      <c r="J300" s="24">
        <f>(16.46*2+19.05*2)*3.2-30*1.2*1.1</f>
        <v>187.66400000000004</v>
      </c>
      <c r="K300" s="197"/>
      <c r="L300" s="7"/>
      <c r="M300" s="35"/>
      <c r="N300" s="61"/>
      <c r="O300" s="35"/>
      <c r="P300" s="40"/>
      <c r="Q300" s="37"/>
      <c r="R300" s="4"/>
      <c r="S300" s="52">
        <v>187.66400000000004</v>
      </c>
      <c r="T300" s="52">
        <v>11.83</v>
      </c>
      <c r="U300" s="52">
        <v>14.9</v>
      </c>
      <c r="V300" s="52">
        <v>2796.19</v>
      </c>
    </row>
    <row r="301" spans="1:22" s="52" customFormat="1" outlineLevel="1" x14ac:dyDescent="0.25">
      <c r="A301" s="282" t="s">
        <v>177</v>
      </c>
      <c r="B301" s="280">
        <v>84665</v>
      </c>
      <c r="C301" s="281" t="s">
        <v>114</v>
      </c>
      <c r="D301" s="282" t="s">
        <v>24</v>
      </c>
      <c r="E301" s="285">
        <v>12</v>
      </c>
      <c r="F301" s="283">
        <v>16.66</v>
      </c>
      <c r="G301" s="284">
        <f t="shared" si="40"/>
        <v>20.72</v>
      </c>
      <c r="H301" s="284">
        <f t="shared" si="39"/>
        <v>248.64</v>
      </c>
      <c r="I301" s="297"/>
      <c r="J301" s="24"/>
      <c r="K301" s="197"/>
      <c r="L301" s="7"/>
      <c r="M301" s="35"/>
      <c r="N301" s="61"/>
      <c r="O301" s="35"/>
      <c r="P301" s="40"/>
      <c r="Q301" s="37"/>
      <c r="R301" s="4"/>
      <c r="S301" s="52">
        <v>12</v>
      </c>
      <c r="T301" s="52">
        <v>16.66</v>
      </c>
      <c r="U301" s="52">
        <v>20.99</v>
      </c>
      <c r="V301" s="52">
        <v>251.88</v>
      </c>
    </row>
    <row r="302" spans="1:22" s="52" customFormat="1" outlineLevel="1" x14ac:dyDescent="0.25">
      <c r="A302" s="279" t="s">
        <v>186</v>
      </c>
      <c r="B302" s="279"/>
      <c r="C302" s="294" t="s">
        <v>117</v>
      </c>
      <c r="D302" s="558"/>
      <c r="E302" s="294"/>
      <c r="F302" s="403"/>
      <c r="G302" s="296" t="s">
        <v>38</v>
      </c>
      <c r="H302" s="558"/>
      <c r="I302" s="559">
        <f>SUM(H303:H327)</f>
        <v>27056.22</v>
      </c>
      <c r="J302" s="208">
        <f>SUM(H303:H327)</f>
        <v>27056.22</v>
      </c>
      <c r="K302" s="197"/>
      <c r="L302" s="317">
        <f>SUM(H303:H327)</f>
        <v>27056.22</v>
      </c>
      <c r="M302" s="35">
        <f>I302-L302</f>
        <v>0</v>
      </c>
      <c r="N302" s="61"/>
      <c r="O302" s="35"/>
      <c r="P302" s="40"/>
      <c r="Q302" s="37"/>
      <c r="R302" s="4"/>
    </row>
    <row r="303" spans="1:22" s="52" customFormat="1" ht="31.2" outlineLevel="1" x14ac:dyDescent="0.25">
      <c r="A303" s="282" t="s">
        <v>188</v>
      </c>
      <c r="B303" s="280">
        <v>91932</v>
      </c>
      <c r="C303" s="281" t="s">
        <v>119</v>
      </c>
      <c r="D303" s="282" t="s">
        <v>55</v>
      </c>
      <c r="E303" s="285">
        <v>200</v>
      </c>
      <c r="F303" s="283">
        <v>9.9499999999999993</v>
      </c>
      <c r="G303" s="284">
        <f t="shared" ref="G303:G327" si="43">TRUNC(F303*$J$13,2)</f>
        <v>12.37</v>
      </c>
      <c r="H303" s="284">
        <f>TRUNC(E303*G303,2)</f>
        <v>2474</v>
      </c>
      <c r="I303" s="312"/>
      <c r="J303" s="208">
        <v>14181.86</v>
      </c>
      <c r="K303" s="197"/>
      <c r="L303" s="7"/>
      <c r="M303" s="35"/>
      <c r="N303" s="61"/>
      <c r="O303" s="35"/>
      <c r="P303" s="40"/>
      <c r="Q303" s="37"/>
      <c r="R303" s="4"/>
      <c r="S303" s="236">
        <v>200</v>
      </c>
      <c r="T303" s="236">
        <v>9.9499999999999993</v>
      </c>
      <c r="U303" s="236">
        <v>12.53</v>
      </c>
      <c r="V303" s="236">
        <v>2506</v>
      </c>
    </row>
    <row r="304" spans="1:22" s="52" customFormat="1" ht="31.2" outlineLevel="1" x14ac:dyDescent="0.25">
      <c r="A304" s="282" t="s">
        <v>200</v>
      </c>
      <c r="B304" s="280">
        <v>91930</v>
      </c>
      <c r="C304" s="281" t="s">
        <v>121</v>
      </c>
      <c r="D304" s="282" t="s">
        <v>55</v>
      </c>
      <c r="E304" s="285">
        <v>300</v>
      </c>
      <c r="F304" s="283">
        <v>5.5</v>
      </c>
      <c r="G304" s="284">
        <f t="shared" si="43"/>
        <v>6.84</v>
      </c>
      <c r="H304" s="284">
        <f>TRUNC(E304*G304,2)</f>
        <v>2052</v>
      </c>
      <c r="I304" s="312"/>
      <c r="J304" s="24">
        <f>J302-J303</f>
        <v>12874.36</v>
      </c>
      <c r="K304" s="197"/>
      <c r="L304" s="7"/>
      <c r="M304" s="35"/>
      <c r="N304" s="61"/>
      <c r="O304" s="35"/>
      <c r="P304" s="40"/>
      <c r="Q304" s="37"/>
      <c r="R304" s="4"/>
      <c r="S304" s="236">
        <v>300</v>
      </c>
      <c r="T304" s="236">
        <v>6.06</v>
      </c>
      <c r="U304" s="236">
        <v>7.63</v>
      </c>
      <c r="V304" s="236">
        <v>2289</v>
      </c>
    </row>
    <row r="305" spans="1:22" s="52" customFormat="1" outlineLevel="1" x14ac:dyDescent="0.25">
      <c r="A305" s="282" t="s">
        <v>236</v>
      </c>
      <c r="B305" s="280">
        <v>91928</v>
      </c>
      <c r="C305" s="281" t="s">
        <v>123</v>
      </c>
      <c r="D305" s="282" t="s">
        <v>55</v>
      </c>
      <c r="E305" s="285">
        <v>400</v>
      </c>
      <c r="F305" s="283">
        <v>4.42</v>
      </c>
      <c r="G305" s="284">
        <f t="shared" si="43"/>
        <v>5.49</v>
      </c>
      <c r="H305" s="284">
        <f t="shared" ref="H305:H326" si="44">TRUNC(E305*G305,2)</f>
        <v>2196</v>
      </c>
      <c r="I305" s="312"/>
      <c r="J305" s="24"/>
      <c r="K305" s="197"/>
      <c r="L305" s="7"/>
      <c r="M305" s="35"/>
      <c r="N305" s="61"/>
      <c r="O305" s="35"/>
      <c r="P305" s="40"/>
      <c r="Q305" s="37"/>
      <c r="R305" s="4"/>
      <c r="S305" s="236">
        <v>400</v>
      </c>
      <c r="T305" s="236">
        <v>4.42</v>
      </c>
      <c r="U305" s="236">
        <v>5.56</v>
      </c>
      <c r="V305" s="236">
        <v>2224</v>
      </c>
    </row>
    <row r="306" spans="1:22" s="52" customFormat="1" outlineLevel="1" x14ac:dyDescent="0.25">
      <c r="A306" s="282" t="s">
        <v>237</v>
      </c>
      <c r="B306" s="280">
        <v>91927</v>
      </c>
      <c r="C306" s="281" t="s">
        <v>125</v>
      </c>
      <c r="D306" s="282" t="s">
        <v>55</v>
      </c>
      <c r="E306" s="285">
        <v>300</v>
      </c>
      <c r="F306" s="283">
        <v>3</v>
      </c>
      <c r="G306" s="284">
        <f t="shared" si="43"/>
        <v>3.73</v>
      </c>
      <c r="H306" s="284">
        <f t="shared" si="44"/>
        <v>1119</v>
      </c>
      <c r="I306" s="312"/>
      <c r="J306" s="24"/>
      <c r="K306" s="197"/>
      <c r="L306" s="7"/>
      <c r="M306" s="35"/>
      <c r="N306" s="61"/>
      <c r="O306" s="35"/>
      <c r="P306" s="40"/>
      <c r="Q306" s="37"/>
      <c r="R306" s="4"/>
      <c r="S306" s="236">
        <v>300</v>
      </c>
      <c r="T306" s="236">
        <v>3.58</v>
      </c>
      <c r="U306" s="236">
        <v>4.51</v>
      </c>
      <c r="V306" s="236">
        <v>1353</v>
      </c>
    </row>
    <row r="307" spans="1:22" s="52" customFormat="1" outlineLevel="1" x14ac:dyDescent="0.25">
      <c r="A307" s="282" t="s">
        <v>238</v>
      </c>
      <c r="B307" s="280">
        <v>90447</v>
      </c>
      <c r="C307" s="281" t="s">
        <v>127</v>
      </c>
      <c r="D307" s="282" t="s">
        <v>55</v>
      </c>
      <c r="E307" s="285">
        <v>150</v>
      </c>
      <c r="F307" s="283">
        <v>4.45</v>
      </c>
      <c r="G307" s="284">
        <f t="shared" si="43"/>
        <v>5.53</v>
      </c>
      <c r="H307" s="284">
        <f t="shared" si="44"/>
        <v>829.5</v>
      </c>
      <c r="I307" s="312"/>
      <c r="J307" s="24"/>
      <c r="K307" s="197"/>
      <c r="L307" s="7"/>
      <c r="M307" s="35"/>
      <c r="N307" s="61"/>
      <c r="O307" s="35"/>
      <c r="P307" s="40"/>
      <c r="Q307" s="37"/>
      <c r="R307" s="4"/>
      <c r="S307" s="236">
        <v>150</v>
      </c>
      <c r="T307" s="236">
        <v>4.45</v>
      </c>
      <c r="U307" s="236">
        <v>5.6</v>
      </c>
      <c r="V307" s="236">
        <v>840</v>
      </c>
    </row>
    <row r="308" spans="1:22" s="52" customFormat="1" ht="31.2" outlineLevel="1" x14ac:dyDescent="0.25">
      <c r="A308" s="282" t="s">
        <v>239</v>
      </c>
      <c r="B308" s="280">
        <v>91836</v>
      </c>
      <c r="C308" s="281" t="s">
        <v>130</v>
      </c>
      <c r="D308" s="282" t="s">
        <v>55</v>
      </c>
      <c r="E308" s="285">
        <v>100</v>
      </c>
      <c r="F308" s="283">
        <v>7.55</v>
      </c>
      <c r="G308" s="284">
        <f t="shared" si="43"/>
        <v>9.39</v>
      </c>
      <c r="H308" s="284">
        <f t="shared" si="44"/>
        <v>939</v>
      </c>
      <c r="I308" s="312"/>
      <c r="J308" s="24"/>
      <c r="K308" s="197"/>
      <c r="L308" s="7"/>
      <c r="M308" s="35"/>
      <c r="N308" s="61"/>
      <c r="O308" s="35"/>
      <c r="P308" s="40"/>
      <c r="Q308" s="37"/>
      <c r="R308" s="4"/>
      <c r="S308" s="236">
        <v>100</v>
      </c>
      <c r="T308" s="236">
        <v>7.55</v>
      </c>
      <c r="U308" s="236">
        <v>9.51</v>
      </c>
      <c r="V308" s="236">
        <v>951</v>
      </c>
    </row>
    <row r="309" spans="1:22" s="52" customFormat="1" ht="31.2" outlineLevel="1" x14ac:dyDescent="0.25">
      <c r="A309" s="282" t="s">
        <v>240</v>
      </c>
      <c r="B309" s="280">
        <v>91869</v>
      </c>
      <c r="C309" s="281" t="s">
        <v>132</v>
      </c>
      <c r="D309" s="282" t="s">
        <v>55</v>
      </c>
      <c r="E309" s="285">
        <v>50</v>
      </c>
      <c r="F309" s="283">
        <v>10.32</v>
      </c>
      <c r="G309" s="284">
        <f t="shared" si="43"/>
        <v>12.83</v>
      </c>
      <c r="H309" s="284">
        <f t="shared" si="44"/>
        <v>641.5</v>
      </c>
      <c r="I309" s="312"/>
      <c r="J309" s="24"/>
      <c r="K309" s="197"/>
      <c r="L309" s="7"/>
      <c r="M309" s="35"/>
      <c r="N309" s="61"/>
      <c r="O309" s="35"/>
      <c r="P309" s="40"/>
      <c r="Q309" s="37"/>
      <c r="R309" s="4"/>
      <c r="S309" s="236">
        <v>50</v>
      </c>
      <c r="T309" s="236">
        <v>10.32</v>
      </c>
      <c r="U309" s="236">
        <v>13</v>
      </c>
      <c r="V309" s="236">
        <v>650</v>
      </c>
    </row>
    <row r="310" spans="1:22" s="52" customFormat="1" outlineLevel="1" x14ac:dyDescent="0.25">
      <c r="A310" s="282" t="s">
        <v>241</v>
      </c>
      <c r="B310" s="280">
        <v>91990</v>
      </c>
      <c r="C310" s="281" t="s">
        <v>134</v>
      </c>
      <c r="D310" s="282" t="s">
        <v>44</v>
      </c>
      <c r="E310" s="285">
        <v>40</v>
      </c>
      <c r="F310" s="283">
        <v>20.73</v>
      </c>
      <c r="G310" s="284">
        <f t="shared" si="43"/>
        <v>25.78</v>
      </c>
      <c r="H310" s="284">
        <f t="shared" si="44"/>
        <v>1031.2</v>
      </c>
      <c r="I310" s="312"/>
      <c r="J310" s="24"/>
      <c r="K310" s="197"/>
      <c r="L310" s="7"/>
      <c r="M310" s="35"/>
      <c r="N310" s="61"/>
      <c r="O310" s="35"/>
      <c r="P310" s="40"/>
      <c r="Q310" s="37"/>
      <c r="R310" s="4"/>
      <c r="S310" s="236">
        <v>40</v>
      </c>
      <c r="T310" s="236">
        <v>20.73</v>
      </c>
      <c r="U310" s="236">
        <v>26.11</v>
      </c>
      <c r="V310" s="236">
        <v>1044.4000000000001</v>
      </c>
    </row>
    <row r="311" spans="1:22" s="52" customFormat="1" outlineLevel="1" x14ac:dyDescent="0.25">
      <c r="A311" s="282" t="s">
        <v>242</v>
      </c>
      <c r="B311" s="280">
        <v>91991</v>
      </c>
      <c r="C311" s="281" t="s">
        <v>137</v>
      </c>
      <c r="D311" s="282" t="s">
        <v>44</v>
      </c>
      <c r="E311" s="285">
        <v>4</v>
      </c>
      <c r="F311" s="283">
        <v>21.99</v>
      </c>
      <c r="G311" s="284">
        <f t="shared" si="43"/>
        <v>27.35</v>
      </c>
      <c r="H311" s="284">
        <f t="shared" si="44"/>
        <v>109.4</v>
      </c>
      <c r="I311" s="312"/>
      <c r="J311" s="24"/>
      <c r="K311" s="197"/>
      <c r="L311" s="7"/>
      <c r="M311" s="35"/>
      <c r="N311" s="61"/>
      <c r="O311" s="35"/>
      <c r="P311" s="40"/>
      <c r="Q311" s="37"/>
      <c r="R311" s="4"/>
      <c r="S311" s="236">
        <v>4</v>
      </c>
      <c r="T311" s="236">
        <v>21.99</v>
      </c>
      <c r="U311" s="236">
        <v>27.7</v>
      </c>
      <c r="V311" s="236">
        <v>110.8</v>
      </c>
    </row>
    <row r="312" spans="1:22" s="52" customFormat="1" outlineLevel="1" x14ac:dyDescent="0.25">
      <c r="A312" s="282" t="s">
        <v>243</v>
      </c>
      <c r="B312" s="280">
        <v>91953</v>
      </c>
      <c r="C312" s="281" t="s">
        <v>139</v>
      </c>
      <c r="D312" s="282" t="s">
        <v>44</v>
      </c>
      <c r="E312" s="285">
        <v>6</v>
      </c>
      <c r="F312" s="283">
        <v>16.14</v>
      </c>
      <c r="G312" s="284">
        <f t="shared" si="43"/>
        <v>20.07</v>
      </c>
      <c r="H312" s="284">
        <f t="shared" si="44"/>
        <v>120.42</v>
      </c>
      <c r="I312" s="312"/>
      <c r="J312" s="24"/>
      <c r="K312" s="197"/>
      <c r="L312" s="7"/>
      <c r="M312" s="35"/>
      <c r="N312" s="61"/>
      <c r="O312" s="35"/>
      <c r="P312" s="40"/>
      <c r="Q312" s="37"/>
      <c r="R312" s="4"/>
      <c r="S312" s="236">
        <v>6</v>
      </c>
      <c r="T312" s="236">
        <v>16.14</v>
      </c>
      <c r="U312" s="236">
        <v>20.329999999999998</v>
      </c>
      <c r="V312" s="236">
        <v>121.98</v>
      </c>
    </row>
    <row r="313" spans="1:22" s="52" customFormat="1" outlineLevel="1" x14ac:dyDescent="0.25">
      <c r="A313" s="282" t="s">
        <v>244</v>
      </c>
      <c r="B313" s="280">
        <v>91959</v>
      </c>
      <c r="C313" s="281" t="s">
        <v>140</v>
      </c>
      <c r="D313" s="282" t="s">
        <v>44</v>
      </c>
      <c r="E313" s="285">
        <v>5</v>
      </c>
      <c r="F313" s="283">
        <v>25.5</v>
      </c>
      <c r="G313" s="284">
        <f t="shared" si="43"/>
        <v>31.71</v>
      </c>
      <c r="H313" s="284">
        <f t="shared" si="44"/>
        <v>158.55000000000001</v>
      </c>
      <c r="I313" s="312"/>
      <c r="J313" s="24"/>
      <c r="K313" s="197"/>
      <c r="L313" s="7"/>
      <c r="M313" s="35"/>
      <c r="N313" s="61"/>
      <c r="O313" s="35"/>
      <c r="P313" s="40"/>
      <c r="Q313" s="37"/>
      <c r="R313" s="4"/>
      <c r="S313" s="236">
        <v>5</v>
      </c>
      <c r="T313" s="236">
        <v>25.5</v>
      </c>
      <c r="U313" s="236">
        <v>32.130000000000003</v>
      </c>
      <c r="V313" s="236">
        <v>160.65</v>
      </c>
    </row>
    <row r="314" spans="1:22" s="52" customFormat="1" outlineLevel="1" x14ac:dyDescent="0.25">
      <c r="A314" s="282" t="s">
        <v>368</v>
      </c>
      <c r="B314" s="280">
        <v>93653</v>
      </c>
      <c r="C314" s="281" t="s">
        <v>141</v>
      </c>
      <c r="D314" s="282" t="s">
        <v>44</v>
      </c>
      <c r="E314" s="285">
        <v>8</v>
      </c>
      <c r="F314" s="283">
        <v>9.3699999999999992</v>
      </c>
      <c r="G314" s="284">
        <f t="shared" si="43"/>
        <v>11.65</v>
      </c>
      <c r="H314" s="284">
        <f t="shared" si="44"/>
        <v>93.2</v>
      </c>
      <c r="I314" s="312"/>
      <c r="J314" s="24"/>
      <c r="K314" s="197"/>
      <c r="L314" s="7"/>
      <c r="M314" s="35"/>
      <c r="N314" s="61"/>
      <c r="O314" s="35"/>
      <c r="P314" s="40"/>
      <c r="Q314" s="37"/>
      <c r="R314" s="4"/>
      <c r="S314" s="236">
        <v>8</v>
      </c>
      <c r="T314" s="236">
        <v>9.3699999999999992</v>
      </c>
      <c r="U314" s="236">
        <v>11.8</v>
      </c>
      <c r="V314" s="236">
        <v>94.4</v>
      </c>
    </row>
    <row r="315" spans="1:22" s="52" customFormat="1" outlineLevel="1" x14ac:dyDescent="0.25">
      <c r="A315" s="282" t="s">
        <v>339</v>
      </c>
      <c r="B315" s="280">
        <v>93655</v>
      </c>
      <c r="C315" s="281" t="s">
        <v>142</v>
      </c>
      <c r="D315" s="282" t="s">
        <v>44</v>
      </c>
      <c r="E315" s="285">
        <v>6</v>
      </c>
      <c r="F315" s="283">
        <v>10.59</v>
      </c>
      <c r="G315" s="284">
        <f t="shared" si="43"/>
        <v>13.17</v>
      </c>
      <c r="H315" s="284">
        <f t="shared" si="44"/>
        <v>79.02</v>
      </c>
      <c r="I315" s="312"/>
      <c r="J315" s="24"/>
      <c r="K315" s="197"/>
      <c r="L315" s="7"/>
      <c r="M315" s="35"/>
      <c r="N315" s="61"/>
      <c r="O315" s="35"/>
      <c r="P315" s="40"/>
      <c r="Q315" s="37"/>
      <c r="R315" s="4"/>
      <c r="S315" s="236">
        <v>6</v>
      </c>
      <c r="T315" s="236">
        <v>10.59</v>
      </c>
      <c r="U315" s="236">
        <v>13.34</v>
      </c>
      <c r="V315" s="236">
        <v>80.040000000000006</v>
      </c>
    </row>
    <row r="316" spans="1:22" s="52" customFormat="1" outlineLevel="1" x14ac:dyDescent="0.25">
      <c r="A316" s="282" t="s">
        <v>340</v>
      </c>
      <c r="B316" s="280">
        <v>93657</v>
      </c>
      <c r="C316" s="281" t="s">
        <v>143</v>
      </c>
      <c r="D316" s="282" t="s">
        <v>44</v>
      </c>
      <c r="E316" s="285">
        <v>4</v>
      </c>
      <c r="F316" s="283">
        <v>11.59</v>
      </c>
      <c r="G316" s="284">
        <f t="shared" si="43"/>
        <v>14.41</v>
      </c>
      <c r="H316" s="284">
        <f t="shared" si="44"/>
        <v>57.64</v>
      </c>
      <c r="I316" s="312"/>
      <c r="J316" s="24"/>
      <c r="K316" s="197"/>
      <c r="L316" s="7"/>
      <c r="M316" s="35"/>
      <c r="N316" s="61"/>
      <c r="O316" s="35"/>
      <c r="P316" s="40"/>
      <c r="Q316" s="37"/>
      <c r="R316" s="4"/>
      <c r="S316" s="236">
        <v>4</v>
      </c>
      <c r="T316" s="236">
        <v>11.59</v>
      </c>
      <c r="U316" s="236">
        <v>14.6</v>
      </c>
      <c r="V316" s="236">
        <v>58.4</v>
      </c>
    </row>
    <row r="317" spans="1:22" s="52" customFormat="1" outlineLevel="1" x14ac:dyDescent="0.25">
      <c r="A317" s="282" t="s">
        <v>343</v>
      </c>
      <c r="B317" s="280">
        <v>93660</v>
      </c>
      <c r="C317" s="281" t="s">
        <v>144</v>
      </c>
      <c r="D317" s="282" t="s">
        <v>44</v>
      </c>
      <c r="E317" s="285">
        <v>6</v>
      </c>
      <c r="F317" s="283">
        <v>46.9</v>
      </c>
      <c r="G317" s="284">
        <f t="shared" si="43"/>
        <v>58.33</v>
      </c>
      <c r="H317" s="284">
        <f t="shared" si="44"/>
        <v>349.98</v>
      </c>
      <c r="I317" s="312"/>
      <c r="J317" s="24"/>
      <c r="K317" s="197"/>
      <c r="L317" s="7"/>
      <c r="M317" s="35"/>
      <c r="N317" s="61"/>
      <c r="O317" s="35"/>
      <c r="P317" s="40"/>
      <c r="Q317" s="37"/>
      <c r="R317" s="4"/>
      <c r="S317" s="236">
        <v>6</v>
      </c>
      <c r="T317" s="236">
        <v>46.9</v>
      </c>
      <c r="U317" s="236">
        <v>59.09</v>
      </c>
      <c r="V317" s="236">
        <v>354.54</v>
      </c>
    </row>
    <row r="318" spans="1:22" s="52" customFormat="1" outlineLevel="1" x14ac:dyDescent="0.25">
      <c r="A318" s="282" t="s">
        <v>346</v>
      </c>
      <c r="B318" s="280">
        <v>93662</v>
      </c>
      <c r="C318" s="281" t="s">
        <v>145</v>
      </c>
      <c r="D318" s="282" t="s">
        <v>44</v>
      </c>
      <c r="E318" s="285">
        <v>4</v>
      </c>
      <c r="F318" s="283">
        <v>49.38</v>
      </c>
      <c r="G318" s="284">
        <f t="shared" si="43"/>
        <v>61.42</v>
      </c>
      <c r="H318" s="284">
        <f t="shared" si="44"/>
        <v>245.68</v>
      </c>
      <c r="I318" s="312"/>
      <c r="J318" s="24"/>
      <c r="K318" s="197"/>
      <c r="L318" s="7"/>
      <c r="M318" s="35"/>
      <c r="N318" s="61"/>
      <c r="O318" s="35"/>
      <c r="P318" s="40"/>
      <c r="Q318" s="37"/>
      <c r="R318" s="4"/>
      <c r="S318" s="236">
        <v>4</v>
      </c>
      <c r="T318" s="236">
        <v>49.38</v>
      </c>
      <c r="U318" s="236">
        <v>62.21</v>
      </c>
      <c r="V318" s="236">
        <v>248.84</v>
      </c>
    </row>
    <row r="319" spans="1:22" s="52" customFormat="1" outlineLevel="1" x14ac:dyDescent="0.25">
      <c r="A319" s="282" t="s">
        <v>245</v>
      </c>
      <c r="B319" s="280">
        <v>93664</v>
      </c>
      <c r="C319" s="281" t="s">
        <v>146</v>
      </c>
      <c r="D319" s="282" t="s">
        <v>44</v>
      </c>
      <c r="E319" s="285">
        <v>4</v>
      </c>
      <c r="F319" s="283">
        <v>51.34</v>
      </c>
      <c r="G319" s="284">
        <f t="shared" si="43"/>
        <v>63.86</v>
      </c>
      <c r="H319" s="284">
        <f t="shared" si="44"/>
        <v>255.44</v>
      </c>
      <c r="I319" s="312"/>
      <c r="J319" s="24"/>
      <c r="K319" s="197"/>
      <c r="L319" s="7"/>
      <c r="M319" s="35"/>
      <c r="N319" s="61"/>
      <c r="O319" s="35"/>
      <c r="P319" s="40"/>
      <c r="Q319" s="37"/>
      <c r="R319" s="4"/>
      <c r="S319" s="236">
        <v>4</v>
      </c>
      <c r="T319" s="236">
        <v>51.34</v>
      </c>
      <c r="U319" s="236">
        <v>64.680000000000007</v>
      </c>
      <c r="V319" s="236">
        <v>258.72000000000003</v>
      </c>
    </row>
    <row r="320" spans="1:22" s="52" customFormat="1" outlineLevel="1" x14ac:dyDescent="0.25">
      <c r="A320" s="282" t="s">
        <v>246</v>
      </c>
      <c r="B320" s="280">
        <v>93673</v>
      </c>
      <c r="C320" s="281" t="s">
        <v>147</v>
      </c>
      <c r="D320" s="282" t="s">
        <v>44</v>
      </c>
      <c r="E320" s="285">
        <v>4</v>
      </c>
      <c r="F320" s="283">
        <v>75.680000000000007</v>
      </c>
      <c r="G320" s="284">
        <f t="shared" si="43"/>
        <v>94.13</v>
      </c>
      <c r="H320" s="284">
        <f t="shared" si="44"/>
        <v>376.52</v>
      </c>
      <c r="I320" s="312"/>
      <c r="J320" s="24"/>
      <c r="K320" s="197"/>
      <c r="L320" s="7"/>
      <c r="M320" s="35"/>
      <c r="N320" s="61"/>
      <c r="O320" s="35"/>
      <c r="P320" s="40"/>
      <c r="Q320" s="37"/>
      <c r="R320" s="4"/>
      <c r="S320" s="236">
        <v>4</v>
      </c>
      <c r="T320" s="236">
        <v>75.680000000000007</v>
      </c>
      <c r="U320" s="236">
        <v>95.35</v>
      </c>
      <c r="V320" s="236">
        <v>381.4</v>
      </c>
    </row>
    <row r="321" spans="1:22" s="52" customFormat="1" outlineLevel="1" x14ac:dyDescent="0.25">
      <c r="A321" s="282" t="s">
        <v>247</v>
      </c>
      <c r="B321" s="280">
        <v>93667</v>
      </c>
      <c r="C321" s="281" t="s">
        <v>148</v>
      </c>
      <c r="D321" s="282" t="s">
        <v>44</v>
      </c>
      <c r="E321" s="285">
        <v>4</v>
      </c>
      <c r="F321" s="283">
        <v>58.47</v>
      </c>
      <c r="G321" s="284">
        <f t="shared" si="43"/>
        <v>72.73</v>
      </c>
      <c r="H321" s="284">
        <f t="shared" si="44"/>
        <v>290.92</v>
      </c>
      <c r="I321" s="312"/>
      <c r="J321" s="24"/>
      <c r="K321" s="197"/>
      <c r="L321" s="7"/>
      <c r="M321" s="35"/>
      <c r="N321" s="61"/>
      <c r="O321" s="35"/>
      <c r="P321" s="40"/>
      <c r="Q321" s="37"/>
      <c r="R321" s="4"/>
      <c r="S321" s="236">
        <v>4</v>
      </c>
      <c r="T321" s="236">
        <v>58.47</v>
      </c>
      <c r="U321" s="236">
        <v>73.67</v>
      </c>
      <c r="V321" s="236">
        <v>294.68</v>
      </c>
    </row>
    <row r="322" spans="1:22" s="52" customFormat="1" outlineLevel="1" x14ac:dyDescent="0.25">
      <c r="A322" s="282" t="s">
        <v>248</v>
      </c>
      <c r="B322" s="280">
        <v>93669</v>
      </c>
      <c r="C322" s="281" t="s">
        <v>149</v>
      </c>
      <c r="D322" s="282" t="s">
        <v>44</v>
      </c>
      <c r="E322" s="285">
        <v>4</v>
      </c>
      <c r="F322" s="283">
        <v>62.18</v>
      </c>
      <c r="G322" s="284">
        <f>TRUNC(F322*$J$13,2)</f>
        <v>77.34</v>
      </c>
      <c r="H322" s="284">
        <f>TRUNC(E322*G322,2)</f>
        <v>309.36</v>
      </c>
      <c r="I322" s="312"/>
      <c r="J322" s="24"/>
      <c r="K322" s="197"/>
      <c r="L322" s="7"/>
      <c r="M322" s="35"/>
      <c r="N322" s="61"/>
      <c r="O322" s="35"/>
      <c r="P322" s="40"/>
      <c r="Q322" s="37"/>
      <c r="R322" s="4"/>
      <c r="S322" s="236">
        <v>4</v>
      </c>
      <c r="T322" s="236">
        <v>62.18</v>
      </c>
      <c r="U322" s="236">
        <v>78.34</v>
      </c>
      <c r="V322" s="236">
        <v>313.36</v>
      </c>
    </row>
    <row r="323" spans="1:22" s="52" customFormat="1" outlineLevel="1" x14ac:dyDescent="0.25">
      <c r="A323" s="282" t="s">
        <v>249</v>
      </c>
      <c r="B323" s="280">
        <v>91944</v>
      </c>
      <c r="C323" s="281" t="s">
        <v>151</v>
      </c>
      <c r="D323" s="282" t="s">
        <v>44</v>
      </c>
      <c r="E323" s="285">
        <v>8</v>
      </c>
      <c r="F323" s="283">
        <f>'COMPOSIÇÃO SINAPI W MENDES'!G2066</f>
        <v>9.06</v>
      </c>
      <c r="G323" s="284">
        <f t="shared" si="43"/>
        <v>11.26</v>
      </c>
      <c r="H323" s="284">
        <f t="shared" si="44"/>
        <v>90.08</v>
      </c>
      <c r="I323" s="559"/>
      <c r="J323" s="24"/>
      <c r="K323" s="197"/>
      <c r="L323" s="7"/>
      <c r="M323" s="35"/>
      <c r="N323" s="61"/>
      <c r="O323" s="35"/>
      <c r="P323" s="40"/>
      <c r="Q323" s="37"/>
      <c r="R323" s="4"/>
      <c r="S323" s="236">
        <v>8</v>
      </c>
      <c r="T323" s="236">
        <v>9.3000000000000007</v>
      </c>
      <c r="U323" s="236">
        <v>11.71</v>
      </c>
      <c r="V323" s="236">
        <v>93.68</v>
      </c>
    </row>
    <row r="324" spans="1:22" s="52" customFormat="1" ht="31.2" outlineLevel="1" x14ac:dyDescent="0.25">
      <c r="A324" s="282" t="s">
        <v>250</v>
      </c>
      <c r="B324" s="280">
        <v>83463</v>
      </c>
      <c r="C324" s="281" t="s">
        <v>152</v>
      </c>
      <c r="D324" s="282" t="s">
        <v>44</v>
      </c>
      <c r="E324" s="285">
        <v>1</v>
      </c>
      <c r="F324" s="283">
        <v>356.52</v>
      </c>
      <c r="G324" s="284">
        <f t="shared" si="43"/>
        <v>443.47</v>
      </c>
      <c r="H324" s="284">
        <f t="shared" si="44"/>
        <v>443.47</v>
      </c>
      <c r="I324" s="312"/>
      <c r="J324" s="24"/>
      <c r="K324" s="197"/>
      <c r="L324" s="7"/>
      <c r="M324" s="35"/>
      <c r="N324" s="61"/>
      <c r="O324" s="35"/>
      <c r="P324" s="40"/>
      <c r="Q324" s="37"/>
      <c r="R324" s="4"/>
      <c r="S324" s="236">
        <v>1</v>
      </c>
      <c r="T324" s="236">
        <v>356.52</v>
      </c>
      <c r="U324" s="236">
        <v>449.21</v>
      </c>
      <c r="V324" s="236">
        <v>449.21</v>
      </c>
    </row>
    <row r="325" spans="1:22" s="52" customFormat="1" ht="31.2" outlineLevel="1" x14ac:dyDescent="0.25">
      <c r="A325" s="282" t="s">
        <v>251</v>
      </c>
      <c r="B325" s="280" t="s">
        <v>153</v>
      </c>
      <c r="C325" s="281" t="s">
        <v>154</v>
      </c>
      <c r="D325" s="282" t="s">
        <v>44</v>
      </c>
      <c r="E325" s="285">
        <v>1</v>
      </c>
      <c r="F325" s="283">
        <v>606.13</v>
      </c>
      <c r="G325" s="284">
        <f t="shared" si="43"/>
        <v>753.96</v>
      </c>
      <c r="H325" s="284">
        <f t="shared" si="44"/>
        <v>753.96</v>
      </c>
      <c r="I325" s="312"/>
      <c r="J325" s="24"/>
      <c r="K325" s="197"/>
      <c r="L325" s="7"/>
      <c r="M325" s="35"/>
      <c r="N325" s="61"/>
      <c r="O325" s="35"/>
      <c r="P325" s="40"/>
      <c r="Q325" s="37"/>
      <c r="R325" s="4"/>
      <c r="S325" s="236">
        <v>1</v>
      </c>
      <c r="T325" s="236">
        <v>606.13</v>
      </c>
      <c r="U325" s="236">
        <v>763.72</v>
      </c>
      <c r="V325" s="236">
        <v>763.72</v>
      </c>
    </row>
    <row r="326" spans="1:22" s="52" customFormat="1" outlineLevel="1" x14ac:dyDescent="0.25">
      <c r="A326" s="282" t="s">
        <v>702</v>
      </c>
      <c r="B326" s="280">
        <v>91941</v>
      </c>
      <c r="C326" s="281" t="s">
        <v>150</v>
      </c>
      <c r="D326" s="282" t="s">
        <v>44</v>
      </c>
      <c r="E326" s="285">
        <v>44</v>
      </c>
      <c r="F326" s="283">
        <v>6.8</v>
      </c>
      <c r="G326" s="284">
        <f t="shared" si="43"/>
        <v>8.4499999999999993</v>
      </c>
      <c r="H326" s="284">
        <f t="shared" si="44"/>
        <v>371.8</v>
      </c>
      <c r="I326" s="312"/>
      <c r="J326" s="24"/>
      <c r="K326" s="197"/>
      <c r="L326" s="7"/>
      <c r="M326" s="35"/>
      <c r="N326" s="61"/>
      <c r="O326" s="35"/>
      <c r="P326" s="40"/>
      <c r="Q326" s="37"/>
      <c r="R326" s="4"/>
      <c r="S326" s="236">
        <v>44</v>
      </c>
      <c r="T326" s="236">
        <v>6.8</v>
      </c>
      <c r="U326" s="236">
        <v>8.56</v>
      </c>
      <c r="V326" s="236">
        <v>376.64</v>
      </c>
    </row>
    <row r="327" spans="1:22" s="52" customFormat="1" ht="31.2" outlineLevel="1" x14ac:dyDescent="0.25">
      <c r="A327" s="282" t="s">
        <v>703</v>
      </c>
      <c r="B327" s="280" t="s">
        <v>158</v>
      </c>
      <c r="C327" s="281" t="s">
        <v>159</v>
      </c>
      <c r="D327" s="282" t="s">
        <v>55</v>
      </c>
      <c r="E327" s="285">
        <v>154</v>
      </c>
      <c r="F327" s="283">
        <f>'COMPOSIÇÃO SINAPI W MENDES'!G2095</f>
        <v>60.92</v>
      </c>
      <c r="G327" s="284">
        <f t="shared" si="43"/>
        <v>75.77</v>
      </c>
      <c r="H327" s="284">
        <f>TRUNC(E327*G327,2)</f>
        <v>11668.58</v>
      </c>
      <c r="I327" s="312"/>
      <c r="J327" s="24"/>
      <c r="K327" s="197"/>
      <c r="L327" s="7"/>
      <c r="M327" s="35"/>
      <c r="N327" s="61"/>
      <c r="O327" s="35"/>
      <c r="P327" s="40"/>
      <c r="Q327" s="37"/>
      <c r="R327" s="4"/>
      <c r="S327" s="236">
        <v>154</v>
      </c>
      <c r="T327" s="236">
        <v>73.088999999999999</v>
      </c>
      <c r="U327" s="236">
        <v>92.09</v>
      </c>
      <c r="V327" s="236">
        <v>14181.86</v>
      </c>
    </row>
    <row r="328" spans="1:22" s="52" customFormat="1" outlineLevel="1" x14ac:dyDescent="0.25">
      <c r="A328" s="279" t="s">
        <v>206</v>
      </c>
      <c r="B328" s="279"/>
      <c r="C328" s="294" t="s">
        <v>161</v>
      </c>
      <c r="D328" s="558"/>
      <c r="E328" s="294"/>
      <c r="F328" s="402"/>
      <c r="G328" s="296" t="s">
        <v>38</v>
      </c>
      <c r="H328" s="558"/>
      <c r="I328" s="559">
        <f>SUM(H329:H341)</f>
        <v>23012.58</v>
      </c>
      <c r="J328" s="24"/>
      <c r="K328" s="197"/>
      <c r="L328" s="317">
        <f>SUM(H329:H341)</f>
        <v>23012.58</v>
      </c>
      <c r="M328" s="35">
        <f>I328-L328</f>
        <v>0</v>
      </c>
      <c r="N328" s="61"/>
      <c r="O328" s="35"/>
      <c r="P328" s="40"/>
      <c r="Q328" s="37"/>
      <c r="R328" s="4"/>
    </row>
    <row r="329" spans="1:22" s="52" customFormat="1" outlineLevel="1" x14ac:dyDescent="0.25">
      <c r="A329" s="282" t="s">
        <v>208</v>
      </c>
      <c r="B329" s="280">
        <v>91944</v>
      </c>
      <c r="C329" s="281" t="s">
        <v>151</v>
      </c>
      <c r="D329" s="282" t="s">
        <v>44</v>
      </c>
      <c r="E329" s="285">
        <v>60</v>
      </c>
      <c r="F329" s="283">
        <v>9.06</v>
      </c>
      <c r="G329" s="284">
        <f>TRUNC(F329*$J$13,2)</f>
        <v>11.26</v>
      </c>
      <c r="H329" s="284">
        <f>TRUNC(E329*G329,2)</f>
        <v>675.6</v>
      </c>
      <c r="I329" s="312"/>
      <c r="J329" s="24"/>
      <c r="K329" s="197"/>
      <c r="L329" s="7"/>
      <c r="M329" s="35"/>
      <c r="N329" s="61"/>
      <c r="O329" s="35"/>
      <c r="P329" s="40"/>
      <c r="Q329" s="37"/>
      <c r="R329" s="4"/>
      <c r="S329" s="493">
        <v>60</v>
      </c>
      <c r="T329" s="493">
        <v>9.3000000000000007</v>
      </c>
      <c r="U329" s="493">
        <v>11.71</v>
      </c>
      <c r="V329" s="493">
        <v>702.6</v>
      </c>
    </row>
    <row r="330" spans="1:22" s="52" customFormat="1" outlineLevel="1" x14ac:dyDescent="0.25">
      <c r="A330" s="282" t="s">
        <v>252</v>
      </c>
      <c r="B330" s="280">
        <v>90447</v>
      </c>
      <c r="C330" s="281" t="s">
        <v>127</v>
      </c>
      <c r="D330" s="282" t="s">
        <v>55</v>
      </c>
      <c r="E330" s="285">
        <v>200</v>
      </c>
      <c r="F330" s="283">
        <v>4.45</v>
      </c>
      <c r="G330" s="284">
        <f t="shared" ref="G330:G341" si="45">TRUNC(F330*$J$13,2)</f>
        <v>5.53</v>
      </c>
      <c r="H330" s="284">
        <f t="shared" ref="H330:H341" si="46">TRUNC(E330*G330,2)</f>
        <v>1106</v>
      </c>
      <c r="I330" s="312"/>
      <c r="J330" s="24"/>
      <c r="K330" s="197"/>
      <c r="L330" s="7"/>
      <c r="M330" s="35"/>
      <c r="N330" s="61"/>
      <c r="O330" s="35"/>
      <c r="P330" s="40"/>
      <c r="Q330" s="37"/>
      <c r="R330" s="4"/>
      <c r="S330" s="493">
        <v>200</v>
      </c>
      <c r="T330" s="493">
        <v>4.45</v>
      </c>
      <c r="U330" s="493">
        <v>5.6</v>
      </c>
      <c r="V330" s="493">
        <v>1120</v>
      </c>
    </row>
    <row r="331" spans="1:22" s="52" customFormat="1" ht="31.2" outlineLevel="1" x14ac:dyDescent="0.25">
      <c r="A331" s="282" t="s">
        <v>209</v>
      </c>
      <c r="B331" s="280">
        <v>91836</v>
      </c>
      <c r="C331" s="281" t="s">
        <v>130</v>
      </c>
      <c r="D331" s="282" t="s">
        <v>55</v>
      </c>
      <c r="E331" s="285">
        <v>120</v>
      </c>
      <c r="F331" s="283">
        <v>7.55</v>
      </c>
      <c r="G331" s="284">
        <f t="shared" si="45"/>
        <v>9.39</v>
      </c>
      <c r="H331" s="284">
        <f t="shared" si="46"/>
        <v>1126.8</v>
      </c>
      <c r="I331" s="312"/>
      <c r="J331" s="24"/>
      <c r="K331" s="197"/>
      <c r="L331" s="7"/>
      <c r="M331" s="35"/>
      <c r="N331" s="61"/>
      <c r="O331" s="35"/>
      <c r="P331" s="40"/>
      <c r="Q331" s="37"/>
      <c r="R331" s="4"/>
      <c r="S331" s="493">
        <v>120</v>
      </c>
      <c r="T331" s="493">
        <v>7.55</v>
      </c>
      <c r="U331" s="493">
        <v>9.51</v>
      </c>
      <c r="V331" s="493">
        <v>1141.2</v>
      </c>
    </row>
    <row r="332" spans="1:22" s="52" customFormat="1" ht="31.2" outlineLevel="1" x14ac:dyDescent="0.25">
      <c r="A332" s="282" t="s">
        <v>253</v>
      </c>
      <c r="B332" s="280">
        <v>91869</v>
      </c>
      <c r="C332" s="281" t="s">
        <v>132</v>
      </c>
      <c r="D332" s="282" t="s">
        <v>55</v>
      </c>
      <c r="E332" s="285">
        <v>200</v>
      </c>
      <c r="F332" s="283">
        <v>10.32</v>
      </c>
      <c r="G332" s="284">
        <f t="shared" si="45"/>
        <v>12.83</v>
      </c>
      <c r="H332" s="284">
        <f t="shared" si="46"/>
        <v>2566</v>
      </c>
      <c r="I332" s="312"/>
      <c r="J332" s="24"/>
      <c r="K332" s="197"/>
      <c r="L332" s="7"/>
      <c r="M332" s="35"/>
      <c r="N332" s="61"/>
      <c r="O332" s="35"/>
      <c r="P332" s="40"/>
      <c r="Q332" s="37"/>
      <c r="R332" s="4"/>
      <c r="S332" s="493">
        <v>200</v>
      </c>
      <c r="T332" s="493">
        <v>10.32</v>
      </c>
      <c r="U332" s="493">
        <v>13</v>
      </c>
      <c r="V332" s="493">
        <v>2600</v>
      </c>
    </row>
    <row r="333" spans="1:22" s="52" customFormat="1" outlineLevel="1" x14ac:dyDescent="0.25">
      <c r="A333" s="282" t="s">
        <v>254</v>
      </c>
      <c r="B333" s="280">
        <v>91941</v>
      </c>
      <c r="C333" s="281" t="s">
        <v>150</v>
      </c>
      <c r="D333" s="282" t="s">
        <v>44</v>
      </c>
      <c r="E333" s="285">
        <v>3</v>
      </c>
      <c r="F333" s="283">
        <v>6.8</v>
      </c>
      <c r="G333" s="284">
        <f t="shared" si="45"/>
        <v>8.4499999999999993</v>
      </c>
      <c r="H333" s="284">
        <f t="shared" si="46"/>
        <v>25.35</v>
      </c>
      <c r="I333" s="312"/>
      <c r="J333" s="24"/>
      <c r="K333" s="197"/>
      <c r="L333" s="7"/>
      <c r="M333" s="35"/>
      <c r="N333" s="61"/>
      <c r="O333" s="35"/>
      <c r="P333" s="40"/>
      <c r="Q333" s="37"/>
      <c r="R333" s="4"/>
      <c r="S333" s="493">
        <v>3</v>
      </c>
      <c r="T333" s="493">
        <v>6.8</v>
      </c>
      <c r="U333" s="493">
        <v>8.56</v>
      </c>
      <c r="V333" s="493">
        <v>25.68</v>
      </c>
    </row>
    <row r="334" spans="1:22" s="52" customFormat="1" outlineLevel="1" x14ac:dyDescent="0.25">
      <c r="A334" s="282" t="s">
        <v>255</v>
      </c>
      <c r="B334" s="280">
        <v>95778</v>
      </c>
      <c r="C334" s="302" t="s">
        <v>168</v>
      </c>
      <c r="D334" s="282" t="s">
        <v>55</v>
      </c>
      <c r="E334" s="285">
        <v>120</v>
      </c>
      <c r="F334" s="283">
        <v>20.28</v>
      </c>
      <c r="G334" s="284">
        <f t="shared" si="45"/>
        <v>25.22</v>
      </c>
      <c r="H334" s="284">
        <f t="shared" si="46"/>
        <v>3026.4</v>
      </c>
      <c r="I334" s="312"/>
      <c r="J334" s="24"/>
      <c r="K334" s="197"/>
      <c r="L334" s="7"/>
      <c r="M334" s="35"/>
      <c r="N334" s="61"/>
      <c r="O334" s="35"/>
      <c r="P334" s="40"/>
      <c r="Q334" s="37"/>
      <c r="R334" s="4"/>
      <c r="S334" s="493">
        <v>120</v>
      </c>
      <c r="T334" s="493">
        <v>20.28</v>
      </c>
      <c r="U334" s="493">
        <v>25.55</v>
      </c>
      <c r="V334" s="493">
        <v>3066</v>
      </c>
    </row>
    <row r="335" spans="1:22" s="52" customFormat="1" outlineLevel="1" x14ac:dyDescent="0.25">
      <c r="A335" s="282" t="s">
        <v>256</v>
      </c>
      <c r="B335" s="292">
        <v>98296</v>
      </c>
      <c r="C335" s="291" t="s">
        <v>172</v>
      </c>
      <c r="D335" s="282" t="s">
        <v>55</v>
      </c>
      <c r="E335" s="285">
        <v>2000</v>
      </c>
      <c r="F335" s="283">
        <v>2.52</v>
      </c>
      <c r="G335" s="284">
        <f t="shared" si="45"/>
        <v>3.13</v>
      </c>
      <c r="H335" s="284">
        <f t="shared" si="46"/>
        <v>6260</v>
      </c>
      <c r="I335" s="312"/>
      <c r="J335" s="24"/>
      <c r="K335" s="197"/>
      <c r="L335" s="7"/>
      <c r="M335" s="35"/>
      <c r="N335" s="61"/>
      <c r="O335" s="35"/>
      <c r="P335" s="40"/>
      <c r="Q335" s="37"/>
      <c r="R335" s="4"/>
      <c r="S335" s="493">
        <v>2000</v>
      </c>
      <c r="T335" s="493">
        <v>2.52</v>
      </c>
      <c r="U335" s="493">
        <v>3.17</v>
      </c>
      <c r="V335" s="493">
        <v>6340</v>
      </c>
    </row>
    <row r="336" spans="1:22" s="52" customFormat="1" outlineLevel="1" x14ac:dyDescent="0.25">
      <c r="A336" s="282" t="s">
        <v>257</v>
      </c>
      <c r="B336" s="280">
        <v>98302</v>
      </c>
      <c r="C336" s="289" t="s">
        <v>174</v>
      </c>
      <c r="D336" s="282" t="s">
        <v>44</v>
      </c>
      <c r="E336" s="285">
        <v>4</v>
      </c>
      <c r="F336" s="283">
        <v>497.66</v>
      </c>
      <c r="G336" s="284">
        <f t="shared" si="45"/>
        <v>619.03</v>
      </c>
      <c r="H336" s="284">
        <f t="shared" si="46"/>
        <v>2476.12</v>
      </c>
      <c r="I336" s="312"/>
      <c r="J336" s="24"/>
      <c r="K336" s="197"/>
      <c r="L336" s="7"/>
      <c r="M336" s="35"/>
      <c r="N336" s="61"/>
      <c r="O336" s="35"/>
      <c r="P336" s="40"/>
      <c r="Q336" s="37"/>
      <c r="R336" s="4"/>
      <c r="S336" s="493">
        <v>4</v>
      </c>
      <c r="T336" s="493">
        <v>497.66</v>
      </c>
      <c r="U336" s="493">
        <v>627.04999999999995</v>
      </c>
      <c r="V336" s="493">
        <v>2508.1999999999998</v>
      </c>
    </row>
    <row r="337" spans="1:22" s="52" customFormat="1" outlineLevel="1" x14ac:dyDescent="0.25">
      <c r="A337" s="282" t="s">
        <v>258</v>
      </c>
      <c r="B337" s="280">
        <v>98593</v>
      </c>
      <c r="C337" s="293" t="s">
        <v>176</v>
      </c>
      <c r="D337" s="282" t="s">
        <v>44</v>
      </c>
      <c r="E337" s="285">
        <v>2</v>
      </c>
      <c r="F337" s="283">
        <v>650.59</v>
      </c>
      <c r="G337" s="284">
        <f t="shared" si="45"/>
        <v>809.26</v>
      </c>
      <c r="H337" s="284">
        <f t="shared" si="46"/>
        <v>1618.52</v>
      </c>
      <c r="I337" s="312"/>
      <c r="J337" s="24"/>
      <c r="K337" s="197"/>
      <c r="L337" s="7"/>
      <c r="M337" s="35"/>
      <c r="N337" s="61"/>
      <c r="O337" s="35"/>
      <c r="P337" s="40"/>
      <c r="Q337" s="37"/>
      <c r="R337" s="4"/>
      <c r="S337" s="493">
        <v>2</v>
      </c>
      <c r="T337" s="493">
        <v>650.59</v>
      </c>
      <c r="U337" s="493">
        <v>819.74</v>
      </c>
      <c r="V337" s="493">
        <v>1639.48</v>
      </c>
    </row>
    <row r="338" spans="1:22" s="52" customFormat="1" ht="31.2" outlineLevel="1" x14ac:dyDescent="0.25">
      <c r="A338" s="282" t="s">
        <v>259</v>
      </c>
      <c r="B338" s="280" t="s">
        <v>178</v>
      </c>
      <c r="C338" s="289" t="s">
        <v>179</v>
      </c>
      <c r="D338" s="282" t="s">
        <v>44</v>
      </c>
      <c r="E338" s="285">
        <v>1</v>
      </c>
      <c r="F338" s="283">
        <f>'COMPOSIÇÃO SINAPI W MENDES'!G4515</f>
        <v>1488.24</v>
      </c>
      <c r="G338" s="284">
        <f t="shared" si="45"/>
        <v>1851.22</v>
      </c>
      <c r="H338" s="284">
        <f t="shared" si="46"/>
        <v>1851.22</v>
      </c>
      <c r="I338" s="312"/>
      <c r="J338" s="24"/>
      <c r="K338" s="197"/>
      <c r="L338" s="7"/>
      <c r="M338" s="35"/>
      <c r="N338" s="61"/>
      <c r="O338" s="35"/>
      <c r="P338" s="40"/>
      <c r="Q338" s="37"/>
      <c r="R338" s="4"/>
      <c r="S338" s="493">
        <v>1</v>
      </c>
      <c r="T338" s="493">
        <v>1489.4</v>
      </c>
      <c r="U338" s="493">
        <v>1876.64</v>
      </c>
      <c r="V338" s="493">
        <v>1876.64</v>
      </c>
    </row>
    <row r="339" spans="1:22" s="52" customFormat="1" outlineLevel="1" x14ac:dyDescent="0.25">
      <c r="A339" s="282" t="s">
        <v>260</v>
      </c>
      <c r="B339" s="280">
        <v>98307</v>
      </c>
      <c r="C339" s="281" t="s">
        <v>182</v>
      </c>
      <c r="D339" s="282" t="s">
        <v>44</v>
      </c>
      <c r="E339" s="285">
        <v>60</v>
      </c>
      <c r="F339" s="283">
        <v>27.38</v>
      </c>
      <c r="G339" s="284">
        <f t="shared" si="45"/>
        <v>34.049999999999997</v>
      </c>
      <c r="H339" s="284">
        <f t="shared" si="46"/>
        <v>2043</v>
      </c>
      <c r="I339" s="312"/>
      <c r="J339" s="24"/>
      <c r="K339" s="197"/>
      <c r="L339" s="7"/>
      <c r="M339" s="35"/>
      <c r="N339" s="61"/>
      <c r="O339" s="35"/>
      <c r="P339" s="40"/>
      <c r="Q339" s="37"/>
      <c r="R339" s="4"/>
      <c r="S339" s="493">
        <v>60</v>
      </c>
      <c r="T339" s="493">
        <v>27.38</v>
      </c>
      <c r="U339" s="493">
        <v>34.49</v>
      </c>
      <c r="V339" s="493">
        <v>2069.4</v>
      </c>
    </row>
    <row r="340" spans="1:22" s="52" customFormat="1" outlineLevel="1" x14ac:dyDescent="0.25">
      <c r="A340" s="282" t="s">
        <v>261</v>
      </c>
      <c r="B340" s="280">
        <v>98308</v>
      </c>
      <c r="C340" s="281" t="s">
        <v>180</v>
      </c>
      <c r="D340" s="282" t="s">
        <v>44</v>
      </c>
      <c r="E340" s="285">
        <v>6</v>
      </c>
      <c r="F340" s="283">
        <v>18.43</v>
      </c>
      <c r="G340" s="284">
        <f t="shared" si="45"/>
        <v>22.92</v>
      </c>
      <c r="H340" s="284">
        <f t="shared" si="46"/>
        <v>137.52000000000001</v>
      </c>
      <c r="I340" s="312"/>
      <c r="J340" s="24"/>
      <c r="K340" s="197"/>
      <c r="L340" s="7"/>
      <c r="M340" s="35"/>
      <c r="N340" s="61"/>
      <c r="O340" s="35"/>
      <c r="P340" s="40"/>
      <c r="Q340" s="37"/>
      <c r="R340" s="4"/>
      <c r="S340" s="493">
        <v>6</v>
      </c>
      <c r="T340" s="493">
        <v>18.43</v>
      </c>
      <c r="U340" s="493">
        <v>23.22</v>
      </c>
      <c r="V340" s="493">
        <v>139.32</v>
      </c>
    </row>
    <row r="341" spans="1:22" s="52" customFormat="1" ht="31.2" outlineLevel="1" x14ac:dyDescent="0.25">
      <c r="A341" s="282" t="s">
        <v>262</v>
      </c>
      <c r="B341" s="280">
        <v>100560</v>
      </c>
      <c r="C341" s="281" t="s">
        <v>184</v>
      </c>
      <c r="D341" s="282" t="s">
        <v>44</v>
      </c>
      <c r="E341" s="285">
        <v>1</v>
      </c>
      <c r="F341" s="283">
        <v>80.44</v>
      </c>
      <c r="G341" s="284">
        <f t="shared" si="45"/>
        <v>100.05</v>
      </c>
      <c r="H341" s="284">
        <f t="shared" si="46"/>
        <v>100.05</v>
      </c>
      <c r="I341" s="312"/>
      <c r="J341" s="24"/>
      <c r="K341" s="197"/>
      <c r="L341" s="7"/>
      <c r="M341" s="35"/>
      <c r="N341" s="61"/>
      <c r="O341" s="35"/>
      <c r="P341" s="40"/>
      <c r="Q341" s="37"/>
      <c r="R341" s="4"/>
      <c r="S341" s="493">
        <v>1</v>
      </c>
      <c r="T341" s="493">
        <v>80.44</v>
      </c>
      <c r="U341" s="493">
        <v>101.35</v>
      </c>
      <c r="V341" s="493">
        <v>101.35</v>
      </c>
    </row>
    <row r="342" spans="1:22" s="52" customFormat="1" outlineLevel="1" x14ac:dyDescent="0.25">
      <c r="A342" s="279" t="s">
        <v>715</v>
      </c>
      <c r="B342" s="279"/>
      <c r="C342" s="294" t="s">
        <v>187</v>
      </c>
      <c r="D342" s="558"/>
      <c r="E342" s="296"/>
      <c r="F342" s="403"/>
      <c r="G342" s="296" t="s">
        <v>38</v>
      </c>
      <c r="H342" s="558"/>
      <c r="I342" s="559">
        <f>SUM(H343:H367)</f>
        <v>11582.679999999998</v>
      </c>
      <c r="J342" s="24"/>
      <c r="K342" s="197"/>
      <c r="L342" s="317">
        <f>SUM(H343:H367)</f>
        <v>11582.679999999998</v>
      </c>
      <c r="M342" s="35">
        <f>I342-L342</f>
        <v>0</v>
      </c>
      <c r="N342" s="61"/>
      <c r="O342" s="35"/>
      <c r="P342" s="40"/>
      <c r="Q342" s="37"/>
      <c r="R342" s="4"/>
    </row>
    <row r="343" spans="1:22" s="52" customFormat="1" outlineLevel="1" x14ac:dyDescent="0.25">
      <c r="A343" s="279" t="s">
        <v>213</v>
      </c>
      <c r="B343" s="280"/>
      <c r="C343" s="294" t="s">
        <v>189</v>
      </c>
      <c r="D343" s="282"/>
      <c r="E343" s="288"/>
      <c r="F343" s="297"/>
      <c r="G343" s="288"/>
      <c r="H343" s="298"/>
      <c r="I343" s="312"/>
      <c r="J343" s="24"/>
      <c r="K343" s="197"/>
      <c r="L343" s="7"/>
      <c r="M343" s="35"/>
      <c r="N343" s="61"/>
      <c r="O343" s="35"/>
      <c r="P343" s="40"/>
      <c r="Q343" s="37"/>
      <c r="R343" s="4"/>
    </row>
    <row r="344" spans="1:22" s="52" customFormat="1" outlineLevel="1" x14ac:dyDescent="0.25">
      <c r="A344" s="282" t="s">
        <v>263</v>
      </c>
      <c r="B344" s="280">
        <v>90443</v>
      </c>
      <c r="C344" s="281" t="s">
        <v>190</v>
      </c>
      <c r="D344" s="282" t="s">
        <v>55</v>
      </c>
      <c r="E344" s="285">
        <f>J344</f>
        <v>12</v>
      </c>
      <c r="F344" s="283">
        <v>8.9499999999999993</v>
      </c>
      <c r="G344" s="284">
        <f t="shared" ref="G344:G350" si="47">TRUNC(F344*$J$13,2)</f>
        <v>11.13</v>
      </c>
      <c r="H344" s="284">
        <f t="shared" ref="H344:H350" si="48">TRUNC(E344*G344,2)</f>
        <v>133.56</v>
      </c>
      <c r="I344" s="312"/>
      <c r="J344" s="24">
        <f>12</f>
        <v>12</v>
      </c>
      <c r="K344" s="197"/>
      <c r="L344" s="7"/>
      <c r="M344" s="35"/>
      <c r="N344" s="61"/>
      <c r="O344" s="35"/>
      <c r="P344" s="40"/>
      <c r="Q344" s="37"/>
      <c r="R344" s="4"/>
      <c r="S344" s="236">
        <v>12</v>
      </c>
      <c r="T344" s="236">
        <v>8.9499999999999993</v>
      </c>
      <c r="U344" s="236">
        <v>11.27</v>
      </c>
      <c r="V344" s="236">
        <v>135.24</v>
      </c>
    </row>
    <row r="345" spans="1:22" s="52" customFormat="1" outlineLevel="1" x14ac:dyDescent="0.25">
      <c r="A345" s="282" t="s">
        <v>264</v>
      </c>
      <c r="B345" s="280">
        <v>86889</v>
      </c>
      <c r="C345" s="281" t="s">
        <v>268</v>
      </c>
      <c r="D345" s="282" t="s">
        <v>185</v>
      </c>
      <c r="E345" s="285">
        <f>J345</f>
        <v>3</v>
      </c>
      <c r="F345" s="283">
        <v>574.45000000000005</v>
      </c>
      <c r="G345" s="284">
        <f t="shared" si="47"/>
        <v>714.55</v>
      </c>
      <c r="H345" s="284">
        <f t="shared" si="48"/>
        <v>2143.65</v>
      </c>
      <c r="I345" s="312"/>
      <c r="J345" s="24">
        <v>3</v>
      </c>
      <c r="K345" s="197"/>
      <c r="L345" s="7"/>
      <c r="M345" s="35"/>
      <c r="N345" s="61"/>
      <c r="O345" s="35"/>
      <c r="P345" s="40"/>
      <c r="Q345" s="37"/>
      <c r="R345" s="4"/>
      <c r="S345" s="236">
        <v>3</v>
      </c>
      <c r="T345" s="236">
        <v>574.45000000000005</v>
      </c>
      <c r="U345" s="236">
        <v>723.8</v>
      </c>
      <c r="V345" s="236">
        <v>2171.4</v>
      </c>
    </row>
    <row r="346" spans="1:22" s="52" customFormat="1" outlineLevel="1" x14ac:dyDescent="0.25">
      <c r="A346" s="282" t="s">
        <v>265</v>
      </c>
      <c r="B346" s="280">
        <v>86901</v>
      </c>
      <c r="C346" s="281" t="s">
        <v>192</v>
      </c>
      <c r="D346" s="282" t="s">
        <v>44</v>
      </c>
      <c r="E346" s="285">
        <v>5</v>
      </c>
      <c r="F346" s="283">
        <v>108.45</v>
      </c>
      <c r="G346" s="284">
        <f t="shared" si="47"/>
        <v>134.9</v>
      </c>
      <c r="H346" s="284">
        <f t="shared" si="48"/>
        <v>674.5</v>
      </c>
      <c r="I346" s="312"/>
      <c r="J346" s="24">
        <f>4</f>
        <v>4</v>
      </c>
      <c r="K346" s="197"/>
      <c r="L346" s="7"/>
      <c r="M346" s="35"/>
      <c r="N346" s="61"/>
      <c r="O346" s="35"/>
      <c r="P346" s="40"/>
      <c r="Q346" s="37"/>
      <c r="R346" s="4"/>
      <c r="S346" s="236">
        <v>5</v>
      </c>
      <c r="T346" s="236">
        <v>108.45</v>
      </c>
      <c r="U346" s="236">
        <v>136.63999999999999</v>
      </c>
      <c r="V346" s="236">
        <v>683.2</v>
      </c>
    </row>
    <row r="347" spans="1:22" s="52" customFormat="1" outlineLevel="1" x14ac:dyDescent="0.25">
      <c r="A347" s="282" t="s">
        <v>267</v>
      </c>
      <c r="B347" s="280">
        <v>86900</v>
      </c>
      <c r="C347" s="281" t="s">
        <v>312</v>
      </c>
      <c r="D347" s="282" t="s">
        <v>44</v>
      </c>
      <c r="E347" s="285">
        <f>J347</f>
        <v>2</v>
      </c>
      <c r="F347" s="283">
        <v>154.51</v>
      </c>
      <c r="G347" s="284">
        <f t="shared" si="47"/>
        <v>192.19</v>
      </c>
      <c r="H347" s="284">
        <f t="shared" si="48"/>
        <v>384.38</v>
      </c>
      <c r="I347" s="312"/>
      <c r="J347" s="24">
        <v>2</v>
      </c>
      <c r="K347" s="197"/>
      <c r="L347" s="7"/>
      <c r="M347" s="35"/>
      <c r="N347" s="61"/>
      <c r="O347" s="35"/>
      <c r="P347" s="40"/>
      <c r="Q347" s="37"/>
      <c r="R347" s="4"/>
      <c r="S347" s="236">
        <v>2</v>
      </c>
      <c r="T347" s="236">
        <v>154.51</v>
      </c>
      <c r="U347" s="236">
        <v>194.68</v>
      </c>
      <c r="V347" s="236">
        <v>389.36</v>
      </c>
    </row>
    <row r="348" spans="1:22" s="52" customFormat="1" outlineLevel="1" x14ac:dyDescent="0.25">
      <c r="A348" s="282" t="s">
        <v>269</v>
      </c>
      <c r="B348" s="280">
        <v>86915</v>
      </c>
      <c r="C348" s="281" t="s">
        <v>193</v>
      </c>
      <c r="D348" s="282" t="s">
        <v>44</v>
      </c>
      <c r="E348" s="285">
        <f>J348</f>
        <v>4</v>
      </c>
      <c r="F348" s="283">
        <v>84.78</v>
      </c>
      <c r="G348" s="284">
        <f t="shared" si="47"/>
        <v>105.45</v>
      </c>
      <c r="H348" s="284">
        <f t="shared" si="48"/>
        <v>421.8</v>
      </c>
      <c r="I348" s="312"/>
      <c r="J348" s="24">
        <f>4</f>
        <v>4</v>
      </c>
      <c r="K348" s="197"/>
      <c r="L348" s="7"/>
      <c r="M348" s="35"/>
      <c r="N348" s="61"/>
      <c r="O348" s="35"/>
      <c r="P348" s="40"/>
      <c r="Q348" s="37"/>
      <c r="R348" s="4"/>
      <c r="S348" s="236">
        <v>4</v>
      </c>
      <c r="T348" s="236">
        <v>84.78</v>
      </c>
      <c r="U348" s="236">
        <v>106.82</v>
      </c>
      <c r="V348" s="236">
        <v>427.28</v>
      </c>
    </row>
    <row r="349" spans="1:22" s="52" customFormat="1" ht="31.2" outlineLevel="1" x14ac:dyDescent="0.25">
      <c r="A349" s="282" t="s">
        <v>270</v>
      </c>
      <c r="B349" s="280">
        <v>86909</v>
      </c>
      <c r="C349" s="281" t="s">
        <v>313</v>
      </c>
      <c r="D349" s="282" t="s">
        <v>44</v>
      </c>
      <c r="E349" s="285">
        <f>J349</f>
        <v>2</v>
      </c>
      <c r="F349" s="283">
        <v>100.57</v>
      </c>
      <c r="G349" s="284">
        <f t="shared" si="47"/>
        <v>125.09</v>
      </c>
      <c r="H349" s="284">
        <f t="shared" si="48"/>
        <v>250.18</v>
      </c>
      <c r="I349" s="312"/>
      <c r="J349" s="24">
        <v>2</v>
      </c>
      <c r="K349" s="197"/>
      <c r="L349" s="7"/>
      <c r="M349" s="35"/>
      <c r="N349" s="61"/>
      <c r="O349" s="35"/>
      <c r="P349" s="40"/>
      <c r="Q349" s="37"/>
      <c r="R349" s="4"/>
      <c r="S349" s="236">
        <v>2</v>
      </c>
      <c r="T349" s="236">
        <v>100.57</v>
      </c>
      <c r="U349" s="236">
        <v>126.71</v>
      </c>
      <c r="V349" s="236">
        <v>253.42</v>
      </c>
    </row>
    <row r="350" spans="1:22" s="52" customFormat="1" outlineLevel="1" x14ac:dyDescent="0.25">
      <c r="A350" s="282" t="s">
        <v>271</v>
      </c>
      <c r="B350" s="280">
        <v>99635</v>
      </c>
      <c r="C350" s="281" t="s">
        <v>194</v>
      </c>
      <c r="D350" s="282" t="s">
        <v>44</v>
      </c>
      <c r="E350" s="285">
        <f>J350</f>
        <v>4</v>
      </c>
      <c r="F350" s="283">
        <v>184.35</v>
      </c>
      <c r="G350" s="284">
        <f t="shared" si="47"/>
        <v>229.31</v>
      </c>
      <c r="H350" s="284">
        <f t="shared" si="48"/>
        <v>917.24</v>
      </c>
      <c r="I350" s="312"/>
      <c r="J350" s="24">
        <v>4</v>
      </c>
      <c r="K350" s="197"/>
      <c r="L350" s="7"/>
      <c r="M350" s="35"/>
      <c r="N350" s="61"/>
      <c r="O350" s="35"/>
      <c r="P350" s="40"/>
      <c r="Q350" s="37"/>
      <c r="R350" s="4"/>
      <c r="S350" s="236">
        <v>4</v>
      </c>
      <c r="T350" s="236">
        <v>184.35</v>
      </c>
      <c r="U350" s="236">
        <v>232.28</v>
      </c>
      <c r="V350" s="236">
        <v>929.12</v>
      </c>
    </row>
    <row r="351" spans="1:22" s="52" customFormat="1" outlineLevel="1" x14ac:dyDescent="0.25">
      <c r="A351" s="279" t="s">
        <v>278</v>
      </c>
      <c r="B351" s="280"/>
      <c r="C351" s="294" t="s">
        <v>201</v>
      </c>
      <c r="D351" s="282"/>
      <c r="E351" s="285"/>
      <c r="F351" s="283"/>
      <c r="G351" s="284"/>
      <c r="H351" s="284"/>
      <c r="I351" s="312"/>
      <c r="J351" s="24"/>
      <c r="K351" s="197"/>
      <c r="L351" s="7"/>
      <c r="M351" s="35"/>
      <c r="N351" s="61"/>
      <c r="O351" s="35"/>
      <c r="P351" s="40"/>
      <c r="Q351" s="37"/>
      <c r="R351" s="4"/>
      <c r="S351" s="236"/>
      <c r="T351" s="236"/>
      <c r="U351" s="236"/>
      <c r="V351" s="236"/>
    </row>
    <row r="352" spans="1:22" s="52" customFormat="1" ht="31.2" outlineLevel="1" x14ac:dyDescent="0.25">
      <c r="A352" s="282" t="s">
        <v>279</v>
      </c>
      <c r="B352" s="280">
        <v>95472</v>
      </c>
      <c r="C352" s="281" t="s">
        <v>280</v>
      </c>
      <c r="D352" s="282" t="s">
        <v>44</v>
      </c>
      <c r="E352" s="285">
        <f>J352</f>
        <v>2</v>
      </c>
      <c r="F352" s="283">
        <v>611.63</v>
      </c>
      <c r="G352" s="284">
        <f t="shared" ref="G352:G367" si="49">TRUNC(F352*$J$13,2)</f>
        <v>760.8</v>
      </c>
      <c r="H352" s="284">
        <f>TRUNC(E352*G352,2)</f>
        <v>1521.6</v>
      </c>
      <c r="I352" s="312"/>
      <c r="J352" s="24">
        <v>2</v>
      </c>
      <c r="K352" s="197"/>
      <c r="L352" s="7"/>
      <c r="M352" s="35"/>
      <c r="N352" s="61"/>
      <c r="O352" s="35"/>
      <c r="P352" s="40"/>
      <c r="Q352" s="37"/>
      <c r="R352" s="4"/>
      <c r="S352" s="236">
        <v>2</v>
      </c>
      <c r="T352" s="236">
        <v>611.63</v>
      </c>
      <c r="U352" s="236">
        <v>770.65</v>
      </c>
      <c r="V352" s="236">
        <v>1541.3</v>
      </c>
    </row>
    <row r="353" spans="1:22" s="52" customFormat="1" ht="31.2" outlineLevel="1" x14ac:dyDescent="0.25">
      <c r="A353" s="282" t="s">
        <v>281</v>
      </c>
      <c r="B353" s="280">
        <v>95470</v>
      </c>
      <c r="C353" s="281" t="s">
        <v>205</v>
      </c>
      <c r="D353" s="282" t="s">
        <v>44</v>
      </c>
      <c r="E353" s="285">
        <f>J353</f>
        <v>2</v>
      </c>
      <c r="F353" s="283">
        <v>169.53</v>
      </c>
      <c r="G353" s="284">
        <f t="shared" si="49"/>
        <v>210.87</v>
      </c>
      <c r="H353" s="284">
        <f>TRUNC(E353*G353,2)</f>
        <v>421.74</v>
      </c>
      <c r="I353" s="312"/>
      <c r="J353" s="24">
        <v>2</v>
      </c>
      <c r="K353" s="197"/>
      <c r="L353" s="7"/>
      <c r="M353" s="35"/>
      <c r="N353" s="61"/>
      <c r="O353" s="35"/>
      <c r="P353" s="40"/>
      <c r="Q353" s="37"/>
      <c r="R353" s="4"/>
      <c r="S353" s="236">
        <v>2</v>
      </c>
      <c r="T353" s="236">
        <v>169.53</v>
      </c>
      <c r="U353" s="236">
        <v>213.6</v>
      </c>
      <c r="V353" s="236">
        <v>427.2</v>
      </c>
    </row>
    <row r="354" spans="1:22" s="52" customFormat="1" outlineLevel="1" x14ac:dyDescent="0.25">
      <c r="A354" s="282" t="s">
        <v>282</v>
      </c>
      <c r="B354" s="280" t="s">
        <v>283</v>
      </c>
      <c r="C354" s="281" t="s">
        <v>284</v>
      </c>
      <c r="D354" s="282" t="s">
        <v>44</v>
      </c>
      <c r="E354" s="285">
        <v>1</v>
      </c>
      <c r="F354" s="283">
        <f>'COMPOSIÇÃO SINAPI W MENDES'!G1580</f>
        <v>690.14</v>
      </c>
      <c r="G354" s="284">
        <f>TRUNC(F354*$J$13,2)</f>
        <v>858.46</v>
      </c>
      <c r="H354" s="284">
        <f>TRUNC(E354*G354,2)</f>
        <v>858.46</v>
      </c>
      <c r="I354" s="312"/>
      <c r="J354" s="24"/>
      <c r="K354" s="207">
        <v>76</v>
      </c>
      <c r="L354" s="7"/>
      <c r="M354" s="35"/>
      <c r="N354" s="61"/>
      <c r="O354" s="35"/>
      <c r="P354" s="40"/>
      <c r="Q354" s="37"/>
      <c r="R354" s="4"/>
      <c r="S354" s="236">
        <v>1</v>
      </c>
      <c r="T354" s="236">
        <v>690.19</v>
      </c>
      <c r="U354" s="236">
        <v>869.63</v>
      </c>
      <c r="V354" s="236">
        <v>869.63</v>
      </c>
    </row>
    <row r="355" spans="1:22" s="52" customFormat="1" outlineLevel="1" x14ac:dyDescent="0.25">
      <c r="A355" s="282" t="s">
        <v>285</v>
      </c>
      <c r="B355" s="280">
        <v>86881</v>
      </c>
      <c r="C355" s="281" t="s">
        <v>286</v>
      </c>
      <c r="D355" s="282" t="s">
        <v>44</v>
      </c>
      <c r="E355" s="285">
        <f t="shared" ref="E355:E367" si="50">J355</f>
        <v>6</v>
      </c>
      <c r="F355" s="283">
        <v>155.91999999999999</v>
      </c>
      <c r="G355" s="284">
        <f t="shared" si="49"/>
        <v>193.94</v>
      </c>
      <c r="H355" s="284">
        <f t="shared" ref="H355:H366" si="51">TRUNC(E355*G355,2)</f>
        <v>1163.6400000000001</v>
      </c>
      <c r="I355" s="312"/>
      <c r="J355" s="24">
        <f>6</f>
        <v>6</v>
      </c>
      <c r="K355" s="197"/>
      <c r="L355" s="7"/>
      <c r="M355" s="35"/>
      <c r="N355" s="61"/>
      <c r="O355" s="35"/>
      <c r="P355" s="40"/>
      <c r="Q355" s="37"/>
      <c r="R355" s="4"/>
      <c r="S355" s="236">
        <v>6</v>
      </c>
      <c r="T355" s="236">
        <v>155.91999999999999</v>
      </c>
      <c r="U355" s="236">
        <v>196.45</v>
      </c>
      <c r="V355" s="236">
        <v>1178.7</v>
      </c>
    </row>
    <row r="356" spans="1:22" s="52" customFormat="1" ht="31.2" outlineLevel="1" x14ac:dyDescent="0.25">
      <c r="A356" s="282" t="s">
        <v>287</v>
      </c>
      <c r="B356" s="280">
        <v>86877</v>
      </c>
      <c r="C356" s="281" t="s">
        <v>288</v>
      </c>
      <c r="D356" s="282" t="s">
        <v>44</v>
      </c>
      <c r="E356" s="285">
        <f t="shared" si="50"/>
        <v>4</v>
      </c>
      <c r="F356" s="283">
        <v>25.76</v>
      </c>
      <c r="G356" s="284">
        <f t="shared" si="49"/>
        <v>32.04</v>
      </c>
      <c r="H356" s="284">
        <f t="shared" si="51"/>
        <v>128.16</v>
      </c>
      <c r="I356" s="312"/>
      <c r="J356" s="24">
        <v>4</v>
      </c>
      <c r="K356" s="197"/>
      <c r="L356" s="7"/>
      <c r="M356" s="35"/>
      <c r="N356" s="61"/>
      <c r="O356" s="35"/>
      <c r="P356" s="40"/>
      <c r="Q356" s="37"/>
      <c r="R356" s="4"/>
      <c r="S356" s="236">
        <v>4</v>
      </c>
      <c r="T356" s="236">
        <v>25.76</v>
      </c>
      <c r="U356" s="236">
        <v>32.450000000000003</v>
      </c>
      <c r="V356" s="236">
        <v>129.80000000000001</v>
      </c>
    </row>
    <row r="357" spans="1:22" s="52" customFormat="1" outlineLevel="1" x14ac:dyDescent="0.25">
      <c r="A357" s="282" t="s">
        <v>289</v>
      </c>
      <c r="B357" s="280">
        <v>86878</v>
      </c>
      <c r="C357" s="281" t="s">
        <v>314</v>
      </c>
      <c r="D357" s="282" t="s">
        <v>44</v>
      </c>
      <c r="E357" s="285">
        <f t="shared" si="50"/>
        <v>2</v>
      </c>
      <c r="F357" s="283">
        <v>55.19</v>
      </c>
      <c r="G357" s="284">
        <f t="shared" si="49"/>
        <v>68.650000000000006</v>
      </c>
      <c r="H357" s="284">
        <f t="shared" si="51"/>
        <v>137.30000000000001</v>
      </c>
      <c r="I357" s="312"/>
      <c r="J357" s="24">
        <v>2</v>
      </c>
      <c r="K357" s="197"/>
      <c r="L357" s="7"/>
      <c r="M357" s="35"/>
      <c r="N357" s="61"/>
      <c r="O357" s="35"/>
      <c r="P357" s="40"/>
      <c r="Q357" s="37"/>
      <c r="R357" s="4"/>
      <c r="S357" s="236">
        <v>2</v>
      </c>
      <c r="T357" s="236">
        <v>55.19</v>
      </c>
      <c r="U357" s="236">
        <v>69.53</v>
      </c>
      <c r="V357" s="236">
        <v>139.06</v>
      </c>
    </row>
    <row r="358" spans="1:22" s="52" customFormat="1" ht="31.2" outlineLevel="1" x14ac:dyDescent="0.25">
      <c r="A358" s="282" t="s">
        <v>291</v>
      </c>
      <c r="B358" s="280">
        <v>89707</v>
      </c>
      <c r="C358" s="281" t="s">
        <v>292</v>
      </c>
      <c r="D358" s="282" t="s">
        <v>44</v>
      </c>
      <c r="E358" s="285">
        <f t="shared" si="50"/>
        <v>2</v>
      </c>
      <c r="F358" s="283">
        <v>25.09</v>
      </c>
      <c r="G358" s="284">
        <f t="shared" si="49"/>
        <v>31.2</v>
      </c>
      <c r="H358" s="284">
        <f t="shared" si="51"/>
        <v>62.4</v>
      </c>
      <c r="I358" s="312"/>
      <c r="J358" s="24">
        <v>2</v>
      </c>
      <c r="K358" s="197"/>
      <c r="L358" s="7"/>
      <c r="M358" s="35"/>
      <c r="N358" s="61"/>
      <c r="O358" s="35"/>
      <c r="P358" s="40"/>
      <c r="Q358" s="37"/>
      <c r="R358" s="4"/>
      <c r="S358" s="236">
        <v>2</v>
      </c>
      <c r="T358" s="236">
        <v>25.09</v>
      </c>
      <c r="U358" s="236">
        <v>31.61</v>
      </c>
      <c r="V358" s="236">
        <v>63.22</v>
      </c>
    </row>
    <row r="359" spans="1:22" s="52" customFormat="1" outlineLevel="1" x14ac:dyDescent="0.25">
      <c r="A359" s="282" t="s">
        <v>293</v>
      </c>
      <c r="B359" s="280">
        <v>95544</v>
      </c>
      <c r="C359" s="281" t="s">
        <v>202</v>
      </c>
      <c r="D359" s="282" t="s">
        <v>44</v>
      </c>
      <c r="E359" s="285">
        <f t="shared" si="50"/>
        <v>4</v>
      </c>
      <c r="F359" s="283">
        <v>30.21</v>
      </c>
      <c r="G359" s="284">
        <f t="shared" si="49"/>
        <v>37.57</v>
      </c>
      <c r="H359" s="284">
        <f t="shared" si="51"/>
        <v>150.28</v>
      </c>
      <c r="I359" s="312"/>
      <c r="J359" s="24">
        <v>4</v>
      </c>
      <c r="K359" s="197"/>
      <c r="L359" s="7"/>
      <c r="M359" s="35"/>
      <c r="N359" s="61"/>
      <c r="O359" s="35"/>
      <c r="P359" s="40"/>
      <c r="Q359" s="37"/>
      <c r="R359" s="4"/>
      <c r="S359" s="236">
        <v>4</v>
      </c>
      <c r="T359" s="236">
        <v>30.21</v>
      </c>
      <c r="U359" s="236">
        <v>38.06</v>
      </c>
      <c r="V359" s="236">
        <v>152.24</v>
      </c>
    </row>
    <row r="360" spans="1:22" s="52" customFormat="1" outlineLevel="1" x14ac:dyDescent="0.25">
      <c r="A360" s="282" t="s">
        <v>294</v>
      </c>
      <c r="B360" s="280">
        <v>95545</v>
      </c>
      <c r="C360" s="281" t="s">
        <v>203</v>
      </c>
      <c r="D360" s="282" t="s">
        <v>44</v>
      </c>
      <c r="E360" s="285">
        <f t="shared" si="50"/>
        <v>2</v>
      </c>
      <c r="F360" s="283">
        <v>29.63</v>
      </c>
      <c r="G360" s="284">
        <f t="shared" si="49"/>
        <v>36.85</v>
      </c>
      <c r="H360" s="284">
        <f t="shared" si="51"/>
        <v>73.7</v>
      </c>
      <c r="I360" s="312"/>
      <c r="J360" s="24">
        <v>2</v>
      </c>
      <c r="K360" s="197"/>
      <c r="L360" s="7"/>
      <c r="M360" s="35"/>
      <c r="N360" s="61"/>
      <c r="O360" s="35"/>
      <c r="P360" s="40"/>
      <c r="Q360" s="37"/>
      <c r="R360" s="4"/>
      <c r="S360" s="236">
        <v>2</v>
      </c>
      <c r="T360" s="236">
        <v>29.63</v>
      </c>
      <c r="U360" s="236">
        <v>37.33</v>
      </c>
      <c r="V360" s="236">
        <v>74.66</v>
      </c>
    </row>
    <row r="361" spans="1:22" s="52" customFormat="1" ht="31.2" outlineLevel="1" x14ac:dyDescent="0.25">
      <c r="A361" s="282" t="s">
        <v>295</v>
      </c>
      <c r="B361" s="280">
        <v>89714</v>
      </c>
      <c r="C361" s="281" t="s">
        <v>195</v>
      </c>
      <c r="D361" s="282" t="s">
        <v>55</v>
      </c>
      <c r="E361" s="285">
        <f t="shared" si="50"/>
        <v>12</v>
      </c>
      <c r="F361" s="283">
        <v>42.17</v>
      </c>
      <c r="G361" s="284">
        <f t="shared" si="49"/>
        <v>52.45</v>
      </c>
      <c r="H361" s="284">
        <f t="shared" si="51"/>
        <v>629.4</v>
      </c>
      <c r="I361" s="312"/>
      <c r="J361" s="24">
        <v>12</v>
      </c>
      <c r="K361" s="197"/>
      <c r="L361" s="7"/>
      <c r="M361" s="35"/>
      <c r="N361" s="61"/>
      <c r="O361" s="35"/>
      <c r="P361" s="40"/>
      <c r="Q361" s="37"/>
      <c r="R361" s="4"/>
      <c r="S361" s="236">
        <v>12</v>
      </c>
      <c r="T361" s="236">
        <v>42.17</v>
      </c>
      <c r="U361" s="236">
        <v>53.13</v>
      </c>
      <c r="V361" s="236">
        <v>637.55999999999995</v>
      </c>
    </row>
    <row r="362" spans="1:22" s="52" customFormat="1" ht="31.2" outlineLevel="1" x14ac:dyDescent="0.25">
      <c r="A362" s="282" t="s">
        <v>296</v>
      </c>
      <c r="B362" s="280">
        <v>89712</v>
      </c>
      <c r="C362" s="281" t="s">
        <v>196</v>
      </c>
      <c r="D362" s="282" t="s">
        <v>55</v>
      </c>
      <c r="E362" s="285">
        <f t="shared" si="50"/>
        <v>12</v>
      </c>
      <c r="F362" s="283">
        <v>21.1</v>
      </c>
      <c r="G362" s="284">
        <f>TRUNC(F362*$J$13,2)</f>
        <v>26.24</v>
      </c>
      <c r="H362" s="284">
        <f>TRUNC(E362*G362,2)</f>
        <v>314.88</v>
      </c>
      <c r="I362" s="312"/>
      <c r="J362" s="24">
        <v>12</v>
      </c>
      <c r="K362" s="197"/>
      <c r="L362" s="7"/>
      <c r="M362" s="35"/>
      <c r="N362" s="61"/>
      <c r="O362" s="35"/>
      <c r="P362" s="40"/>
      <c r="Q362" s="37"/>
      <c r="R362" s="4"/>
      <c r="S362" s="236">
        <v>12</v>
      </c>
      <c r="T362" s="236">
        <v>21.1</v>
      </c>
      <c r="U362" s="236">
        <v>26.58</v>
      </c>
      <c r="V362" s="236">
        <v>318.95999999999998</v>
      </c>
    </row>
    <row r="363" spans="1:22" s="52" customFormat="1" ht="31.2" outlineLevel="1" x14ac:dyDescent="0.25">
      <c r="A363" s="282" t="s">
        <v>706</v>
      </c>
      <c r="B363" s="280">
        <v>89567</v>
      </c>
      <c r="C363" s="281" t="s">
        <v>197</v>
      </c>
      <c r="D363" s="282" t="s">
        <v>44</v>
      </c>
      <c r="E363" s="285">
        <f t="shared" si="50"/>
        <v>2</v>
      </c>
      <c r="F363" s="283">
        <v>57.95</v>
      </c>
      <c r="G363" s="284">
        <f>TRUNC(F363*$J$13,2)</f>
        <v>72.08</v>
      </c>
      <c r="H363" s="284">
        <f>TRUNC(E363*G363,2)</f>
        <v>144.16</v>
      </c>
      <c r="I363" s="312"/>
      <c r="J363" s="24">
        <v>2</v>
      </c>
      <c r="K363" s="197"/>
      <c r="L363" s="7"/>
      <c r="M363" s="35"/>
      <c r="N363" s="61"/>
      <c r="O363" s="35"/>
      <c r="P363" s="40"/>
      <c r="Q363" s="37"/>
      <c r="R363" s="4"/>
      <c r="S363" s="236">
        <v>2</v>
      </c>
      <c r="T363" s="236">
        <v>57.95</v>
      </c>
      <c r="U363" s="236">
        <v>73.010000000000005</v>
      </c>
      <c r="V363" s="236">
        <v>146.02000000000001</v>
      </c>
    </row>
    <row r="364" spans="1:22" s="52" customFormat="1" outlineLevel="1" x14ac:dyDescent="0.25">
      <c r="A364" s="282" t="s">
        <v>297</v>
      </c>
      <c r="B364" s="280" t="s">
        <v>810</v>
      </c>
      <c r="C364" s="281" t="s">
        <v>808</v>
      </c>
      <c r="D364" s="295" t="s">
        <v>185</v>
      </c>
      <c r="E364" s="285">
        <v>2</v>
      </c>
      <c r="F364" s="283">
        <f>'COMPOSIÇÃO SINAPI W MENDES'!G2330</f>
        <v>234.28</v>
      </c>
      <c r="G364" s="284">
        <f>TRUNC(F364*$J$13,2)</f>
        <v>291.42</v>
      </c>
      <c r="H364" s="284">
        <f>TRUNC(E364*G364,2)</f>
        <v>582.84</v>
      </c>
      <c r="I364" s="312"/>
      <c r="J364" s="24"/>
      <c r="K364" s="197"/>
      <c r="L364" s="7"/>
      <c r="M364" s="35"/>
      <c r="N364" s="61"/>
      <c r="O364" s="35"/>
      <c r="P364" s="40"/>
      <c r="Q364" s="37"/>
      <c r="R364" s="4"/>
      <c r="S364" s="236">
        <v>2</v>
      </c>
      <c r="T364" s="236">
        <v>234.43</v>
      </c>
      <c r="U364" s="236">
        <v>295.38</v>
      </c>
      <c r="V364" s="236">
        <v>590.76</v>
      </c>
    </row>
    <row r="365" spans="1:22" s="52" customFormat="1" outlineLevel="1" x14ac:dyDescent="0.25">
      <c r="A365" s="282" t="s">
        <v>298</v>
      </c>
      <c r="B365" s="280" t="s">
        <v>811</v>
      </c>
      <c r="C365" s="281" t="s">
        <v>809</v>
      </c>
      <c r="D365" s="295" t="s">
        <v>185</v>
      </c>
      <c r="E365" s="285">
        <v>1</v>
      </c>
      <c r="F365" s="283">
        <v>198.74</v>
      </c>
      <c r="G365" s="284">
        <f>TRUNC(F365*$J$13,2)</f>
        <v>247.21</v>
      </c>
      <c r="H365" s="284">
        <f>TRUNC(E365*G365,2)</f>
        <v>247.21</v>
      </c>
      <c r="I365" s="312"/>
      <c r="J365" s="24"/>
      <c r="K365" s="197"/>
      <c r="L365" s="7"/>
      <c r="M365" s="35"/>
      <c r="N365" s="61"/>
      <c r="O365" s="35"/>
      <c r="P365" s="40"/>
      <c r="Q365" s="37"/>
      <c r="R365" s="4"/>
      <c r="S365" s="236">
        <v>1</v>
      </c>
      <c r="T365" s="236">
        <v>198.89</v>
      </c>
      <c r="U365" s="236">
        <v>250.6</v>
      </c>
      <c r="V365" s="236">
        <v>250.6</v>
      </c>
    </row>
    <row r="366" spans="1:22" s="52" customFormat="1" ht="31.2" outlineLevel="1" x14ac:dyDescent="0.25">
      <c r="A366" s="282" t="s">
        <v>818</v>
      </c>
      <c r="B366" s="280">
        <v>89731</v>
      </c>
      <c r="C366" s="281" t="s">
        <v>198</v>
      </c>
      <c r="D366" s="282" t="s">
        <v>44</v>
      </c>
      <c r="E366" s="285">
        <f t="shared" si="50"/>
        <v>12</v>
      </c>
      <c r="F366" s="283">
        <v>8.56</v>
      </c>
      <c r="G366" s="284">
        <f t="shared" si="49"/>
        <v>10.64</v>
      </c>
      <c r="H366" s="284">
        <f t="shared" si="51"/>
        <v>127.68</v>
      </c>
      <c r="I366" s="312"/>
      <c r="J366" s="24">
        <v>12</v>
      </c>
      <c r="K366" s="197"/>
      <c r="L366" s="7"/>
      <c r="M366" s="35"/>
      <c r="N366" s="61"/>
      <c r="O366" s="35"/>
      <c r="P366" s="40"/>
      <c r="Q366" s="37"/>
      <c r="R366" s="4"/>
      <c r="S366" s="236">
        <v>12</v>
      </c>
      <c r="T366" s="236">
        <v>18.88</v>
      </c>
      <c r="U366" s="236">
        <v>23.78</v>
      </c>
      <c r="V366" s="236">
        <v>285.36</v>
      </c>
    </row>
    <row r="367" spans="1:22" s="52" customFormat="1" ht="31.2" outlineLevel="1" x14ac:dyDescent="0.25">
      <c r="A367" s="282" t="s">
        <v>819</v>
      </c>
      <c r="B367" s="280">
        <v>89744</v>
      </c>
      <c r="C367" s="281" t="s">
        <v>199</v>
      </c>
      <c r="D367" s="282" t="s">
        <v>44</v>
      </c>
      <c r="E367" s="285">
        <f t="shared" si="50"/>
        <v>4</v>
      </c>
      <c r="F367" s="283">
        <v>18.88</v>
      </c>
      <c r="G367" s="284">
        <f t="shared" si="49"/>
        <v>23.48</v>
      </c>
      <c r="H367" s="284">
        <f>TRUNC(E367*G367,2)</f>
        <v>93.92</v>
      </c>
      <c r="I367" s="312"/>
      <c r="J367" s="24">
        <v>4</v>
      </c>
      <c r="K367" s="197"/>
      <c r="L367" s="7"/>
      <c r="M367" s="35"/>
      <c r="N367" s="61"/>
      <c r="O367" s="35"/>
      <c r="P367" s="40"/>
      <c r="Q367" s="37"/>
      <c r="R367" s="4"/>
      <c r="S367" s="236">
        <v>4</v>
      </c>
      <c r="T367" s="236">
        <v>18.88</v>
      </c>
      <c r="U367" s="236">
        <v>23.78</v>
      </c>
      <c r="V367" s="236">
        <v>95.12</v>
      </c>
    </row>
    <row r="368" spans="1:22" s="52" customFormat="1" outlineLevel="1" x14ac:dyDescent="0.25">
      <c r="A368" s="279" t="s">
        <v>299</v>
      </c>
      <c r="B368" s="279"/>
      <c r="C368" s="294" t="s">
        <v>207</v>
      </c>
      <c r="D368" s="558"/>
      <c r="E368" s="294"/>
      <c r="F368" s="403"/>
      <c r="G368" s="296" t="s">
        <v>38</v>
      </c>
      <c r="H368" s="294"/>
      <c r="I368" s="559">
        <f>SUM(H369:H370)</f>
        <v>3167</v>
      </c>
      <c r="J368" s="327">
        <f>SUM(H369:H370)</f>
        <v>3167</v>
      </c>
      <c r="K368" s="197"/>
      <c r="L368" s="317">
        <f>SUM(H369:H370)</f>
        <v>3167</v>
      </c>
      <c r="M368" s="35">
        <f>I368-L368</f>
        <v>0</v>
      </c>
      <c r="N368" s="61"/>
      <c r="O368" s="35"/>
      <c r="P368" s="40"/>
      <c r="Q368" s="37"/>
      <c r="R368" s="4"/>
    </row>
    <row r="369" spans="1:22" s="52" customFormat="1" outlineLevel="1" x14ac:dyDescent="0.25">
      <c r="A369" s="282" t="s">
        <v>300</v>
      </c>
      <c r="B369" s="280">
        <v>72178</v>
      </c>
      <c r="C369" s="281" t="s">
        <v>50</v>
      </c>
      <c r="D369" s="282" t="s">
        <v>24</v>
      </c>
      <c r="E369" s="285">
        <f>L369</f>
        <v>49.5</v>
      </c>
      <c r="F369" s="283">
        <v>22.6</v>
      </c>
      <c r="G369" s="284">
        <f>TRUNC(F369*$J$13,2)</f>
        <v>28.11</v>
      </c>
      <c r="H369" s="284">
        <f>TRUNC(E369*G369,2)</f>
        <v>1391.44</v>
      </c>
      <c r="I369" s="297"/>
      <c r="J369" s="16">
        <v>4666.3500000000004</v>
      </c>
      <c r="K369" s="240" t="s">
        <v>315</v>
      </c>
      <c r="L369" s="7">
        <f>15*3.3</f>
        <v>49.5</v>
      </c>
      <c r="M369" s="35"/>
      <c r="N369" s="61"/>
      <c r="O369" s="35"/>
      <c r="P369" s="40"/>
      <c r="Q369" s="37"/>
      <c r="R369" s="4"/>
      <c r="S369" s="236">
        <v>49.5</v>
      </c>
      <c r="T369" s="236">
        <v>22.6</v>
      </c>
      <c r="U369" s="236">
        <v>28.47</v>
      </c>
      <c r="V369" s="236">
        <v>1409.26</v>
      </c>
    </row>
    <row r="370" spans="1:22" s="52" customFormat="1" ht="31.2" outlineLevel="1" x14ac:dyDescent="0.25">
      <c r="A370" s="282" t="s">
        <v>301</v>
      </c>
      <c r="B370" s="280">
        <v>72181</v>
      </c>
      <c r="C370" s="291" t="s">
        <v>210</v>
      </c>
      <c r="D370" s="282" t="s">
        <v>24</v>
      </c>
      <c r="E370" s="285">
        <f>E369</f>
        <v>49.5</v>
      </c>
      <c r="F370" s="283">
        <v>28.84</v>
      </c>
      <c r="G370" s="284">
        <f>TRUNC(F370*$J$13,2)</f>
        <v>35.869999999999997</v>
      </c>
      <c r="H370" s="284">
        <f>TRUNC(E370*G370,2)</f>
        <v>1775.56</v>
      </c>
      <c r="I370" s="297"/>
      <c r="J370" s="24">
        <f>SUM(J368:J369)</f>
        <v>7833.35</v>
      </c>
      <c r="K370" s="197"/>
      <c r="L370" s="7"/>
      <c r="M370" s="35"/>
      <c r="N370" s="61"/>
      <c r="O370" s="35"/>
      <c r="P370" s="40"/>
      <c r="Q370" s="37"/>
      <c r="R370" s="4"/>
      <c r="S370" s="236">
        <v>49.5</v>
      </c>
      <c r="T370" s="236">
        <v>28.84</v>
      </c>
      <c r="U370" s="236">
        <v>36.33</v>
      </c>
      <c r="V370" s="236">
        <v>1798.33</v>
      </c>
    </row>
    <row r="371" spans="1:22" s="52" customFormat="1" outlineLevel="1" x14ac:dyDescent="0.25">
      <c r="A371" s="279" t="s">
        <v>387</v>
      </c>
      <c r="B371" s="296"/>
      <c r="C371" s="294" t="s">
        <v>212</v>
      </c>
      <c r="D371" s="558"/>
      <c r="E371" s="294"/>
      <c r="F371" s="403"/>
      <c r="G371" s="294"/>
      <c r="H371" s="558"/>
      <c r="I371" s="566">
        <f>SUM(H372:H372)</f>
        <v>3980.6</v>
      </c>
      <c r="J371" s="24"/>
      <c r="K371" s="197"/>
      <c r="L371" s="317">
        <f>SUM(H372)</f>
        <v>3980.6</v>
      </c>
      <c r="M371" s="35">
        <f>I371-L371</f>
        <v>0</v>
      </c>
      <c r="N371" s="61"/>
      <c r="O371" s="35"/>
      <c r="P371" s="40"/>
      <c r="Q371" s="37"/>
      <c r="R371" s="4"/>
    </row>
    <row r="372" spans="1:22" s="52" customFormat="1" outlineLevel="1" x14ac:dyDescent="0.25">
      <c r="A372" s="282" t="s">
        <v>388</v>
      </c>
      <c r="B372" s="280">
        <v>96114</v>
      </c>
      <c r="C372" s="289" t="s">
        <v>639</v>
      </c>
      <c r="D372" s="282" t="s">
        <v>24</v>
      </c>
      <c r="E372" s="285">
        <v>65</v>
      </c>
      <c r="F372" s="283">
        <f>'COMPOSIÇÃO SINAPI W MENDES'!G2378</f>
        <v>49.239999999999995</v>
      </c>
      <c r="G372" s="284">
        <f>TRUNC(F372*$J$13,2)</f>
        <v>61.24</v>
      </c>
      <c r="H372" s="284">
        <f>TRUNC(E372*G372,2)</f>
        <v>3980.6</v>
      </c>
      <c r="I372" s="297"/>
      <c r="J372" s="24"/>
      <c r="K372" s="197"/>
      <c r="L372" s="7"/>
      <c r="M372" s="35"/>
      <c r="N372" s="61"/>
      <c r="O372" s="35"/>
      <c r="P372" s="40"/>
      <c r="Q372" s="37"/>
      <c r="R372" s="4"/>
      <c r="S372" s="236">
        <v>65</v>
      </c>
      <c r="T372" s="236">
        <v>56.98</v>
      </c>
      <c r="U372" s="236">
        <v>71.790000000000006</v>
      </c>
      <c r="V372" s="236">
        <v>4666.3500000000004</v>
      </c>
    </row>
    <row r="373" spans="1:22" s="52" customFormat="1" x14ac:dyDescent="0.25">
      <c r="A373" s="282"/>
      <c r="B373" s="280"/>
      <c r="C373" s="289"/>
      <c r="D373" s="282"/>
      <c r="E373" s="296"/>
      <c r="F373" s="297"/>
      <c r="G373" s="288"/>
      <c r="H373" s="298"/>
      <c r="I373" s="297"/>
      <c r="J373" s="24"/>
      <c r="K373" s="197"/>
      <c r="L373" s="7"/>
      <c r="M373" s="35"/>
      <c r="N373" s="61"/>
      <c r="O373" s="35"/>
      <c r="P373" s="40"/>
      <c r="Q373" s="37"/>
      <c r="R373" s="4"/>
    </row>
    <row r="374" spans="1:22" s="52" customFormat="1" x14ac:dyDescent="0.25">
      <c r="A374" s="554" t="s">
        <v>316</v>
      </c>
      <c r="B374" s="551"/>
      <c r="C374" s="555"/>
      <c r="D374" s="558"/>
      <c r="E374" s="555"/>
      <c r="F374" s="556"/>
      <c r="G374" s="296" t="s">
        <v>19</v>
      </c>
      <c r="H374" s="555"/>
      <c r="I374" s="400">
        <f>SUM(I375:I471)</f>
        <v>150952.82999999999</v>
      </c>
      <c r="J374" s="17"/>
      <c r="K374" s="226"/>
      <c r="L374" s="7"/>
      <c r="M374" s="35"/>
      <c r="N374" s="61"/>
      <c r="O374" s="35"/>
      <c r="P374" s="40"/>
      <c r="Q374" s="37"/>
      <c r="R374" s="4"/>
    </row>
    <row r="375" spans="1:22" s="52" customFormat="1" outlineLevel="1" x14ac:dyDescent="0.25">
      <c r="A375" s="279" t="s">
        <v>20</v>
      </c>
      <c r="B375" s="279"/>
      <c r="C375" s="294" t="s">
        <v>317</v>
      </c>
      <c r="D375" s="558"/>
      <c r="E375" s="294"/>
      <c r="F375" s="403"/>
      <c r="G375" s="294"/>
      <c r="H375" s="558"/>
      <c r="I375" s="402">
        <f>SUM(H376:H382)</f>
        <v>2924.55</v>
      </c>
      <c r="J375" s="24"/>
      <c r="K375" s="197"/>
      <c r="L375" s="317">
        <f>SUM(H376:H382)</f>
        <v>2924.55</v>
      </c>
      <c r="M375" s="35">
        <f>I375-L375</f>
        <v>0</v>
      </c>
      <c r="N375" s="61"/>
      <c r="O375" s="35"/>
      <c r="P375" s="40"/>
      <c r="Q375" s="37"/>
      <c r="R375" s="4"/>
    </row>
    <row r="376" spans="1:22" s="66" customFormat="1" outlineLevel="1" x14ac:dyDescent="0.25">
      <c r="A376" s="282" t="s">
        <v>22</v>
      </c>
      <c r="B376" s="286">
        <v>97644</v>
      </c>
      <c r="C376" s="288" t="s">
        <v>43</v>
      </c>
      <c r="D376" s="287" t="s">
        <v>24</v>
      </c>
      <c r="E376" s="299">
        <f t="shared" ref="E376:E385" si="52">J376</f>
        <v>10.02</v>
      </c>
      <c r="F376" s="283">
        <v>6.04</v>
      </c>
      <c r="G376" s="301">
        <f t="shared" ref="G376:G385" si="53">TRUNC(F376*$J$13,2)</f>
        <v>7.51</v>
      </c>
      <c r="H376" s="301">
        <f t="shared" ref="H376:H385" si="54">TRUNC(E376*G376,2)</f>
        <v>75.25</v>
      </c>
      <c r="I376" s="401"/>
      <c r="J376" s="62">
        <f>0.8*2.1*2+0.9*2.1*2+0.6*1.2*4</f>
        <v>10.02</v>
      </c>
      <c r="K376" s="239"/>
      <c r="L376" s="62"/>
      <c r="M376" s="63"/>
      <c r="N376" s="53"/>
      <c r="O376" s="63"/>
      <c r="P376" s="64"/>
      <c r="Q376" s="65"/>
      <c r="R376" s="65"/>
      <c r="S376" s="498">
        <v>10.02</v>
      </c>
      <c r="T376" s="498">
        <v>6.04</v>
      </c>
      <c r="U376" s="498">
        <v>7.61</v>
      </c>
      <c r="V376" s="498">
        <v>76.25</v>
      </c>
    </row>
    <row r="377" spans="1:22" s="66" customFormat="1" outlineLevel="1" x14ac:dyDescent="0.25">
      <c r="A377" s="282" t="s">
        <v>25</v>
      </c>
      <c r="B377" s="286">
        <v>97663</v>
      </c>
      <c r="C377" s="288" t="s">
        <v>45</v>
      </c>
      <c r="D377" s="287" t="s">
        <v>44</v>
      </c>
      <c r="E377" s="299">
        <f t="shared" si="52"/>
        <v>10</v>
      </c>
      <c r="F377" s="283">
        <v>8.07</v>
      </c>
      <c r="G377" s="301">
        <f t="shared" si="53"/>
        <v>10.029999999999999</v>
      </c>
      <c r="H377" s="301">
        <f t="shared" si="54"/>
        <v>100.3</v>
      </c>
      <c r="I377" s="401"/>
      <c r="J377" s="62">
        <v>10</v>
      </c>
      <c r="K377" s="239"/>
      <c r="L377" s="62"/>
      <c r="M377" s="63"/>
      <c r="N377" s="53"/>
      <c r="O377" s="63"/>
      <c r="P377" s="64"/>
      <c r="Q377" s="65"/>
      <c r="R377" s="65"/>
      <c r="S377" s="498">
        <v>10</v>
      </c>
      <c r="T377" s="498">
        <v>8.07</v>
      </c>
      <c r="U377" s="498">
        <v>10.16</v>
      </c>
      <c r="V377" s="498">
        <v>101.6</v>
      </c>
    </row>
    <row r="378" spans="1:22" s="66" customFormat="1" outlineLevel="1" x14ac:dyDescent="0.25">
      <c r="A378" s="282" t="s">
        <v>56</v>
      </c>
      <c r="B378" s="286">
        <v>97666</v>
      </c>
      <c r="C378" s="281" t="s">
        <v>46</v>
      </c>
      <c r="D378" s="287" t="s">
        <v>44</v>
      </c>
      <c r="E378" s="299">
        <f t="shared" si="52"/>
        <v>10</v>
      </c>
      <c r="F378" s="283">
        <v>5.88</v>
      </c>
      <c r="G378" s="301">
        <f t="shared" si="53"/>
        <v>7.31</v>
      </c>
      <c r="H378" s="301">
        <f t="shared" si="54"/>
        <v>73.099999999999994</v>
      </c>
      <c r="I378" s="401"/>
      <c r="J378" s="62">
        <v>10</v>
      </c>
      <c r="K378" s="239"/>
      <c r="L378" s="62"/>
      <c r="M378" s="63"/>
      <c r="N378" s="53"/>
      <c r="O378" s="63"/>
      <c r="P378" s="64"/>
      <c r="Q378" s="65"/>
      <c r="R378" s="65"/>
      <c r="S378" s="498">
        <v>10</v>
      </c>
      <c r="T378" s="498">
        <v>5.88</v>
      </c>
      <c r="U378" s="498">
        <v>7.4</v>
      </c>
      <c r="V378" s="498">
        <v>74</v>
      </c>
    </row>
    <row r="379" spans="1:22" s="66" customFormat="1" outlineLevel="1" x14ac:dyDescent="0.25">
      <c r="A379" s="282" t="s">
        <v>216</v>
      </c>
      <c r="B379" s="286">
        <v>97622</v>
      </c>
      <c r="C379" s="281" t="s">
        <v>303</v>
      </c>
      <c r="D379" s="287" t="s">
        <v>41</v>
      </c>
      <c r="E379" s="299">
        <f t="shared" si="52"/>
        <v>2.7263999999999995</v>
      </c>
      <c r="F379" s="283">
        <v>37.39</v>
      </c>
      <c r="G379" s="301">
        <f t="shared" si="53"/>
        <v>46.5</v>
      </c>
      <c r="H379" s="301">
        <f t="shared" si="54"/>
        <v>126.77</v>
      </c>
      <c r="I379" s="401"/>
      <c r="J379" s="62">
        <f>(3.13+2.55)*3.2*0.15</f>
        <v>2.7263999999999995</v>
      </c>
      <c r="K379" s="239"/>
      <c r="L379" s="62"/>
      <c r="M379" s="63"/>
      <c r="N379" s="53"/>
      <c r="O379" s="63"/>
      <c r="P379" s="64"/>
      <c r="Q379" s="65"/>
      <c r="R379" s="65"/>
      <c r="S379" s="498">
        <v>2.7263999999999995</v>
      </c>
      <c r="T379" s="498">
        <v>37.39</v>
      </c>
      <c r="U379" s="498">
        <v>47.11</v>
      </c>
      <c r="V379" s="498">
        <v>128.44</v>
      </c>
    </row>
    <row r="380" spans="1:22" s="66" customFormat="1" outlineLevel="1" x14ac:dyDescent="0.25">
      <c r="A380" s="282" t="s">
        <v>217</v>
      </c>
      <c r="B380" s="286">
        <v>97633</v>
      </c>
      <c r="C380" s="281" t="s">
        <v>42</v>
      </c>
      <c r="D380" s="287" t="s">
        <v>24</v>
      </c>
      <c r="E380" s="299">
        <f t="shared" si="52"/>
        <v>93.34</v>
      </c>
      <c r="F380" s="283">
        <v>14.85</v>
      </c>
      <c r="G380" s="301">
        <f t="shared" si="53"/>
        <v>18.47</v>
      </c>
      <c r="H380" s="301">
        <f t="shared" si="54"/>
        <v>1723.98</v>
      </c>
      <c r="I380" s="401"/>
      <c r="J380" s="62">
        <f>(18.3+15.7)*1.8+18.63+13.51</f>
        <v>93.34</v>
      </c>
      <c r="K380" s="239"/>
      <c r="L380" s="62"/>
      <c r="M380" s="63"/>
      <c r="N380" s="53"/>
      <c r="O380" s="63"/>
      <c r="P380" s="64"/>
      <c r="Q380" s="65"/>
      <c r="R380" s="65"/>
      <c r="S380" s="498">
        <v>93.34</v>
      </c>
      <c r="T380" s="498">
        <v>14.85</v>
      </c>
      <c r="U380" s="498">
        <v>18.71</v>
      </c>
      <c r="V380" s="498">
        <v>1746.39</v>
      </c>
    </row>
    <row r="381" spans="1:22" s="66" customFormat="1" outlineLevel="1" x14ac:dyDescent="0.25">
      <c r="A381" s="282" t="s">
        <v>218</v>
      </c>
      <c r="B381" s="286" t="s">
        <v>48</v>
      </c>
      <c r="C381" s="288" t="s">
        <v>49</v>
      </c>
      <c r="D381" s="287" t="s">
        <v>24</v>
      </c>
      <c r="E381" s="299">
        <f t="shared" si="52"/>
        <v>20.123999999999999</v>
      </c>
      <c r="F381" s="283">
        <f>'COMPOSIÇÃO SINAPI W MENDES'!G2409</f>
        <v>16.200000000000003</v>
      </c>
      <c r="G381" s="301">
        <f t="shared" si="53"/>
        <v>20.149999999999999</v>
      </c>
      <c r="H381" s="301">
        <f t="shared" si="54"/>
        <v>405.49</v>
      </c>
      <c r="I381" s="401"/>
      <c r="J381" s="62">
        <f>(3.04+3.04+2.55+2.55)*1.8</f>
        <v>20.123999999999999</v>
      </c>
      <c r="K381" s="239"/>
      <c r="L381" s="62"/>
      <c r="M381" s="63"/>
      <c r="N381" s="53"/>
      <c r="O381" s="63"/>
      <c r="P381" s="64"/>
      <c r="Q381" s="65"/>
      <c r="R381" s="65"/>
      <c r="S381" s="498">
        <v>20.123999999999999</v>
      </c>
      <c r="T381" s="498">
        <v>16.424099999999999</v>
      </c>
      <c r="U381" s="498">
        <v>20.69</v>
      </c>
      <c r="V381" s="498">
        <v>416.36</v>
      </c>
    </row>
    <row r="382" spans="1:22" s="66" customFormat="1" ht="16.2" outlineLevel="1" thickBot="1" x14ac:dyDescent="0.3">
      <c r="A382" s="282" t="s">
        <v>219</v>
      </c>
      <c r="B382" s="286" t="s">
        <v>39</v>
      </c>
      <c r="C382" s="288" t="s">
        <v>318</v>
      </c>
      <c r="D382" s="287" t="s">
        <v>41</v>
      </c>
      <c r="E382" s="299">
        <f t="shared" si="52"/>
        <v>1.6085999999999998</v>
      </c>
      <c r="F382" s="283">
        <f>'COMPOSIÇÃO SINAPI W MENDES'!G2414</f>
        <v>209.74</v>
      </c>
      <c r="G382" s="301">
        <f t="shared" si="53"/>
        <v>260.89</v>
      </c>
      <c r="H382" s="301">
        <f t="shared" si="54"/>
        <v>419.66</v>
      </c>
      <c r="I382" s="401"/>
      <c r="J382" s="62">
        <f>(10.53+12.08+4.2)*0.06</f>
        <v>1.6085999999999998</v>
      </c>
      <c r="K382" s="239"/>
      <c r="L382" s="62"/>
      <c r="M382" s="63"/>
      <c r="N382" s="53"/>
      <c r="O382" s="63"/>
      <c r="P382" s="64"/>
      <c r="Q382" s="65"/>
      <c r="R382" s="65"/>
      <c r="S382" s="498">
        <v>1.6085999999999998</v>
      </c>
      <c r="T382" s="498">
        <v>216.762</v>
      </c>
      <c r="U382" s="498">
        <v>273.12</v>
      </c>
      <c r="V382" s="498">
        <v>439.34</v>
      </c>
    </row>
    <row r="383" spans="1:22" s="66" customFormat="1" ht="16.2" outlineLevel="1" thickBot="1" x14ac:dyDescent="0.3">
      <c r="A383" s="567" t="s">
        <v>60</v>
      </c>
      <c r="B383" s="568"/>
      <c r="C383" s="569" t="s">
        <v>221</v>
      </c>
      <c r="D383" s="570"/>
      <c r="E383" s="569"/>
      <c r="F383" s="571"/>
      <c r="G383" s="569"/>
      <c r="H383" s="570"/>
      <c r="I383" s="572">
        <f>SUM(H384:H385)</f>
        <v>8978.69</v>
      </c>
      <c r="J383" s="62"/>
      <c r="K383" s="239"/>
      <c r="L383" s="321">
        <f>SUM(H384:H385)</f>
        <v>8978.69</v>
      </c>
      <c r="M383" s="63">
        <f>I383-L383</f>
        <v>0</v>
      </c>
      <c r="N383" s="53"/>
      <c r="O383" s="63"/>
      <c r="P383" s="64"/>
      <c r="Q383" s="65"/>
      <c r="R383" s="65"/>
    </row>
    <row r="384" spans="1:22" s="66" customFormat="1" ht="31.2" outlineLevel="1" x14ac:dyDescent="0.25">
      <c r="A384" s="282" t="s">
        <v>64</v>
      </c>
      <c r="B384" s="286">
        <v>87471</v>
      </c>
      <c r="C384" s="281" t="s">
        <v>306</v>
      </c>
      <c r="D384" s="287" t="s">
        <v>24</v>
      </c>
      <c r="E384" s="299">
        <f t="shared" si="52"/>
        <v>28.8</v>
      </c>
      <c r="F384" s="283">
        <v>40.9</v>
      </c>
      <c r="G384" s="301">
        <f t="shared" si="53"/>
        <v>50.87</v>
      </c>
      <c r="H384" s="301">
        <f t="shared" si="54"/>
        <v>1465.05</v>
      </c>
      <c r="I384" s="401"/>
      <c r="J384" s="62">
        <f>(3.72+3.3+1.98)*3.2</f>
        <v>28.8</v>
      </c>
      <c r="K384" s="239"/>
      <c r="L384" s="62"/>
      <c r="M384" s="63"/>
      <c r="N384" s="53"/>
      <c r="O384" s="63"/>
      <c r="P384" s="64"/>
      <c r="Q384" s="65"/>
      <c r="R384" s="65"/>
      <c r="S384" s="498">
        <v>28.8</v>
      </c>
      <c r="T384" s="498">
        <v>40.9</v>
      </c>
      <c r="U384" s="498">
        <v>51.53</v>
      </c>
      <c r="V384" s="498">
        <v>1484.06</v>
      </c>
    </row>
    <row r="385" spans="1:22" s="66" customFormat="1" ht="31.8" outlineLevel="1" thickBot="1" x14ac:dyDescent="0.3">
      <c r="A385" s="282" t="s">
        <v>69</v>
      </c>
      <c r="B385" s="286">
        <v>79627</v>
      </c>
      <c r="C385" s="281" t="s">
        <v>222</v>
      </c>
      <c r="D385" s="287" t="s">
        <v>24</v>
      </c>
      <c r="E385" s="299">
        <f t="shared" si="52"/>
        <v>9.1800000000000015</v>
      </c>
      <c r="F385" s="300">
        <v>658</v>
      </c>
      <c r="G385" s="301">
        <f t="shared" si="53"/>
        <v>818.48</v>
      </c>
      <c r="H385" s="301">
        <f t="shared" si="54"/>
        <v>7513.64</v>
      </c>
      <c r="I385" s="401"/>
      <c r="J385" s="62">
        <f>(0.17+0.67+0.51+0.51+0.67+0.17+1.2+1.2)*1.8</f>
        <v>9.1800000000000015</v>
      </c>
      <c r="K385" s="239"/>
      <c r="L385" s="62"/>
      <c r="M385" s="63"/>
      <c r="N385" s="53"/>
      <c r="O385" s="63"/>
      <c r="P385" s="64"/>
      <c r="Q385" s="65"/>
      <c r="R385" s="65"/>
      <c r="S385" s="498">
        <v>9.1800000000000015</v>
      </c>
      <c r="T385" s="498">
        <v>658</v>
      </c>
      <c r="U385" s="498">
        <v>829.08</v>
      </c>
      <c r="V385" s="498">
        <v>7610.95</v>
      </c>
    </row>
    <row r="386" spans="1:22" s="66" customFormat="1" ht="16.2" outlineLevel="1" thickBot="1" x14ac:dyDescent="0.3">
      <c r="A386" s="567" t="s">
        <v>74</v>
      </c>
      <c r="B386" s="568"/>
      <c r="C386" s="569" t="s">
        <v>319</v>
      </c>
      <c r="D386" s="570"/>
      <c r="E386" s="569"/>
      <c r="F386" s="571"/>
      <c r="G386" s="569"/>
      <c r="H386" s="570"/>
      <c r="I386" s="572">
        <f>SUM(H387:H390)</f>
        <v>13380.769999999999</v>
      </c>
      <c r="J386" s="62"/>
      <c r="K386" s="239"/>
      <c r="L386" s="321">
        <f>SUM(H387:H390)</f>
        <v>13380.769999999999</v>
      </c>
      <c r="M386" s="63">
        <f>I386-L386</f>
        <v>0</v>
      </c>
      <c r="N386" s="53"/>
      <c r="O386" s="63"/>
      <c r="P386" s="64"/>
      <c r="Q386" s="65"/>
      <c r="R386" s="65"/>
    </row>
    <row r="387" spans="1:22" s="52" customFormat="1" ht="46.8" outlineLevel="1" x14ac:dyDescent="0.25">
      <c r="A387" s="303" t="s">
        <v>77</v>
      </c>
      <c r="B387" s="573">
        <v>90843</v>
      </c>
      <c r="C387" s="574" t="s">
        <v>320</v>
      </c>
      <c r="D387" s="303" t="s">
        <v>44</v>
      </c>
      <c r="E387" s="299">
        <f>J387</f>
        <v>1</v>
      </c>
      <c r="F387" s="283">
        <f>'COMPOSIÇÃO SINAPI W MENDES'!G2440</f>
        <v>640</v>
      </c>
      <c r="G387" s="301">
        <f>TRUNC(F387*$J$13,2)</f>
        <v>796.09</v>
      </c>
      <c r="H387" s="301">
        <f>TRUNC(E387*G387,2)</f>
        <v>796.09</v>
      </c>
      <c r="I387" s="575"/>
      <c r="J387" s="24">
        <v>1</v>
      </c>
      <c r="K387" s="197"/>
      <c r="L387" s="7"/>
      <c r="M387" s="35"/>
      <c r="N387" s="61"/>
      <c r="O387" s="35"/>
      <c r="P387" s="40"/>
      <c r="Q387" s="37"/>
      <c r="R387" s="4"/>
      <c r="S387" s="236">
        <v>1</v>
      </c>
      <c r="T387" s="236">
        <v>742.69</v>
      </c>
      <c r="U387" s="236">
        <v>935.78</v>
      </c>
      <c r="V387" s="236">
        <v>935.78</v>
      </c>
    </row>
    <row r="388" spans="1:22" s="52" customFormat="1" ht="31.2" outlineLevel="1" x14ac:dyDescent="0.25">
      <c r="A388" s="303" t="s">
        <v>83</v>
      </c>
      <c r="B388" s="280">
        <v>91338</v>
      </c>
      <c r="C388" s="281" t="s">
        <v>57</v>
      </c>
      <c r="D388" s="282" t="s">
        <v>24</v>
      </c>
      <c r="E388" s="285">
        <f>J388</f>
        <v>8.129999999999999</v>
      </c>
      <c r="F388" s="283">
        <f>'COMPOSIÇÃO SINAPI W MENDES'!G2449</f>
        <v>871.17000000000007</v>
      </c>
      <c r="G388" s="284">
        <f>TRUNC(F388*$J$13,2)</f>
        <v>1083.6400000000001</v>
      </c>
      <c r="H388" s="284">
        <f>TRUNC(E388*G388,2)</f>
        <v>8809.99</v>
      </c>
      <c r="I388" s="297"/>
      <c r="J388" s="24">
        <f>4*0.6*1.2+0.9*2.1+0.8*2.1*2</f>
        <v>8.129999999999999</v>
      </c>
      <c r="K388" s="240" t="s">
        <v>321</v>
      </c>
      <c r="L388" s="7">
        <f>0.8*2.1*8</f>
        <v>13.440000000000001</v>
      </c>
      <c r="M388" s="35"/>
      <c r="N388" s="61"/>
      <c r="O388" s="35"/>
      <c r="P388" s="40"/>
      <c r="Q388" s="37"/>
      <c r="R388" s="4"/>
      <c r="S388" s="236">
        <v>8.129999999999999</v>
      </c>
      <c r="T388" s="236">
        <v>975.13</v>
      </c>
      <c r="U388" s="236">
        <v>1228.6600000000001</v>
      </c>
      <c r="V388" s="236">
        <v>9989</v>
      </c>
    </row>
    <row r="389" spans="1:22" s="52" customFormat="1" outlineLevel="1" x14ac:dyDescent="0.25">
      <c r="A389" s="303" t="s">
        <v>322</v>
      </c>
      <c r="B389" s="280">
        <v>84886</v>
      </c>
      <c r="C389" s="289" t="s">
        <v>91</v>
      </c>
      <c r="D389" s="282" t="s">
        <v>92</v>
      </c>
      <c r="E389" s="285">
        <v>2</v>
      </c>
      <c r="F389" s="283">
        <v>1114.46</v>
      </c>
      <c r="G389" s="284">
        <f>TRUNC(F389*$J$13,2)</f>
        <v>1386.27</v>
      </c>
      <c r="H389" s="284">
        <f>TRUNC(E389*G389,2)</f>
        <v>2772.54</v>
      </c>
      <c r="I389" s="297"/>
      <c r="J389" s="24"/>
      <c r="K389" s="240"/>
      <c r="L389" s="7"/>
      <c r="M389" s="35"/>
      <c r="N389" s="61"/>
      <c r="O389" s="35"/>
      <c r="P389" s="40"/>
      <c r="Q389" s="37"/>
      <c r="R389" s="4"/>
      <c r="S389" s="236">
        <v>2</v>
      </c>
      <c r="T389" s="236">
        <v>1139.6199999999999</v>
      </c>
      <c r="U389" s="236">
        <v>1435.92</v>
      </c>
      <c r="V389" s="236">
        <v>2871.84</v>
      </c>
    </row>
    <row r="390" spans="1:22" s="52" customFormat="1" outlineLevel="1" x14ac:dyDescent="0.25">
      <c r="A390" s="303" t="s">
        <v>323</v>
      </c>
      <c r="B390" s="280">
        <v>100701</v>
      </c>
      <c r="C390" s="281" t="s">
        <v>324</v>
      </c>
      <c r="D390" s="282" t="s">
        <v>24</v>
      </c>
      <c r="E390" s="285">
        <f>J390</f>
        <v>1.6800000000000002</v>
      </c>
      <c r="F390" s="283">
        <v>479.56</v>
      </c>
      <c r="G390" s="284">
        <f>TRUNC(F390*$J$13,2)</f>
        <v>596.52</v>
      </c>
      <c r="H390" s="284">
        <f>TRUNC(E390*G390,2)</f>
        <v>1002.15</v>
      </c>
      <c r="I390" s="401"/>
      <c r="J390" s="24">
        <f>0.8*2.1</f>
        <v>1.6800000000000002</v>
      </c>
      <c r="K390" s="240" t="s">
        <v>325</v>
      </c>
      <c r="L390" s="7">
        <f>0.8*2.1</f>
        <v>1.6800000000000002</v>
      </c>
      <c r="M390" s="35"/>
      <c r="N390" s="61"/>
      <c r="O390" s="35"/>
      <c r="P390" s="40"/>
      <c r="Q390" s="37"/>
      <c r="R390" s="4"/>
      <c r="S390" s="236">
        <v>1.6800000000000002</v>
      </c>
      <c r="T390" s="236">
        <v>479.56</v>
      </c>
      <c r="U390" s="236">
        <v>604.24</v>
      </c>
      <c r="V390" s="236">
        <v>1015.12</v>
      </c>
    </row>
    <row r="391" spans="1:22" s="52" customFormat="1" outlineLevel="1" x14ac:dyDescent="0.25">
      <c r="A391" s="279" t="s">
        <v>85</v>
      </c>
      <c r="B391" s="279"/>
      <c r="C391" s="294" t="s">
        <v>61</v>
      </c>
      <c r="D391" s="558"/>
      <c r="E391" s="294"/>
      <c r="F391" s="403"/>
      <c r="G391" s="294"/>
      <c r="H391" s="558"/>
      <c r="I391" s="402">
        <f>SUM(H392:H395)</f>
        <v>12754.119999999999</v>
      </c>
      <c r="J391" s="24"/>
      <c r="K391" s="197"/>
      <c r="L391" s="317">
        <f>SUM(H392:H395)</f>
        <v>12754.119999999999</v>
      </c>
      <c r="M391" s="35">
        <f>I391-L391</f>
        <v>0</v>
      </c>
      <c r="N391" s="61"/>
      <c r="O391" s="35"/>
      <c r="P391" s="40"/>
      <c r="Q391" s="37"/>
      <c r="R391" s="4"/>
    </row>
    <row r="392" spans="1:22" s="52" customFormat="1" ht="31.2" outlineLevel="1" x14ac:dyDescent="0.25">
      <c r="A392" s="282" t="s">
        <v>87</v>
      </c>
      <c r="B392" s="286">
        <v>87879</v>
      </c>
      <c r="C392" s="281" t="s">
        <v>225</v>
      </c>
      <c r="D392" s="282" t="s">
        <v>24</v>
      </c>
      <c r="E392" s="285">
        <f>J392</f>
        <v>71.400000000000006</v>
      </c>
      <c r="F392" s="283">
        <v>2.72</v>
      </c>
      <c r="G392" s="284">
        <f>TRUNC(F392*$J$13,2)</f>
        <v>3.38</v>
      </c>
      <c r="H392" s="284">
        <f>TRUNC(E392*G392,2)</f>
        <v>241.33</v>
      </c>
      <c r="I392" s="401"/>
      <c r="J392" s="62">
        <f>(18.3+15.7)*2.1</f>
        <v>71.400000000000006</v>
      </c>
      <c r="K392" s="197"/>
      <c r="L392" s="7"/>
      <c r="M392" s="35"/>
      <c r="N392" s="61"/>
      <c r="O392" s="35"/>
      <c r="P392" s="40"/>
      <c r="Q392" s="37"/>
      <c r="R392" s="4"/>
      <c r="S392" s="236">
        <v>71.400000000000006</v>
      </c>
      <c r="T392" s="236">
        <v>2.72</v>
      </c>
      <c r="U392" s="236">
        <v>3.42</v>
      </c>
      <c r="V392" s="236">
        <v>244.18</v>
      </c>
    </row>
    <row r="393" spans="1:22" s="48" customFormat="1" ht="31.2" outlineLevel="1" x14ac:dyDescent="0.25">
      <c r="A393" s="282" t="s">
        <v>90</v>
      </c>
      <c r="B393" s="286">
        <v>87529</v>
      </c>
      <c r="C393" s="281" t="s">
        <v>326</v>
      </c>
      <c r="D393" s="282" t="s">
        <v>24</v>
      </c>
      <c r="E393" s="285">
        <f>J393</f>
        <v>71.400000000000006</v>
      </c>
      <c r="F393" s="283">
        <v>23.91</v>
      </c>
      <c r="G393" s="284">
        <f>TRUNC(F393*$J$13,2)</f>
        <v>29.74</v>
      </c>
      <c r="H393" s="284">
        <f>TRUNC(E393*G393,2)</f>
        <v>2123.4299999999998</v>
      </c>
      <c r="I393" s="401"/>
      <c r="J393" s="62">
        <f>(18.3+15.7)*2.1</f>
        <v>71.400000000000006</v>
      </c>
      <c r="K393" s="197"/>
      <c r="L393" s="7"/>
      <c r="M393" s="35"/>
      <c r="N393" s="61"/>
      <c r="O393" s="35"/>
      <c r="P393" s="40"/>
      <c r="Q393" s="35"/>
      <c r="R393" s="2"/>
      <c r="S393" s="499">
        <v>71.400000000000006</v>
      </c>
      <c r="T393" s="499">
        <v>43.91</v>
      </c>
      <c r="U393" s="499">
        <v>55.32</v>
      </c>
      <c r="V393" s="499">
        <v>3949.84</v>
      </c>
    </row>
    <row r="394" spans="1:22" s="52" customFormat="1" ht="31.2" outlineLevel="1" x14ac:dyDescent="0.25">
      <c r="A394" s="282" t="s">
        <v>93</v>
      </c>
      <c r="B394" s="280">
        <v>87265</v>
      </c>
      <c r="C394" s="281" t="s">
        <v>327</v>
      </c>
      <c r="D394" s="282" t="s">
        <v>24</v>
      </c>
      <c r="E394" s="285">
        <f>J394</f>
        <v>71.400000000000006</v>
      </c>
      <c r="F394" s="283">
        <v>36.369999999999997</v>
      </c>
      <c r="G394" s="284">
        <f>TRUNC(F394*$J$13,2)</f>
        <v>45.24</v>
      </c>
      <c r="H394" s="284">
        <f>TRUNC(E394*G394,2)</f>
        <v>3230.13</v>
      </c>
      <c r="I394" s="297"/>
      <c r="J394" s="62">
        <f>(18.3+15.7)*2.1</f>
        <v>71.400000000000006</v>
      </c>
      <c r="K394" s="197" t="s">
        <v>66</v>
      </c>
      <c r="L394" s="7">
        <f>61.74+43</f>
        <v>104.74000000000001</v>
      </c>
      <c r="M394" s="35"/>
      <c r="N394" s="61"/>
      <c r="O394" s="35"/>
      <c r="P394" s="40"/>
      <c r="Q394" s="37"/>
      <c r="R394" s="4"/>
      <c r="S394" s="236">
        <v>71.400000000000006</v>
      </c>
      <c r="T394" s="236">
        <v>43.91</v>
      </c>
      <c r="U394" s="236">
        <v>55.32</v>
      </c>
      <c r="V394" s="236">
        <v>3949.84</v>
      </c>
    </row>
    <row r="395" spans="1:22" s="52" customFormat="1" outlineLevel="1" x14ac:dyDescent="0.25">
      <c r="A395" s="282" t="s">
        <v>226</v>
      </c>
      <c r="B395" s="280">
        <v>98673</v>
      </c>
      <c r="C395" s="281" t="s">
        <v>328</v>
      </c>
      <c r="D395" s="282" t="s">
        <v>24</v>
      </c>
      <c r="E395" s="285">
        <f>J395</f>
        <v>45.004000000000012</v>
      </c>
      <c r="F395" s="283">
        <v>127.89</v>
      </c>
      <c r="G395" s="284">
        <f>TRUNC(F395*$J$13,2)</f>
        <v>159.08000000000001</v>
      </c>
      <c r="H395" s="284">
        <f>TRUNC(E395*G395,2)</f>
        <v>7159.23</v>
      </c>
      <c r="I395" s="297"/>
      <c r="J395" s="24">
        <f>(15.22-0.7-0.7)*2.6+11.34*0.8</f>
        <v>45.004000000000012</v>
      </c>
      <c r="K395" s="197" t="s">
        <v>66</v>
      </c>
      <c r="L395" s="7">
        <v>92.66</v>
      </c>
      <c r="M395" s="35"/>
      <c r="N395" s="61"/>
      <c r="O395" s="35"/>
      <c r="P395" s="40"/>
      <c r="Q395" s="37"/>
      <c r="R395" s="4"/>
      <c r="S395" s="236">
        <v>45.004000000000012</v>
      </c>
      <c r="T395" s="236">
        <v>154.11000000000001</v>
      </c>
      <c r="U395" s="236">
        <v>194.17</v>
      </c>
      <c r="V395" s="236">
        <v>8738.42</v>
      </c>
    </row>
    <row r="396" spans="1:22" s="52" customFormat="1" outlineLevel="1" x14ac:dyDescent="0.25">
      <c r="A396" s="279" t="s">
        <v>95</v>
      </c>
      <c r="B396" s="279"/>
      <c r="C396" s="294" t="s">
        <v>75</v>
      </c>
      <c r="D396" s="558"/>
      <c r="E396" s="294"/>
      <c r="F396" s="403"/>
      <c r="G396" s="294"/>
      <c r="H396" s="558"/>
      <c r="I396" s="404">
        <f>SUM(H397:H400)</f>
        <v>42933.7</v>
      </c>
      <c r="J396" s="24"/>
      <c r="K396" s="197"/>
      <c r="L396" s="317">
        <f>SUM(H397:H400)</f>
        <v>42933.7</v>
      </c>
      <c r="M396" s="35">
        <f>I396-L396</f>
        <v>0</v>
      </c>
      <c r="N396" s="61"/>
      <c r="O396" s="35"/>
      <c r="P396" s="40"/>
      <c r="Q396" s="37"/>
      <c r="R396" s="4"/>
    </row>
    <row r="397" spans="1:22" s="52" customFormat="1" ht="31.2" outlineLevel="1" x14ac:dyDescent="0.25">
      <c r="A397" s="282" t="s">
        <v>97</v>
      </c>
      <c r="B397" s="280">
        <v>94993</v>
      </c>
      <c r="C397" s="281" t="s">
        <v>78</v>
      </c>
      <c r="D397" s="282" t="s">
        <v>24</v>
      </c>
      <c r="E397" s="285">
        <f>J397</f>
        <v>72.75</v>
      </c>
      <c r="F397" s="283">
        <v>62.94</v>
      </c>
      <c r="G397" s="284">
        <f>TRUNC(F397*$J$13,2)</f>
        <v>78.290000000000006</v>
      </c>
      <c r="H397" s="284">
        <f>TRUNC(E397*G397,2)</f>
        <v>5695.59</v>
      </c>
      <c r="I397" s="297"/>
      <c r="J397" s="24">
        <v>72.75</v>
      </c>
      <c r="K397" s="240" t="s">
        <v>66</v>
      </c>
      <c r="L397" s="7">
        <v>71.489999999999995</v>
      </c>
      <c r="M397" s="35"/>
      <c r="N397" s="61"/>
      <c r="O397" s="35"/>
      <c r="P397" s="40"/>
      <c r="Q397" s="37"/>
      <c r="R397" s="4"/>
      <c r="S397" s="236">
        <v>72.75</v>
      </c>
      <c r="T397" s="236">
        <v>62.94</v>
      </c>
      <c r="U397" s="236">
        <v>79.3</v>
      </c>
      <c r="V397" s="236">
        <v>5769.07</v>
      </c>
    </row>
    <row r="398" spans="1:22" s="52" customFormat="1" ht="31.2" outlineLevel="1" x14ac:dyDescent="0.25">
      <c r="A398" s="282" t="s">
        <v>100</v>
      </c>
      <c r="B398" s="286">
        <v>87620</v>
      </c>
      <c r="C398" s="281" t="s">
        <v>329</v>
      </c>
      <c r="D398" s="282" t="s">
        <v>24</v>
      </c>
      <c r="E398" s="285">
        <v>182.5</v>
      </c>
      <c r="F398" s="283">
        <v>23.42</v>
      </c>
      <c r="G398" s="284">
        <f>TRUNC(F398*$J$13,2)</f>
        <v>29.13</v>
      </c>
      <c r="H398" s="284">
        <f>TRUNC(E398*G398,2)</f>
        <v>5316.22</v>
      </c>
      <c r="I398" s="297"/>
      <c r="J398" s="62">
        <f>(10.53+12.08+4.2)</f>
        <v>26.81</v>
      </c>
      <c r="K398" s="240"/>
      <c r="L398" s="7"/>
      <c r="M398" s="35"/>
      <c r="N398" s="61"/>
      <c r="O398" s="35"/>
      <c r="P398" s="40"/>
      <c r="Q398" s="37"/>
      <c r="R398" s="4"/>
      <c r="S398" s="236">
        <v>182.5</v>
      </c>
      <c r="T398" s="236">
        <v>23.42</v>
      </c>
      <c r="U398" s="236">
        <v>29.5</v>
      </c>
      <c r="V398" s="236">
        <v>5383.75</v>
      </c>
    </row>
    <row r="399" spans="1:22" s="52" customFormat="1" ht="31.2" outlineLevel="1" x14ac:dyDescent="0.25">
      <c r="A399" s="282" t="s">
        <v>103</v>
      </c>
      <c r="B399" s="280">
        <v>87263</v>
      </c>
      <c r="C399" s="281" t="s">
        <v>330</v>
      </c>
      <c r="D399" s="282" t="s">
        <v>24</v>
      </c>
      <c r="E399" s="285">
        <f>J399</f>
        <v>26.81</v>
      </c>
      <c r="F399" s="283">
        <v>86.67</v>
      </c>
      <c r="G399" s="284">
        <f>TRUNC(F399*$J$13,2)</f>
        <v>107.8</v>
      </c>
      <c r="H399" s="284">
        <f>TRUNC(E399*G399,2)</f>
        <v>2890.11</v>
      </c>
      <c r="I399" s="297"/>
      <c r="J399" s="62">
        <f>(10.53+12.08+4.2)</f>
        <v>26.81</v>
      </c>
      <c r="K399" s="197"/>
      <c r="L399" s="7"/>
      <c r="M399" s="35"/>
      <c r="N399" s="61"/>
      <c r="O399" s="35"/>
      <c r="P399" s="40"/>
      <c r="Q399" s="37"/>
      <c r="R399" s="4"/>
      <c r="S399" s="236">
        <v>26.81</v>
      </c>
      <c r="T399" s="236">
        <v>92.82</v>
      </c>
      <c r="U399" s="236">
        <v>116.95</v>
      </c>
      <c r="V399" s="236">
        <v>3135.42</v>
      </c>
    </row>
    <row r="400" spans="1:22" s="52" customFormat="1" outlineLevel="1" x14ac:dyDescent="0.25">
      <c r="A400" s="282" t="s">
        <v>105</v>
      </c>
      <c r="B400" s="280">
        <v>98673</v>
      </c>
      <c r="C400" s="281" t="s">
        <v>328</v>
      </c>
      <c r="D400" s="282" t="s">
        <v>24</v>
      </c>
      <c r="E400" s="285">
        <f>J400</f>
        <v>182.49800000000002</v>
      </c>
      <c r="F400" s="283">
        <v>127.89</v>
      </c>
      <c r="G400" s="284">
        <f>TRUNC(F400*$J$13,2)</f>
        <v>159.08000000000001</v>
      </c>
      <c r="H400" s="284">
        <f>TRUNC(E400*G400,2)</f>
        <v>29031.78</v>
      </c>
      <c r="I400" s="297"/>
      <c r="J400" s="24">
        <f>151.25+4.5*8*2*0.15+11.54*0.9+11.18*0.9*2/2</f>
        <v>182.49800000000002</v>
      </c>
      <c r="K400" s="197"/>
      <c r="L400" s="7">
        <f>160.72*1.15</f>
        <v>184.82799999999997</v>
      </c>
      <c r="M400" s="35"/>
      <c r="N400" s="61"/>
      <c r="O400" s="35"/>
      <c r="P400" s="40"/>
      <c r="Q400" s="37"/>
      <c r="R400" s="4"/>
      <c r="S400" s="236">
        <v>182.49800000000002</v>
      </c>
      <c r="T400" s="236">
        <v>127.89</v>
      </c>
      <c r="U400" s="236">
        <v>161.13999999999999</v>
      </c>
      <c r="V400" s="236">
        <v>29407.72</v>
      </c>
    </row>
    <row r="401" spans="1:22" s="52" customFormat="1" outlineLevel="1" x14ac:dyDescent="0.25">
      <c r="A401" s="279" t="s">
        <v>116</v>
      </c>
      <c r="B401" s="279"/>
      <c r="C401" s="294" t="s">
        <v>212</v>
      </c>
      <c r="D401" s="558"/>
      <c r="E401" s="294"/>
      <c r="F401" s="403"/>
      <c r="G401" s="294"/>
      <c r="H401" s="558"/>
      <c r="I401" s="402">
        <f>SUM(H402:H402)</f>
        <v>1222.96</v>
      </c>
      <c r="J401" s="24"/>
      <c r="K401" s="197"/>
      <c r="L401" s="317">
        <f>SUM(H402)</f>
        <v>1222.96</v>
      </c>
      <c r="M401" s="35">
        <f>I401-L401</f>
        <v>0</v>
      </c>
      <c r="N401" s="61"/>
      <c r="O401" s="35"/>
      <c r="P401" s="40"/>
      <c r="Q401" s="37"/>
      <c r="R401" s="4"/>
    </row>
    <row r="402" spans="1:22" s="52" customFormat="1" outlineLevel="1" x14ac:dyDescent="0.25">
      <c r="A402" s="282" t="s">
        <v>118</v>
      </c>
      <c r="B402" s="280">
        <v>96114</v>
      </c>
      <c r="C402" s="289" t="s">
        <v>214</v>
      </c>
      <c r="D402" s="282" t="s">
        <v>24</v>
      </c>
      <c r="E402" s="285">
        <f>J402</f>
        <v>19.97</v>
      </c>
      <c r="F402" s="283">
        <f>'COMPOSIÇÃO SINAPI W MENDES'!G2543</f>
        <v>49.239999999999995</v>
      </c>
      <c r="G402" s="284">
        <f>TRUNC(F402*$J$13,2)</f>
        <v>61.24</v>
      </c>
      <c r="H402" s="284">
        <f>TRUNC(E402*G402,2)</f>
        <v>1222.96</v>
      </c>
      <c r="I402" s="297"/>
      <c r="J402" s="24">
        <v>19.97</v>
      </c>
      <c r="K402" s="197" t="s">
        <v>66</v>
      </c>
      <c r="L402" s="7">
        <v>160.72</v>
      </c>
      <c r="M402" s="35"/>
      <c r="N402" s="61"/>
      <c r="O402" s="35"/>
      <c r="P402" s="40"/>
      <c r="Q402" s="37"/>
      <c r="R402" s="4"/>
      <c r="S402" s="236">
        <v>19.97</v>
      </c>
      <c r="T402" s="236">
        <v>56.98</v>
      </c>
      <c r="U402" s="236">
        <v>71.790000000000006</v>
      </c>
      <c r="V402" s="236">
        <v>1433.64</v>
      </c>
    </row>
    <row r="403" spans="1:22" s="52" customFormat="1" outlineLevel="1" x14ac:dyDescent="0.25">
      <c r="A403" s="279" t="s">
        <v>160</v>
      </c>
      <c r="B403" s="279"/>
      <c r="C403" s="294" t="s">
        <v>96</v>
      </c>
      <c r="D403" s="558"/>
      <c r="E403" s="294"/>
      <c r="F403" s="403"/>
      <c r="G403" s="294"/>
      <c r="H403" s="558"/>
      <c r="I403" s="402">
        <f>SUM(H404:H411)</f>
        <v>13900.279999999999</v>
      </c>
      <c r="J403" s="24"/>
      <c r="K403" s="197"/>
      <c r="L403" s="317">
        <f>SUM(H404:H411)</f>
        <v>13900.279999999999</v>
      </c>
      <c r="M403" s="35">
        <f>I403-L403</f>
        <v>0</v>
      </c>
      <c r="N403" s="61"/>
      <c r="O403" s="35"/>
      <c r="P403" s="40"/>
      <c r="Q403" s="37"/>
      <c r="R403" s="4"/>
    </row>
    <row r="404" spans="1:22" s="52" customFormat="1" outlineLevel="1" x14ac:dyDescent="0.25">
      <c r="A404" s="282" t="s">
        <v>163</v>
      </c>
      <c r="B404" s="280">
        <v>88496</v>
      </c>
      <c r="C404" s="288" t="s">
        <v>101</v>
      </c>
      <c r="D404" s="282" t="s">
        <v>24</v>
      </c>
      <c r="E404" s="290">
        <f t="shared" ref="E404:E411" si="55">J404</f>
        <v>232.76</v>
      </c>
      <c r="F404" s="283">
        <f>'COMPOSIÇÃO SINAPI W MENDES'!G2551</f>
        <v>10.510000000000002</v>
      </c>
      <c r="G404" s="284">
        <f t="shared" ref="G404:G411" si="56">TRUNC(F404*$J$13,2)</f>
        <v>13.07</v>
      </c>
      <c r="H404" s="284">
        <f t="shared" ref="H404:H411" si="57">TRUNC(E404*G404,2)</f>
        <v>3042.17</v>
      </c>
      <c r="I404" s="297"/>
      <c r="J404" s="24">
        <f>12.08+10.53+4.2+7.06+2.82+31.04+156.12+4.5+4.41</f>
        <v>232.76</v>
      </c>
      <c r="K404" s="240" t="s">
        <v>331</v>
      </c>
      <c r="L404" s="7">
        <f>36+24</f>
        <v>60</v>
      </c>
      <c r="M404" s="35"/>
      <c r="N404" s="61"/>
      <c r="O404" s="35"/>
      <c r="P404" s="40"/>
      <c r="Q404" s="37"/>
      <c r="R404" s="4"/>
      <c r="S404" s="236">
        <v>232.76</v>
      </c>
      <c r="T404" s="236">
        <v>19.940000000000001</v>
      </c>
      <c r="U404" s="236">
        <v>25.12</v>
      </c>
      <c r="V404" s="236">
        <v>5846.93</v>
      </c>
    </row>
    <row r="405" spans="1:22" s="52" customFormat="1" outlineLevel="1" x14ac:dyDescent="0.25">
      <c r="A405" s="282" t="s">
        <v>164</v>
      </c>
      <c r="B405" s="280">
        <v>88486</v>
      </c>
      <c r="C405" s="281" t="s">
        <v>231</v>
      </c>
      <c r="D405" s="282" t="s">
        <v>24</v>
      </c>
      <c r="E405" s="290">
        <f t="shared" si="55"/>
        <v>232.76</v>
      </c>
      <c r="F405" s="283">
        <v>8.2200000000000006</v>
      </c>
      <c r="G405" s="284">
        <f t="shared" si="56"/>
        <v>10.220000000000001</v>
      </c>
      <c r="H405" s="284">
        <f t="shared" si="57"/>
        <v>2378.8000000000002</v>
      </c>
      <c r="I405" s="297"/>
      <c r="J405" s="24">
        <f>12.08+10.53+4.2+7.06+2.82+31.04+156.12+4.5+4.41</f>
        <v>232.76</v>
      </c>
      <c r="K405" s="197"/>
      <c r="L405" s="7">
        <f>L404</f>
        <v>60</v>
      </c>
      <c r="M405" s="35"/>
      <c r="N405" s="61"/>
      <c r="O405" s="35"/>
      <c r="P405" s="40"/>
      <c r="Q405" s="37"/>
      <c r="R405" s="4"/>
      <c r="S405" s="236">
        <v>232.76</v>
      </c>
      <c r="T405" s="236">
        <v>9.9499999999999993</v>
      </c>
      <c r="U405" s="236">
        <v>12.53</v>
      </c>
      <c r="V405" s="236">
        <v>2916.48</v>
      </c>
    </row>
    <row r="406" spans="1:22" s="52" customFormat="1" outlineLevel="1" x14ac:dyDescent="0.25">
      <c r="A406" s="282" t="s">
        <v>165</v>
      </c>
      <c r="B406" s="280">
        <v>88497</v>
      </c>
      <c r="C406" s="288" t="s">
        <v>232</v>
      </c>
      <c r="D406" s="282" t="s">
        <v>24</v>
      </c>
      <c r="E406" s="290">
        <f t="shared" si="55"/>
        <v>120.06500000000001</v>
      </c>
      <c r="F406" s="283">
        <v>9.74</v>
      </c>
      <c r="G406" s="284">
        <f t="shared" si="56"/>
        <v>12.11</v>
      </c>
      <c r="H406" s="284">
        <f t="shared" si="57"/>
        <v>1453.98</v>
      </c>
      <c r="I406" s="297"/>
      <c r="J406" s="24">
        <f>(22.32+11.88+9.46)*2.75</f>
        <v>120.06500000000001</v>
      </c>
      <c r="K406" s="197"/>
      <c r="L406" s="7">
        <f>267.52-L402</f>
        <v>106.79999999999998</v>
      </c>
      <c r="M406" s="35"/>
      <c r="N406" s="61"/>
      <c r="O406" s="35"/>
      <c r="P406" s="40"/>
      <c r="Q406" s="37"/>
      <c r="R406" s="4"/>
      <c r="S406" s="236">
        <v>120.06500000000001</v>
      </c>
      <c r="T406" s="236">
        <v>11.24</v>
      </c>
      <c r="U406" s="236">
        <v>14.16</v>
      </c>
      <c r="V406" s="236">
        <v>1700.12</v>
      </c>
    </row>
    <row r="407" spans="1:22" s="52" customFormat="1" outlineLevel="1" x14ac:dyDescent="0.25">
      <c r="A407" s="282" t="s">
        <v>166</v>
      </c>
      <c r="B407" s="280">
        <v>88489</v>
      </c>
      <c r="C407" s="281" t="s">
        <v>108</v>
      </c>
      <c r="D407" s="282" t="s">
        <v>24</v>
      </c>
      <c r="E407" s="290">
        <f t="shared" si="55"/>
        <v>461.67899999999997</v>
      </c>
      <c r="F407" s="283">
        <f>'COMPOSIÇÃO SINAPI W MENDES'!G2570</f>
        <v>8.14</v>
      </c>
      <c r="G407" s="284">
        <f t="shared" si="56"/>
        <v>10.119999999999999</v>
      </c>
      <c r="H407" s="284">
        <f t="shared" si="57"/>
        <v>4672.1899999999996</v>
      </c>
      <c r="I407" s="297"/>
      <c r="J407" s="24">
        <f>(15.5+14.04+8.2)*1.1+(22.32+1.88+8.54+8.64+12.14+12.14+9.46)*3.1+3.15*(21.19+12.38+19.87+12.38)-(13*1.2*1.1+4*0.6*1.2)</f>
        <v>461.67899999999997</v>
      </c>
      <c r="K407" s="197" t="s">
        <v>66</v>
      </c>
      <c r="L407" s="7">
        <f>(52.4+29.3)*3.3</f>
        <v>269.61</v>
      </c>
      <c r="M407" s="35"/>
      <c r="N407" s="61"/>
      <c r="O407" s="35"/>
      <c r="P407" s="40"/>
      <c r="Q407" s="37"/>
      <c r="R407" s="4"/>
      <c r="S407" s="236">
        <v>461.67899999999997</v>
      </c>
      <c r="T407" s="236">
        <v>11.3</v>
      </c>
      <c r="U407" s="236">
        <v>14.23</v>
      </c>
      <c r="V407" s="236">
        <v>6569.69</v>
      </c>
    </row>
    <row r="408" spans="1:22" s="52" customFormat="1" outlineLevel="1" x14ac:dyDescent="0.25">
      <c r="A408" s="282" t="s">
        <v>167</v>
      </c>
      <c r="B408" s="280">
        <v>100725</v>
      </c>
      <c r="C408" s="281" t="s">
        <v>804</v>
      </c>
      <c r="D408" s="282" t="s">
        <v>24</v>
      </c>
      <c r="E408" s="290">
        <f>8*2</f>
        <v>16</v>
      </c>
      <c r="F408" s="283">
        <v>16.12</v>
      </c>
      <c r="G408" s="284">
        <f t="shared" ref="G408" si="58">TRUNC(F408*$J$13,2)</f>
        <v>20.05</v>
      </c>
      <c r="H408" s="284">
        <f t="shared" ref="H408" si="59">TRUNC(E408*G408,2)</f>
        <v>320.8</v>
      </c>
      <c r="I408" s="297"/>
      <c r="J408" s="24"/>
      <c r="K408" s="197"/>
      <c r="L408" s="7"/>
      <c r="M408" s="35"/>
      <c r="N408" s="61"/>
      <c r="O408" s="35"/>
      <c r="P408" s="40"/>
      <c r="Q408" s="37"/>
      <c r="R408" s="4"/>
      <c r="S408" s="236">
        <v>16</v>
      </c>
      <c r="T408" s="236">
        <v>16.12</v>
      </c>
      <c r="U408" s="236">
        <v>20.309999999999999</v>
      </c>
      <c r="V408" s="236">
        <v>324.95999999999998</v>
      </c>
    </row>
    <row r="409" spans="1:22" s="52" customFormat="1" ht="31.2" outlineLevel="1" x14ac:dyDescent="0.25">
      <c r="A409" s="282" t="s">
        <v>169</v>
      </c>
      <c r="B409" s="280">
        <v>100727</v>
      </c>
      <c r="C409" s="291" t="s">
        <v>805</v>
      </c>
      <c r="D409" s="282" t="s">
        <v>24</v>
      </c>
      <c r="E409" s="290">
        <f>42.4*2</f>
        <v>84.8</v>
      </c>
      <c r="F409" s="283">
        <v>11.97</v>
      </c>
      <c r="G409" s="284">
        <f t="shared" si="56"/>
        <v>14.88</v>
      </c>
      <c r="H409" s="284">
        <f t="shared" si="57"/>
        <v>1261.82</v>
      </c>
      <c r="I409" s="297"/>
      <c r="J409" s="24"/>
      <c r="K409" s="197"/>
      <c r="L409" s="7"/>
      <c r="M409" s="35"/>
      <c r="N409" s="61"/>
      <c r="O409" s="35"/>
      <c r="P409" s="40"/>
      <c r="Q409" s="37"/>
      <c r="R409" s="4"/>
      <c r="S409" s="236">
        <v>84.8</v>
      </c>
      <c r="T409" s="236">
        <v>11.97</v>
      </c>
      <c r="U409" s="236">
        <v>15.08</v>
      </c>
      <c r="V409" s="236">
        <v>1278.78</v>
      </c>
    </row>
    <row r="410" spans="1:22" s="52" customFormat="1" outlineLevel="1" x14ac:dyDescent="0.25">
      <c r="A410" s="282" t="s">
        <v>171</v>
      </c>
      <c r="B410" s="280">
        <v>88488</v>
      </c>
      <c r="C410" s="281" t="s">
        <v>332</v>
      </c>
      <c r="D410" s="282" t="s">
        <v>24</v>
      </c>
      <c r="E410" s="290">
        <f t="shared" si="55"/>
        <v>67.160000000000011</v>
      </c>
      <c r="F410" s="283">
        <f>'COMPOSIÇÃO SINAPI W MENDES'!G3146</f>
        <v>8.42</v>
      </c>
      <c r="G410" s="284">
        <f t="shared" si="56"/>
        <v>10.47</v>
      </c>
      <c r="H410" s="284">
        <f t="shared" si="57"/>
        <v>703.16</v>
      </c>
      <c r="I410" s="297"/>
      <c r="J410" s="24">
        <f>21.19+12.4+19.87+1.32+12.38</f>
        <v>67.160000000000011</v>
      </c>
      <c r="K410" s="240" t="s">
        <v>333</v>
      </c>
      <c r="L410" s="7">
        <f>1.5*4*6</f>
        <v>36</v>
      </c>
      <c r="M410" s="35"/>
      <c r="N410" s="61"/>
      <c r="O410" s="35"/>
      <c r="P410" s="40"/>
      <c r="Q410" s="37"/>
      <c r="R410" s="4"/>
      <c r="S410" s="236">
        <v>67.160000000000011</v>
      </c>
      <c r="T410" s="236">
        <v>12.65</v>
      </c>
      <c r="U410" s="236">
        <v>15.93</v>
      </c>
      <c r="V410" s="236">
        <v>1069.8499999999999</v>
      </c>
    </row>
    <row r="411" spans="1:22" s="52" customFormat="1" outlineLevel="1" x14ac:dyDescent="0.25">
      <c r="A411" s="282" t="s">
        <v>173</v>
      </c>
      <c r="B411" s="280">
        <v>100725</v>
      </c>
      <c r="C411" s="281" t="s">
        <v>113</v>
      </c>
      <c r="D411" s="282" t="s">
        <v>24</v>
      </c>
      <c r="E411" s="290">
        <f t="shared" si="55"/>
        <v>3.3600000000000003</v>
      </c>
      <c r="F411" s="283">
        <v>16.12</v>
      </c>
      <c r="G411" s="284">
        <f t="shared" si="56"/>
        <v>20.05</v>
      </c>
      <c r="H411" s="284">
        <f t="shared" si="57"/>
        <v>67.36</v>
      </c>
      <c r="I411" s="297"/>
      <c r="J411" s="24">
        <f>0.8*2.1*2</f>
        <v>3.3600000000000003</v>
      </c>
      <c r="K411" s="197"/>
      <c r="L411" s="7"/>
      <c r="M411" s="35"/>
      <c r="N411" s="61"/>
      <c r="O411" s="35"/>
      <c r="P411" s="40"/>
      <c r="Q411" s="37"/>
      <c r="R411" s="4"/>
      <c r="S411" s="236">
        <v>3.3600000000000003</v>
      </c>
      <c r="T411" s="236">
        <v>16.12</v>
      </c>
      <c r="U411" s="236">
        <v>20.309999999999999</v>
      </c>
      <c r="V411" s="236">
        <v>68.239999999999995</v>
      </c>
    </row>
    <row r="412" spans="1:22" s="52" customFormat="1" outlineLevel="1" x14ac:dyDescent="0.25">
      <c r="A412" s="279" t="s">
        <v>186</v>
      </c>
      <c r="B412" s="279"/>
      <c r="C412" s="294" t="s">
        <v>117</v>
      </c>
      <c r="D412" s="558"/>
      <c r="E412" s="294"/>
      <c r="F412" s="403"/>
      <c r="G412" s="296" t="s">
        <v>38</v>
      </c>
      <c r="H412" s="558"/>
      <c r="I412" s="559">
        <f>SUM(H413:H436)</f>
        <v>19123.039999999997</v>
      </c>
      <c r="J412" s="24"/>
      <c r="K412" s="197"/>
      <c r="L412" s="317">
        <f>SUM(H413:H436)</f>
        <v>19123.039999999997</v>
      </c>
      <c r="M412" s="35">
        <f>I412-L412</f>
        <v>0</v>
      </c>
      <c r="N412" s="61"/>
      <c r="O412" s="35"/>
      <c r="P412" s="40"/>
      <c r="Q412" s="37"/>
      <c r="R412" s="4"/>
    </row>
    <row r="413" spans="1:22" s="52" customFormat="1" ht="31.2" outlineLevel="1" x14ac:dyDescent="0.25">
      <c r="A413" s="282" t="s">
        <v>188</v>
      </c>
      <c r="B413" s="280">
        <v>91932</v>
      </c>
      <c r="C413" s="281" t="s">
        <v>119</v>
      </c>
      <c r="D413" s="282" t="s">
        <v>55</v>
      </c>
      <c r="E413" s="285">
        <v>100</v>
      </c>
      <c r="F413" s="283">
        <v>9.9499999999999993</v>
      </c>
      <c r="G413" s="284">
        <f t="shared" ref="G413:G434" si="60">TRUNC(F413*$J$13,2)</f>
        <v>12.37</v>
      </c>
      <c r="H413" s="284">
        <f>TRUNC(E413*G413,2)</f>
        <v>1237</v>
      </c>
      <c r="I413" s="312"/>
      <c r="J413" s="24"/>
      <c r="K413" s="197"/>
      <c r="L413" s="7"/>
      <c r="M413" s="35"/>
      <c r="N413" s="61"/>
      <c r="O413" s="35"/>
      <c r="P413" s="40"/>
      <c r="Q413" s="37"/>
      <c r="R413" s="4"/>
      <c r="S413" s="236">
        <v>100</v>
      </c>
      <c r="T413" s="236">
        <v>9.9499999999999993</v>
      </c>
      <c r="U413" s="236">
        <v>12.53</v>
      </c>
      <c r="V413" s="236">
        <v>1253</v>
      </c>
    </row>
    <row r="414" spans="1:22" s="52" customFormat="1" ht="31.2" outlineLevel="1" x14ac:dyDescent="0.25">
      <c r="A414" s="282" t="s">
        <v>200</v>
      </c>
      <c r="B414" s="280">
        <v>92981</v>
      </c>
      <c r="C414" s="281" t="s">
        <v>335</v>
      </c>
      <c r="D414" s="282" t="s">
        <v>55</v>
      </c>
      <c r="E414" s="285">
        <f t="shared" ref="E414:E436" si="61">J414</f>
        <v>70.39</v>
      </c>
      <c r="F414" s="283">
        <v>10.3</v>
      </c>
      <c r="G414" s="284">
        <f t="shared" si="60"/>
        <v>12.81</v>
      </c>
      <c r="H414" s="284">
        <f>TRUNC(E414*G414,2)</f>
        <v>901.69</v>
      </c>
      <c r="I414" s="312"/>
      <c r="J414" s="24">
        <f>24.63+4*(6.44+2.5+2.5)</f>
        <v>70.39</v>
      </c>
      <c r="K414" s="197"/>
      <c r="L414" s="7"/>
      <c r="M414" s="35"/>
      <c r="N414" s="61"/>
      <c r="O414" s="35"/>
      <c r="P414" s="40"/>
      <c r="Q414" s="37"/>
      <c r="R414" s="4"/>
      <c r="S414" s="236">
        <v>70.39</v>
      </c>
      <c r="T414" s="236">
        <v>10.3</v>
      </c>
      <c r="U414" s="236">
        <v>12.97</v>
      </c>
      <c r="V414" s="236">
        <v>912.95</v>
      </c>
    </row>
    <row r="415" spans="1:22" s="52" customFormat="1" ht="31.2" outlineLevel="1" x14ac:dyDescent="0.25">
      <c r="A415" s="282" t="s">
        <v>236</v>
      </c>
      <c r="B415" s="280">
        <v>92985</v>
      </c>
      <c r="C415" s="281" t="s">
        <v>336</v>
      </c>
      <c r="D415" s="282" t="s">
        <v>55</v>
      </c>
      <c r="E415" s="285">
        <f t="shared" si="61"/>
        <v>83.88</v>
      </c>
      <c r="F415" s="283">
        <v>23.91</v>
      </c>
      <c r="G415" s="284">
        <f t="shared" si="60"/>
        <v>29.74</v>
      </c>
      <c r="H415" s="284">
        <f>TRUNC(E415*G415,2)</f>
        <v>2494.59</v>
      </c>
      <c r="I415" s="312"/>
      <c r="J415" s="24">
        <f>(2.5+2.5+22.96)*3</f>
        <v>83.88</v>
      </c>
      <c r="K415" s="197"/>
      <c r="L415" s="7"/>
      <c r="M415" s="35"/>
      <c r="N415" s="61"/>
      <c r="O415" s="35"/>
      <c r="P415" s="40"/>
      <c r="Q415" s="37"/>
      <c r="R415" s="4"/>
      <c r="S415" s="236">
        <v>83.88</v>
      </c>
      <c r="T415" s="236">
        <v>23.91</v>
      </c>
      <c r="U415" s="236">
        <v>30.12</v>
      </c>
      <c r="V415" s="236">
        <v>2526.46</v>
      </c>
    </row>
    <row r="416" spans="1:22" s="52" customFormat="1" ht="31.2" outlineLevel="1" x14ac:dyDescent="0.25">
      <c r="A416" s="282" t="s">
        <v>237</v>
      </c>
      <c r="B416" s="280">
        <v>91930</v>
      </c>
      <c r="C416" s="281" t="s">
        <v>121</v>
      </c>
      <c r="D416" s="282" t="s">
        <v>55</v>
      </c>
      <c r="E416" s="285">
        <f t="shared" si="61"/>
        <v>229.65000000000003</v>
      </c>
      <c r="F416" s="283">
        <v>5.5</v>
      </c>
      <c r="G416" s="284">
        <f t="shared" si="60"/>
        <v>6.84</v>
      </c>
      <c r="H416" s="284">
        <f>TRUNC(E416*G416,2)</f>
        <v>1570.8</v>
      </c>
      <c r="I416" s="312"/>
      <c r="J416" s="24">
        <f>3*(2.5+20.78)+3*(2.5+22.78)+3*(2.5+9.89)+3*(2.5+13.1)</f>
        <v>229.65000000000003</v>
      </c>
      <c r="K416" s="197"/>
      <c r="L416" s="7"/>
      <c r="M416" s="35"/>
      <c r="N416" s="61"/>
      <c r="O416" s="35"/>
      <c r="P416" s="40"/>
      <c r="Q416" s="37"/>
      <c r="R416" s="4"/>
      <c r="S416" s="236">
        <v>229.65000000000003</v>
      </c>
      <c r="T416" s="236">
        <v>6.06</v>
      </c>
      <c r="U416" s="236">
        <v>7.63</v>
      </c>
      <c r="V416" s="236">
        <v>1752.22</v>
      </c>
    </row>
    <row r="417" spans="1:22" s="52" customFormat="1" outlineLevel="1" x14ac:dyDescent="0.25">
      <c r="A417" s="282" t="s">
        <v>238</v>
      </c>
      <c r="B417" s="280">
        <v>91928</v>
      </c>
      <c r="C417" s="281" t="s">
        <v>123</v>
      </c>
      <c r="D417" s="282" t="s">
        <v>55</v>
      </c>
      <c r="E417" s="285">
        <f t="shared" si="61"/>
        <v>87.33</v>
      </c>
      <c r="F417" s="283">
        <v>4.42</v>
      </c>
      <c r="G417" s="284">
        <f t="shared" si="60"/>
        <v>5.49</v>
      </c>
      <c r="H417" s="284">
        <f t="shared" ref="H417:H434" si="62">TRUNC(E417*G417,2)</f>
        <v>479.44</v>
      </c>
      <c r="I417" s="312"/>
      <c r="J417" s="24">
        <f>(2.5+26.61)*3</f>
        <v>87.33</v>
      </c>
      <c r="K417" s="197"/>
      <c r="L417" s="7"/>
      <c r="M417" s="35"/>
      <c r="N417" s="61"/>
      <c r="O417" s="35"/>
      <c r="P417" s="40"/>
      <c r="Q417" s="37"/>
      <c r="R417" s="4"/>
      <c r="S417" s="236">
        <v>87.33</v>
      </c>
      <c r="T417" s="236">
        <v>4.42</v>
      </c>
      <c r="U417" s="236">
        <v>5.56</v>
      </c>
      <c r="V417" s="236">
        <v>485.55</v>
      </c>
    </row>
    <row r="418" spans="1:22" s="52" customFormat="1" outlineLevel="1" x14ac:dyDescent="0.25">
      <c r="A418" s="282" t="s">
        <v>239</v>
      </c>
      <c r="B418" s="280">
        <v>91927</v>
      </c>
      <c r="C418" s="281" t="s">
        <v>125</v>
      </c>
      <c r="D418" s="282" t="s">
        <v>55</v>
      </c>
      <c r="E418" s="285">
        <f t="shared" si="61"/>
        <v>322.20000000000005</v>
      </c>
      <c r="F418" s="283">
        <v>3</v>
      </c>
      <c r="G418" s="284">
        <f t="shared" si="60"/>
        <v>3.73</v>
      </c>
      <c r="H418" s="284">
        <f t="shared" si="62"/>
        <v>1201.8</v>
      </c>
      <c r="I418" s="312"/>
      <c r="J418" s="24">
        <f>(2.5+3.2+1.9)*3+(2.5+9.62+2.9)*3+(2.5+17.81+2.9+2.5+22.93+2.9)*3+(2.5+27.84+2.9)*3</f>
        <v>322.20000000000005</v>
      </c>
      <c r="K418" s="197"/>
      <c r="L418" s="7"/>
      <c r="M418" s="35"/>
      <c r="N418" s="61"/>
      <c r="O418" s="35"/>
      <c r="P418" s="40"/>
      <c r="Q418" s="37"/>
      <c r="R418" s="4"/>
      <c r="S418" s="236">
        <v>322.20000000000005</v>
      </c>
      <c r="T418" s="236">
        <v>3.58</v>
      </c>
      <c r="U418" s="236">
        <v>4.51</v>
      </c>
      <c r="V418" s="236">
        <v>1453.12</v>
      </c>
    </row>
    <row r="419" spans="1:22" s="52" customFormat="1" outlineLevel="1" x14ac:dyDescent="0.25">
      <c r="A419" s="282" t="s">
        <v>240</v>
      </c>
      <c r="B419" s="280">
        <v>90447</v>
      </c>
      <c r="C419" s="281" t="s">
        <v>127</v>
      </c>
      <c r="D419" s="282" t="s">
        <v>55</v>
      </c>
      <c r="E419" s="285">
        <f t="shared" si="61"/>
        <v>35</v>
      </c>
      <c r="F419" s="283">
        <v>4.45</v>
      </c>
      <c r="G419" s="284">
        <f t="shared" si="60"/>
        <v>5.53</v>
      </c>
      <c r="H419" s="284">
        <f t="shared" si="62"/>
        <v>193.55</v>
      </c>
      <c r="I419" s="312"/>
      <c r="J419" s="24">
        <v>35</v>
      </c>
      <c r="K419" s="197"/>
      <c r="L419" s="7"/>
      <c r="M419" s="35"/>
      <c r="N419" s="61"/>
      <c r="O419" s="35"/>
      <c r="P419" s="40"/>
      <c r="Q419" s="37"/>
      <c r="R419" s="4"/>
      <c r="S419" s="236">
        <v>35</v>
      </c>
      <c r="T419" s="236">
        <v>4.45</v>
      </c>
      <c r="U419" s="236">
        <v>5.6</v>
      </c>
      <c r="V419" s="236">
        <v>196</v>
      </c>
    </row>
    <row r="420" spans="1:22" s="52" customFormat="1" ht="31.2" outlineLevel="1" x14ac:dyDescent="0.25">
      <c r="A420" s="282" t="s">
        <v>241</v>
      </c>
      <c r="B420" s="280">
        <v>91836</v>
      </c>
      <c r="C420" s="281" t="s">
        <v>130</v>
      </c>
      <c r="D420" s="282" t="s">
        <v>55</v>
      </c>
      <c r="E420" s="285">
        <f t="shared" si="61"/>
        <v>217.10999999999999</v>
      </c>
      <c r="F420" s="283">
        <v>7.55</v>
      </c>
      <c r="G420" s="284">
        <f t="shared" si="60"/>
        <v>9.39</v>
      </c>
      <c r="H420" s="284">
        <f t="shared" si="62"/>
        <v>2038.66</v>
      </c>
      <c r="I420" s="312"/>
      <c r="J420" s="24">
        <f>24.63+6.44+2.5+2.5+2.5+2.5+22.96+2.5+20.76+2.5+22.78+2.5+9.89+2.5+13.1+2.5+20.78+2.5+22.78+2.5+9.89+2.5+13.1</f>
        <v>217.10999999999999</v>
      </c>
      <c r="K420" s="241">
        <f>(2.5+2.5+22.96)</f>
        <v>27.96</v>
      </c>
      <c r="L420" s="24">
        <f>(2.5+20.78)+(2.5+22.78)+(2.5+9.89)+(2.5+13.1)</f>
        <v>76.55</v>
      </c>
      <c r="M420" s="24">
        <f>(2.5+20.78)+(2.5+22.78)+(2.5+9.89)+(2.5+13.1)</f>
        <v>76.55</v>
      </c>
      <c r="N420" s="61"/>
      <c r="O420" s="35"/>
      <c r="P420" s="40"/>
      <c r="Q420" s="37"/>
      <c r="R420" s="4"/>
      <c r="S420" s="236">
        <v>217.10999999999999</v>
      </c>
      <c r="T420" s="236">
        <v>7.55</v>
      </c>
      <c r="U420" s="236">
        <v>9.51</v>
      </c>
      <c r="V420" s="236">
        <v>2064.71</v>
      </c>
    </row>
    <row r="421" spans="1:22" s="523" customFormat="1" outlineLevel="1" x14ac:dyDescent="0.25">
      <c r="A421" s="282" t="s">
        <v>242</v>
      </c>
      <c r="B421" s="280">
        <v>92004</v>
      </c>
      <c r="C421" s="288" t="s">
        <v>337</v>
      </c>
      <c r="D421" s="282" t="s">
        <v>44</v>
      </c>
      <c r="E421" s="285">
        <f t="shared" si="61"/>
        <v>8</v>
      </c>
      <c r="F421" s="283">
        <v>32.01</v>
      </c>
      <c r="G421" s="284">
        <f t="shared" si="60"/>
        <v>39.81</v>
      </c>
      <c r="H421" s="284">
        <f t="shared" si="62"/>
        <v>318.48</v>
      </c>
      <c r="I421" s="312"/>
      <c r="J421" s="24">
        <v>8</v>
      </c>
      <c r="K421" s="198">
        <f>TRUNC(H421*J421,2)</f>
        <v>2547.84</v>
      </c>
      <c r="L421" s="7"/>
      <c r="M421" s="519"/>
      <c r="N421" s="61"/>
      <c r="O421" s="519"/>
      <c r="P421" s="520"/>
      <c r="Q421" s="521"/>
      <c r="R421" s="522"/>
      <c r="S421" s="236">
        <v>8</v>
      </c>
      <c r="T421" s="236">
        <v>32.01</v>
      </c>
      <c r="U421" s="236">
        <v>40.33</v>
      </c>
      <c r="V421" s="236">
        <v>322.64</v>
      </c>
    </row>
    <row r="422" spans="1:22" s="52" customFormat="1" outlineLevel="1" x14ac:dyDescent="0.25">
      <c r="A422" s="282" t="s">
        <v>243</v>
      </c>
      <c r="B422" s="280">
        <v>92008</v>
      </c>
      <c r="C422" s="281" t="s">
        <v>338</v>
      </c>
      <c r="D422" s="282" t="s">
        <v>44</v>
      </c>
      <c r="E422" s="285">
        <f t="shared" si="61"/>
        <v>14</v>
      </c>
      <c r="F422" s="283">
        <v>27.23</v>
      </c>
      <c r="G422" s="284">
        <f t="shared" si="60"/>
        <v>33.869999999999997</v>
      </c>
      <c r="H422" s="284">
        <f t="shared" si="62"/>
        <v>474.18</v>
      </c>
      <c r="I422" s="312"/>
      <c r="J422" s="24">
        <v>14</v>
      </c>
      <c r="K422" s="197"/>
      <c r="L422" s="7"/>
      <c r="M422" s="35"/>
      <c r="N422" s="61"/>
      <c r="O422" s="35"/>
      <c r="P422" s="40"/>
      <c r="Q422" s="37"/>
      <c r="R422" s="4"/>
      <c r="S422" s="236">
        <v>14</v>
      </c>
      <c r="T422" s="236">
        <v>27.23</v>
      </c>
      <c r="U422" s="236">
        <v>34.299999999999997</v>
      </c>
      <c r="V422" s="236">
        <v>480.2</v>
      </c>
    </row>
    <row r="423" spans="1:22" s="52" customFormat="1" outlineLevel="1" x14ac:dyDescent="0.25">
      <c r="A423" s="282" t="s">
        <v>244</v>
      </c>
      <c r="B423" s="280">
        <v>93653</v>
      </c>
      <c r="C423" s="281" t="s">
        <v>141</v>
      </c>
      <c r="D423" s="282" t="s">
        <v>44</v>
      </c>
      <c r="E423" s="285">
        <f t="shared" si="61"/>
        <v>5</v>
      </c>
      <c r="F423" s="283">
        <v>9.3699999999999992</v>
      </c>
      <c r="G423" s="284">
        <f t="shared" si="60"/>
        <v>11.65</v>
      </c>
      <c r="H423" s="284">
        <f t="shared" si="62"/>
        <v>58.25</v>
      </c>
      <c r="I423" s="312"/>
      <c r="J423" s="24">
        <f>5</f>
        <v>5</v>
      </c>
      <c r="K423" s="197"/>
      <c r="L423" s="7"/>
      <c r="M423" s="35"/>
      <c r="N423" s="61"/>
      <c r="O423" s="35"/>
      <c r="P423" s="40"/>
      <c r="Q423" s="37"/>
      <c r="R423" s="4"/>
      <c r="S423" s="236">
        <v>5</v>
      </c>
      <c r="T423" s="236">
        <v>9.3699999999999992</v>
      </c>
      <c r="U423" s="236">
        <v>11.8</v>
      </c>
      <c r="V423" s="236">
        <v>59</v>
      </c>
    </row>
    <row r="424" spans="1:22" s="52" customFormat="1" outlineLevel="1" x14ac:dyDescent="0.25">
      <c r="A424" s="282" t="s">
        <v>368</v>
      </c>
      <c r="B424" s="280">
        <v>93655</v>
      </c>
      <c r="C424" s="281" t="s">
        <v>142</v>
      </c>
      <c r="D424" s="282" t="s">
        <v>44</v>
      </c>
      <c r="E424" s="285">
        <v>3</v>
      </c>
      <c r="F424" s="283">
        <v>10.59</v>
      </c>
      <c r="G424" s="284">
        <f t="shared" si="60"/>
        <v>13.17</v>
      </c>
      <c r="H424" s="284">
        <f t="shared" si="62"/>
        <v>39.51</v>
      </c>
      <c r="I424" s="312"/>
      <c r="J424" s="24">
        <v>2</v>
      </c>
      <c r="K424" s="197"/>
      <c r="L424" s="7"/>
      <c r="M424" s="35"/>
      <c r="N424" s="61"/>
      <c r="O424" s="35"/>
      <c r="P424" s="40"/>
      <c r="Q424" s="37"/>
      <c r="R424" s="4"/>
      <c r="S424" s="236">
        <v>3</v>
      </c>
      <c r="T424" s="236">
        <v>10.59</v>
      </c>
      <c r="U424" s="236">
        <v>13.34</v>
      </c>
      <c r="V424" s="236">
        <v>40.020000000000003</v>
      </c>
    </row>
    <row r="425" spans="1:22" s="52" customFormat="1" outlineLevel="1" x14ac:dyDescent="0.25">
      <c r="A425" s="282" t="s">
        <v>339</v>
      </c>
      <c r="B425" s="280">
        <v>93657</v>
      </c>
      <c r="C425" s="281" t="s">
        <v>143</v>
      </c>
      <c r="D425" s="282" t="s">
        <v>44</v>
      </c>
      <c r="E425" s="285">
        <v>3</v>
      </c>
      <c r="F425" s="283">
        <v>11.59</v>
      </c>
      <c r="G425" s="284">
        <f t="shared" si="60"/>
        <v>14.41</v>
      </c>
      <c r="H425" s="284">
        <f t="shared" si="62"/>
        <v>43.23</v>
      </c>
      <c r="I425" s="312"/>
      <c r="J425" s="24">
        <f>2+6</f>
        <v>8</v>
      </c>
      <c r="K425" s="197"/>
      <c r="L425" s="7"/>
      <c r="M425" s="35"/>
      <c r="N425" s="61"/>
      <c r="O425" s="35"/>
      <c r="P425" s="40"/>
      <c r="Q425" s="37"/>
      <c r="R425" s="4"/>
      <c r="S425" s="236">
        <v>3</v>
      </c>
      <c r="T425" s="236">
        <v>11.59</v>
      </c>
      <c r="U425" s="236">
        <v>14.6</v>
      </c>
      <c r="V425" s="236">
        <v>43.8</v>
      </c>
    </row>
    <row r="426" spans="1:22" s="52" customFormat="1" outlineLevel="1" x14ac:dyDescent="0.25">
      <c r="A426" s="282" t="s">
        <v>340</v>
      </c>
      <c r="B426" s="280">
        <v>93660</v>
      </c>
      <c r="C426" s="281" t="s">
        <v>144</v>
      </c>
      <c r="D426" s="282" t="s">
        <v>44</v>
      </c>
      <c r="E426" s="285">
        <v>4</v>
      </c>
      <c r="F426" s="283">
        <v>46.9</v>
      </c>
      <c r="G426" s="284">
        <f t="shared" ref="G426:G431" si="63">TRUNC(F426*$J$13,2)</f>
        <v>58.33</v>
      </c>
      <c r="H426" s="284">
        <f t="shared" ref="H426:H431" si="64">TRUNC(E426*G426,2)</f>
        <v>233.32</v>
      </c>
      <c r="I426" s="312"/>
      <c r="J426" s="24"/>
      <c r="K426" s="197"/>
      <c r="L426" s="7"/>
      <c r="M426" s="35"/>
      <c r="N426" s="61"/>
      <c r="O426" s="35"/>
      <c r="P426" s="40"/>
      <c r="Q426" s="37"/>
      <c r="R426" s="4"/>
      <c r="S426" s="236">
        <v>4</v>
      </c>
      <c r="T426" s="236">
        <v>46.9</v>
      </c>
      <c r="U426" s="236">
        <v>59.09</v>
      </c>
      <c r="V426" s="236">
        <v>236.36</v>
      </c>
    </row>
    <row r="427" spans="1:22" s="52" customFormat="1" outlineLevel="1" x14ac:dyDescent="0.25">
      <c r="A427" s="282" t="s">
        <v>343</v>
      </c>
      <c r="B427" s="280">
        <v>93662</v>
      </c>
      <c r="C427" s="281" t="s">
        <v>145</v>
      </c>
      <c r="D427" s="282" t="s">
        <v>44</v>
      </c>
      <c r="E427" s="285">
        <v>3</v>
      </c>
      <c r="F427" s="283">
        <v>49.38</v>
      </c>
      <c r="G427" s="284">
        <f t="shared" si="63"/>
        <v>61.42</v>
      </c>
      <c r="H427" s="284">
        <f t="shared" si="64"/>
        <v>184.26</v>
      </c>
      <c r="I427" s="312"/>
      <c r="J427" s="24"/>
      <c r="K427" s="197"/>
      <c r="L427" s="7"/>
      <c r="M427" s="35"/>
      <c r="N427" s="61"/>
      <c r="O427" s="35"/>
      <c r="P427" s="40"/>
      <c r="Q427" s="37"/>
      <c r="R427" s="4"/>
      <c r="S427" s="236">
        <v>3</v>
      </c>
      <c r="T427" s="236">
        <v>49.38</v>
      </c>
      <c r="U427" s="236">
        <v>62.21</v>
      </c>
      <c r="V427" s="236">
        <v>186.63</v>
      </c>
    </row>
    <row r="428" spans="1:22" s="52" customFormat="1" outlineLevel="1" x14ac:dyDescent="0.25">
      <c r="A428" s="282" t="s">
        <v>346</v>
      </c>
      <c r="B428" s="280">
        <v>93664</v>
      </c>
      <c r="C428" s="281" t="s">
        <v>146</v>
      </c>
      <c r="D428" s="282" t="s">
        <v>44</v>
      </c>
      <c r="E428" s="285">
        <v>3</v>
      </c>
      <c r="F428" s="283">
        <v>51.34</v>
      </c>
      <c r="G428" s="284">
        <f t="shared" si="63"/>
        <v>63.86</v>
      </c>
      <c r="H428" s="284">
        <f t="shared" si="64"/>
        <v>191.58</v>
      </c>
      <c r="I428" s="312"/>
      <c r="J428" s="24"/>
      <c r="K428" s="197"/>
      <c r="L428" s="7"/>
      <c r="M428" s="35"/>
      <c r="N428" s="61"/>
      <c r="O428" s="35"/>
      <c r="P428" s="40"/>
      <c r="Q428" s="37"/>
      <c r="R428" s="4"/>
      <c r="S428" s="236">
        <v>3</v>
      </c>
      <c r="T428" s="236">
        <v>51.34</v>
      </c>
      <c r="U428" s="236">
        <v>64.680000000000007</v>
      </c>
      <c r="V428" s="236">
        <v>194.04</v>
      </c>
    </row>
    <row r="429" spans="1:22" s="52" customFormat="1" outlineLevel="1" x14ac:dyDescent="0.25">
      <c r="A429" s="282" t="s">
        <v>245</v>
      </c>
      <c r="B429" s="280">
        <v>93673</v>
      </c>
      <c r="C429" s="281" t="s">
        <v>147</v>
      </c>
      <c r="D429" s="282" t="s">
        <v>44</v>
      </c>
      <c r="E429" s="285">
        <v>3</v>
      </c>
      <c r="F429" s="283">
        <v>75.680000000000007</v>
      </c>
      <c r="G429" s="284">
        <f t="shared" si="63"/>
        <v>94.13</v>
      </c>
      <c r="H429" s="284">
        <f t="shared" si="64"/>
        <v>282.39</v>
      </c>
      <c r="I429" s="312"/>
      <c r="J429" s="24"/>
      <c r="K429" s="197"/>
      <c r="L429" s="7"/>
      <c r="M429" s="35"/>
      <c r="N429" s="61"/>
      <c r="O429" s="35"/>
      <c r="P429" s="40"/>
      <c r="Q429" s="37"/>
      <c r="R429" s="4"/>
      <c r="S429" s="236">
        <v>3</v>
      </c>
      <c r="T429" s="236">
        <v>75.680000000000007</v>
      </c>
      <c r="U429" s="236">
        <v>95.35</v>
      </c>
      <c r="V429" s="236">
        <v>286.05</v>
      </c>
    </row>
    <row r="430" spans="1:22" s="52" customFormat="1" outlineLevel="1" x14ac:dyDescent="0.25">
      <c r="A430" s="282" t="s">
        <v>246</v>
      </c>
      <c r="B430" s="280">
        <v>93667</v>
      </c>
      <c r="C430" s="281" t="s">
        <v>148</v>
      </c>
      <c r="D430" s="282" t="s">
        <v>44</v>
      </c>
      <c r="E430" s="285">
        <v>4</v>
      </c>
      <c r="F430" s="283">
        <v>58.47</v>
      </c>
      <c r="G430" s="284">
        <f t="shared" si="63"/>
        <v>72.73</v>
      </c>
      <c r="H430" s="284">
        <f t="shared" si="64"/>
        <v>290.92</v>
      </c>
      <c r="I430" s="312"/>
      <c r="J430" s="24"/>
      <c r="K430" s="197"/>
      <c r="L430" s="7"/>
      <c r="M430" s="35"/>
      <c r="N430" s="61"/>
      <c r="O430" s="35"/>
      <c r="P430" s="40"/>
      <c r="Q430" s="37"/>
      <c r="R430" s="4"/>
      <c r="S430" s="236">
        <v>4</v>
      </c>
      <c r="T430" s="236">
        <v>58.47</v>
      </c>
      <c r="U430" s="236">
        <v>73.67</v>
      </c>
      <c r="V430" s="236">
        <v>294.68</v>
      </c>
    </row>
    <row r="431" spans="1:22" s="52" customFormat="1" outlineLevel="1" x14ac:dyDescent="0.25">
      <c r="A431" s="282" t="s">
        <v>247</v>
      </c>
      <c r="B431" s="280">
        <v>93669</v>
      </c>
      <c r="C431" s="281" t="s">
        <v>149</v>
      </c>
      <c r="D431" s="282" t="s">
        <v>44</v>
      </c>
      <c r="E431" s="285">
        <v>4</v>
      </c>
      <c r="F431" s="283">
        <v>62.18</v>
      </c>
      <c r="G431" s="284">
        <f t="shared" si="63"/>
        <v>77.34</v>
      </c>
      <c r="H431" s="284">
        <f t="shared" si="64"/>
        <v>309.36</v>
      </c>
      <c r="I431" s="312"/>
      <c r="J431" s="24"/>
      <c r="K431" s="197"/>
      <c r="L431" s="7"/>
      <c r="M431" s="35"/>
      <c r="N431" s="61"/>
      <c r="O431" s="35"/>
      <c r="P431" s="40"/>
      <c r="Q431" s="37"/>
      <c r="R431" s="4"/>
      <c r="S431" s="236">
        <v>4</v>
      </c>
      <c r="T431" s="236">
        <v>62.18</v>
      </c>
      <c r="U431" s="236">
        <v>78.34</v>
      </c>
      <c r="V431" s="236">
        <v>313.36</v>
      </c>
    </row>
    <row r="432" spans="1:22" s="52" customFormat="1" ht="31.2" outlineLevel="1" x14ac:dyDescent="0.25">
      <c r="A432" s="282" t="s">
        <v>248</v>
      </c>
      <c r="B432" s="280" t="s">
        <v>351</v>
      </c>
      <c r="C432" s="281" t="s">
        <v>352</v>
      </c>
      <c r="D432" s="282" t="s">
        <v>44</v>
      </c>
      <c r="E432" s="285">
        <f t="shared" si="61"/>
        <v>2</v>
      </c>
      <c r="F432" s="283">
        <v>459.34</v>
      </c>
      <c r="G432" s="284">
        <f>TRUNC(F432*$J$13,2)</f>
        <v>571.37</v>
      </c>
      <c r="H432" s="284">
        <f>TRUNC(E432*G432,2)</f>
        <v>1142.74</v>
      </c>
      <c r="I432" s="559"/>
      <c r="J432" s="24">
        <v>2</v>
      </c>
      <c r="K432" s="197"/>
      <c r="L432" s="7"/>
      <c r="M432" s="35"/>
      <c r="N432" s="61"/>
      <c r="O432" s="35"/>
      <c r="P432" s="40"/>
      <c r="Q432" s="37"/>
      <c r="R432" s="4"/>
      <c r="S432" s="236">
        <v>2</v>
      </c>
      <c r="T432" s="236">
        <v>459.34</v>
      </c>
      <c r="U432" s="236">
        <v>578.76</v>
      </c>
      <c r="V432" s="236">
        <v>1157.52</v>
      </c>
    </row>
    <row r="433" spans="1:22" s="52" customFormat="1" ht="31.2" outlineLevel="1" x14ac:dyDescent="0.25">
      <c r="A433" s="282" t="s">
        <v>249</v>
      </c>
      <c r="B433" s="280" t="s">
        <v>153</v>
      </c>
      <c r="C433" s="281" t="s">
        <v>154</v>
      </c>
      <c r="D433" s="282" t="s">
        <v>44</v>
      </c>
      <c r="E433" s="285">
        <f t="shared" si="61"/>
        <v>1</v>
      </c>
      <c r="F433" s="283">
        <v>606.13</v>
      </c>
      <c r="G433" s="284">
        <f t="shared" si="60"/>
        <v>753.96</v>
      </c>
      <c r="H433" s="284">
        <f t="shared" si="62"/>
        <v>753.96</v>
      </c>
      <c r="I433" s="312"/>
      <c r="J433" s="24">
        <v>1</v>
      </c>
      <c r="K433" s="241">
        <f>(15.22-0.7-0.7)*2.6</f>
        <v>35.932000000000009</v>
      </c>
      <c r="L433" s="7"/>
      <c r="M433" s="35"/>
      <c r="N433" s="61"/>
      <c r="O433" s="35"/>
      <c r="P433" s="40"/>
      <c r="Q433" s="37"/>
      <c r="R433" s="4"/>
      <c r="S433" s="236">
        <v>1</v>
      </c>
      <c r="T433" s="236">
        <v>606.13</v>
      </c>
      <c r="U433" s="236">
        <v>763.72</v>
      </c>
      <c r="V433" s="236">
        <v>763.72</v>
      </c>
    </row>
    <row r="434" spans="1:22" s="52" customFormat="1" outlineLevel="1" x14ac:dyDescent="0.25">
      <c r="A434" s="282" t="s">
        <v>250</v>
      </c>
      <c r="B434" s="280">
        <v>91941</v>
      </c>
      <c r="C434" s="281" t="s">
        <v>150</v>
      </c>
      <c r="D434" s="282" t="s">
        <v>44</v>
      </c>
      <c r="E434" s="285">
        <f t="shared" si="61"/>
        <v>22</v>
      </c>
      <c r="F434" s="283">
        <v>6.8</v>
      </c>
      <c r="G434" s="284">
        <f t="shared" si="60"/>
        <v>8.4499999999999993</v>
      </c>
      <c r="H434" s="284">
        <f t="shared" si="62"/>
        <v>185.9</v>
      </c>
      <c r="I434" s="312"/>
      <c r="J434" s="24">
        <v>22</v>
      </c>
      <c r="K434" s="197"/>
      <c r="L434" s="7"/>
      <c r="M434" s="35"/>
      <c r="N434" s="61"/>
      <c r="O434" s="35"/>
      <c r="P434" s="40"/>
      <c r="Q434" s="37"/>
      <c r="R434" s="4"/>
      <c r="S434" s="236">
        <v>22</v>
      </c>
      <c r="T434" s="236">
        <v>6.8</v>
      </c>
      <c r="U434" s="236">
        <v>8.56</v>
      </c>
      <c r="V434" s="236">
        <v>188.32</v>
      </c>
    </row>
    <row r="435" spans="1:22" s="52" customFormat="1" ht="31.2" outlineLevel="1" x14ac:dyDescent="0.25">
      <c r="A435" s="282" t="s">
        <v>251</v>
      </c>
      <c r="B435" s="280" t="s">
        <v>158</v>
      </c>
      <c r="C435" s="281" t="s">
        <v>159</v>
      </c>
      <c r="D435" s="282" t="s">
        <v>55</v>
      </c>
      <c r="E435" s="285">
        <v>52</v>
      </c>
      <c r="F435" s="283">
        <f>'COMPOSIÇÃO SINAPI W MENDES'!G2758</f>
        <v>60.92</v>
      </c>
      <c r="G435" s="284">
        <f>TRUNC(F435*$J$13,2)</f>
        <v>75.77</v>
      </c>
      <c r="H435" s="284">
        <f>TRUNC(E435*G435,2)</f>
        <v>3940.04</v>
      </c>
      <c r="I435" s="312"/>
      <c r="J435" s="24"/>
      <c r="K435" s="197"/>
      <c r="L435" s="7"/>
      <c r="M435" s="35"/>
      <c r="N435" s="61"/>
      <c r="O435" s="35"/>
      <c r="P435" s="40"/>
      <c r="Q435" s="37"/>
      <c r="R435" s="4"/>
      <c r="S435" s="236">
        <v>52</v>
      </c>
      <c r="T435" s="236">
        <v>73.09</v>
      </c>
      <c r="U435" s="236">
        <v>92.09</v>
      </c>
      <c r="V435" s="236">
        <v>4788.68</v>
      </c>
    </row>
    <row r="436" spans="1:22" s="52" customFormat="1" outlineLevel="1" x14ac:dyDescent="0.25">
      <c r="A436" s="282" t="s">
        <v>702</v>
      </c>
      <c r="B436" s="280">
        <v>93008</v>
      </c>
      <c r="C436" s="281" t="s">
        <v>353</v>
      </c>
      <c r="D436" s="282" t="s">
        <v>55</v>
      </c>
      <c r="E436" s="285">
        <f t="shared" si="61"/>
        <v>45.28</v>
      </c>
      <c r="F436" s="283">
        <v>9.9</v>
      </c>
      <c r="G436" s="284">
        <f>TRUNC(F436*$J$13,2)</f>
        <v>12.31</v>
      </c>
      <c r="H436" s="284">
        <f>TRUNC(E436*G436,2)</f>
        <v>557.39</v>
      </c>
      <c r="I436" s="312"/>
      <c r="J436" s="24">
        <f>40.28+2.5+2.5</f>
        <v>45.28</v>
      </c>
      <c r="K436" s="197"/>
      <c r="L436" s="7"/>
      <c r="M436" s="35"/>
      <c r="N436" s="61"/>
      <c r="O436" s="35"/>
      <c r="P436" s="40"/>
      <c r="Q436" s="37"/>
      <c r="R436" s="4"/>
      <c r="S436" s="236">
        <v>45.28</v>
      </c>
      <c r="T436" s="236">
        <v>9.9</v>
      </c>
      <c r="U436" s="236">
        <v>12.47</v>
      </c>
      <c r="V436" s="236">
        <v>564.64</v>
      </c>
    </row>
    <row r="437" spans="1:22" s="52" customFormat="1" outlineLevel="1" x14ac:dyDescent="0.25">
      <c r="A437" s="279" t="s">
        <v>208</v>
      </c>
      <c r="B437" s="279"/>
      <c r="C437" s="294" t="s">
        <v>161</v>
      </c>
      <c r="D437" s="558"/>
      <c r="E437" s="294"/>
      <c r="F437" s="403"/>
      <c r="G437" s="296" t="s">
        <v>38</v>
      </c>
      <c r="H437" s="558"/>
      <c r="I437" s="559">
        <f>SUM(H438:H443)</f>
        <v>5186.76</v>
      </c>
      <c r="J437" s="24"/>
      <c r="K437" s="197"/>
      <c r="L437" s="317">
        <f>SUM(H438:H443)</f>
        <v>5186.76</v>
      </c>
      <c r="M437" s="35">
        <f>I437-L437</f>
        <v>0</v>
      </c>
      <c r="N437" s="61"/>
      <c r="O437" s="35"/>
      <c r="P437" s="40"/>
      <c r="Q437" s="37"/>
      <c r="R437" s="4"/>
    </row>
    <row r="438" spans="1:22" s="52" customFormat="1" ht="31.2" outlineLevel="1" x14ac:dyDescent="0.25">
      <c r="A438" s="282" t="s">
        <v>208</v>
      </c>
      <c r="B438" s="280">
        <v>91844</v>
      </c>
      <c r="C438" s="281" t="s">
        <v>354</v>
      </c>
      <c r="D438" s="282" t="s">
        <v>55</v>
      </c>
      <c r="E438" s="285">
        <f>J438</f>
        <v>60.949999999999989</v>
      </c>
      <c r="F438" s="283">
        <v>4.29</v>
      </c>
      <c r="G438" s="284">
        <f>TRUNC(F438*$J$13,2)</f>
        <v>5.33</v>
      </c>
      <c r="H438" s="284">
        <f>TRUNC(E438*G438,2)</f>
        <v>324.86</v>
      </c>
      <c r="I438" s="312"/>
      <c r="J438" s="24">
        <f>J443</f>
        <v>60.949999999999989</v>
      </c>
      <c r="K438" s="197"/>
      <c r="L438" s="7"/>
      <c r="M438" s="35"/>
      <c r="N438" s="61"/>
      <c r="O438" s="35"/>
      <c r="P438" s="40"/>
      <c r="Q438" s="37"/>
      <c r="R438" s="4"/>
      <c r="S438" s="236">
        <v>60.949999999999989</v>
      </c>
      <c r="T438" s="236">
        <v>4.29</v>
      </c>
      <c r="U438" s="236">
        <v>5.4</v>
      </c>
      <c r="V438" s="236">
        <v>329.13</v>
      </c>
    </row>
    <row r="439" spans="1:22" s="52" customFormat="1" outlineLevel="1" x14ac:dyDescent="0.25">
      <c r="A439" s="282" t="s">
        <v>252</v>
      </c>
      <c r="B439" s="280">
        <v>91941</v>
      </c>
      <c r="C439" s="281" t="s">
        <v>150</v>
      </c>
      <c r="D439" s="282" t="s">
        <v>44</v>
      </c>
      <c r="E439" s="285">
        <f>J439</f>
        <v>6</v>
      </c>
      <c r="F439" s="283">
        <v>6.8</v>
      </c>
      <c r="G439" s="284">
        <f>TRUNC(F439*$J$13,2)</f>
        <v>8.4499999999999993</v>
      </c>
      <c r="H439" s="284">
        <f>TRUNC(E439*G439,2)</f>
        <v>50.7</v>
      </c>
      <c r="I439" s="312"/>
      <c r="J439" s="24">
        <v>6</v>
      </c>
      <c r="K439" s="197"/>
      <c r="L439" s="7"/>
      <c r="M439" s="35"/>
      <c r="N439" s="61"/>
      <c r="O439" s="35"/>
      <c r="P439" s="40"/>
      <c r="Q439" s="37"/>
      <c r="R439" s="4"/>
      <c r="S439" s="236">
        <v>6</v>
      </c>
      <c r="T439" s="236">
        <v>6.8</v>
      </c>
      <c r="U439" s="236">
        <v>8.56</v>
      </c>
      <c r="V439" s="236">
        <v>51.36</v>
      </c>
    </row>
    <row r="440" spans="1:22" s="52" customFormat="1" outlineLevel="1" x14ac:dyDescent="0.25">
      <c r="A440" s="282" t="s">
        <v>209</v>
      </c>
      <c r="B440" s="280">
        <v>90447</v>
      </c>
      <c r="C440" s="281" t="s">
        <v>127</v>
      </c>
      <c r="D440" s="282" t="s">
        <v>55</v>
      </c>
      <c r="E440" s="285">
        <v>53</v>
      </c>
      <c r="F440" s="283">
        <v>4.45</v>
      </c>
      <c r="G440" s="284">
        <f t="shared" ref="G440:G442" si="65">TRUNC(F440*$J$13,2)</f>
        <v>5.53</v>
      </c>
      <c r="H440" s="284">
        <f t="shared" ref="H440:H442" si="66">TRUNC(E440*G440,2)</f>
        <v>293.08999999999997</v>
      </c>
      <c r="I440" s="312"/>
      <c r="J440" s="24"/>
      <c r="K440" s="197"/>
      <c r="L440" s="7"/>
      <c r="M440" s="35"/>
      <c r="N440" s="61"/>
      <c r="O440" s="35"/>
      <c r="P440" s="40"/>
      <c r="Q440" s="37"/>
      <c r="R440" s="4"/>
      <c r="S440" s="236">
        <v>53</v>
      </c>
      <c r="T440" s="236">
        <v>4.45</v>
      </c>
      <c r="U440" s="236">
        <v>5.6</v>
      </c>
      <c r="V440" s="236">
        <v>296.8</v>
      </c>
    </row>
    <row r="441" spans="1:22" s="52" customFormat="1" ht="31.2" outlineLevel="1" x14ac:dyDescent="0.25">
      <c r="A441" s="282" t="s">
        <v>253</v>
      </c>
      <c r="B441" s="280" t="s">
        <v>178</v>
      </c>
      <c r="C441" s="289" t="s">
        <v>179</v>
      </c>
      <c r="D441" s="282" t="s">
        <v>44</v>
      </c>
      <c r="E441" s="285">
        <v>1</v>
      </c>
      <c r="F441" s="283">
        <f>'COMPOSIÇÃO SINAPI W MENDES'!G5397</f>
        <v>1488.24</v>
      </c>
      <c r="G441" s="284">
        <f t="shared" si="65"/>
        <v>1851.22</v>
      </c>
      <c r="H441" s="284">
        <f t="shared" si="66"/>
        <v>1851.22</v>
      </c>
      <c r="I441" s="312"/>
      <c r="J441" s="24"/>
      <c r="K441" s="197"/>
      <c r="L441" s="7"/>
      <c r="M441" s="35"/>
      <c r="N441" s="61"/>
      <c r="O441" s="35"/>
      <c r="P441" s="40"/>
      <c r="Q441" s="37"/>
      <c r="R441" s="4"/>
      <c r="S441" s="236">
        <v>1</v>
      </c>
      <c r="T441" s="236">
        <v>1489.4</v>
      </c>
      <c r="U441" s="236">
        <v>1876.64</v>
      </c>
      <c r="V441" s="236">
        <v>1876.64</v>
      </c>
    </row>
    <row r="442" spans="1:22" s="52" customFormat="1" outlineLevel="1" x14ac:dyDescent="0.25">
      <c r="A442" s="282" t="s">
        <v>254</v>
      </c>
      <c r="B442" s="280">
        <v>98302</v>
      </c>
      <c r="C442" s="289" t="s">
        <v>174</v>
      </c>
      <c r="D442" s="282" t="s">
        <v>44</v>
      </c>
      <c r="E442" s="285">
        <v>4</v>
      </c>
      <c r="F442" s="283">
        <v>497.66</v>
      </c>
      <c r="G442" s="284">
        <f t="shared" si="65"/>
        <v>619.03</v>
      </c>
      <c r="H442" s="284">
        <f t="shared" si="66"/>
        <v>2476.12</v>
      </c>
      <c r="I442" s="312"/>
      <c r="J442" s="24"/>
      <c r="K442" s="197"/>
      <c r="L442" s="7"/>
      <c r="M442" s="35"/>
      <c r="N442" s="61"/>
      <c r="O442" s="35"/>
      <c r="P442" s="40"/>
      <c r="Q442" s="37"/>
      <c r="R442" s="4"/>
      <c r="S442" s="236">
        <v>4</v>
      </c>
      <c r="T442" s="236">
        <v>497.66</v>
      </c>
      <c r="U442" s="236">
        <v>627.04999999999995</v>
      </c>
      <c r="V442" s="236">
        <v>2508.1999999999998</v>
      </c>
    </row>
    <row r="443" spans="1:22" s="52" customFormat="1" outlineLevel="1" x14ac:dyDescent="0.25">
      <c r="A443" s="282" t="s">
        <v>255</v>
      </c>
      <c r="B443" s="292">
        <v>98296</v>
      </c>
      <c r="C443" s="291" t="s">
        <v>172</v>
      </c>
      <c r="D443" s="282" t="s">
        <v>55</v>
      </c>
      <c r="E443" s="285">
        <f>J443</f>
        <v>60.949999999999989</v>
      </c>
      <c r="F443" s="304">
        <v>2.52</v>
      </c>
      <c r="G443" s="284">
        <f>TRUNC(F443*$J$13,2)</f>
        <v>3.13</v>
      </c>
      <c r="H443" s="284">
        <f>TRUNC(E443*G443,2)</f>
        <v>190.77</v>
      </c>
      <c r="I443" s="312"/>
      <c r="J443" s="24">
        <f>2.9+0.8+2+10.32+0.8+2+13.74+0.8+2+1.48+2+10.33+0.8+2+6.98+2</f>
        <v>60.949999999999989</v>
      </c>
      <c r="K443" s="197"/>
      <c r="L443" s="7"/>
      <c r="M443" s="35"/>
      <c r="N443" s="61"/>
      <c r="O443" s="35"/>
      <c r="P443" s="40"/>
      <c r="Q443" s="37"/>
      <c r="R443" s="4"/>
      <c r="S443" s="236">
        <v>60.949999999999989</v>
      </c>
      <c r="T443" s="236">
        <v>2.52</v>
      </c>
      <c r="U443" s="236">
        <v>3.17</v>
      </c>
      <c r="V443" s="236">
        <v>193.21</v>
      </c>
    </row>
    <row r="444" spans="1:22" s="52" customFormat="1" outlineLevel="1" x14ac:dyDescent="0.25">
      <c r="A444" s="279" t="s">
        <v>211</v>
      </c>
      <c r="B444" s="279"/>
      <c r="C444" s="294" t="s">
        <v>187</v>
      </c>
      <c r="D444" s="558"/>
      <c r="E444" s="296"/>
      <c r="F444" s="403"/>
      <c r="G444" s="296" t="s">
        <v>38</v>
      </c>
      <c r="H444" s="558"/>
      <c r="I444" s="559">
        <f>SUM(H445:H466)</f>
        <v>10210.25</v>
      </c>
      <c r="J444" s="24"/>
      <c r="K444" s="197"/>
      <c r="L444" s="317">
        <f>SUM(H446:H466)</f>
        <v>10210.25</v>
      </c>
      <c r="M444" s="35">
        <f>I444-L444</f>
        <v>0</v>
      </c>
      <c r="N444" s="61"/>
      <c r="O444" s="35"/>
      <c r="P444" s="40"/>
      <c r="Q444" s="37"/>
      <c r="R444" s="4"/>
    </row>
    <row r="445" spans="1:22" s="52" customFormat="1" outlineLevel="1" x14ac:dyDescent="0.25">
      <c r="A445" s="279" t="s">
        <v>213</v>
      </c>
      <c r="B445" s="280"/>
      <c r="C445" s="294" t="s">
        <v>189</v>
      </c>
      <c r="D445" s="282"/>
      <c r="E445" s="288"/>
      <c r="F445" s="297"/>
      <c r="G445" s="288"/>
      <c r="H445" s="298"/>
      <c r="I445" s="312"/>
      <c r="J445" s="24"/>
      <c r="K445" s="197"/>
      <c r="L445" s="7"/>
      <c r="M445" s="35"/>
      <c r="N445" s="61"/>
      <c r="O445" s="35"/>
      <c r="P445" s="40"/>
      <c r="Q445" s="37"/>
      <c r="R445" s="4"/>
    </row>
    <row r="446" spans="1:22" s="52" customFormat="1" outlineLevel="1" x14ac:dyDescent="0.25">
      <c r="A446" s="282" t="s">
        <v>263</v>
      </c>
      <c r="B446" s="280">
        <v>90443</v>
      </c>
      <c r="C446" s="281" t="s">
        <v>190</v>
      </c>
      <c r="D446" s="282" t="s">
        <v>55</v>
      </c>
      <c r="E446" s="285">
        <f t="shared" ref="E446:E455" si="67">J446</f>
        <v>7</v>
      </c>
      <c r="F446" s="283">
        <v>8.9499999999999993</v>
      </c>
      <c r="G446" s="284">
        <f t="shared" ref="G446:G455" si="68">TRUNC(F446*$J$13,2)</f>
        <v>11.13</v>
      </c>
      <c r="H446" s="284">
        <f t="shared" ref="H446:H455" si="69">TRUNC(E446*G446,2)</f>
        <v>77.91</v>
      </c>
      <c r="I446" s="312"/>
      <c r="J446" s="24">
        <f>2.5*2.8</f>
        <v>7</v>
      </c>
      <c r="K446" s="197"/>
      <c r="L446" s="7"/>
      <c r="M446" s="35"/>
      <c r="N446" s="61"/>
      <c r="O446" s="35"/>
      <c r="P446" s="40"/>
      <c r="Q446" s="37"/>
      <c r="R446" s="4"/>
      <c r="S446" s="236">
        <v>7</v>
      </c>
      <c r="T446" s="236">
        <v>8.9499999999999993</v>
      </c>
      <c r="U446" s="236">
        <v>11.27</v>
      </c>
      <c r="V446" s="236">
        <v>78.89</v>
      </c>
    </row>
    <row r="447" spans="1:22" s="52" customFormat="1" outlineLevel="1" x14ac:dyDescent="0.25">
      <c r="A447" s="282" t="s">
        <v>264</v>
      </c>
      <c r="B447" s="280">
        <v>93358</v>
      </c>
      <c r="C447" s="281" t="s">
        <v>355</v>
      </c>
      <c r="D447" s="282" t="s">
        <v>41</v>
      </c>
      <c r="E447" s="285">
        <f t="shared" si="67"/>
        <v>1.236</v>
      </c>
      <c r="F447" s="283">
        <v>56.84</v>
      </c>
      <c r="G447" s="284">
        <f t="shared" si="68"/>
        <v>70.7</v>
      </c>
      <c r="H447" s="284">
        <f t="shared" si="69"/>
        <v>87.38</v>
      </c>
      <c r="I447" s="312"/>
      <c r="J447" s="24">
        <f>(5.01+2.23+1)*0.3*0.5</f>
        <v>1.236</v>
      </c>
      <c r="K447" s="197"/>
      <c r="L447" s="7"/>
      <c r="M447" s="35"/>
      <c r="N447" s="61"/>
      <c r="O447" s="35"/>
      <c r="P447" s="40"/>
      <c r="Q447" s="37"/>
      <c r="R447" s="4"/>
      <c r="S447" s="236">
        <v>1.236</v>
      </c>
      <c r="T447" s="236">
        <v>56.84</v>
      </c>
      <c r="U447" s="236">
        <v>71.61</v>
      </c>
      <c r="V447" s="236">
        <v>88.5</v>
      </c>
    </row>
    <row r="448" spans="1:22" s="52" customFormat="1" ht="31.2" outlineLevel="1" x14ac:dyDescent="0.25">
      <c r="A448" s="282" t="s">
        <v>265</v>
      </c>
      <c r="B448" s="280">
        <v>89707</v>
      </c>
      <c r="C448" s="281" t="s">
        <v>292</v>
      </c>
      <c r="D448" s="282" t="s">
        <v>44</v>
      </c>
      <c r="E448" s="285">
        <f t="shared" si="67"/>
        <v>3</v>
      </c>
      <c r="F448" s="283">
        <v>25.09</v>
      </c>
      <c r="G448" s="284">
        <f t="shared" si="68"/>
        <v>31.2</v>
      </c>
      <c r="H448" s="284">
        <f t="shared" si="69"/>
        <v>93.6</v>
      </c>
      <c r="I448" s="312"/>
      <c r="J448" s="24">
        <v>3</v>
      </c>
      <c r="K448" s="197"/>
      <c r="L448" s="7"/>
      <c r="M448" s="35"/>
      <c r="N448" s="61"/>
      <c r="O448" s="35"/>
      <c r="P448" s="40"/>
      <c r="Q448" s="37"/>
      <c r="R448" s="4"/>
      <c r="S448" s="236">
        <v>3</v>
      </c>
      <c r="T448" s="236">
        <v>25.09</v>
      </c>
      <c r="U448" s="236">
        <v>31.61</v>
      </c>
      <c r="V448" s="236">
        <v>94.83</v>
      </c>
    </row>
    <row r="449" spans="1:22" s="52" customFormat="1" ht="31.2" outlineLevel="1" x14ac:dyDescent="0.25">
      <c r="A449" s="282" t="s">
        <v>267</v>
      </c>
      <c r="B449" s="280">
        <v>95471</v>
      </c>
      <c r="C449" s="281" t="s">
        <v>280</v>
      </c>
      <c r="D449" s="282" t="s">
        <v>44</v>
      </c>
      <c r="E449" s="285">
        <f t="shared" si="67"/>
        <v>1</v>
      </c>
      <c r="F449" s="283">
        <v>611.63</v>
      </c>
      <c r="G449" s="284">
        <f t="shared" si="68"/>
        <v>760.8</v>
      </c>
      <c r="H449" s="284">
        <f t="shared" si="69"/>
        <v>760.8</v>
      </c>
      <c r="I449" s="312"/>
      <c r="J449" s="24">
        <v>1</v>
      </c>
      <c r="K449" s="197"/>
      <c r="L449" s="7"/>
      <c r="M449" s="35"/>
      <c r="N449" s="61"/>
      <c r="O449" s="35"/>
      <c r="P449" s="40"/>
      <c r="Q449" s="37"/>
      <c r="R449" s="4"/>
      <c r="S449" s="236">
        <v>1</v>
      </c>
      <c r="T449" s="236">
        <v>611.63</v>
      </c>
      <c r="U449" s="236">
        <v>770.65</v>
      </c>
      <c r="V449" s="236">
        <v>770.65</v>
      </c>
    </row>
    <row r="450" spans="1:22" s="52" customFormat="1" ht="31.2" outlineLevel="1" x14ac:dyDescent="0.25">
      <c r="A450" s="282" t="s">
        <v>269</v>
      </c>
      <c r="B450" s="280">
        <v>95470</v>
      </c>
      <c r="C450" s="281" t="s">
        <v>205</v>
      </c>
      <c r="D450" s="282" t="s">
        <v>44</v>
      </c>
      <c r="E450" s="285">
        <f t="shared" si="67"/>
        <v>4</v>
      </c>
      <c r="F450" s="283">
        <v>169.53</v>
      </c>
      <c r="G450" s="284">
        <f t="shared" si="68"/>
        <v>210.87</v>
      </c>
      <c r="H450" s="284">
        <f t="shared" si="69"/>
        <v>843.48</v>
      </c>
      <c r="I450" s="312"/>
      <c r="J450" s="24">
        <v>4</v>
      </c>
      <c r="K450" s="197"/>
      <c r="L450" s="7"/>
      <c r="M450" s="35"/>
      <c r="N450" s="61"/>
      <c r="O450" s="35"/>
      <c r="P450" s="40"/>
      <c r="Q450" s="37"/>
      <c r="R450" s="4"/>
      <c r="S450" s="236">
        <v>4</v>
      </c>
      <c r="T450" s="236">
        <v>169.53</v>
      </c>
      <c r="U450" s="236">
        <v>213.6</v>
      </c>
      <c r="V450" s="236">
        <v>854.4</v>
      </c>
    </row>
    <row r="451" spans="1:22" s="52" customFormat="1" outlineLevel="1" x14ac:dyDescent="0.25">
      <c r="A451" s="282" t="s">
        <v>270</v>
      </c>
      <c r="B451" s="286">
        <v>86889</v>
      </c>
      <c r="C451" s="281" t="s">
        <v>268</v>
      </c>
      <c r="D451" s="282" t="s">
        <v>44</v>
      </c>
      <c r="E451" s="285">
        <f t="shared" si="67"/>
        <v>3</v>
      </c>
      <c r="F451" s="283">
        <v>574.45000000000005</v>
      </c>
      <c r="G451" s="284">
        <f t="shared" si="68"/>
        <v>714.55</v>
      </c>
      <c r="H451" s="284">
        <f t="shared" si="69"/>
        <v>2143.65</v>
      </c>
      <c r="I451" s="312"/>
      <c r="J451" s="24">
        <v>3</v>
      </c>
      <c r="K451" s="197"/>
      <c r="L451" s="7"/>
      <c r="M451" s="35"/>
      <c r="N451" s="61"/>
      <c r="O451" s="35"/>
      <c r="P451" s="40"/>
      <c r="Q451" s="37"/>
      <c r="R451" s="4"/>
      <c r="S451" s="236">
        <v>3</v>
      </c>
      <c r="T451" s="236">
        <v>574.45000000000005</v>
      </c>
      <c r="U451" s="236">
        <v>723.8</v>
      </c>
      <c r="V451" s="236">
        <v>2171.4</v>
      </c>
    </row>
    <row r="452" spans="1:22" s="52" customFormat="1" outlineLevel="1" x14ac:dyDescent="0.25">
      <c r="A452" s="282" t="s">
        <v>271</v>
      </c>
      <c r="B452" s="280" t="s">
        <v>283</v>
      </c>
      <c r="C452" s="281" t="s">
        <v>284</v>
      </c>
      <c r="D452" s="282" t="s">
        <v>44</v>
      </c>
      <c r="E452" s="285">
        <f t="shared" si="67"/>
        <v>1</v>
      </c>
      <c r="F452" s="283">
        <f>'COMPOSIÇÃO SINAPI W MENDES'!G2860</f>
        <v>690.14</v>
      </c>
      <c r="G452" s="284">
        <f t="shared" si="68"/>
        <v>858.46</v>
      </c>
      <c r="H452" s="284">
        <f t="shared" si="69"/>
        <v>858.46</v>
      </c>
      <c r="I452" s="312"/>
      <c r="J452" s="24">
        <v>1</v>
      </c>
      <c r="K452" s="197"/>
      <c r="L452" s="7"/>
      <c r="M452" s="35"/>
      <c r="N452" s="61"/>
      <c r="O452" s="35"/>
      <c r="P452" s="40"/>
      <c r="Q452" s="37"/>
      <c r="R452" s="4"/>
      <c r="S452" s="236">
        <v>1</v>
      </c>
      <c r="T452" s="236">
        <v>690.19</v>
      </c>
      <c r="U452" s="236">
        <v>869.63</v>
      </c>
      <c r="V452" s="236">
        <v>869.63</v>
      </c>
    </row>
    <row r="453" spans="1:22" s="52" customFormat="1" outlineLevel="1" x14ac:dyDescent="0.25">
      <c r="A453" s="282" t="s">
        <v>272</v>
      </c>
      <c r="B453" s="280">
        <v>86901</v>
      </c>
      <c r="C453" s="281" t="s">
        <v>192</v>
      </c>
      <c r="D453" s="282" t="s">
        <v>44</v>
      </c>
      <c r="E453" s="285">
        <f t="shared" si="67"/>
        <v>4</v>
      </c>
      <c r="F453" s="283">
        <v>108.45</v>
      </c>
      <c r="G453" s="284">
        <f t="shared" si="68"/>
        <v>134.9</v>
      </c>
      <c r="H453" s="284">
        <f t="shared" si="69"/>
        <v>539.6</v>
      </c>
      <c r="I453" s="312"/>
      <c r="J453" s="24">
        <f>4</f>
        <v>4</v>
      </c>
      <c r="K453" s="197"/>
      <c r="L453" s="7"/>
      <c r="M453" s="35"/>
      <c r="N453" s="61"/>
      <c r="O453" s="35"/>
      <c r="P453" s="40"/>
      <c r="Q453" s="37"/>
      <c r="R453" s="4"/>
      <c r="S453" s="236">
        <v>4</v>
      </c>
      <c r="T453" s="236">
        <v>108.45</v>
      </c>
      <c r="U453" s="236">
        <v>136.63999999999999</v>
      </c>
      <c r="V453" s="236">
        <v>546.55999999999995</v>
      </c>
    </row>
    <row r="454" spans="1:22" s="52" customFormat="1" outlineLevel="1" x14ac:dyDescent="0.25">
      <c r="A454" s="282" t="s">
        <v>274</v>
      </c>
      <c r="B454" s="280">
        <v>86915</v>
      </c>
      <c r="C454" s="281" t="s">
        <v>193</v>
      </c>
      <c r="D454" s="282" t="s">
        <v>44</v>
      </c>
      <c r="E454" s="285">
        <f t="shared" si="67"/>
        <v>5</v>
      </c>
      <c r="F454" s="283">
        <v>84.78</v>
      </c>
      <c r="G454" s="284">
        <f t="shared" si="68"/>
        <v>105.45</v>
      </c>
      <c r="H454" s="284">
        <f t="shared" si="69"/>
        <v>527.25</v>
      </c>
      <c r="I454" s="312"/>
      <c r="J454" s="24">
        <v>5</v>
      </c>
      <c r="K454" s="197"/>
      <c r="L454" s="7"/>
      <c r="M454" s="35"/>
      <c r="N454" s="61"/>
      <c r="O454" s="35"/>
      <c r="P454" s="40"/>
      <c r="Q454" s="37"/>
      <c r="R454" s="4"/>
      <c r="S454" s="236">
        <v>5</v>
      </c>
      <c r="T454" s="236">
        <v>84.78</v>
      </c>
      <c r="U454" s="236">
        <v>106.82</v>
      </c>
      <c r="V454" s="236">
        <v>534.1</v>
      </c>
    </row>
    <row r="455" spans="1:22" s="52" customFormat="1" outlineLevel="1" x14ac:dyDescent="0.25">
      <c r="A455" s="282" t="s">
        <v>276</v>
      </c>
      <c r="B455" s="280">
        <v>99635</v>
      </c>
      <c r="C455" s="281" t="s">
        <v>194</v>
      </c>
      <c r="D455" s="282" t="s">
        <v>44</v>
      </c>
      <c r="E455" s="285">
        <f t="shared" si="67"/>
        <v>5</v>
      </c>
      <c r="F455" s="283">
        <v>184.35</v>
      </c>
      <c r="G455" s="284">
        <f t="shared" si="68"/>
        <v>229.31</v>
      </c>
      <c r="H455" s="284">
        <f t="shared" si="69"/>
        <v>1146.55</v>
      </c>
      <c r="I455" s="312"/>
      <c r="J455" s="24">
        <v>5</v>
      </c>
      <c r="K455" s="197"/>
      <c r="L455" s="7"/>
      <c r="M455" s="35"/>
      <c r="N455" s="61"/>
      <c r="O455" s="35"/>
      <c r="P455" s="40"/>
      <c r="Q455" s="37"/>
      <c r="R455" s="4"/>
      <c r="S455" s="236">
        <v>5</v>
      </c>
      <c r="T455" s="236">
        <v>184.35</v>
      </c>
      <c r="U455" s="236">
        <v>232.28</v>
      </c>
      <c r="V455" s="236">
        <v>1161.4000000000001</v>
      </c>
    </row>
    <row r="456" spans="1:22" s="52" customFormat="1" outlineLevel="1" x14ac:dyDescent="0.25">
      <c r="A456" s="279" t="s">
        <v>278</v>
      </c>
      <c r="B456" s="280"/>
      <c r="C456" s="294" t="s">
        <v>201</v>
      </c>
      <c r="D456" s="282"/>
      <c r="E456" s="285"/>
      <c r="F456" s="283"/>
      <c r="G456" s="284"/>
      <c r="H456" s="284"/>
      <c r="I456" s="312"/>
      <c r="J456" s="24"/>
      <c r="K456" s="197"/>
      <c r="L456" s="7"/>
      <c r="M456" s="35"/>
      <c r="N456" s="61"/>
      <c r="O456" s="35"/>
      <c r="P456" s="40"/>
      <c r="Q456" s="37"/>
      <c r="R456" s="4"/>
      <c r="S456" s="236"/>
      <c r="T456" s="236"/>
      <c r="U456" s="236"/>
      <c r="V456" s="236"/>
    </row>
    <row r="457" spans="1:22" s="52" customFormat="1" outlineLevel="1" x14ac:dyDescent="0.25">
      <c r="A457" s="282" t="s">
        <v>279</v>
      </c>
      <c r="B457" s="280">
        <v>95544</v>
      </c>
      <c r="C457" s="281" t="s">
        <v>202</v>
      </c>
      <c r="D457" s="282" t="s">
        <v>44</v>
      </c>
      <c r="E457" s="285">
        <f t="shared" ref="E457:E466" si="70">J457</f>
        <v>5</v>
      </c>
      <c r="F457" s="283">
        <v>30.21</v>
      </c>
      <c r="G457" s="284">
        <f t="shared" ref="G457:G466" si="71">TRUNC(F457*$J$13,2)</f>
        <v>37.57</v>
      </c>
      <c r="H457" s="284">
        <f t="shared" ref="H457:H466" si="72">TRUNC(E457*G457,2)</f>
        <v>187.85</v>
      </c>
      <c r="I457" s="312"/>
      <c r="J457" s="24">
        <v>5</v>
      </c>
      <c r="K457" s="197"/>
      <c r="L457" s="7"/>
      <c r="M457" s="35"/>
      <c r="N457" s="61"/>
      <c r="O457" s="35"/>
      <c r="P457" s="40"/>
      <c r="Q457" s="37"/>
      <c r="R457" s="4"/>
      <c r="S457" s="236">
        <v>5</v>
      </c>
      <c r="T457" s="236">
        <v>30.21</v>
      </c>
      <c r="U457" s="236">
        <v>38.06</v>
      </c>
      <c r="V457" s="236">
        <v>190.3</v>
      </c>
    </row>
    <row r="458" spans="1:22" s="52" customFormat="1" outlineLevel="1" x14ac:dyDescent="0.25">
      <c r="A458" s="282" t="s">
        <v>281</v>
      </c>
      <c r="B458" s="280">
        <v>95545</v>
      </c>
      <c r="C458" s="281" t="s">
        <v>357</v>
      </c>
      <c r="D458" s="282" t="s">
        <v>44</v>
      </c>
      <c r="E458" s="285">
        <f t="shared" si="70"/>
        <v>5</v>
      </c>
      <c r="F458" s="283">
        <v>29.63</v>
      </c>
      <c r="G458" s="284">
        <f t="shared" si="71"/>
        <v>36.85</v>
      </c>
      <c r="H458" s="284">
        <f t="shared" si="72"/>
        <v>184.25</v>
      </c>
      <c r="I458" s="312"/>
      <c r="J458" s="24">
        <v>5</v>
      </c>
      <c r="K458" s="197"/>
      <c r="L458" s="7"/>
      <c r="M458" s="35"/>
      <c r="N458" s="61"/>
      <c r="O458" s="35"/>
      <c r="P458" s="40"/>
      <c r="Q458" s="37"/>
      <c r="R458" s="4"/>
      <c r="S458" s="236">
        <v>5</v>
      </c>
      <c r="T458" s="236">
        <v>29.63</v>
      </c>
      <c r="U458" s="236">
        <v>37.33</v>
      </c>
      <c r="V458" s="236">
        <v>186.65</v>
      </c>
    </row>
    <row r="459" spans="1:22" s="52" customFormat="1" ht="31.2" outlineLevel="1" x14ac:dyDescent="0.25">
      <c r="A459" s="282" t="s">
        <v>282</v>
      </c>
      <c r="B459" s="280">
        <v>89714</v>
      </c>
      <c r="C459" s="281" t="s">
        <v>195</v>
      </c>
      <c r="D459" s="282" t="s">
        <v>55</v>
      </c>
      <c r="E459" s="285">
        <f t="shared" si="70"/>
        <v>6</v>
      </c>
      <c r="F459" s="283">
        <v>42.17</v>
      </c>
      <c r="G459" s="284">
        <f t="shared" si="71"/>
        <v>52.45</v>
      </c>
      <c r="H459" s="284">
        <f t="shared" si="72"/>
        <v>314.7</v>
      </c>
      <c r="I459" s="312"/>
      <c r="J459" s="24">
        <v>6</v>
      </c>
      <c r="K459" s="197"/>
      <c r="L459" s="7"/>
      <c r="M459" s="35"/>
      <c r="N459" s="61"/>
      <c r="O459" s="35"/>
      <c r="P459" s="40"/>
      <c r="Q459" s="37"/>
      <c r="R459" s="4"/>
      <c r="S459" s="236">
        <v>6</v>
      </c>
      <c r="T459" s="236">
        <v>42.17</v>
      </c>
      <c r="U459" s="236">
        <v>53.13</v>
      </c>
      <c r="V459" s="236">
        <v>318.77999999999997</v>
      </c>
    </row>
    <row r="460" spans="1:22" s="52" customFormat="1" ht="31.2" outlineLevel="1" x14ac:dyDescent="0.25">
      <c r="A460" s="282" t="s">
        <v>285</v>
      </c>
      <c r="B460" s="280">
        <v>89712</v>
      </c>
      <c r="C460" s="281" t="s">
        <v>196</v>
      </c>
      <c r="D460" s="282" t="s">
        <v>55</v>
      </c>
      <c r="E460" s="285">
        <f t="shared" si="70"/>
        <v>6</v>
      </c>
      <c r="F460" s="283">
        <v>21.1</v>
      </c>
      <c r="G460" s="284">
        <f t="shared" si="71"/>
        <v>26.24</v>
      </c>
      <c r="H460" s="284">
        <f t="shared" si="72"/>
        <v>157.44</v>
      </c>
      <c r="I460" s="312"/>
      <c r="J460" s="24">
        <v>6</v>
      </c>
      <c r="K460" s="197"/>
      <c r="L460" s="7"/>
      <c r="M460" s="35"/>
      <c r="N460" s="61"/>
      <c r="O460" s="35"/>
      <c r="P460" s="40"/>
      <c r="Q460" s="37"/>
      <c r="R460" s="4"/>
      <c r="S460" s="236">
        <v>6</v>
      </c>
      <c r="T460" s="236">
        <v>21.1</v>
      </c>
      <c r="U460" s="236">
        <v>26.58</v>
      </c>
      <c r="V460" s="236">
        <v>159.47999999999999</v>
      </c>
    </row>
    <row r="461" spans="1:22" s="52" customFormat="1" ht="31.2" outlineLevel="1" x14ac:dyDescent="0.25">
      <c r="A461" s="282" t="s">
        <v>287</v>
      </c>
      <c r="B461" s="280">
        <v>89567</v>
      </c>
      <c r="C461" s="281" t="s">
        <v>197</v>
      </c>
      <c r="D461" s="282" t="s">
        <v>44</v>
      </c>
      <c r="E461" s="285">
        <f t="shared" si="70"/>
        <v>1</v>
      </c>
      <c r="F461" s="283">
        <v>57.95</v>
      </c>
      <c r="G461" s="284">
        <f t="shared" si="71"/>
        <v>72.08</v>
      </c>
      <c r="H461" s="284">
        <f t="shared" si="72"/>
        <v>72.08</v>
      </c>
      <c r="I461" s="312"/>
      <c r="J461" s="24">
        <v>1</v>
      </c>
      <c r="K461" s="197"/>
      <c r="L461" s="7"/>
      <c r="M461" s="35"/>
      <c r="N461" s="61"/>
      <c r="O461" s="35"/>
      <c r="P461" s="40"/>
      <c r="Q461" s="37"/>
      <c r="R461" s="4"/>
      <c r="S461" s="236">
        <v>1</v>
      </c>
      <c r="T461" s="236">
        <v>57.95</v>
      </c>
      <c r="U461" s="236">
        <v>73.010000000000005</v>
      </c>
      <c r="V461" s="236">
        <v>73.010000000000005</v>
      </c>
    </row>
    <row r="462" spans="1:22" s="52" customFormat="1" outlineLevel="1" x14ac:dyDescent="0.25">
      <c r="A462" s="282" t="s">
        <v>289</v>
      </c>
      <c r="B462" s="280">
        <v>86881</v>
      </c>
      <c r="C462" s="281" t="s">
        <v>286</v>
      </c>
      <c r="D462" s="282" t="s">
        <v>44</v>
      </c>
      <c r="E462" s="285">
        <f t="shared" si="70"/>
        <v>5</v>
      </c>
      <c r="F462" s="283">
        <v>155.91999999999999</v>
      </c>
      <c r="G462" s="284">
        <f t="shared" si="71"/>
        <v>193.94</v>
      </c>
      <c r="H462" s="284">
        <f t="shared" si="72"/>
        <v>969.7</v>
      </c>
      <c r="I462" s="312"/>
      <c r="J462" s="24">
        <v>5</v>
      </c>
      <c r="K462" s="197"/>
      <c r="L462" s="7"/>
      <c r="M462" s="35"/>
      <c r="N462" s="61"/>
      <c r="O462" s="35"/>
      <c r="P462" s="40"/>
      <c r="Q462" s="37"/>
      <c r="R462" s="4"/>
      <c r="S462" s="236">
        <v>5</v>
      </c>
      <c r="T462" s="236">
        <v>155.91999999999999</v>
      </c>
      <c r="U462" s="236">
        <v>196.45</v>
      </c>
      <c r="V462" s="236">
        <v>982.25</v>
      </c>
    </row>
    <row r="463" spans="1:22" s="52" customFormat="1" outlineLevel="1" x14ac:dyDescent="0.25">
      <c r="A463" s="282" t="s">
        <v>291</v>
      </c>
      <c r="B463" s="280" t="s">
        <v>810</v>
      </c>
      <c r="C463" s="281" t="s">
        <v>808</v>
      </c>
      <c r="D463" s="295" t="s">
        <v>185</v>
      </c>
      <c r="E463" s="285">
        <v>2</v>
      </c>
      <c r="F463" s="283">
        <f>'COMPOSIÇÃO SINAPI W MENDES'!G2933</f>
        <v>234.28</v>
      </c>
      <c r="G463" s="284">
        <f>TRUNC(F463*$J$13,2)</f>
        <v>291.42</v>
      </c>
      <c r="H463" s="284">
        <f>TRUNC(E463*G463,2)</f>
        <v>582.84</v>
      </c>
      <c r="I463" s="312"/>
      <c r="J463" s="24"/>
      <c r="K463" s="197"/>
      <c r="L463" s="7"/>
      <c r="M463" s="35"/>
      <c r="N463" s="61"/>
      <c r="O463" s="35"/>
      <c r="P463" s="40"/>
      <c r="Q463" s="37"/>
      <c r="R463" s="4"/>
      <c r="S463" s="236">
        <v>2</v>
      </c>
      <c r="T463" s="236">
        <v>234.43</v>
      </c>
      <c r="U463" s="236">
        <v>295.38</v>
      </c>
      <c r="V463" s="236">
        <v>590.76</v>
      </c>
    </row>
    <row r="464" spans="1:22" s="52" customFormat="1" outlineLevel="1" x14ac:dyDescent="0.25">
      <c r="A464" s="282" t="s">
        <v>293</v>
      </c>
      <c r="B464" s="280" t="s">
        <v>811</v>
      </c>
      <c r="C464" s="281" t="s">
        <v>809</v>
      </c>
      <c r="D464" s="295" t="s">
        <v>185</v>
      </c>
      <c r="E464" s="285">
        <v>1</v>
      </c>
      <c r="F464" s="283">
        <f>'COMPOSIÇÃO SINAPI W MENDES'!G2939</f>
        <v>198.73999999999998</v>
      </c>
      <c r="G464" s="284">
        <f>TRUNC(F464*$J$13,2)</f>
        <v>247.21</v>
      </c>
      <c r="H464" s="284">
        <f>TRUNC(E464*G464,2)</f>
        <v>247.21</v>
      </c>
      <c r="I464" s="312"/>
      <c r="J464" s="24"/>
      <c r="K464" s="197"/>
      <c r="L464" s="7"/>
      <c r="M464" s="35"/>
      <c r="N464" s="61"/>
      <c r="O464" s="35"/>
      <c r="P464" s="40"/>
      <c r="Q464" s="37"/>
      <c r="R464" s="4"/>
      <c r="S464" s="236">
        <v>1</v>
      </c>
      <c r="T464" s="236">
        <v>198.89</v>
      </c>
      <c r="U464" s="236">
        <v>250.6</v>
      </c>
      <c r="V464" s="236">
        <v>250.6</v>
      </c>
    </row>
    <row r="465" spans="1:22" s="52" customFormat="1" ht="31.2" outlineLevel="1" x14ac:dyDescent="0.25">
      <c r="A465" s="282" t="s">
        <v>294</v>
      </c>
      <c r="B465" s="280">
        <v>86877</v>
      </c>
      <c r="C465" s="281" t="s">
        <v>288</v>
      </c>
      <c r="D465" s="282" t="s">
        <v>44</v>
      </c>
      <c r="E465" s="285">
        <f t="shared" si="70"/>
        <v>5</v>
      </c>
      <c r="F465" s="283">
        <v>25.76</v>
      </c>
      <c r="G465" s="284">
        <f t="shared" si="71"/>
        <v>32.04</v>
      </c>
      <c r="H465" s="284">
        <f t="shared" si="72"/>
        <v>160.19999999999999</v>
      </c>
      <c r="I465" s="312"/>
      <c r="J465" s="24">
        <v>5</v>
      </c>
      <c r="K465" s="197"/>
      <c r="L465" s="7"/>
      <c r="M465" s="35"/>
      <c r="N465" s="61"/>
      <c r="O465" s="35"/>
      <c r="P465" s="40"/>
      <c r="Q465" s="37"/>
      <c r="R465" s="4"/>
      <c r="S465" s="236">
        <v>5</v>
      </c>
      <c r="T465" s="236">
        <v>25.76</v>
      </c>
      <c r="U465" s="236">
        <v>32.450000000000003</v>
      </c>
      <c r="V465" s="236">
        <v>162.25</v>
      </c>
    </row>
    <row r="466" spans="1:22" s="52" customFormat="1" outlineLevel="1" x14ac:dyDescent="0.25">
      <c r="A466" s="282" t="s">
        <v>295</v>
      </c>
      <c r="B466" s="280">
        <v>86887</v>
      </c>
      <c r="C466" s="281" t="s">
        <v>290</v>
      </c>
      <c r="D466" s="282" t="s">
        <v>44</v>
      </c>
      <c r="E466" s="285">
        <f t="shared" si="70"/>
        <v>5</v>
      </c>
      <c r="F466" s="283">
        <v>41.05</v>
      </c>
      <c r="G466" s="284">
        <f t="shared" si="71"/>
        <v>51.06</v>
      </c>
      <c r="H466" s="284">
        <f t="shared" si="72"/>
        <v>255.3</v>
      </c>
      <c r="I466" s="312"/>
      <c r="J466" s="24">
        <v>5</v>
      </c>
      <c r="K466" s="197"/>
      <c r="L466" s="7"/>
      <c r="M466" s="35"/>
      <c r="N466" s="61"/>
      <c r="O466" s="35"/>
      <c r="P466" s="40"/>
      <c r="Q466" s="37"/>
      <c r="R466" s="4"/>
      <c r="S466" s="236">
        <v>5</v>
      </c>
      <c r="T466" s="236">
        <v>41.05</v>
      </c>
      <c r="U466" s="236">
        <v>51.72</v>
      </c>
      <c r="V466" s="236">
        <v>258.60000000000002</v>
      </c>
    </row>
    <row r="467" spans="1:22" s="52" customFormat="1" outlineLevel="1" x14ac:dyDescent="0.25">
      <c r="A467" s="279">
        <v>11</v>
      </c>
      <c r="B467" s="279"/>
      <c r="C467" s="294" t="s">
        <v>207</v>
      </c>
      <c r="D467" s="558"/>
      <c r="E467" s="294"/>
      <c r="F467" s="403"/>
      <c r="G467" s="296" t="s">
        <v>38</v>
      </c>
      <c r="H467" s="294"/>
      <c r="I467" s="559">
        <f>SUM(H468:H470)</f>
        <v>3802.91</v>
      </c>
      <c r="J467" s="24"/>
      <c r="K467" s="197"/>
      <c r="L467" s="317">
        <f>SUM(H467:H470)</f>
        <v>3802.91</v>
      </c>
      <c r="M467" s="35">
        <f>I467-L467</f>
        <v>0</v>
      </c>
      <c r="N467" s="61"/>
      <c r="O467" s="35"/>
      <c r="P467" s="40"/>
      <c r="Q467" s="37"/>
      <c r="R467" s="4"/>
    </row>
    <row r="468" spans="1:22" s="52" customFormat="1" outlineLevel="1" x14ac:dyDescent="0.25">
      <c r="A468" s="282" t="s">
        <v>300</v>
      </c>
      <c r="B468" s="280">
        <v>72178</v>
      </c>
      <c r="C468" s="281" t="s">
        <v>50</v>
      </c>
      <c r="D468" s="282" t="s">
        <v>24</v>
      </c>
      <c r="E468" s="285">
        <v>32</v>
      </c>
      <c r="F468" s="283">
        <v>22.6</v>
      </c>
      <c r="G468" s="284">
        <f>TRUNC(F468*$J$13,2)</f>
        <v>28.11</v>
      </c>
      <c r="H468" s="284">
        <f>TRUNC(E468*G468,2)</f>
        <v>899.52</v>
      </c>
      <c r="I468" s="297"/>
      <c r="J468" s="24"/>
      <c r="K468" s="197"/>
      <c r="L468" s="7"/>
      <c r="M468" s="35"/>
      <c r="N468" s="61"/>
      <c r="O468" s="35"/>
      <c r="P468" s="40"/>
      <c r="Q468" s="37"/>
      <c r="R468" s="4"/>
      <c r="S468" s="236">
        <v>32</v>
      </c>
      <c r="T468" s="236">
        <v>22.6</v>
      </c>
      <c r="U468" s="236">
        <v>28.47</v>
      </c>
      <c r="V468" s="236">
        <v>911.04</v>
      </c>
    </row>
    <row r="469" spans="1:22" s="52" customFormat="1" ht="31.2" outlineLevel="1" x14ac:dyDescent="0.25">
      <c r="A469" s="282" t="s">
        <v>707</v>
      </c>
      <c r="B469" s="280">
        <v>72181</v>
      </c>
      <c r="C469" s="291" t="s">
        <v>210</v>
      </c>
      <c r="D469" s="282" t="s">
        <v>24</v>
      </c>
      <c r="E469" s="288">
        <v>32</v>
      </c>
      <c r="F469" s="297">
        <v>28.84</v>
      </c>
      <c r="G469" s="298">
        <f>TRUNC(F469*$J$13,2)</f>
        <v>35.869999999999997</v>
      </c>
      <c r="H469" s="298">
        <f>TRUNC(E469*G469,2)</f>
        <v>1147.8399999999999</v>
      </c>
      <c r="I469" s="297"/>
      <c r="J469" s="24"/>
      <c r="K469" s="197"/>
      <c r="L469" s="7"/>
      <c r="M469" s="35"/>
      <c r="N469" s="61"/>
      <c r="O469" s="35"/>
      <c r="P469" s="40"/>
      <c r="Q469" s="37"/>
      <c r="R469" s="4"/>
      <c r="S469" s="236">
        <v>32</v>
      </c>
      <c r="T469" s="236">
        <v>28.84</v>
      </c>
      <c r="U469" s="236">
        <v>36.33</v>
      </c>
      <c r="V469" s="236">
        <v>1162.56</v>
      </c>
    </row>
    <row r="470" spans="1:22" s="52" customFormat="1" outlineLevel="1" x14ac:dyDescent="0.25">
      <c r="A470" s="282" t="s">
        <v>301</v>
      </c>
      <c r="B470" s="280">
        <v>98555</v>
      </c>
      <c r="C470" s="289" t="s">
        <v>359</v>
      </c>
      <c r="D470" s="282" t="s">
        <v>305</v>
      </c>
      <c r="E470" s="288">
        <f>J470</f>
        <v>73.949399999999997</v>
      </c>
      <c r="F470" s="297">
        <v>19.09</v>
      </c>
      <c r="G470" s="298">
        <f>TRUNC(F470*$J$13,2)</f>
        <v>23.74</v>
      </c>
      <c r="H470" s="298">
        <f>TRUNC(E470*G470,2)</f>
        <v>1755.55</v>
      </c>
      <c r="I470" s="297"/>
      <c r="J470" s="24">
        <f>11.34*0.6+(10.22+10.22)*0.9/2+(11.34*10.22/2)</f>
        <v>73.949399999999997</v>
      </c>
      <c r="K470" s="197"/>
      <c r="L470" s="7"/>
      <c r="M470" s="35"/>
      <c r="N470" s="61"/>
      <c r="O470" s="35"/>
      <c r="P470" s="40"/>
      <c r="Q470" s="37"/>
      <c r="R470" s="4"/>
      <c r="S470" s="236">
        <v>73.949399999999997</v>
      </c>
      <c r="T470" s="236">
        <v>19.09</v>
      </c>
      <c r="U470" s="236">
        <v>24.05</v>
      </c>
      <c r="V470" s="236">
        <v>1778.48</v>
      </c>
    </row>
    <row r="471" spans="1:22" s="52" customFormat="1" outlineLevel="1" x14ac:dyDescent="0.25">
      <c r="A471" s="279">
        <v>12</v>
      </c>
      <c r="B471" s="296"/>
      <c r="C471" s="294" t="s">
        <v>212</v>
      </c>
      <c r="D471" s="558"/>
      <c r="E471" s="294"/>
      <c r="F471" s="403"/>
      <c r="G471" s="294"/>
      <c r="H471" s="558"/>
      <c r="I471" s="404">
        <f>SUM(H472:H472)</f>
        <v>16534.8</v>
      </c>
      <c r="J471" s="24"/>
      <c r="K471" s="197"/>
      <c r="L471" s="317">
        <f>SUM(H472)</f>
        <v>16534.8</v>
      </c>
      <c r="M471" s="35">
        <f>I471-L471</f>
        <v>0</v>
      </c>
      <c r="N471" s="61"/>
      <c r="O471" s="35"/>
      <c r="P471" s="40"/>
      <c r="Q471" s="37"/>
      <c r="R471" s="4"/>
    </row>
    <row r="472" spans="1:22" s="52" customFormat="1" outlineLevel="1" x14ac:dyDescent="0.25">
      <c r="A472" s="282" t="s">
        <v>388</v>
      </c>
      <c r="B472" s="280">
        <v>96114</v>
      </c>
      <c r="C472" s="289" t="s">
        <v>639</v>
      </c>
      <c r="D472" s="282" t="s">
        <v>24</v>
      </c>
      <c r="E472" s="285">
        <v>270</v>
      </c>
      <c r="F472" s="283">
        <f>'COMPOSIÇÃO SINAPI W MENDES'!G2985</f>
        <v>49.239999999999995</v>
      </c>
      <c r="G472" s="284">
        <f>TRUNC(F472*$J$13,2)</f>
        <v>61.24</v>
      </c>
      <c r="H472" s="284">
        <f>TRUNC(E472*G472,2)</f>
        <v>16534.8</v>
      </c>
      <c r="I472" s="297"/>
      <c r="J472" s="24"/>
      <c r="K472" s="197"/>
      <c r="L472" s="7"/>
      <c r="M472" s="35"/>
      <c r="N472" s="61"/>
      <c r="O472" s="35"/>
      <c r="P472" s="40"/>
      <c r="Q472" s="37"/>
      <c r="R472" s="4"/>
      <c r="S472" s="495">
        <v>270</v>
      </c>
      <c r="T472" s="495">
        <v>56.98</v>
      </c>
      <c r="U472" s="198">
        <f>TRUNC(T472*$J$13,2)</f>
        <v>70.87</v>
      </c>
      <c r="V472" s="198">
        <f>TRUNC(S472*U472,2)</f>
        <v>19134.900000000001</v>
      </c>
    </row>
    <row r="473" spans="1:22" s="52" customFormat="1" x14ac:dyDescent="0.25">
      <c r="A473" s="282"/>
      <c r="B473" s="280"/>
      <c r="C473" s="289"/>
      <c r="D473" s="282"/>
      <c r="E473" s="296"/>
      <c r="F473" s="297"/>
      <c r="G473" s="288"/>
      <c r="H473" s="298"/>
      <c r="I473" s="297"/>
      <c r="J473" s="24"/>
      <c r="K473" s="197"/>
      <c r="L473" s="7"/>
      <c r="M473" s="35"/>
      <c r="N473" s="61"/>
      <c r="O473" s="35"/>
      <c r="P473" s="40"/>
      <c r="Q473" s="37"/>
      <c r="R473" s="4"/>
    </row>
    <row r="474" spans="1:22" s="52" customFormat="1" x14ac:dyDescent="0.25">
      <c r="A474" s="554" t="s">
        <v>360</v>
      </c>
      <c r="B474" s="551"/>
      <c r="C474" s="555"/>
      <c r="D474" s="558"/>
      <c r="E474" s="555"/>
      <c r="F474" s="556"/>
      <c r="G474" s="296" t="s">
        <v>19</v>
      </c>
      <c r="H474" s="555"/>
      <c r="I474" s="400">
        <f>SUM(I475:I584)</f>
        <v>190226.16</v>
      </c>
      <c r="J474" s="17"/>
      <c r="K474" s="227"/>
      <c r="L474" s="7"/>
      <c r="M474" s="35"/>
      <c r="N474" s="61"/>
      <c r="O474" s="35"/>
      <c r="P474" s="40"/>
      <c r="Q474" s="37"/>
      <c r="R474" s="4"/>
    </row>
    <row r="475" spans="1:22" s="52" customFormat="1" outlineLevel="1" x14ac:dyDescent="0.25">
      <c r="A475" s="279" t="s">
        <v>20</v>
      </c>
      <c r="B475" s="279"/>
      <c r="C475" s="576" t="s">
        <v>37</v>
      </c>
      <c r="D475" s="558"/>
      <c r="E475" s="294"/>
      <c r="F475" s="403"/>
      <c r="G475" s="294"/>
      <c r="H475" s="558"/>
      <c r="I475" s="404">
        <f>SUM(H476:H482)</f>
        <v>2683.9700000000003</v>
      </c>
      <c r="J475" s="17"/>
      <c r="K475" s="227"/>
      <c r="L475" s="317">
        <f>SUM(H476:H482)</f>
        <v>2683.9700000000003</v>
      </c>
      <c r="M475" s="35">
        <f>I475-L475</f>
        <v>0</v>
      </c>
      <c r="N475" s="61"/>
      <c r="O475" s="35"/>
      <c r="P475" s="40"/>
      <c r="Q475" s="37"/>
      <c r="R475" s="4"/>
    </row>
    <row r="476" spans="1:22" s="52" customFormat="1" outlineLevel="1" x14ac:dyDescent="0.25">
      <c r="A476" s="282" t="s">
        <v>22</v>
      </c>
      <c r="B476" s="286">
        <v>97622</v>
      </c>
      <c r="C476" s="281" t="s">
        <v>303</v>
      </c>
      <c r="D476" s="282" t="s">
        <v>304</v>
      </c>
      <c r="E476" s="285">
        <f t="shared" ref="E476:E482" si="73">J476</f>
        <v>7.3344000000000005</v>
      </c>
      <c r="F476" s="283">
        <v>37.39</v>
      </c>
      <c r="G476" s="298">
        <f>TRUNC(F476*$J$13,2)</f>
        <v>46.5</v>
      </c>
      <c r="H476" s="298">
        <f>TRUNC(E476*G476,2)</f>
        <v>341.04</v>
      </c>
      <c r="I476" s="404"/>
      <c r="J476" s="17">
        <f>(5.33+5.23+1.18+3.54)*3.2*0.15</f>
        <v>7.3344000000000005</v>
      </c>
      <c r="K476" s="227"/>
      <c r="L476" s="7"/>
      <c r="M476" s="35"/>
      <c r="N476" s="61"/>
      <c r="O476" s="35"/>
      <c r="P476" s="40"/>
      <c r="Q476" s="37"/>
      <c r="R476" s="4"/>
      <c r="S476" s="236">
        <v>7.3344000000000005</v>
      </c>
      <c r="T476" s="236">
        <v>37.39</v>
      </c>
      <c r="U476" s="236">
        <v>47.11</v>
      </c>
      <c r="V476" s="236">
        <v>345.52</v>
      </c>
    </row>
    <row r="477" spans="1:22" s="52" customFormat="1" outlineLevel="1" x14ac:dyDescent="0.25">
      <c r="A477" s="282" t="s">
        <v>25</v>
      </c>
      <c r="B477" s="286">
        <v>97633</v>
      </c>
      <c r="C477" s="281" t="s">
        <v>42</v>
      </c>
      <c r="D477" s="287" t="s">
        <v>305</v>
      </c>
      <c r="E477" s="299">
        <f t="shared" si="73"/>
        <v>62.879999999999995</v>
      </c>
      <c r="F477" s="283">
        <v>14.85</v>
      </c>
      <c r="G477" s="298">
        <f t="shared" ref="G477:G482" si="74">TRUNC(F477*$J$13,2)</f>
        <v>18.47</v>
      </c>
      <c r="H477" s="298">
        <f t="shared" ref="H477:H482" si="75">TRUNC(E477*G477,2)</f>
        <v>1161.3900000000001</v>
      </c>
      <c r="I477" s="404"/>
      <c r="J477" s="17">
        <f>(9.83+9.82)*3.2</f>
        <v>62.879999999999995</v>
      </c>
      <c r="K477" s="227"/>
      <c r="L477" s="7"/>
      <c r="M477" s="35"/>
      <c r="N477" s="61"/>
      <c r="O477" s="35"/>
      <c r="P477" s="40"/>
      <c r="Q477" s="37"/>
      <c r="R477" s="4"/>
      <c r="S477" s="236">
        <v>62.879999999999995</v>
      </c>
      <c r="T477" s="236">
        <v>14.85</v>
      </c>
      <c r="U477" s="236">
        <v>18.71</v>
      </c>
      <c r="V477" s="236">
        <v>1176.48</v>
      </c>
    </row>
    <row r="478" spans="1:22" s="52" customFormat="1" outlineLevel="1" x14ac:dyDescent="0.25">
      <c r="A478" s="282" t="s">
        <v>56</v>
      </c>
      <c r="B478" s="286" t="s">
        <v>356</v>
      </c>
      <c r="C478" s="288" t="s">
        <v>49</v>
      </c>
      <c r="D478" s="287" t="s">
        <v>305</v>
      </c>
      <c r="E478" s="299">
        <f t="shared" si="73"/>
        <v>15.552000000000001</v>
      </c>
      <c r="F478" s="283">
        <f>'COMPOSIÇÃO SINAPI W MENDES'!G3001</f>
        <v>16.200000000000003</v>
      </c>
      <c r="G478" s="298">
        <f t="shared" si="74"/>
        <v>20.149999999999999</v>
      </c>
      <c r="H478" s="298">
        <f t="shared" si="75"/>
        <v>313.37</v>
      </c>
      <c r="I478" s="404"/>
      <c r="J478" s="17">
        <f>(4.32+4.32)*1.8</f>
        <v>15.552000000000001</v>
      </c>
      <c r="K478" s="227"/>
      <c r="L478" s="7"/>
      <c r="M478" s="35"/>
      <c r="N478" s="61"/>
      <c r="O478" s="35"/>
      <c r="P478" s="40"/>
      <c r="Q478" s="37"/>
      <c r="R478" s="4"/>
      <c r="S478" s="236">
        <v>15.552000000000001</v>
      </c>
      <c r="T478" s="236">
        <v>16.420000000000002</v>
      </c>
      <c r="U478" s="236">
        <v>20.68</v>
      </c>
      <c r="V478" s="236">
        <v>321.61</v>
      </c>
    </row>
    <row r="479" spans="1:22" s="52" customFormat="1" outlineLevel="1" x14ac:dyDescent="0.25">
      <c r="A479" s="282" t="s">
        <v>216</v>
      </c>
      <c r="B479" s="286" t="s">
        <v>39</v>
      </c>
      <c r="C479" s="288" t="s">
        <v>40</v>
      </c>
      <c r="D479" s="282" t="s">
        <v>41</v>
      </c>
      <c r="E479" s="299">
        <f t="shared" si="73"/>
        <v>2.1189999999999998</v>
      </c>
      <c r="F479" s="283">
        <f>'COMPOSIÇÃO SINAPI W MENDES'!G3006</f>
        <v>209.74</v>
      </c>
      <c r="G479" s="298">
        <f t="shared" si="74"/>
        <v>260.89</v>
      </c>
      <c r="H479" s="298">
        <f t="shared" si="75"/>
        <v>552.82000000000005</v>
      </c>
      <c r="I479" s="404"/>
      <c r="J479" s="17">
        <f>(4.34+18.38+9.83+9.83)*0.05</f>
        <v>2.1189999999999998</v>
      </c>
      <c r="K479" s="227"/>
      <c r="L479" s="7"/>
      <c r="M479" s="35"/>
      <c r="N479" s="61"/>
      <c r="O479" s="35"/>
      <c r="P479" s="40"/>
      <c r="Q479" s="37"/>
      <c r="R479" s="4"/>
      <c r="S479" s="236">
        <v>2.1189999999999998</v>
      </c>
      <c r="T479" s="236">
        <v>216.76</v>
      </c>
      <c r="U479" s="236">
        <v>273.11</v>
      </c>
      <c r="V479" s="236">
        <v>578.72</v>
      </c>
    </row>
    <row r="480" spans="1:22" s="52" customFormat="1" outlineLevel="1" x14ac:dyDescent="0.25">
      <c r="A480" s="282" t="s">
        <v>217</v>
      </c>
      <c r="B480" s="286">
        <v>97644</v>
      </c>
      <c r="C480" s="288" t="s">
        <v>43</v>
      </c>
      <c r="D480" s="282" t="s">
        <v>305</v>
      </c>
      <c r="E480" s="288">
        <f t="shared" si="73"/>
        <v>23.520000000000003</v>
      </c>
      <c r="F480" s="283">
        <v>6.04</v>
      </c>
      <c r="G480" s="298">
        <f t="shared" si="74"/>
        <v>7.51</v>
      </c>
      <c r="H480" s="298">
        <f t="shared" si="75"/>
        <v>176.63</v>
      </c>
      <c r="I480" s="404"/>
      <c r="J480" s="17">
        <f>14*0.8*2.1</f>
        <v>23.520000000000003</v>
      </c>
      <c r="K480" s="227"/>
      <c r="L480" s="7"/>
      <c r="M480" s="35"/>
      <c r="N480" s="61"/>
      <c r="O480" s="35"/>
      <c r="P480" s="40"/>
      <c r="Q480" s="37"/>
      <c r="R480" s="4"/>
      <c r="S480" s="236">
        <v>23.520000000000003</v>
      </c>
      <c r="T480" s="236">
        <v>6.04</v>
      </c>
      <c r="U480" s="236">
        <v>7.61</v>
      </c>
      <c r="V480" s="236">
        <v>178.98</v>
      </c>
    </row>
    <row r="481" spans="1:22" s="52" customFormat="1" outlineLevel="1" x14ac:dyDescent="0.25">
      <c r="A481" s="282" t="s">
        <v>219</v>
      </c>
      <c r="B481" s="286">
        <v>97663</v>
      </c>
      <c r="C481" s="288" t="s">
        <v>45</v>
      </c>
      <c r="D481" s="287" t="s">
        <v>44</v>
      </c>
      <c r="E481" s="299">
        <f t="shared" si="73"/>
        <v>8</v>
      </c>
      <c r="F481" s="283">
        <v>8.07</v>
      </c>
      <c r="G481" s="298">
        <f t="shared" si="74"/>
        <v>10.029999999999999</v>
      </c>
      <c r="H481" s="298">
        <f t="shared" si="75"/>
        <v>80.239999999999995</v>
      </c>
      <c r="I481" s="404"/>
      <c r="J481" s="17">
        <v>8</v>
      </c>
      <c r="K481" s="227"/>
      <c r="L481" s="7"/>
      <c r="M481" s="35"/>
      <c r="N481" s="61"/>
      <c r="O481" s="35"/>
      <c r="P481" s="40"/>
      <c r="Q481" s="37"/>
      <c r="R481" s="4"/>
      <c r="S481" s="236">
        <v>8</v>
      </c>
      <c r="T481" s="236">
        <v>8.07</v>
      </c>
      <c r="U481" s="236">
        <v>10.16</v>
      </c>
      <c r="V481" s="236">
        <v>81.28</v>
      </c>
    </row>
    <row r="482" spans="1:22" s="52" customFormat="1" outlineLevel="1" x14ac:dyDescent="0.25">
      <c r="A482" s="282" t="s">
        <v>220</v>
      </c>
      <c r="B482" s="286">
        <v>97666</v>
      </c>
      <c r="C482" s="281" t="s">
        <v>46</v>
      </c>
      <c r="D482" s="287" t="s">
        <v>44</v>
      </c>
      <c r="E482" s="299">
        <f t="shared" si="73"/>
        <v>8</v>
      </c>
      <c r="F482" s="283">
        <v>5.88</v>
      </c>
      <c r="G482" s="298">
        <f t="shared" si="74"/>
        <v>7.31</v>
      </c>
      <c r="H482" s="298">
        <f t="shared" si="75"/>
        <v>58.48</v>
      </c>
      <c r="I482" s="404"/>
      <c r="J482" s="17">
        <v>8</v>
      </c>
      <c r="K482" s="227"/>
      <c r="L482" s="7"/>
      <c r="M482" s="35"/>
      <c r="N482" s="61"/>
      <c r="O482" s="35"/>
      <c r="P482" s="40"/>
      <c r="Q482" s="37"/>
      <c r="R482" s="4"/>
      <c r="S482" s="236">
        <v>8</v>
      </c>
      <c r="T482" s="236">
        <v>5.88</v>
      </c>
      <c r="U482" s="236">
        <v>7.4</v>
      </c>
      <c r="V482" s="236">
        <v>59.2</v>
      </c>
    </row>
    <row r="483" spans="1:22" s="52" customFormat="1" outlineLevel="1" x14ac:dyDescent="0.25">
      <c r="A483" s="279" t="s">
        <v>60</v>
      </c>
      <c r="B483" s="279"/>
      <c r="C483" s="294" t="s">
        <v>51</v>
      </c>
      <c r="D483" s="558"/>
      <c r="E483" s="294"/>
      <c r="F483" s="403"/>
      <c r="G483" s="294"/>
      <c r="H483" s="558"/>
      <c r="I483" s="404">
        <f>SUM(H484:H485)</f>
        <v>14786.29</v>
      </c>
      <c r="J483" s="24"/>
      <c r="K483" s="235"/>
      <c r="L483" s="317">
        <f>SUM(H484:H485)</f>
        <v>14786.29</v>
      </c>
      <c r="M483" s="35">
        <f>I483-L483</f>
        <v>0</v>
      </c>
      <c r="N483" s="61"/>
      <c r="O483" s="35"/>
      <c r="P483" s="40"/>
      <c r="Q483" s="37"/>
      <c r="R483" s="4"/>
    </row>
    <row r="484" spans="1:22" s="52" customFormat="1" ht="46.8" outlineLevel="1" x14ac:dyDescent="0.25">
      <c r="A484" s="282" t="s">
        <v>64</v>
      </c>
      <c r="B484" s="280">
        <v>90843</v>
      </c>
      <c r="C484" s="281" t="s">
        <v>53</v>
      </c>
      <c r="D484" s="282" t="s">
        <v>44</v>
      </c>
      <c r="E484" s="285">
        <f>J484</f>
        <v>14</v>
      </c>
      <c r="F484" s="283">
        <f>'COMPOSIÇÃO SINAPI W MENDES'!G3029</f>
        <v>640</v>
      </c>
      <c r="G484" s="284">
        <f>TRUNC(F484*$J$13,2)</f>
        <v>796.09</v>
      </c>
      <c r="H484" s="284">
        <f>TRUNC(E484*G484,2)</f>
        <v>11145.26</v>
      </c>
      <c r="I484" s="297"/>
      <c r="J484" s="24">
        <f>14</f>
        <v>14</v>
      </c>
      <c r="K484" s="240" t="s">
        <v>361</v>
      </c>
      <c r="L484" s="7">
        <v>14</v>
      </c>
      <c r="M484" s="35"/>
      <c r="N484" s="61"/>
      <c r="O484" s="35"/>
      <c r="P484" s="40"/>
      <c r="Q484" s="37"/>
      <c r="R484" s="4"/>
      <c r="S484" s="236">
        <v>14</v>
      </c>
      <c r="T484" s="236">
        <v>742.69</v>
      </c>
      <c r="U484" s="236">
        <v>935.78</v>
      </c>
      <c r="V484" s="236">
        <v>13100.92</v>
      </c>
    </row>
    <row r="485" spans="1:22" s="52" customFormat="1" ht="31.2" outlineLevel="1" x14ac:dyDescent="0.25">
      <c r="A485" s="282" t="s">
        <v>69</v>
      </c>
      <c r="B485" s="280">
        <v>91338</v>
      </c>
      <c r="C485" s="281" t="s">
        <v>57</v>
      </c>
      <c r="D485" s="282" t="s">
        <v>24</v>
      </c>
      <c r="E485" s="285">
        <f>J485</f>
        <v>3.3600000000000003</v>
      </c>
      <c r="F485" s="283">
        <f>'COMPOSIÇÃO SINAPI W MENDES'!G3038</f>
        <v>871.17000000000007</v>
      </c>
      <c r="G485" s="284">
        <f>TRUNC(F485*$J$13,2)</f>
        <v>1083.6400000000001</v>
      </c>
      <c r="H485" s="284">
        <f>TRUNC(E485*G485,2)</f>
        <v>3641.03</v>
      </c>
      <c r="I485" s="297"/>
      <c r="J485" s="7">
        <f>0.8*2.1*2</f>
        <v>3.3600000000000003</v>
      </c>
      <c r="K485" s="240" t="s">
        <v>362</v>
      </c>
      <c r="L485" s="7">
        <f>0.8*2.1*2</f>
        <v>3.3600000000000003</v>
      </c>
      <c r="M485" s="35"/>
      <c r="N485" s="61"/>
      <c r="O485" s="35"/>
      <c r="P485" s="40"/>
      <c r="Q485" s="37"/>
      <c r="R485" s="4"/>
      <c r="S485" s="236">
        <v>3.3600000000000003</v>
      </c>
      <c r="T485" s="236">
        <v>975.13</v>
      </c>
      <c r="U485" s="236">
        <v>1228.6600000000001</v>
      </c>
      <c r="V485" s="236">
        <v>4128.29</v>
      </c>
    </row>
    <row r="486" spans="1:22" s="52" customFormat="1" outlineLevel="1" x14ac:dyDescent="0.25">
      <c r="A486" s="279" t="s">
        <v>74</v>
      </c>
      <c r="B486" s="279"/>
      <c r="C486" s="294" t="s">
        <v>61</v>
      </c>
      <c r="D486" s="558"/>
      <c r="E486" s="294"/>
      <c r="F486" s="403"/>
      <c r="G486" s="294"/>
      <c r="H486" s="558"/>
      <c r="I486" s="404">
        <f>SUM(H487:H489)</f>
        <v>7973.27</v>
      </c>
      <c r="J486" s="24"/>
      <c r="K486" s="197"/>
      <c r="L486" s="317">
        <f>SUM(H487:H489)</f>
        <v>7973.27</v>
      </c>
      <c r="M486" s="35">
        <f>I486-L486</f>
        <v>0</v>
      </c>
      <c r="N486" s="61"/>
      <c r="O486" s="35"/>
      <c r="P486" s="40"/>
      <c r="Q486" s="37"/>
      <c r="R486" s="4"/>
    </row>
    <row r="487" spans="1:22" s="52" customFormat="1" ht="31.2" outlineLevel="1" x14ac:dyDescent="0.25">
      <c r="A487" s="282" t="s">
        <v>77</v>
      </c>
      <c r="B487" s="280">
        <v>87266</v>
      </c>
      <c r="C487" s="281" t="s">
        <v>65</v>
      </c>
      <c r="D487" s="282" t="s">
        <v>24</v>
      </c>
      <c r="E487" s="285">
        <f>J487</f>
        <v>110.25</v>
      </c>
      <c r="F487" s="283">
        <f>'COMPOSIÇÃO SINAPI W MENDES'!G3047</f>
        <v>32.790000000000006</v>
      </c>
      <c r="G487" s="284">
        <f>TRUNC(F487*$J$13,2)</f>
        <v>40.78</v>
      </c>
      <c r="H487" s="284">
        <f>TRUNC(E487*G487,2)</f>
        <v>4495.99</v>
      </c>
      <c r="I487" s="297"/>
      <c r="J487" s="24">
        <f>(12.8+12.8+8.52+18.38)*2.1</f>
        <v>110.25</v>
      </c>
      <c r="K487" s="197" t="s">
        <v>66</v>
      </c>
      <c r="L487" s="7">
        <v>39.04</v>
      </c>
      <c r="M487" s="35"/>
      <c r="N487" s="61"/>
      <c r="O487" s="35"/>
      <c r="P487" s="40"/>
      <c r="Q487" s="37"/>
      <c r="R487" s="4"/>
      <c r="S487" s="236">
        <v>110.25</v>
      </c>
      <c r="T487" s="236">
        <v>43.91</v>
      </c>
      <c r="U487" s="236">
        <v>55.32</v>
      </c>
      <c r="V487" s="236">
        <v>6099.03</v>
      </c>
    </row>
    <row r="488" spans="1:22" s="52" customFormat="1" ht="31.2" outlineLevel="1" x14ac:dyDescent="0.25">
      <c r="A488" s="282" t="s">
        <v>83</v>
      </c>
      <c r="B488" s="286">
        <v>87879</v>
      </c>
      <c r="C488" s="281" t="s">
        <v>225</v>
      </c>
      <c r="D488" s="287" t="s">
        <v>24</v>
      </c>
      <c r="E488" s="285">
        <f>J488</f>
        <v>110.25</v>
      </c>
      <c r="F488" s="283">
        <v>2.72</v>
      </c>
      <c r="G488" s="284">
        <f>TRUNC(F488*$J$13,2)</f>
        <v>3.38</v>
      </c>
      <c r="H488" s="284">
        <f>TRUNC(E488*G488,2)</f>
        <v>372.64</v>
      </c>
      <c r="I488" s="297"/>
      <c r="J488" s="24">
        <f>J487</f>
        <v>110.25</v>
      </c>
      <c r="K488" s="197"/>
      <c r="L488" s="7"/>
      <c r="M488" s="35"/>
      <c r="N488" s="61"/>
      <c r="O488" s="35"/>
      <c r="P488" s="40"/>
      <c r="Q488" s="37"/>
      <c r="R488" s="4"/>
      <c r="S488" s="236">
        <v>110.25</v>
      </c>
      <c r="T488" s="236">
        <v>2.72</v>
      </c>
      <c r="U488" s="236">
        <v>3.42</v>
      </c>
      <c r="V488" s="236">
        <v>377.05</v>
      </c>
    </row>
    <row r="489" spans="1:22" s="52" customFormat="1" ht="31.2" outlineLevel="1" x14ac:dyDescent="0.25">
      <c r="A489" s="282" t="s">
        <v>322</v>
      </c>
      <c r="B489" s="280">
        <v>90408</v>
      </c>
      <c r="C489" s="281" t="s">
        <v>73</v>
      </c>
      <c r="D489" s="282" t="s">
        <v>24</v>
      </c>
      <c r="E489" s="285">
        <f>J489</f>
        <v>110.25</v>
      </c>
      <c r="F489" s="283">
        <v>22.64</v>
      </c>
      <c r="G489" s="284">
        <f>TRUNC(F489*$J$13,2)</f>
        <v>28.16</v>
      </c>
      <c r="H489" s="284">
        <f>TRUNC(E489*G489,2)</f>
        <v>3104.64</v>
      </c>
      <c r="I489" s="297"/>
      <c r="J489" s="24">
        <f>J488</f>
        <v>110.25</v>
      </c>
      <c r="K489" s="197"/>
      <c r="L489" s="7"/>
      <c r="M489" s="35"/>
      <c r="N489" s="61"/>
      <c r="O489" s="35"/>
      <c r="P489" s="40"/>
      <c r="Q489" s="37"/>
      <c r="R489" s="4"/>
      <c r="S489" s="236">
        <v>110.25</v>
      </c>
      <c r="T489" s="236">
        <v>22.64</v>
      </c>
      <c r="U489" s="236">
        <v>28.52</v>
      </c>
      <c r="V489" s="236">
        <v>3144.33</v>
      </c>
    </row>
    <row r="490" spans="1:22" s="52" customFormat="1" outlineLevel="1" x14ac:dyDescent="0.25">
      <c r="A490" s="279" t="s">
        <v>85</v>
      </c>
      <c r="B490" s="279"/>
      <c r="C490" s="294" t="s">
        <v>221</v>
      </c>
      <c r="D490" s="558"/>
      <c r="E490" s="294"/>
      <c r="F490" s="403"/>
      <c r="G490" s="294"/>
      <c r="H490" s="558"/>
      <c r="I490" s="404">
        <f>SUM(H491:H492)</f>
        <v>15139.76</v>
      </c>
      <c r="J490" s="24"/>
      <c r="K490" s="197"/>
      <c r="L490" s="317">
        <f>SUM(H491:H492)</f>
        <v>15139.76</v>
      </c>
      <c r="M490" s="35">
        <f>I490-L490</f>
        <v>0</v>
      </c>
      <c r="N490" s="61"/>
      <c r="O490" s="35"/>
      <c r="P490" s="40"/>
      <c r="Q490" s="37"/>
      <c r="R490" s="4"/>
    </row>
    <row r="491" spans="1:22" s="52" customFormat="1" ht="31.2" outlineLevel="1" x14ac:dyDescent="0.25">
      <c r="A491" s="282" t="s">
        <v>87</v>
      </c>
      <c r="B491" s="286">
        <v>79627</v>
      </c>
      <c r="C491" s="281" t="s">
        <v>222</v>
      </c>
      <c r="D491" s="298" t="s">
        <v>305</v>
      </c>
      <c r="E491" s="285">
        <f>J491</f>
        <v>18.060000000000002</v>
      </c>
      <c r="F491" s="300">
        <v>658</v>
      </c>
      <c r="G491" s="284">
        <f>TRUNC(F491*$J$13,2)</f>
        <v>818.48</v>
      </c>
      <c r="H491" s="284">
        <f>TRUNC(E491*G491,2)</f>
        <v>14781.74</v>
      </c>
      <c r="I491" s="297"/>
      <c r="J491" s="24">
        <f>(1.46*3+2.56*2)*1.8+0.8*0.6*2</f>
        <v>18.060000000000002</v>
      </c>
      <c r="K491" s="197"/>
      <c r="L491" s="7"/>
      <c r="M491" s="35"/>
      <c r="N491" s="61"/>
      <c r="O491" s="35"/>
      <c r="P491" s="40"/>
      <c r="Q491" s="37"/>
      <c r="R491" s="4"/>
      <c r="S491" s="236">
        <v>18.060000000000002</v>
      </c>
      <c r="T491" s="236">
        <v>658</v>
      </c>
      <c r="U491" s="236">
        <v>829.08</v>
      </c>
      <c r="V491" s="236">
        <v>14973.18</v>
      </c>
    </row>
    <row r="492" spans="1:22" s="52" customFormat="1" ht="31.2" outlineLevel="1" x14ac:dyDescent="0.25">
      <c r="A492" s="282" t="s">
        <v>90</v>
      </c>
      <c r="B492" s="280">
        <v>87477</v>
      </c>
      <c r="C492" s="281" t="s">
        <v>70</v>
      </c>
      <c r="D492" s="282" t="s">
        <v>24</v>
      </c>
      <c r="E492" s="285">
        <f>J492</f>
        <v>7.0379999999999994</v>
      </c>
      <c r="F492" s="283">
        <v>40.9</v>
      </c>
      <c r="G492" s="284">
        <f>TRUNC(F492*$J$13,2)</f>
        <v>50.87</v>
      </c>
      <c r="H492" s="284">
        <f>TRUNC(E492*G492,2)</f>
        <v>358.02</v>
      </c>
      <c r="I492" s="297"/>
      <c r="J492" s="25">
        <f>(2.56+0.5)*2.3</f>
        <v>7.0379999999999994</v>
      </c>
      <c r="K492" s="230" t="s">
        <v>224</v>
      </c>
      <c r="L492" s="25"/>
      <c r="M492" s="27">
        <f>40.65*3.3</f>
        <v>134.14499999999998</v>
      </c>
      <c r="N492" s="61"/>
      <c r="O492" s="35"/>
      <c r="P492" s="40"/>
      <c r="Q492" s="37"/>
      <c r="R492" s="4"/>
      <c r="S492" s="236">
        <v>7.0379999999999994</v>
      </c>
      <c r="T492" s="236">
        <v>40.9</v>
      </c>
      <c r="U492" s="236">
        <v>51.53</v>
      </c>
      <c r="V492" s="236">
        <v>362.66</v>
      </c>
    </row>
    <row r="493" spans="1:22" s="52" customFormat="1" outlineLevel="1" x14ac:dyDescent="0.25">
      <c r="A493" s="279" t="s">
        <v>95</v>
      </c>
      <c r="B493" s="279"/>
      <c r="C493" s="294" t="s">
        <v>75</v>
      </c>
      <c r="D493" s="558"/>
      <c r="E493" s="294"/>
      <c r="F493" s="403"/>
      <c r="G493" s="294"/>
      <c r="H493" s="558"/>
      <c r="I493" s="404">
        <f>SUM(H494:H496)</f>
        <v>18238.97</v>
      </c>
      <c r="J493" s="24"/>
      <c r="K493" s="197"/>
      <c r="L493" s="317">
        <f>SUM(H494:H496)</f>
        <v>18238.97</v>
      </c>
      <c r="M493" s="35">
        <f>I493-L493</f>
        <v>0</v>
      </c>
      <c r="N493" s="61"/>
      <c r="O493" s="35"/>
      <c r="P493" s="40"/>
      <c r="Q493" s="37"/>
      <c r="R493" s="4"/>
    </row>
    <row r="494" spans="1:22" s="52" customFormat="1" ht="31.2" outlineLevel="1" x14ac:dyDescent="0.25">
      <c r="A494" s="282" t="s">
        <v>97</v>
      </c>
      <c r="B494" s="280">
        <v>94993</v>
      </c>
      <c r="C494" s="281" t="s">
        <v>78</v>
      </c>
      <c r="D494" s="282" t="s">
        <v>24</v>
      </c>
      <c r="E494" s="285">
        <f>J494</f>
        <v>161.87</v>
      </c>
      <c r="F494" s="283">
        <v>62.94</v>
      </c>
      <c r="G494" s="284">
        <f>TRUNC(F494*$J$13,2)</f>
        <v>78.290000000000006</v>
      </c>
      <c r="H494" s="284">
        <f>TRUNC(E494*G494,2)</f>
        <v>12672.8</v>
      </c>
      <c r="I494" s="297"/>
      <c r="J494" s="24">
        <f>161.87</f>
        <v>161.87</v>
      </c>
      <c r="K494" s="197" t="s">
        <v>66</v>
      </c>
      <c r="L494" s="7">
        <v>164</v>
      </c>
      <c r="M494" s="35"/>
      <c r="N494" s="61"/>
      <c r="O494" s="35"/>
      <c r="P494" s="40"/>
      <c r="Q494" s="37"/>
      <c r="R494" s="4"/>
      <c r="S494" s="236">
        <v>161.87</v>
      </c>
      <c r="T494" s="236">
        <v>62.94</v>
      </c>
      <c r="U494" s="236">
        <v>79.3</v>
      </c>
      <c r="V494" s="236">
        <v>12836.29</v>
      </c>
    </row>
    <row r="495" spans="1:22" s="52" customFormat="1" ht="31.2" outlineLevel="1" x14ac:dyDescent="0.25">
      <c r="A495" s="282" t="s">
        <v>100</v>
      </c>
      <c r="B495" s="280">
        <v>87620</v>
      </c>
      <c r="C495" s="281" t="s">
        <v>640</v>
      </c>
      <c r="D495" s="282" t="s">
        <v>24</v>
      </c>
      <c r="E495" s="285">
        <f>J495</f>
        <v>42.379999999999995</v>
      </c>
      <c r="F495" s="283">
        <v>23.42</v>
      </c>
      <c r="G495" s="284">
        <f>TRUNC(F495*$J$13,2)</f>
        <v>29.13</v>
      </c>
      <c r="H495" s="284">
        <f>TRUNC(E495*G495,2)</f>
        <v>1234.52</v>
      </c>
      <c r="I495" s="297"/>
      <c r="J495" s="17">
        <f>(4.34+18.38+9.83+9.83)</f>
        <v>42.379999999999995</v>
      </c>
      <c r="K495" s="197"/>
      <c r="L495" s="7"/>
      <c r="M495" s="35"/>
      <c r="N495" s="61"/>
      <c r="O495" s="35"/>
      <c r="P495" s="40"/>
      <c r="Q495" s="37"/>
      <c r="R495" s="4"/>
      <c r="S495" s="236">
        <v>42.379999999999995</v>
      </c>
      <c r="T495" s="236">
        <v>23.42</v>
      </c>
      <c r="U495" s="236">
        <v>29.5</v>
      </c>
      <c r="V495" s="236">
        <v>1250.21</v>
      </c>
    </row>
    <row r="496" spans="1:22" s="52" customFormat="1" ht="31.2" outlineLevel="1" x14ac:dyDescent="0.25">
      <c r="A496" s="282" t="s">
        <v>105</v>
      </c>
      <c r="B496" s="280">
        <v>87262</v>
      </c>
      <c r="C496" s="281" t="s">
        <v>84</v>
      </c>
      <c r="D496" s="282" t="s">
        <v>24</v>
      </c>
      <c r="E496" s="285">
        <f>J496</f>
        <v>42.379999999999995</v>
      </c>
      <c r="F496" s="283">
        <f>'COMPOSIÇÃO SINAPI W MENDES'!G4179</f>
        <v>82.17</v>
      </c>
      <c r="G496" s="284">
        <f>TRUNC(F496*$J$13,2)</f>
        <v>102.21</v>
      </c>
      <c r="H496" s="284">
        <f>TRUNC(E496*G496,2)</f>
        <v>4331.6499999999996</v>
      </c>
      <c r="I496" s="297"/>
      <c r="J496" s="17">
        <f>(4.34+18.38+9.83+9.83)</f>
        <v>42.379999999999995</v>
      </c>
      <c r="K496" s="197" t="s">
        <v>66</v>
      </c>
      <c r="L496" s="7">
        <v>185.16</v>
      </c>
      <c r="M496" s="35"/>
      <c r="N496" s="61"/>
      <c r="O496" s="35"/>
      <c r="P496" s="40"/>
      <c r="Q496" s="37"/>
      <c r="R496" s="4"/>
      <c r="S496" s="236">
        <v>42.379999999999995</v>
      </c>
      <c r="T496" s="236">
        <v>92.82</v>
      </c>
      <c r="U496" s="236">
        <v>116.95</v>
      </c>
      <c r="V496" s="236">
        <v>4956.34</v>
      </c>
    </row>
    <row r="497" spans="1:22" s="52" customFormat="1" outlineLevel="1" x14ac:dyDescent="0.25">
      <c r="A497" s="279" t="s">
        <v>116</v>
      </c>
      <c r="B497" s="279"/>
      <c r="C497" s="294" t="s">
        <v>86</v>
      </c>
      <c r="D497" s="558"/>
      <c r="E497" s="294"/>
      <c r="F497" s="403"/>
      <c r="G497" s="294"/>
      <c r="H497" s="558"/>
      <c r="I497" s="402">
        <f>SUM(H498:H500)</f>
        <v>3624.29</v>
      </c>
      <c r="J497" s="24"/>
      <c r="K497" s="197"/>
      <c r="L497" s="317">
        <f>SUM(H498:H500)</f>
        <v>3624.29</v>
      </c>
      <c r="M497" s="35">
        <f>I497-L497</f>
        <v>0</v>
      </c>
      <c r="N497" s="61"/>
      <c r="O497" s="35"/>
      <c r="P497" s="40"/>
      <c r="Q497" s="37"/>
      <c r="R497" s="4"/>
    </row>
    <row r="498" spans="1:22" s="52" customFormat="1" outlineLevel="1" x14ac:dyDescent="0.25">
      <c r="A498" s="282" t="s">
        <v>118</v>
      </c>
      <c r="B498" s="280">
        <v>72117</v>
      </c>
      <c r="C498" s="289" t="s">
        <v>88</v>
      </c>
      <c r="D498" s="282" t="s">
        <v>24</v>
      </c>
      <c r="E498" s="285">
        <v>0.5</v>
      </c>
      <c r="F498" s="283">
        <v>159.13</v>
      </c>
      <c r="G498" s="284">
        <f>TRUNC(F498*$J$13,2)</f>
        <v>197.94</v>
      </c>
      <c r="H498" s="284">
        <f>TRUNC(E498*G498,2)</f>
        <v>98.97</v>
      </c>
      <c r="I498" s="297"/>
      <c r="J498" s="24"/>
      <c r="K498" s="197"/>
      <c r="L498" s="7"/>
      <c r="M498" s="35"/>
      <c r="N498" s="61"/>
      <c r="O498" s="35"/>
      <c r="P498" s="40"/>
      <c r="Q498" s="37"/>
      <c r="R498" s="4"/>
      <c r="S498" s="236">
        <v>0.5</v>
      </c>
      <c r="T498" s="236">
        <v>159.13</v>
      </c>
      <c r="U498" s="236">
        <v>200.5</v>
      </c>
      <c r="V498" s="236">
        <v>100.25</v>
      </c>
    </row>
    <row r="499" spans="1:22" s="52" customFormat="1" outlineLevel="1" x14ac:dyDescent="0.25">
      <c r="A499" s="282" t="s">
        <v>120</v>
      </c>
      <c r="B499" s="280">
        <v>84886</v>
      </c>
      <c r="C499" s="289" t="s">
        <v>91</v>
      </c>
      <c r="D499" s="282" t="s">
        <v>92</v>
      </c>
      <c r="E499" s="285">
        <v>2</v>
      </c>
      <c r="F499" s="283">
        <v>1114.46</v>
      </c>
      <c r="G499" s="284">
        <f>TRUNC(F499*$J$13,2)</f>
        <v>1386.27</v>
      </c>
      <c r="H499" s="284">
        <f>TRUNC(E499*G499,2)</f>
        <v>2772.54</v>
      </c>
      <c r="I499" s="297"/>
      <c r="J499" s="24"/>
      <c r="K499" s="197"/>
      <c r="L499" s="7"/>
      <c r="M499" s="35"/>
      <c r="N499" s="61"/>
      <c r="O499" s="35"/>
      <c r="P499" s="40"/>
      <c r="Q499" s="37"/>
      <c r="R499" s="4"/>
      <c r="S499" s="236">
        <v>2</v>
      </c>
      <c r="T499" s="236">
        <v>1114.46</v>
      </c>
      <c r="U499" s="236">
        <v>1404.21</v>
      </c>
      <c r="V499" s="236">
        <v>2808.42</v>
      </c>
    </row>
    <row r="500" spans="1:22" s="52" customFormat="1" ht="31.2" outlineLevel="1" x14ac:dyDescent="0.25">
      <c r="A500" s="282" t="s">
        <v>122</v>
      </c>
      <c r="B500" s="280">
        <v>84885</v>
      </c>
      <c r="C500" s="281" t="s">
        <v>94</v>
      </c>
      <c r="D500" s="282" t="s">
        <v>44</v>
      </c>
      <c r="E500" s="285">
        <v>1</v>
      </c>
      <c r="F500" s="283">
        <v>605.17999999999995</v>
      </c>
      <c r="G500" s="284">
        <f>TRUNC(F500*$J$13,2)</f>
        <v>752.78</v>
      </c>
      <c r="H500" s="284">
        <f>TRUNC(E500*G500,2)</f>
        <v>752.78</v>
      </c>
      <c r="I500" s="297"/>
      <c r="J500" s="24"/>
      <c r="K500" s="197"/>
      <c r="L500" s="7"/>
      <c r="M500" s="35"/>
      <c r="N500" s="61"/>
      <c r="O500" s="35"/>
      <c r="P500" s="40"/>
      <c r="Q500" s="37"/>
      <c r="R500" s="4"/>
      <c r="S500" s="236">
        <v>1</v>
      </c>
      <c r="T500" s="236">
        <v>605.17999999999995</v>
      </c>
      <c r="U500" s="236">
        <v>762.52</v>
      </c>
      <c r="V500" s="236">
        <v>762.52</v>
      </c>
    </row>
    <row r="501" spans="1:22" s="52" customFormat="1" outlineLevel="1" x14ac:dyDescent="0.25">
      <c r="A501" s="279" t="s">
        <v>160</v>
      </c>
      <c r="B501" s="279"/>
      <c r="C501" s="294" t="s">
        <v>96</v>
      </c>
      <c r="D501" s="558"/>
      <c r="E501" s="294"/>
      <c r="F501" s="403"/>
      <c r="G501" s="294"/>
      <c r="H501" s="558"/>
      <c r="I501" s="402">
        <f>SUM(H502:H512)</f>
        <v>62495.859999999993</v>
      </c>
      <c r="J501" s="24"/>
      <c r="K501" s="197"/>
      <c r="L501" s="317">
        <f>SUM(H502:H512)</f>
        <v>62495.859999999993</v>
      </c>
      <c r="M501" s="35">
        <f>I501-L501</f>
        <v>0</v>
      </c>
      <c r="N501" s="61"/>
      <c r="O501" s="35"/>
      <c r="P501" s="40"/>
      <c r="Q501" s="37"/>
      <c r="R501" s="4"/>
    </row>
    <row r="502" spans="1:22" s="52" customFormat="1" outlineLevel="1" x14ac:dyDescent="0.25">
      <c r="A502" s="282" t="s">
        <v>162</v>
      </c>
      <c r="B502" s="280">
        <v>88423</v>
      </c>
      <c r="C502" s="281" t="s">
        <v>98</v>
      </c>
      <c r="D502" s="282" t="s">
        <v>24</v>
      </c>
      <c r="E502" s="290">
        <f>L502</f>
        <v>410.39</v>
      </c>
      <c r="F502" s="283">
        <v>13.45</v>
      </c>
      <c r="G502" s="284">
        <f>TRUNC(F502*$J$13,2)</f>
        <v>16.73</v>
      </c>
      <c r="H502" s="284">
        <f t="shared" ref="H502:H512" si="76">TRUNC(E502*G502,2)</f>
        <v>6865.82</v>
      </c>
      <c r="I502" s="297"/>
      <c r="J502" s="24"/>
      <c r="K502" s="197" t="s">
        <v>66</v>
      </c>
      <c r="L502" s="7">
        <v>410.39</v>
      </c>
      <c r="M502" s="35"/>
      <c r="N502" s="61"/>
      <c r="O502" s="35"/>
      <c r="P502" s="40"/>
      <c r="Q502" s="37"/>
      <c r="R502" s="4"/>
      <c r="S502" s="236">
        <v>410.39</v>
      </c>
      <c r="T502" s="236">
        <v>15.45</v>
      </c>
      <c r="U502" s="236">
        <v>19.46</v>
      </c>
      <c r="V502" s="236">
        <v>7986.18</v>
      </c>
    </row>
    <row r="503" spans="1:22" s="52" customFormat="1" outlineLevel="1" x14ac:dyDescent="0.25">
      <c r="A503" s="282" t="s">
        <v>163</v>
      </c>
      <c r="B503" s="280">
        <v>88496</v>
      </c>
      <c r="C503" s="288" t="s">
        <v>101</v>
      </c>
      <c r="D503" s="282" t="s">
        <v>24</v>
      </c>
      <c r="E503" s="290">
        <f>J503</f>
        <v>752.85000000000025</v>
      </c>
      <c r="F503" s="283">
        <f>'COMPOSIÇÃO SINAPI W MENDES'!G3140</f>
        <v>10.510000000000002</v>
      </c>
      <c r="G503" s="284">
        <f t="shared" ref="G503:G512" si="77">TRUNC(F503*$J$13,2)</f>
        <v>13.07</v>
      </c>
      <c r="H503" s="284">
        <f t="shared" si="76"/>
        <v>9839.74</v>
      </c>
      <c r="I503" s="297"/>
      <c r="J503" s="24">
        <f>29.4+7.38+34.39+45.37+26.24+9.83+6.46+122.46+79.78+25+200.72+56.36+9.83+4.35+43.7+20.57+10.4+20.61</f>
        <v>752.85000000000025</v>
      </c>
      <c r="K503" s="197"/>
      <c r="L503" s="7">
        <f>L504</f>
        <v>762.9</v>
      </c>
      <c r="M503" s="35"/>
      <c r="N503" s="61"/>
      <c r="O503" s="35"/>
      <c r="P503" s="40"/>
      <c r="Q503" s="37"/>
      <c r="R503" s="4"/>
      <c r="S503" s="236">
        <v>752.85000000000025</v>
      </c>
      <c r="T503" s="236">
        <v>19.75</v>
      </c>
      <c r="U503" s="236">
        <v>24.88</v>
      </c>
      <c r="V503" s="236">
        <v>18730.900000000001</v>
      </c>
    </row>
    <row r="504" spans="1:22" s="52" customFormat="1" outlineLevel="1" x14ac:dyDescent="0.25">
      <c r="A504" s="282" t="s">
        <v>164</v>
      </c>
      <c r="B504" s="280">
        <v>88488</v>
      </c>
      <c r="C504" s="281" t="s">
        <v>104</v>
      </c>
      <c r="D504" s="282" t="s">
        <v>24</v>
      </c>
      <c r="E504" s="290">
        <f>L504</f>
        <v>762.9</v>
      </c>
      <c r="F504" s="283">
        <f>'COMPOSIÇÃO SINAPI W MENDES'!G3761</f>
        <v>8.42</v>
      </c>
      <c r="G504" s="284">
        <f t="shared" si="77"/>
        <v>10.47</v>
      </c>
      <c r="H504" s="284">
        <f t="shared" si="76"/>
        <v>7987.56</v>
      </c>
      <c r="I504" s="297"/>
      <c r="J504" s="24">
        <f>J503</f>
        <v>752.85000000000025</v>
      </c>
      <c r="K504" s="197" t="s">
        <v>363</v>
      </c>
      <c r="L504" s="7">
        <v>762.9</v>
      </c>
      <c r="M504" s="35"/>
      <c r="N504" s="61"/>
      <c r="O504" s="35"/>
      <c r="P504" s="40"/>
      <c r="Q504" s="37"/>
      <c r="R504" s="4"/>
      <c r="S504" s="236">
        <v>762.9</v>
      </c>
      <c r="T504" s="236">
        <v>12.25</v>
      </c>
      <c r="U504" s="236">
        <v>15.43</v>
      </c>
      <c r="V504" s="236">
        <v>11771.54</v>
      </c>
    </row>
    <row r="505" spans="1:22" s="52" customFormat="1" outlineLevel="1" x14ac:dyDescent="0.25">
      <c r="A505" s="282" t="s">
        <v>165</v>
      </c>
      <c r="B505" s="280">
        <v>88497</v>
      </c>
      <c r="C505" s="288" t="s">
        <v>232</v>
      </c>
      <c r="D505" s="282" t="s">
        <v>24</v>
      </c>
      <c r="E505" s="290">
        <f t="shared" ref="E505:E512" si="78">J505</f>
        <v>1292.0320000000002</v>
      </c>
      <c r="F505" s="283">
        <v>9.74</v>
      </c>
      <c r="G505" s="284">
        <f t="shared" si="77"/>
        <v>12.11</v>
      </c>
      <c r="H505" s="284">
        <f t="shared" si="76"/>
        <v>15646.5</v>
      </c>
      <c r="I505" s="297"/>
      <c r="J505" s="24">
        <f>((24+10.89+26.84+29.17+10.17+9.83+9.83+50.35+8.52+29.18+18.38+13.27+53.67+21.46+41.26+20+59.04)*3.2)-(60*1.2*1.1+14*0.8*2.1)</f>
        <v>1292.0320000000002</v>
      </c>
      <c r="K505" s="197"/>
      <c r="L505" s="7">
        <v>1122.54</v>
      </c>
      <c r="M505" s="35"/>
      <c r="N505" s="61"/>
      <c r="O505" s="35"/>
      <c r="P505" s="40"/>
      <c r="Q505" s="37"/>
      <c r="R505" s="4"/>
      <c r="S505" s="236">
        <v>1292.0320000000002</v>
      </c>
      <c r="T505" s="236">
        <v>11.01</v>
      </c>
      <c r="U505" s="236">
        <v>13.87</v>
      </c>
      <c r="V505" s="236">
        <v>17920.48</v>
      </c>
    </row>
    <row r="506" spans="1:22" s="52" customFormat="1" outlineLevel="1" x14ac:dyDescent="0.25">
      <c r="A506" s="282" t="s">
        <v>166</v>
      </c>
      <c r="B506" s="280">
        <v>88489</v>
      </c>
      <c r="C506" s="281" t="s">
        <v>108</v>
      </c>
      <c r="D506" s="282" t="s">
        <v>24</v>
      </c>
      <c r="E506" s="290">
        <f t="shared" si="78"/>
        <v>1292.0320000000002</v>
      </c>
      <c r="F506" s="283">
        <f>'COMPOSIÇÃO SINAPI W MENDES'!G3159</f>
        <v>8.14</v>
      </c>
      <c r="G506" s="284">
        <f t="shared" si="77"/>
        <v>10.119999999999999</v>
      </c>
      <c r="H506" s="284">
        <f t="shared" si="76"/>
        <v>13075.36</v>
      </c>
      <c r="I506" s="297"/>
      <c r="J506" s="24">
        <f>J505</f>
        <v>1292.0320000000002</v>
      </c>
      <c r="K506" s="197"/>
      <c r="L506" s="7"/>
      <c r="M506" s="35"/>
      <c r="N506" s="61"/>
      <c r="O506" s="35"/>
      <c r="P506" s="40"/>
      <c r="Q506" s="37"/>
      <c r="R506" s="4"/>
      <c r="S506" s="236">
        <v>1292.0320000000002</v>
      </c>
      <c r="T506" s="236">
        <v>10.88</v>
      </c>
      <c r="U506" s="236">
        <v>13.7</v>
      </c>
      <c r="V506" s="236">
        <v>17700.830000000002</v>
      </c>
    </row>
    <row r="507" spans="1:22" s="52" customFormat="1" outlineLevel="1" x14ac:dyDescent="0.25">
      <c r="A507" s="282" t="s">
        <v>167</v>
      </c>
      <c r="B507" s="280" t="s">
        <v>364</v>
      </c>
      <c r="C507" s="288" t="s">
        <v>365</v>
      </c>
      <c r="D507" s="282" t="s">
        <v>24</v>
      </c>
      <c r="E507" s="285">
        <f t="shared" si="78"/>
        <v>47.040000000000006</v>
      </c>
      <c r="F507" s="283">
        <v>19.04</v>
      </c>
      <c r="G507" s="284">
        <f t="shared" si="77"/>
        <v>23.68</v>
      </c>
      <c r="H507" s="284">
        <f t="shared" si="76"/>
        <v>1113.9000000000001</v>
      </c>
      <c r="I507" s="297"/>
      <c r="J507" s="24">
        <f>14*0.8*2.1*2</f>
        <v>47.040000000000006</v>
      </c>
      <c r="K507" s="197"/>
      <c r="L507" s="7"/>
      <c r="M507" s="35"/>
      <c r="N507" s="61"/>
      <c r="O507" s="35"/>
      <c r="P507" s="40"/>
      <c r="Q507" s="37"/>
      <c r="R507" s="4"/>
      <c r="S507" s="236">
        <v>47.040000000000006</v>
      </c>
      <c r="T507" s="236">
        <v>19.04</v>
      </c>
      <c r="U507" s="236">
        <v>23.99</v>
      </c>
      <c r="V507" s="236">
        <v>1128.48</v>
      </c>
    </row>
    <row r="508" spans="1:22" s="52" customFormat="1" outlineLevel="1" x14ac:dyDescent="0.25">
      <c r="A508" s="282" t="s">
        <v>169</v>
      </c>
      <c r="B508" s="280" t="s">
        <v>109</v>
      </c>
      <c r="C508" s="281" t="s">
        <v>110</v>
      </c>
      <c r="D508" s="282" t="s">
        <v>24</v>
      </c>
      <c r="E508" s="285">
        <f t="shared" si="78"/>
        <v>47.040000000000006</v>
      </c>
      <c r="F508" s="283">
        <v>12.4</v>
      </c>
      <c r="G508" s="284">
        <f t="shared" si="77"/>
        <v>15.42</v>
      </c>
      <c r="H508" s="284">
        <f t="shared" si="76"/>
        <v>725.35</v>
      </c>
      <c r="I508" s="297"/>
      <c r="J508" s="24">
        <f>J507</f>
        <v>47.040000000000006</v>
      </c>
      <c r="K508" s="197"/>
      <c r="L508" s="7"/>
      <c r="M508" s="35"/>
      <c r="N508" s="61"/>
      <c r="O508" s="35"/>
      <c r="P508" s="40"/>
      <c r="Q508" s="37"/>
      <c r="R508" s="4"/>
      <c r="S508" s="236">
        <v>47.040000000000006</v>
      </c>
      <c r="T508" s="236">
        <v>14.69</v>
      </c>
      <c r="U508" s="236">
        <v>18.5</v>
      </c>
      <c r="V508" s="236">
        <v>870.24</v>
      </c>
    </row>
    <row r="509" spans="1:22" s="52" customFormat="1" outlineLevel="1" x14ac:dyDescent="0.25">
      <c r="A509" s="282" t="s">
        <v>171</v>
      </c>
      <c r="B509" s="280">
        <v>100725</v>
      </c>
      <c r="C509" s="281" t="s">
        <v>804</v>
      </c>
      <c r="D509" s="282" t="s">
        <v>24</v>
      </c>
      <c r="E509" s="285">
        <f>64*2</f>
        <v>128</v>
      </c>
      <c r="F509" s="283">
        <v>16.12</v>
      </c>
      <c r="G509" s="284">
        <f t="shared" ref="G509" si="79">TRUNC(F509*$J$13,2)</f>
        <v>20.05</v>
      </c>
      <c r="H509" s="284">
        <f t="shared" ref="H509" si="80">TRUNC(E509*G509,2)</f>
        <v>2566.4</v>
      </c>
      <c r="I509" s="297"/>
      <c r="J509" s="24"/>
      <c r="K509" s="197"/>
      <c r="L509" s="7"/>
      <c r="M509" s="35"/>
      <c r="N509" s="61"/>
      <c r="O509" s="35"/>
      <c r="P509" s="40"/>
      <c r="Q509" s="37"/>
      <c r="R509" s="4"/>
      <c r="S509" s="236">
        <v>128</v>
      </c>
      <c r="T509" s="236">
        <v>16.12</v>
      </c>
      <c r="U509" s="236">
        <v>20.309999999999999</v>
      </c>
      <c r="V509" s="236">
        <v>2599.6799999999998</v>
      </c>
    </row>
    <row r="510" spans="1:22" s="52" customFormat="1" ht="31.2" outlineLevel="1" x14ac:dyDescent="0.25">
      <c r="A510" s="282" t="s">
        <v>173</v>
      </c>
      <c r="B510" s="280">
        <v>100727</v>
      </c>
      <c r="C510" s="291" t="s">
        <v>805</v>
      </c>
      <c r="D510" s="282" t="s">
        <v>24</v>
      </c>
      <c r="E510" s="290">
        <f>92.9*2</f>
        <v>185.8</v>
      </c>
      <c r="F510" s="283">
        <v>11.97</v>
      </c>
      <c r="G510" s="284">
        <f t="shared" si="77"/>
        <v>14.88</v>
      </c>
      <c r="H510" s="284">
        <f t="shared" si="76"/>
        <v>2764.7</v>
      </c>
      <c r="I510" s="297"/>
      <c r="J510" s="24"/>
      <c r="K510" s="197"/>
      <c r="L510" s="7"/>
      <c r="M510" s="35"/>
      <c r="N510" s="61"/>
      <c r="O510" s="35"/>
      <c r="P510" s="40"/>
      <c r="Q510" s="37"/>
      <c r="R510" s="4"/>
      <c r="S510" s="236">
        <v>185.8</v>
      </c>
      <c r="T510" s="236">
        <v>11.97</v>
      </c>
      <c r="U510" s="236">
        <v>15.08</v>
      </c>
      <c r="V510" s="236">
        <v>2801.86</v>
      </c>
    </row>
    <row r="511" spans="1:22" s="52" customFormat="1" outlineLevel="1" x14ac:dyDescent="0.25">
      <c r="A511" s="282" t="s">
        <v>175</v>
      </c>
      <c r="B511" s="280">
        <v>88489</v>
      </c>
      <c r="C511" s="281" t="s">
        <v>366</v>
      </c>
      <c r="D511" s="282" t="s">
        <v>24</v>
      </c>
      <c r="E511" s="290">
        <f t="shared" si="78"/>
        <v>144.36400000000003</v>
      </c>
      <c r="F511" s="283">
        <f>'COMPOSIÇÃO SINAPI W MENDES'!G3194</f>
        <v>8.14</v>
      </c>
      <c r="G511" s="284">
        <f t="shared" si="77"/>
        <v>10.119999999999999</v>
      </c>
      <c r="H511" s="284">
        <f t="shared" si="76"/>
        <v>1460.96</v>
      </c>
      <c r="I511" s="297"/>
      <c r="J511" s="24">
        <f>(46.45+46.45+19.17+19.17)*1.1</f>
        <v>144.36400000000003</v>
      </c>
      <c r="K511" s="240" t="s">
        <v>367</v>
      </c>
      <c r="L511" s="7">
        <f>1.5*4*20</f>
        <v>120</v>
      </c>
      <c r="M511" s="35"/>
      <c r="N511" s="61"/>
      <c r="O511" s="35"/>
      <c r="P511" s="40"/>
      <c r="Q511" s="37"/>
      <c r="R511" s="4"/>
      <c r="S511" s="236">
        <v>144.36400000000003</v>
      </c>
      <c r="T511" s="236">
        <v>10.88</v>
      </c>
      <c r="U511" s="236">
        <v>13.7</v>
      </c>
      <c r="V511" s="236">
        <v>1977.78</v>
      </c>
    </row>
    <row r="512" spans="1:22" s="52" customFormat="1" outlineLevel="1" x14ac:dyDescent="0.25">
      <c r="A512" s="282" t="s">
        <v>177</v>
      </c>
      <c r="B512" s="280" t="s">
        <v>334</v>
      </c>
      <c r="C512" s="281" t="s">
        <v>113</v>
      </c>
      <c r="D512" s="282" t="s">
        <v>24</v>
      </c>
      <c r="E512" s="290">
        <f t="shared" si="78"/>
        <v>24.08</v>
      </c>
      <c r="F512" s="283">
        <v>15.01</v>
      </c>
      <c r="G512" s="284">
        <f t="shared" si="77"/>
        <v>18.670000000000002</v>
      </c>
      <c r="H512" s="284">
        <f t="shared" si="76"/>
        <v>449.57</v>
      </c>
      <c r="I512" s="297"/>
      <c r="J512" s="24">
        <f>4.3*2.8*2</f>
        <v>24.08</v>
      </c>
      <c r="K512" s="197"/>
      <c r="L512" s="7"/>
      <c r="M512" s="35"/>
      <c r="N512" s="61"/>
      <c r="O512" s="35"/>
      <c r="P512" s="40"/>
      <c r="Q512" s="37"/>
      <c r="R512" s="4"/>
      <c r="S512" s="236">
        <v>24.08</v>
      </c>
      <c r="T512" s="236">
        <v>22.44</v>
      </c>
      <c r="U512" s="236">
        <v>28.27</v>
      </c>
      <c r="V512" s="236">
        <v>680.74</v>
      </c>
    </row>
    <row r="513" spans="1:22" s="52" customFormat="1" outlineLevel="1" x14ac:dyDescent="0.25">
      <c r="A513" s="279" t="s">
        <v>186</v>
      </c>
      <c r="B513" s="279"/>
      <c r="C513" s="294" t="s">
        <v>117</v>
      </c>
      <c r="D513" s="558"/>
      <c r="E513" s="294"/>
      <c r="F513" s="403"/>
      <c r="G513" s="296" t="s">
        <v>38</v>
      </c>
      <c r="H513" s="558"/>
      <c r="I513" s="559">
        <f>SUM(H514:H536)</f>
        <v>23399.510000000002</v>
      </c>
      <c r="J513" s="24"/>
      <c r="K513" s="197"/>
      <c r="L513" s="317">
        <f>SUM(H514:H536)</f>
        <v>23399.510000000002</v>
      </c>
      <c r="M513" s="35">
        <f>I513-L513</f>
        <v>0</v>
      </c>
      <c r="N513" s="61"/>
      <c r="O513" s="35"/>
      <c r="P513" s="40"/>
      <c r="Q513" s="37"/>
      <c r="R513" s="4"/>
    </row>
    <row r="514" spans="1:22" s="52" customFormat="1" ht="31.2" outlineLevel="1" x14ac:dyDescent="0.25">
      <c r="A514" s="282" t="s">
        <v>188</v>
      </c>
      <c r="B514" s="280">
        <v>91932</v>
      </c>
      <c r="C514" s="281" t="s">
        <v>119</v>
      </c>
      <c r="D514" s="282" t="s">
        <v>55</v>
      </c>
      <c r="E514" s="285">
        <v>150</v>
      </c>
      <c r="F514" s="283">
        <v>9.02</v>
      </c>
      <c r="G514" s="284">
        <f t="shared" ref="G514:G535" si="81">TRUNC(F514*$J$13,2)</f>
        <v>11.21</v>
      </c>
      <c r="H514" s="284">
        <f>TRUNC(E514*G514,2)</f>
        <v>1681.5</v>
      </c>
      <c r="I514" s="312"/>
      <c r="J514" s="24"/>
      <c r="K514" s="197"/>
      <c r="L514" s="7"/>
      <c r="M514" s="35"/>
      <c r="N514" s="61"/>
      <c r="O514" s="35"/>
      <c r="P514" s="40"/>
      <c r="Q514" s="37"/>
      <c r="R514" s="4"/>
      <c r="S514" s="236">
        <v>150</v>
      </c>
      <c r="T514" s="236">
        <v>9.9499999999999993</v>
      </c>
      <c r="U514" s="236">
        <v>12.53</v>
      </c>
      <c r="V514" s="236">
        <v>1879.5</v>
      </c>
    </row>
    <row r="515" spans="1:22" s="52" customFormat="1" ht="31.2" outlineLevel="1" x14ac:dyDescent="0.25">
      <c r="A515" s="282" t="s">
        <v>200</v>
      </c>
      <c r="B515" s="280">
        <v>91930</v>
      </c>
      <c r="C515" s="281" t="s">
        <v>121</v>
      </c>
      <c r="D515" s="282" t="s">
        <v>55</v>
      </c>
      <c r="E515" s="285">
        <v>400</v>
      </c>
      <c r="F515" s="283">
        <v>5.5</v>
      </c>
      <c r="G515" s="284">
        <f t="shared" si="81"/>
        <v>6.84</v>
      </c>
      <c r="H515" s="284">
        <f>TRUNC(E515*G515,2)</f>
        <v>2736</v>
      </c>
      <c r="I515" s="312"/>
      <c r="J515" s="24"/>
      <c r="K515" s="197"/>
      <c r="L515" s="7"/>
      <c r="M515" s="35"/>
      <c r="N515" s="61"/>
      <c r="O515" s="35"/>
      <c r="P515" s="40"/>
      <c r="Q515" s="37"/>
      <c r="R515" s="4"/>
      <c r="S515" s="236">
        <v>400</v>
      </c>
      <c r="T515" s="236">
        <v>6.06</v>
      </c>
      <c r="U515" s="236">
        <v>7.63</v>
      </c>
      <c r="V515" s="236">
        <v>3052</v>
      </c>
    </row>
    <row r="516" spans="1:22" s="52" customFormat="1" outlineLevel="1" x14ac:dyDescent="0.25">
      <c r="A516" s="282" t="s">
        <v>236</v>
      </c>
      <c r="B516" s="280">
        <v>91928</v>
      </c>
      <c r="C516" s="281" t="s">
        <v>123</v>
      </c>
      <c r="D516" s="282" t="s">
        <v>55</v>
      </c>
      <c r="E516" s="285">
        <v>600</v>
      </c>
      <c r="F516" s="283">
        <v>4.42</v>
      </c>
      <c r="G516" s="284">
        <f t="shared" si="81"/>
        <v>5.49</v>
      </c>
      <c r="H516" s="284">
        <f t="shared" ref="H516:H534" si="82">TRUNC(E516*G516,2)</f>
        <v>3294</v>
      </c>
      <c r="I516" s="312"/>
      <c r="J516" s="24"/>
      <c r="K516" s="197"/>
      <c r="L516" s="7"/>
      <c r="M516" s="35"/>
      <c r="N516" s="61"/>
      <c r="O516" s="35"/>
      <c r="P516" s="40"/>
      <c r="Q516" s="37"/>
      <c r="R516" s="4"/>
      <c r="S516" s="236">
        <v>600</v>
      </c>
      <c r="T516" s="236">
        <v>4.42</v>
      </c>
      <c r="U516" s="236">
        <v>5.56</v>
      </c>
      <c r="V516" s="236">
        <v>3336</v>
      </c>
    </row>
    <row r="517" spans="1:22" s="52" customFormat="1" outlineLevel="1" x14ac:dyDescent="0.25">
      <c r="A517" s="282" t="s">
        <v>237</v>
      </c>
      <c r="B517" s="280">
        <v>91927</v>
      </c>
      <c r="C517" s="281" t="s">
        <v>125</v>
      </c>
      <c r="D517" s="282" t="s">
        <v>55</v>
      </c>
      <c r="E517" s="285">
        <v>700</v>
      </c>
      <c r="F517" s="283">
        <v>3</v>
      </c>
      <c r="G517" s="284">
        <f t="shared" si="81"/>
        <v>3.73</v>
      </c>
      <c r="H517" s="284">
        <f t="shared" si="82"/>
        <v>2611</v>
      </c>
      <c r="I517" s="312"/>
      <c r="J517" s="24"/>
      <c r="K517" s="197"/>
      <c r="L517" s="7"/>
      <c r="M517" s="35"/>
      <c r="N517" s="61"/>
      <c r="O517" s="35"/>
      <c r="P517" s="40"/>
      <c r="Q517" s="37"/>
      <c r="R517" s="4"/>
      <c r="S517" s="236">
        <v>700</v>
      </c>
      <c r="T517" s="236">
        <v>3.25</v>
      </c>
      <c r="U517" s="236">
        <v>4.09</v>
      </c>
      <c r="V517" s="236">
        <v>2863</v>
      </c>
    </row>
    <row r="518" spans="1:22" s="52" customFormat="1" outlineLevel="1" x14ac:dyDescent="0.25">
      <c r="A518" s="282" t="s">
        <v>238</v>
      </c>
      <c r="B518" s="280">
        <v>90447</v>
      </c>
      <c r="C518" s="281" t="s">
        <v>127</v>
      </c>
      <c r="D518" s="282" t="s">
        <v>55</v>
      </c>
      <c r="E518" s="285">
        <v>180</v>
      </c>
      <c r="F518" s="283">
        <v>4.45</v>
      </c>
      <c r="G518" s="284">
        <f t="shared" si="81"/>
        <v>5.53</v>
      </c>
      <c r="H518" s="284">
        <f t="shared" si="82"/>
        <v>995.4</v>
      </c>
      <c r="I518" s="312"/>
      <c r="J518" s="24"/>
      <c r="K518" s="197"/>
      <c r="L518" s="7"/>
      <c r="M518" s="35"/>
      <c r="N518" s="61"/>
      <c r="O518" s="35"/>
      <c r="P518" s="40"/>
      <c r="Q518" s="37"/>
      <c r="R518" s="4"/>
      <c r="S518" s="236">
        <v>180</v>
      </c>
      <c r="T518" s="236">
        <v>4.46</v>
      </c>
      <c r="U518" s="236">
        <v>5.61</v>
      </c>
      <c r="V518" s="236">
        <v>1009.8</v>
      </c>
    </row>
    <row r="519" spans="1:22" s="52" customFormat="1" ht="31.2" outlineLevel="1" x14ac:dyDescent="0.25">
      <c r="A519" s="282" t="s">
        <v>239</v>
      </c>
      <c r="B519" s="280">
        <v>91836</v>
      </c>
      <c r="C519" s="281" t="s">
        <v>130</v>
      </c>
      <c r="D519" s="282" t="s">
        <v>55</v>
      </c>
      <c r="E519" s="285">
        <v>100</v>
      </c>
      <c r="F519" s="283">
        <v>7.55</v>
      </c>
      <c r="G519" s="284">
        <f t="shared" si="81"/>
        <v>9.39</v>
      </c>
      <c r="H519" s="284">
        <f t="shared" si="82"/>
        <v>939</v>
      </c>
      <c r="I519" s="312"/>
      <c r="J519" s="24"/>
      <c r="K519" s="197"/>
      <c r="L519" s="7"/>
      <c r="M519" s="35"/>
      <c r="N519" s="61"/>
      <c r="O519" s="35"/>
      <c r="P519" s="40"/>
      <c r="Q519" s="37"/>
      <c r="R519" s="4"/>
      <c r="S519" s="236">
        <v>100</v>
      </c>
      <c r="T519" s="236">
        <v>7.55</v>
      </c>
      <c r="U519" s="236">
        <v>9.51</v>
      </c>
      <c r="V519" s="236">
        <v>951</v>
      </c>
    </row>
    <row r="520" spans="1:22" s="52" customFormat="1" ht="31.2" outlineLevel="1" x14ac:dyDescent="0.25">
      <c r="A520" s="282" t="s">
        <v>240</v>
      </c>
      <c r="B520" s="280">
        <v>91869</v>
      </c>
      <c r="C520" s="281" t="s">
        <v>132</v>
      </c>
      <c r="D520" s="282" t="s">
        <v>55</v>
      </c>
      <c r="E520" s="285">
        <v>50</v>
      </c>
      <c r="F520" s="283">
        <v>10.32</v>
      </c>
      <c r="G520" s="284">
        <f t="shared" si="81"/>
        <v>12.83</v>
      </c>
      <c r="H520" s="284">
        <f t="shared" si="82"/>
        <v>641.5</v>
      </c>
      <c r="I520" s="312"/>
      <c r="J520" s="24"/>
      <c r="K520" s="197"/>
      <c r="L520" s="7"/>
      <c r="M520" s="35"/>
      <c r="N520" s="61"/>
      <c r="O520" s="35"/>
      <c r="P520" s="40"/>
      <c r="Q520" s="37"/>
      <c r="R520" s="4"/>
      <c r="S520" s="236">
        <v>50</v>
      </c>
      <c r="T520" s="236">
        <v>10.32</v>
      </c>
      <c r="U520" s="236">
        <v>13</v>
      </c>
      <c r="V520" s="236">
        <v>650</v>
      </c>
    </row>
    <row r="521" spans="1:22" s="52" customFormat="1" outlineLevel="1" x14ac:dyDescent="0.25">
      <c r="A521" s="282" t="s">
        <v>241</v>
      </c>
      <c r="B521" s="280">
        <v>91990</v>
      </c>
      <c r="C521" s="281" t="s">
        <v>134</v>
      </c>
      <c r="D521" s="282" t="s">
        <v>44</v>
      </c>
      <c r="E521" s="285">
        <v>100</v>
      </c>
      <c r="F521" s="283">
        <v>21.81</v>
      </c>
      <c r="G521" s="284">
        <f t="shared" si="81"/>
        <v>27.12</v>
      </c>
      <c r="H521" s="284">
        <f t="shared" si="82"/>
        <v>2712</v>
      </c>
      <c r="I521" s="312"/>
      <c r="J521" s="24"/>
      <c r="K521" s="197"/>
      <c r="L521" s="7"/>
      <c r="M521" s="35"/>
      <c r="N521" s="61"/>
      <c r="O521" s="35"/>
      <c r="P521" s="40"/>
      <c r="Q521" s="37"/>
      <c r="R521" s="4"/>
      <c r="S521" s="236">
        <v>100</v>
      </c>
      <c r="T521" s="236">
        <v>20.73</v>
      </c>
      <c r="U521" s="236">
        <v>26.11</v>
      </c>
      <c r="V521" s="236">
        <v>2611</v>
      </c>
    </row>
    <row r="522" spans="1:22" s="52" customFormat="1" outlineLevel="1" x14ac:dyDescent="0.25">
      <c r="A522" s="282" t="s">
        <v>242</v>
      </c>
      <c r="B522" s="280">
        <v>91991</v>
      </c>
      <c r="C522" s="281" t="s">
        <v>137</v>
      </c>
      <c r="D522" s="282" t="s">
        <v>44</v>
      </c>
      <c r="E522" s="285">
        <v>32</v>
      </c>
      <c r="F522" s="283">
        <v>23.35</v>
      </c>
      <c r="G522" s="284">
        <f t="shared" si="81"/>
        <v>29.04</v>
      </c>
      <c r="H522" s="284">
        <f t="shared" si="82"/>
        <v>929.28</v>
      </c>
      <c r="I522" s="312"/>
      <c r="J522" s="24"/>
      <c r="K522" s="197"/>
      <c r="L522" s="7"/>
      <c r="M522" s="35"/>
      <c r="N522" s="61"/>
      <c r="O522" s="35"/>
      <c r="P522" s="40"/>
      <c r="Q522" s="37"/>
      <c r="R522" s="4"/>
      <c r="S522" s="236">
        <v>32</v>
      </c>
      <c r="T522" s="236">
        <v>23.35</v>
      </c>
      <c r="U522" s="236">
        <v>29.42</v>
      </c>
      <c r="V522" s="236">
        <v>941.44</v>
      </c>
    </row>
    <row r="523" spans="1:22" s="52" customFormat="1" outlineLevel="1" x14ac:dyDescent="0.25">
      <c r="A523" s="282" t="s">
        <v>243</v>
      </c>
      <c r="B523" s="280">
        <v>91953</v>
      </c>
      <c r="C523" s="281" t="s">
        <v>139</v>
      </c>
      <c r="D523" s="282" t="s">
        <v>44</v>
      </c>
      <c r="E523" s="285">
        <v>15</v>
      </c>
      <c r="F523" s="283">
        <v>16.14</v>
      </c>
      <c r="G523" s="284">
        <f t="shared" si="81"/>
        <v>20.07</v>
      </c>
      <c r="H523" s="284">
        <f t="shared" si="82"/>
        <v>301.05</v>
      </c>
      <c r="I523" s="312"/>
      <c r="J523" s="24"/>
      <c r="K523" s="197"/>
      <c r="L523" s="7"/>
      <c r="M523" s="35"/>
      <c r="N523" s="61"/>
      <c r="O523" s="35"/>
      <c r="P523" s="40"/>
      <c r="Q523" s="37"/>
      <c r="R523" s="4"/>
      <c r="S523" s="236">
        <v>15</v>
      </c>
      <c r="T523" s="236">
        <v>17.649999999999999</v>
      </c>
      <c r="U523" s="236">
        <v>22.23</v>
      </c>
      <c r="V523" s="236">
        <v>333.45</v>
      </c>
    </row>
    <row r="524" spans="1:22" s="52" customFormat="1" outlineLevel="1" x14ac:dyDescent="0.25">
      <c r="A524" s="282" t="s">
        <v>244</v>
      </c>
      <c r="B524" s="280">
        <v>91959</v>
      </c>
      <c r="C524" s="281" t="s">
        <v>140</v>
      </c>
      <c r="D524" s="282" t="s">
        <v>44</v>
      </c>
      <c r="E524" s="285">
        <v>10</v>
      </c>
      <c r="F524" s="283">
        <v>25.5</v>
      </c>
      <c r="G524" s="284">
        <f t="shared" si="81"/>
        <v>31.71</v>
      </c>
      <c r="H524" s="284">
        <f t="shared" si="82"/>
        <v>317.10000000000002</v>
      </c>
      <c r="I524" s="312"/>
      <c r="J524" s="24"/>
      <c r="K524" s="197"/>
      <c r="L524" s="7"/>
      <c r="M524" s="35"/>
      <c r="N524" s="61"/>
      <c r="O524" s="35"/>
      <c r="P524" s="40"/>
      <c r="Q524" s="37"/>
      <c r="R524" s="4"/>
      <c r="S524" s="236">
        <v>10</v>
      </c>
      <c r="T524" s="236">
        <v>27.93</v>
      </c>
      <c r="U524" s="236">
        <v>35.19</v>
      </c>
      <c r="V524" s="236">
        <v>351.9</v>
      </c>
    </row>
    <row r="525" spans="1:22" s="52" customFormat="1" outlineLevel="1" x14ac:dyDescent="0.25">
      <c r="A525" s="282" t="s">
        <v>368</v>
      </c>
      <c r="B525" s="280" t="s">
        <v>341</v>
      </c>
      <c r="C525" s="281" t="s">
        <v>342</v>
      </c>
      <c r="D525" s="282" t="s">
        <v>44</v>
      </c>
      <c r="E525" s="285">
        <v>3</v>
      </c>
      <c r="F525" s="283">
        <v>72.87</v>
      </c>
      <c r="G525" s="284">
        <f t="shared" si="81"/>
        <v>90.64</v>
      </c>
      <c r="H525" s="284">
        <f t="shared" si="82"/>
        <v>271.92</v>
      </c>
      <c r="I525" s="312"/>
      <c r="J525" s="24"/>
      <c r="K525" s="197"/>
      <c r="L525" s="7"/>
      <c r="M525" s="35"/>
      <c r="N525" s="61"/>
      <c r="O525" s="35"/>
      <c r="P525" s="40"/>
      <c r="Q525" s="37"/>
      <c r="R525" s="4"/>
      <c r="S525" s="236">
        <v>3</v>
      </c>
      <c r="T525" s="236">
        <v>72.87</v>
      </c>
      <c r="U525" s="236">
        <v>91.81</v>
      </c>
      <c r="V525" s="236">
        <v>275.43</v>
      </c>
    </row>
    <row r="526" spans="1:22" s="52" customFormat="1" outlineLevel="1" x14ac:dyDescent="0.25">
      <c r="A526" s="282" t="s">
        <v>339</v>
      </c>
      <c r="B526" s="280" t="s">
        <v>344</v>
      </c>
      <c r="C526" s="281" t="s">
        <v>345</v>
      </c>
      <c r="D526" s="282" t="s">
        <v>44</v>
      </c>
      <c r="E526" s="285">
        <v>12</v>
      </c>
      <c r="F526" s="283">
        <v>50.66</v>
      </c>
      <c r="G526" s="284">
        <f t="shared" si="81"/>
        <v>63.01</v>
      </c>
      <c r="H526" s="284">
        <f t="shared" si="82"/>
        <v>756.12</v>
      </c>
      <c r="I526" s="312"/>
      <c r="J526" s="24"/>
      <c r="K526" s="197"/>
      <c r="L526" s="7"/>
      <c r="M526" s="35"/>
      <c r="N526" s="61"/>
      <c r="O526" s="35"/>
      <c r="P526" s="40"/>
      <c r="Q526" s="37"/>
      <c r="R526" s="4"/>
      <c r="S526" s="236">
        <v>12</v>
      </c>
      <c r="T526" s="236">
        <v>50.66</v>
      </c>
      <c r="U526" s="236">
        <v>63.83</v>
      </c>
      <c r="V526" s="236">
        <v>765.96</v>
      </c>
    </row>
    <row r="527" spans="1:22" s="52" customFormat="1" outlineLevel="1" x14ac:dyDescent="0.25">
      <c r="A527" s="282" t="s">
        <v>340</v>
      </c>
      <c r="B527" s="280" t="s">
        <v>347</v>
      </c>
      <c r="C527" s="281" t="s">
        <v>348</v>
      </c>
      <c r="D527" s="282" t="s">
        <v>44</v>
      </c>
      <c r="E527" s="285">
        <v>5</v>
      </c>
      <c r="F527" s="283">
        <v>97.3</v>
      </c>
      <c r="G527" s="284">
        <f t="shared" si="81"/>
        <v>121.03</v>
      </c>
      <c r="H527" s="284">
        <f t="shared" si="82"/>
        <v>605.15</v>
      </c>
      <c r="I527" s="312"/>
      <c r="J527" s="24"/>
      <c r="K527" s="197"/>
      <c r="L527" s="7"/>
      <c r="M527" s="35"/>
      <c r="N527" s="61"/>
      <c r="O527" s="35"/>
      <c r="P527" s="40"/>
      <c r="Q527" s="37"/>
      <c r="R527" s="4"/>
      <c r="S527" s="236">
        <v>5</v>
      </c>
      <c r="T527" s="236">
        <v>97.3</v>
      </c>
      <c r="U527" s="236">
        <v>122.59</v>
      </c>
      <c r="V527" s="236">
        <v>612.95000000000005</v>
      </c>
    </row>
    <row r="528" spans="1:22" s="52" customFormat="1" outlineLevel="1" x14ac:dyDescent="0.25">
      <c r="A528" s="282" t="s">
        <v>343</v>
      </c>
      <c r="B528" s="280" t="s">
        <v>349</v>
      </c>
      <c r="C528" s="281" t="s">
        <v>350</v>
      </c>
      <c r="D528" s="282" t="s">
        <v>44</v>
      </c>
      <c r="E528" s="285">
        <v>12</v>
      </c>
      <c r="F528" s="283">
        <v>11.2</v>
      </c>
      <c r="G528" s="284">
        <f t="shared" si="81"/>
        <v>13.93</v>
      </c>
      <c r="H528" s="284">
        <f t="shared" si="82"/>
        <v>167.16</v>
      </c>
      <c r="I528" s="312"/>
      <c r="J528" s="24"/>
      <c r="K528" s="197"/>
      <c r="L528" s="7"/>
      <c r="M528" s="35"/>
      <c r="N528" s="61"/>
      <c r="O528" s="35"/>
      <c r="P528" s="40"/>
      <c r="Q528" s="37"/>
      <c r="R528" s="4"/>
      <c r="S528" s="236">
        <v>12</v>
      </c>
      <c r="T528" s="236">
        <v>11.2</v>
      </c>
      <c r="U528" s="236">
        <v>14.11</v>
      </c>
      <c r="V528" s="236">
        <v>169.32</v>
      </c>
    </row>
    <row r="529" spans="1:22" s="52" customFormat="1" outlineLevel="1" x14ac:dyDescent="0.25">
      <c r="A529" s="282" t="s">
        <v>346</v>
      </c>
      <c r="B529" s="280" t="s">
        <v>369</v>
      </c>
      <c r="C529" s="281" t="s">
        <v>370</v>
      </c>
      <c r="D529" s="282" t="s">
        <v>44</v>
      </c>
      <c r="E529" s="285">
        <v>1</v>
      </c>
      <c r="F529" s="283">
        <v>432.24</v>
      </c>
      <c r="G529" s="284">
        <f t="shared" si="81"/>
        <v>537.66</v>
      </c>
      <c r="H529" s="284">
        <f t="shared" si="82"/>
        <v>537.66</v>
      </c>
      <c r="I529" s="312"/>
      <c r="J529" s="24"/>
      <c r="K529" s="197"/>
      <c r="L529" s="7"/>
      <c r="M529" s="35"/>
      <c r="N529" s="61"/>
      <c r="O529" s="35"/>
      <c r="P529" s="40"/>
      <c r="Q529" s="37"/>
      <c r="R529" s="4"/>
      <c r="S529" s="236">
        <v>1</v>
      </c>
      <c r="T529" s="236">
        <v>432.24</v>
      </c>
      <c r="U529" s="236">
        <v>544.62</v>
      </c>
      <c r="V529" s="236">
        <v>544.62</v>
      </c>
    </row>
    <row r="530" spans="1:22" s="52" customFormat="1" outlineLevel="1" x14ac:dyDescent="0.25">
      <c r="A530" s="282" t="s">
        <v>245</v>
      </c>
      <c r="B530" s="280">
        <v>91944</v>
      </c>
      <c r="C530" s="281" t="s">
        <v>151</v>
      </c>
      <c r="D530" s="282" t="s">
        <v>44</v>
      </c>
      <c r="E530" s="285">
        <v>15</v>
      </c>
      <c r="F530" s="283">
        <f>'COMPOSIÇÃO SINAPI W MENDES'!G694</f>
        <v>9.06</v>
      </c>
      <c r="G530" s="284">
        <f t="shared" si="81"/>
        <v>11.26</v>
      </c>
      <c r="H530" s="284">
        <f t="shared" si="82"/>
        <v>168.9</v>
      </c>
      <c r="I530" s="559"/>
      <c r="J530" s="24"/>
      <c r="K530" s="197"/>
      <c r="L530" s="7"/>
      <c r="M530" s="35"/>
      <c r="N530" s="61"/>
      <c r="O530" s="35"/>
      <c r="P530" s="40"/>
      <c r="Q530" s="37"/>
      <c r="R530" s="4"/>
      <c r="S530" s="236">
        <v>15</v>
      </c>
      <c r="T530" s="500">
        <v>9.06</v>
      </c>
      <c r="U530" s="236">
        <v>11.41</v>
      </c>
      <c r="V530" s="236">
        <v>171.15</v>
      </c>
    </row>
    <row r="531" spans="1:22" s="52" customFormat="1" ht="31.2" outlineLevel="1" x14ac:dyDescent="0.25">
      <c r="A531" s="282" t="s">
        <v>246</v>
      </c>
      <c r="B531" s="280">
        <v>83463</v>
      </c>
      <c r="C531" s="281" t="s">
        <v>152</v>
      </c>
      <c r="D531" s="282" t="s">
        <v>44</v>
      </c>
      <c r="E531" s="285">
        <v>1</v>
      </c>
      <c r="F531" s="283">
        <v>356.52</v>
      </c>
      <c r="G531" s="284">
        <f t="shared" si="81"/>
        <v>443.47</v>
      </c>
      <c r="H531" s="284">
        <f t="shared" si="82"/>
        <v>443.47</v>
      </c>
      <c r="I531" s="312"/>
      <c r="J531" s="24"/>
      <c r="K531" s="197"/>
      <c r="L531" s="7"/>
      <c r="M531" s="35"/>
      <c r="N531" s="61"/>
      <c r="O531" s="35"/>
      <c r="P531" s="40"/>
      <c r="Q531" s="37"/>
      <c r="R531" s="4"/>
      <c r="S531" s="236">
        <v>1</v>
      </c>
      <c r="T531" s="500">
        <v>308.27</v>
      </c>
      <c r="U531" s="236">
        <v>388.42</v>
      </c>
      <c r="V531" s="236">
        <v>388.42</v>
      </c>
    </row>
    <row r="532" spans="1:22" s="52" customFormat="1" ht="31.2" outlineLevel="1" x14ac:dyDescent="0.25">
      <c r="A532" s="282" t="s">
        <v>247</v>
      </c>
      <c r="B532" s="280" t="s">
        <v>153</v>
      </c>
      <c r="C532" s="281" t="s">
        <v>154</v>
      </c>
      <c r="D532" s="282" t="s">
        <v>44</v>
      </c>
      <c r="E532" s="285">
        <v>1</v>
      </c>
      <c r="F532" s="283">
        <v>606.13</v>
      </c>
      <c r="G532" s="284">
        <f t="shared" si="81"/>
        <v>753.96</v>
      </c>
      <c r="H532" s="284">
        <f t="shared" si="82"/>
        <v>753.96</v>
      </c>
      <c r="I532" s="312"/>
      <c r="J532" s="24"/>
      <c r="K532" s="197"/>
      <c r="L532" s="7"/>
      <c r="M532" s="35"/>
      <c r="N532" s="61"/>
      <c r="O532" s="35"/>
      <c r="P532" s="40"/>
      <c r="Q532" s="37"/>
      <c r="R532" s="4"/>
      <c r="S532" s="236">
        <v>1</v>
      </c>
      <c r="T532" s="500">
        <v>524.64</v>
      </c>
      <c r="U532" s="236">
        <v>661.04</v>
      </c>
      <c r="V532" s="236">
        <v>661.04</v>
      </c>
    </row>
    <row r="533" spans="1:22" s="52" customFormat="1" outlineLevel="1" x14ac:dyDescent="0.25">
      <c r="A533" s="282" t="s">
        <v>248</v>
      </c>
      <c r="B533" s="280">
        <v>91941</v>
      </c>
      <c r="C533" s="281" t="s">
        <v>150</v>
      </c>
      <c r="D533" s="282" t="s">
        <v>44</v>
      </c>
      <c r="E533" s="285">
        <v>52</v>
      </c>
      <c r="F533" s="283">
        <v>6.8</v>
      </c>
      <c r="G533" s="284">
        <f t="shared" si="81"/>
        <v>8.4499999999999993</v>
      </c>
      <c r="H533" s="284">
        <f t="shared" si="82"/>
        <v>439.4</v>
      </c>
      <c r="I533" s="312"/>
      <c r="J533" s="24"/>
      <c r="K533" s="197"/>
      <c r="L533" s="7"/>
      <c r="M533" s="35"/>
      <c r="N533" s="61"/>
      <c r="O533" s="35"/>
      <c r="P533" s="40"/>
      <c r="Q533" s="37"/>
      <c r="R533" s="4"/>
      <c r="S533" s="236">
        <v>52</v>
      </c>
      <c r="T533" s="500">
        <v>6.69</v>
      </c>
      <c r="U533" s="236">
        <v>8.42</v>
      </c>
      <c r="V533" s="236">
        <v>437.84</v>
      </c>
    </row>
    <row r="534" spans="1:22" s="52" customFormat="1" outlineLevel="1" x14ac:dyDescent="0.25">
      <c r="A534" s="282" t="s">
        <v>249</v>
      </c>
      <c r="B534" s="280">
        <v>93012</v>
      </c>
      <c r="C534" s="281" t="s">
        <v>155</v>
      </c>
      <c r="D534" s="282" t="s">
        <v>55</v>
      </c>
      <c r="E534" s="285">
        <v>12</v>
      </c>
      <c r="F534" s="283">
        <v>36.47</v>
      </c>
      <c r="G534" s="284">
        <f t="shared" si="81"/>
        <v>45.36</v>
      </c>
      <c r="H534" s="284">
        <f t="shared" si="82"/>
        <v>544.32000000000005</v>
      </c>
      <c r="I534" s="312"/>
      <c r="J534" s="24"/>
      <c r="K534" s="197"/>
      <c r="L534" s="7"/>
      <c r="M534" s="35"/>
      <c r="N534" s="61"/>
      <c r="O534" s="35"/>
      <c r="P534" s="40"/>
      <c r="Q534" s="37"/>
      <c r="R534" s="4"/>
      <c r="S534" s="236">
        <v>12</v>
      </c>
      <c r="T534" s="500">
        <v>34.270000000000003</v>
      </c>
      <c r="U534" s="236">
        <v>43.18</v>
      </c>
      <c r="V534" s="236">
        <v>518.16</v>
      </c>
    </row>
    <row r="535" spans="1:22" s="52" customFormat="1" ht="31.2" outlineLevel="1" x14ac:dyDescent="0.25">
      <c r="A535" s="282" t="s">
        <v>250</v>
      </c>
      <c r="B535" s="280" t="s">
        <v>156</v>
      </c>
      <c r="C535" s="281" t="s">
        <v>157</v>
      </c>
      <c r="D535" s="282" t="s">
        <v>44</v>
      </c>
      <c r="E535" s="285">
        <v>1</v>
      </c>
      <c r="F535" s="283">
        <v>852.27</v>
      </c>
      <c r="G535" s="284">
        <f t="shared" si="81"/>
        <v>1060.1300000000001</v>
      </c>
      <c r="H535" s="284">
        <f>TRUNC(E535*G535,2)</f>
        <v>1060.1300000000001</v>
      </c>
      <c r="I535" s="312"/>
      <c r="J535" s="24"/>
      <c r="K535" s="197"/>
      <c r="L535" s="7"/>
      <c r="M535" s="35"/>
      <c r="N535" s="61"/>
      <c r="O535" s="35"/>
      <c r="P535" s="40"/>
      <c r="Q535" s="37"/>
      <c r="R535" s="4"/>
      <c r="S535" s="236">
        <v>1</v>
      </c>
      <c r="T535" s="500">
        <v>732.55</v>
      </c>
      <c r="U535" s="236">
        <v>923.01</v>
      </c>
      <c r="V535" s="236">
        <v>923.01</v>
      </c>
    </row>
    <row r="536" spans="1:22" s="52" customFormat="1" ht="31.2" outlineLevel="1" x14ac:dyDescent="0.25">
      <c r="A536" s="282" t="s">
        <v>251</v>
      </c>
      <c r="B536" s="280" t="s">
        <v>351</v>
      </c>
      <c r="C536" s="281" t="s">
        <v>352</v>
      </c>
      <c r="D536" s="282" t="s">
        <v>44</v>
      </c>
      <c r="E536" s="285">
        <v>1</v>
      </c>
      <c r="F536" s="283">
        <v>396.73</v>
      </c>
      <c r="G536" s="284">
        <f>TRUNC(F536*$J$13,2)</f>
        <v>493.49</v>
      </c>
      <c r="H536" s="284">
        <f>TRUNC(E536*G536,2)</f>
        <v>493.49</v>
      </c>
      <c r="I536" s="312"/>
      <c r="J536" s="24"/>
      <c r="K536" s="197"/>
      <c r="L536" s="7"/>
      <c r="M536" s="35"/>
      <c r="N536" s="61"/>
      <c r="O536" s="35"/>
      <c r="P536" s="40"/>
      <c r="Q536" s="37"/>
      <c r="R536" s="4"/>
      <c r="S536" s="236">
        <v>1</v>
      </c>
      <c r="T536" s="236">
        <v>396.73</v>
      </c>
      <c r="U536" s="236">
        <v>499.87</v>
      </c>
      <c r="V536" s="236">
        <v>499.87</v>
      </c>
    </row>
    <row r="537" spans="1:22" s="52" customFormat="1" outlineLevel="1" x14ac:dyDescent="0.25">
      <c r="A537" s="279" t="s">
        <v>206</v>
      </c>
      <c r="B537" s="279"/>
      <c r="C537" s="294" t="s">
        <v>161</v>
      </c>
      <c r="D537" s="558"/>
      <c r="E537" s="294"/>
      <c r="F537" s="403"/>
      <c r="G537" s="296" t="s">
        <v>38</v>
      </c>
      <c r="H537" s="558"/>
      <c r="I537" s="559">
        <f>SUM(H538:H547)</f>
        <v>19358.689999999999</v>
      </c>
      <c r="J537" s="24"/>
      <c r="K537" s="197"/>
      <c r="L537" s="317">
        <f>SUM(H538:H547)</f>
        <v>19358.689999999999</v>
      </c>
      <c r="M537" s="35">
        <f>I537-L537</f>
        <v>0</v>
      </c>
      <c r="N537" s="61"/>
      <c r="O537" s="35"/>
      <c r="P537" s="40"/>
      <c r="Q537" s="37"/>
      <c r="R537" s="4"/>
    </row>
    <row r="538" spans="1:22" s="52" customFormat="1" outlineLevel="1" x14ac:dyDescent="0.25">
      <c r="A538" s="282" t="s">
        <v>208</v>
      </c>
      <c r="B538" s="280">
        <v>90447</v>
      </c>
      <c r="C538" s="281" t="s">
        <v>127</v>
      </c>
      <c r="D538" s="282" t="s">
        <v>55</v>
      </c>
      <c r="E538" s="285">
        <v>46</v>
      </c>
      <c r="F538" s="283">
        <v>4.46</v>
      </c>
      <c r="G538" s="284">
        <f t="shared" ref="G538:G547" si="83">TRUNC(F538*$J$13,2)</f>
        <v>5.54</v>
      </c>
      <c r="H538" s="284">
        <f t="shared" ref="H538:H547" si="84">TRUNC(E538*G538,2)</f>
        <v>254.84</v>
      </c>
      <c r="I538" s="312"/>
      <c r="J538" s="24"/>
      <c r="K538" s="197"/>
      <c r="L538" s="7"/>
      <c r="M538" s="35"/>
      <c r="N538" s="61"/>
      <c r="O538" s="35"/>
      <c r="P538" s="40"/>
      <c r="Q538" s="37"/>
      <c r="R538" s="4"/>
      <c r="S538" s="236">
        <v>46</v>
      </c>
      <c r="T538" s="236">
        <v>4.46</v>
      </c>
      <c r="U538" s="236">
        <v>5.61</v>
      </c>
      <c r="V538" s="236">
        <v>258.06</v>
      </c>
    </row>
    <row r="539" spans="1:22" s="52" customFormat="1" ht="31.2" outlineLevel="1" x14ac:dyDescent="0.25">
      <c r="A539" s="282" t="s">
        <v>252</v>
      </c>
      <c r="B539" s="280">
        <v>91836</v>
      </c>
      <c r="C539" s="281" t="s">
        <v>130</v>
      </c>
      <c r="D539" s="282" t="s">
        <v>55</v>
      </c>
      <c r="E539" s="285">
        <v>120</v>
      </c>
      <c r="F539" s="283">
        <v>7.55</v>
      </c>
      <c r="G539" s="284">
        <f t="shared" si="83"/>
        <v>9.39</v>
      </c>
      <c r="H539" s="284">
        <f t="shared" si="84"/>
        <v>1126.8</v>
      </c>
      <c r="I539" s="312"/>
      <c r="J539" s="24"/>
      <c r="K539" s="197"/>
      <c r="L539" s="7"/>
      <c r="M539" s="35"/>
      <c r="N539" s="61"/>
      <c r="O539" s="35"/>
      <c r="P539" s="40"/>
      <c r="Q539" s="37"/>
      <c r="R539" s="4"/>
      <c r="S539" s="236">
        <v>120</v>
      </c>
      <c r="T539" s="236">
        <v>7.55</v>
      </c>
      <c r="U539" s="236">
        <v>9.51</v>
      </c>
      <c r="V539" s="236">
        <v>1141.2</v>
      </c>
    </row>
    <row r="540" spans="1:22" s="52" customFormat="1" ht="31.2" outlineLevel="1" x14ac:dyDescent="0.25">
      <c r="A540" s="282" t="s">
        <v>209</v>
      </c>
      <c r="B540" s="280">
        <v>91869</v>
      </c>
      <c r="C540" s="281" t="s">
        <v>132</v>
      </c>
      <c r="D540" s="282" t="s">
        <v>55</v>
      </c>
      <c r="E540" s="285">
        <v>200</v>
      </c>
      <c r="F540" s="283">
        <v>10.32</v>
      </c>
      <c r="G540" s="284">
        <f t="shared" si="83"/>
        <v>12.83</v>
      </c>
      <c r="H540" s="284">
        <f t="shared" si="84"/>
        <v>2566</v>
      </c>
      <c r="I540" s="312"/>
      <c r="J540" s="24"/>
      <c r="K540" s="197"/>
      <c r="L540" s="7"/>
      <c r="M540" s="35"/>
      <c r="N540" s="61"/>
      <c r="O540" s="35"/>
      <c r="P540" s="40"/>
      <c r="Q540" s="37"/>
      <c r="R540" s="4"/>
      <c r="S540" s="236">
        <v>200</v>
      </c>
      <c r="T540" s="236">
        <v>10.32</v>
      </c>
      <c r="U540" s="236">
        <v>13</v>
      </c>
      <c r="V540" s="236">
        <v>2600</v>
      </c>
    </row>
    <row r="541" spans="1:22" s="52" customFormat="1" outlineLevel="1" x14ac:dyDescent="0.25">
      <c r="A541" s="282" t="s">
        <v>253</v>
      </c>
      <c r="B541" s="280">
        <v>91941</v>
      </c>
      <c r="C541" s="281" t="s">
        <v>150</v>
      </c>
      <c r="D541" s="282" t="s">
        <v>44</v>
      </c>
      <c r="E541" s="285">
        <v>60</v>
      </c>
      <c r="F541" s="283">
        <v>6.8</v>
      </c>
      <c r="G541" s="284">
        <f t="shared" si="83"/>
        <v>8.4499999999999993</v>
      </c>
      <c r="H541" s="284">
        <f t="shared" si="84"/>
        <v>507</v>
      </c>
      <c r="I541" s="312"/>
      <c r="J541" s="24"/>
      <c r="K541" s="197"/>
      <c r="L541" s="7"/>
      <c r="M541" s="35"/>
      <c r="N541" s="61"/>
      <c r="O541" s="35"/>
      <c r="P541" s="40"/>
      <c r="Q541" s="37"/>
      <c r="R541" s="4"/>
      <c r="S541" s="236">
        <v>60</v>
      </c>
      <c r="T541" s="501">
        <v>6.69</v>
      </c>
      <c r="U541" s="236">
        <v>8.42</v>
      </c>
      <c r="V541" s="236">
        <v>505.2</v>
      </c>
    </row>
    <row r="542" spans="1:22" s="52" customFormat="1" outlineLevel="1" x14ac:dyDescent="0.25">
      <c r="A542" s="282" t="s">
        <v>254</v>
      </c>
      <c r="B542" s="280">
        <v>95778</v>
      </c>
      <c r="C542" s="281" t="s">
        <v>168</v>
      </c>
      <c r="D542" s="282" t="s">
        <v>55</v>
      </c>
      <c r="E542" s="285">
        <v>120</v>
      </c>
      <c r="F542" s="283">
        <v>20.28</v>
      </c>
      <c r="G542" s="284">
        <f t="shared" si="83"/>
        <v>25.22</v>
      </c>
      <c r="H542" s="284">
        <f t="shared" si="84"/>
        <v>3026.4</v>
      </c>
      <c r="I542" s="312"/>
      <c r="J542" s="24"/>
      <c r="K542" s="197"/>
      <c r="L542" s="7"/>
      <c r="M542" s="35"/>
      <c r="N542" s="61"/>
      <c r="O542" s="35"/>
      <c r="P542" s="40"/>
      <c r="Q542" s="37"/>
      <c r="R542" s="4"/>
      <c r="S542" s="236">
        <v>120</v>
      </c>
      <c r="T542" s="236">
        <v>18.37</v>
      </c>
      <c r="U542" s="236">
        <v>23.14</v>
      </c>
      <c r="V542" s="236">
        <v>2776.8</v>
      </c>
    </row>
    <row r="543" spans="1:22" s="52" customFormat="1" outlineLevel="1" x14ac:dyDescent="0.25">
      <c r="A543" s="282" t="s">
        <v>255</v>
      </c>
      <c r="B543" s="292">
        <v>98296</v>
      </c>
      <c r="C543" s="291" t="s">
        <v>172</v>
      </c>
      <c r="D543" s="282" t="s">
        <v>55</v>
      </c>
      <c r="E543" s="285">
        <v>2000</v>
      </c>
      <c r="F543" s="304">
        <v>2.52</v>
      </c>
      <c r="G543" s="284">
        <f t="shared" si="83"/>
        <v>3.13</v>
      </c>
      <c r="H543" s="284">
        <f t="shared" si="84"/>
        <v>6260</v>
      </c>
      <c r="I543" s="312"/>
      <c r="J543" s="24"/>
      <c r="K543" s="197"/>
      <c r="L543" s="7"/>
      <c r="M543" s="35"/>
      <c r="N543" s="61"/>
      <c r="O543" s="35"/>
      <c r="P543" s="40"/>
      <c r="Q543" s="37"/>
      <c r="R543" s="4"/>
      <c r="S543" s="236">
        <v>2000</v>
      </c>
      <c r="T543" s="236">
        <v>2.52</v>
      </c>
      <c r="U543" s="236">
        <v>3.17</v>
      </c>
      <c r="V543" s="236">
        <v>6340</v>
      </c>
    </row>
    <row r="544" spans="1:22" s="52" customFormat="1" outlineLevel="1" x14ac:dyDescent="0.25">
      <c r="A544" s="282" t="s">
        <v>256</v>
      </c>
      <c r="B544" s="280">
        <v>98593</v>
      </c>
      <c r="C544" s="293" t="s">
        <v>176</v>
      </c>
      <c r="D544" s="282" t="s">
        <v>44</v>
      </c>
      <c r="E544" s="285">
        <v>2</v>
      </c>
      <c r="F544" s="283">
        <v>651.96</v>
      </c>
      <c r="G544" s="284">
        <f t="shared" si="83"/>
        <v>810.97</v>
      </c>
      <c r="H544" s="284">
        <f t="shared" si="84"/>
        <v>1621.94</v>
      </c>
      <c r="I544" s="312"/>
      <c r="J544" s="24"/>
      <c r="K544" s="197"/>
      <c r="L544" s="7"/>
      <c r="M544" s="35"/>
      <c r="N544" s="61"/>
      <c r="O544" s="35"/>
      <c r="P544" s="40"/>
      <c r="Q544" s="37"/>
      <c r="R544" s="4"/>
      <c r="S544" s="236">
        <v>2</v>
      </c>
      <c r="T544" s="236">
        <v>651.96</v>
      </c>
      <c r="U544" s="236">
        <v>821.46</v>
      </c>
      <c r="V544" s="236">
        <v>1642.92</v>
      </c>
    </row>
    <row r="545" spans="1:22" s="52" customFormat="1" ht="31.2" outlineLevel="1" x14ac:dyDescent="0.25">
      <c r="A545" s="282" t="s">
        <v>257</v>
      </c>
      <c r="B545" s="280" t="s">
        <v>358</v>
      </c>
      <c r="C545" s="289" t="s">
        <v>179</v>
      </c>
      <c r="D545" s="282" t="s">
        <v>44</v>
      </c>
      <c r="E545" s="285">
        <v>1</v>
      </c>
      <c r="F545" s="283">
        <v>1489.4</v>
      </c>
      <c r="G545" s="284">
        <f t="shared" si="83"/>
        <v>1852.66</v>
      </c>
      <c r="H545" s="284">
        <f t="shared" si="84"/>
        <v>1852.66</v>
      </c>
      <c r="I545" s="312"/>
      <c r="J545" s="24"/>
      <c r="K545" s="197"/>
      <c r="L545" s="7"/>
      <c r="M545" s="35"/>
      <c r="N545" s="61"/>
      <c r="O545" s="35"/>
      <c r="P545" s="40"/>
      <c r="Q545" s="37"/>
      <c r="R545" s="4"/>
      <c r="S545" s="236">
        <v>1</v>
      </c>
      <c r="T545" s="236">
        <v>1489.4</v>
      </c>
      <c r="U545" s="236">
        <v>1876.64</v>
      </c>
      <c r="V545" s="236">
        <v>1876.64</v>
      </c>
    </row>
    <row r="546" spans="1:22" s="52" customFormat="1" outlineLevel="1" x14ac:dyDescent="0.25">
      <c r="A546" s="282" t="s">
        <v>258</v>
      </c>
      <c r="B546" s="280">
        <v>98307</v>
      </c>
      <c r="C546" s="281" t="s">
        <v>182</v>
      </c>
      <c r="D546" s="282" t="s">
        <v>44</v>
      </c>
      <c r="E546" s="285">
        <v>60</v>
      </c>
      <c r="F546" s="283">
        <v>27.38</v>
      </c>
      <c r="G546" s="284">
        <f t="shared" si="83"/>
        <v>34.049999999999997</v>
      </c>
      <c r="H546" s="284">
        <f t="shared" si="84"/>
        <v>2043</v>
      </c>
      <c r="I546" s="312"/>
      <c r="J546" s="24"/>
      <c r="K546" s="197"/>
      <c r="L546" s="7"/>
      <c r="M546" s="35"/>
      <c r="N546" s="61"/>
      <c r="O546" s="35"/>
      <c r="P546" s="40"/>
      <c r="Q546" s="37"/>
      <c r="R546" s="4"/>
      <c r="S546" s="236">
        <v>60</v>
      </c>
      <c r="T546" s="501">
        <v>27.38</v>
      </c>
      <c r="U546" s="236">
        <v>34.49</v>
      </c>
      <c r="V546" s="236">
        <v>2069.4</v>
      </c>
    </row>
    <row r="547" spans="1:22" s="52" customFormat="1" ht="31.2" outlineLevel="1" x14ac:dyDescent="0.25">
      <c r="A547" s="282" t="s">
        <v>259</v>
      </c>
      <c r="B547" s="280">
        <v>100560</v>
      </c>
      <c r="C547" s="281" t="s">
        <v>184</v>
      </c>
      <c r="D547" s="282" t="s">
        <v>185</v>
      </c>
      <c r="E547" s="285">
        <v>1</v>
      </c>
      <c r="F547" s="283">
        <v>80.44</v>
      </c>
      <c r="G547" s="284">
        <f t="shared" si="83"/>
        <v>100.05</v>
      </c>
      <c r="H547" s="284">
        <f t="shared" si="84"/>
        <v>100.05</v>
      </c>
      <c r="I547" s="312"/>
      <c r="J547" s="24"/>
      <c r="K547" s="197"/>
      <c r="L547" s="7"/>
      <c r="M547" s="35"/>
      <c r="N547" s="61"/>
      <c r="O547" s="35"/>
      <c r="P547" s="40"/>
      <c r="Q547" s="37"/>
      <c r="R547" s="4"/>
      <c r="S547" s="236">
        <v>1</v>
      </c>
      <c r="T547" s="236">
        <v>72.180000000000007</v>
      </c>
      <c r="U547" s="236">
        <v>90.94</v>
      </c>
      <c r="V547" s="236">
        <v>90.94</v>
      </c>
    </row>
    <row r="548" spans="1:22" s="52" customFormat="1" outlineLevel="1" x14ac:dyDescent="0.25">
      <c r="A548" s="279" t="s">
        <v>211</v>
      </c>
      <c r="B548" s="279"/>
      <c r="C548" s="294" t="s">
        <v>187</v>
      </c>
      <c r="D548" s="558"/>
      <c r="E548" s="296"/>
      <c r="F548" s="403"/>
      <c r="G548" s="296" t="s">
        <v>38</v>
      </c>
      <c r="H548" s="558"/>
      <c r="I548" s="559">
        <f>SUM(H549:H577)</f>
        <v>15272.789999999999</v>
      </c>
      <c r="J548" s="24"/>
      <c r="K548" s="197"/>
      <c r="L548" s="317">
        <f>SUM(H550:H577)</f>
        <v>15272.789999999999</v>
      </c>
      <c r="M548" s="35">
        <f>I548-L548</f>
        <v>0</v>
      </c>
      <c r="N548" s="61"/>
      <c r="O548" s="35"/>
      <c r="P548" s="40"/>
      <c r="Q548" s="37"/>
      <c r="R548" s="4"/>
    </row>
    <row r="549" spans="1:22" s="52" customFormat="1" outlineLevel="1" x14ac:dyDescent="0.25">
      <c r="A549" s="279" t="s">
        <v>213</v>
      </c>
      <c r="B549" s="280"/>
      <c r="C549" s="294" t="s">
        <v>189</v>
      </c>
      <c r="D549" s="282"/>
      <c r="E549" s="288"/>
      <c r="F549" s="297"/>
      <c r="G549" s="288"/>
      <c r="H549" s="298"/>
      <c r="I549" s="312"/>
      <c r="J549" s="24"/>
      <c r="K549" s="197"/>
      <c r="L549" s="7"/>
      <c r="M549" s="35"/>
      <c r="N549" s="61"/>
      <c r="O549" s="35"/>
      <c r="P549" s="40"/>
      <c r="Q549" s="37"/>
      <c r="R549" s="4"/>
    </row>
    <row r="550" spans="1:22" s="52" customFormat="1" outlineLevel="1" x14ac:dyDescent="0.25">
      <c r="A550" s="282" t="s">
        <v>263</v>
      </c>
      <c r="B550" s="280">
        <v>90443</v>
      </c>
      <c r="C550" s="281" t="s">
        <v>190</v>
      </c>
      <c r="D550" s="282" t="s">
        <v>55</v>
      </c>
      <c r="E550" s="285">
        <f t="shared" ref="E550:E563" si="85">J550</f>
        <v>28.8</v>
      </c>
      <c r="F550" s="283">
        <v>8.9499999999999993</v>
      </c>
      <c r="G550" s="284">
        <f t="shared" ref="G550:G563" si="86">TRUNC(F550*$J$13,2)</f>
        <v>11.13</v>
      </c>
      <c r="H550" s="284">
        <f>TRUNC(E550*G550,2)</f>
        <v>320.54000000000002</v>
      </c>
      <c r="I550" s="312"/>
      <c r="J550" s="24">
        <f>9*3.2</f>
        <v>28.8</v>
      </c>
      <c r="K550" s="197"/>
      <c r="L550" s="7"/>
      <c r="M550" s="35"/>
      <c r="N550" s="61"/>
      <c r="O550" s="35"/>
      <c r="P550" s="40"/>
      <c r="Q550" s="37"/>
      <c r="R550" s="4"/>
      <c r="S550" s="236">
        <v>28.8</v>
      </c>
      <c r="T550" s="236">
        <v>8.9499999999999993</v>
      </c>
      <c r="U550" s="236">
        <v>11.27</v>
      </c>
      <c r="V550" s="236">
        <v>324.57</v>
      </c>
    </row>
    <row r="551" spans="1:22" s="52" customFormat="1" outlineLevel="1" x14ac:dyDescent="0.25">
      <c r="A551" s="282" t="s">
        <v>264</v>
      </c>
      <c r="B551" s="280">
        <v>93358</v>
      </c>
      <c r="C551" s="281" t="s">
        <v>355</v>
      </c>
      <c r="D551" s="282" t="s">
        <v>304</v>
      </c>
      <c r="E551" s="285">
        <f t="shared" si="85"/>
        <v>25</v>
      </c>
      <c r="F551" s="283">
        <v>56.84</v>
      </c>
      <c r="G551" s="298">
        <f t="shared" si="86"/>
        <v>70.7</v>
      </c>
      <c r="H551" s="298">
        <f t="shared" ref="H551:H563" si="87">TRUNC(E551*G551,2)</f>
        <v>1767.5</v>
      </c>
      <c r="I551" s="312"/>
      <c r="J551" s="24">
        <v>25</v>
      </c>
      <c r="K551" s="197"/>
      <c r="L551" s="7"/>
      <c r="M551" s="35"/>
      <c r="N551" s="61"/>
      <c r="O551" s="35"/>
      <c r="P551" s="40"/>
      <c r="Q551" s="37"/>
      <c r="R551" s="4"/>
      <c r="S551" s="236">
        <v>25</v>
      </c>
      <c r="T551" s="236">
        <v>56.84</v>
      </c>
      <c r="U551" s="236">
        <v>71.61</v>
      </c>
      <c r="V551" s="236">
        <v>1790.25</v>
      </c>
    </row>
    <row r="552" spans="1:22" s="52" customFormat="1" ht="31.2" outlineLevel="1" x14ac:dyDescent="0.25">
      <c r="A552" s="282" t="s">
        <v>265</v>
      </c>
      <c r="B552" s="280">
        <v>89707</v>
      </c>
      <c r="C552" s="281" t="s">
        <v>292</v>
      </c>
      <c r="D552" s="282" t="s">
        <v>44</v>
      </c>
      <c r="E552" s="285">
        <f t="shared" si="85"/>
        <v>3</v>
      </c>
      <c r="F552" s="283">
        <v>25.09</v>
      </c>
      <c r="G552" s="298">
        <f t="shared" si="86"/>
        <v>31.2</v>
      </c>
      <c r="H552" s="298">
        <f t="shared" si="87"/>
        <v>93.6</v>
      </c>
      <c r="I552" s="312"/>
      <c r="J552" s="24">
        <v>3</v>
      </c>
      <c r="K552" s="197"/>
      <c r="L552" s="7"/>
      <c r="M552" s="35"/>
      <c r="N552" s="61"/>
      <c r="O552" s="35"/>
      <c r="P552" s="40"/>
      <c r="Q552" s="37"/>
      <c r="R552" s="4"/>
      <c r="S552" s="236">
        <v>3</v>
      </c>
      <c r="T552" s="236">
        <v>25.09</v>
      </c>
      <c r="U552" s="236">
        <v>31.61</v>
      </c>
      <c r="V552" s="236">
        <v>94.83</v>
      </c>
    </row>
    <row r="553" spans="1:22" s="52" customFormat="1" ht="31.2" outlineLevel="1" x14ac:dyDescent="0.25">
      <c r="A553" s="282" t="s">
        <v>267</v>
      </c>
      <c r="B553" s="280">
        <v>95472</v>
      </c>
      <c r="C553" s="281" t="s">
        <v>280</v>
      </c>
      <c r="D553" s="282" t="s">
        <v>44</v>
      </c>
      <c r="E553" s="285">
        <f t="shared" si="85"/>
        <v>1</v>
      </c>
      <c r="F553" s="283">
        <v>611.63</v>
      </c>
      <c r="G553" s="298">
        <f t="shared" si="86"/>
        <v>760.8</v>
      </c>
      <c r="H553" s="298">
        <f t="shared" si="87"/>
        <v>760.8</v>
      </c>
      <c r="I553" s="312"/>
      <c r="J553" s="24">
        <v>1</v>
      </c>
      <c r="K553" s="197"/>
      <c r="L553" s="7"/>
      <c r="M553" s="35"/>
      <c r="N553" s="61"/>
      <c r="O553" s="35"/>
      <c r="P553" s="40"/>
      <c r="Q553" s="37"/>
      <c r="R553" s="4"/>
      <c r="S553" s="236">
        <v>1</v>
      </c>
      <c r="T553" s="236">
        <v>611.63</v>
      </c>
      <c r="U553" s="236">
        <v>770.65</v>
      </c>
      <c r="V553" s="236">
        <v>770.65</v>
      </c>
    </row>
    <row r="554" spans="1:22" s="52" customFormat="1" ht="31.2" outlineLevel="1" x14ac:dyDescent="0.25">
      <c r="A554" s="282" t="s">
        <v>269</v>
      </c>
      <c r="B554" s="280">
        <v>95470</v>
      </c>
      <c r="C554" s="281" t="s">
        <v>205</v>
      </c>
      <c r="D554" s="282" t="s">
        <v>44</v>
      </c>
      <c r="E554" s="285">
        <f t="shared" si="85"/>
        <v>3</v>
      </c>
      <c r="F554" s="283">
        <v>169.53</v>
      </c>
      <c r="G554" s="298">
        <f t="shared" si="86"/>
        <v>210.87</v>
      </c>
      <c r="H554" s="298">
        <f t="shared" si="87"/>
        <v>632.61</v>
      </c>
      <c r="I554" s="312"/>
      <c r="J554" s="24">
        <v>3</v>
      </c>
      <c r="K554" s="197"/>
      <c r="L554" s="7"/>
      <c r="M554" s="35"/>
      <c r="N554" s="61"/>
      <c r="O554" s="35"/>
      <c r="P554" s="40"/>
      <c r="Q554" s="37"/>
      <c r="R554" s="4"/>
      <c r="S554" s="236">
        <v>3</v>
      </c>
      <c r="T554" s="236">
        <v>169.53</v>
      </c>
      <c r="U554" s="236">
        <v>213.6</v>
      </c>
      <c r="V554" s="236">
        <v>640.79999999999995</v>
      </c>
    </row>
    <row r="555" spans="1:22" s="52" customFormat="1" ht="31.2" outlineLevel="1" x14ac:dyDescent="0.25">
      <c r="A555" s="282" t="s">
        <v>270</v>
      </c>
      <c r="B555" s="280">
        <v>100858</v>
      </c>
      <c r="C555" s="281" t="s">
        <v>371</v>
      </c>
      <c r="D555" s="282" t="s">
        <v>44</v>
      </c>
      <c r="E555" s="285">
        <f t="shared" si="85"/>
        <v>2</v>
      </c>
      <c r="F555" s="283">
        <v>437.11</v>
      </c>
      <c r="G555" s="298">
        <f t="shared" si="86"/>
        <v>543.72</v>
      </c>
      <c r="H555" s="298">
        <f>TRUNC(E555*G555,2)</f>
        <v>1087.44</v>
      </c>
      <c r="I555" s="312"/>
      <c r="J555" s="24">
        <v>2</v>
      </c>
      <c r="K555" s="197"/>
      <c r="L555" s="7"/>
      <c r="M555" s="35"/>
      <c r="N555" s="61"/>
      <c r="O555" s="35"/>
      <c r="P555" s="40"/>
      <c r="Q555" s="37"/>
      <c r="R555" s="4"/>
      <c r="S555" s="236">
        <v>2</v>
      </c>
      <c r="T555" s="236">
        <v>437.11</v>
      </c>
      <c r="U555" s="236">
        <v>550.75</v>
      </c>
      <c r="V555" s="236">
        <v>1101.5</v>
      </c>
    </row>
    <row r="556" spans="1:22" s="52" customFormat="1" outlineLevel="1" x14ac:dyDescent="0.25">
      <c r="A556" s="282" t="s">
        <v>271</v>
      </c>
      <c r="B556" s="286">
        <v>86889</v>
      </c>
      <c r="C556" s="281" t="s">
        <v>372</v>
      </c>
      <c r="D556" s="282" t="s">
        <v>44</v>
      </c>
      <c r="E556" s="285">
        <f t="shared" si="85"/>
        <v>4</v>
      </c>
      <c r="F556" s="283">
        <v>574.45000000000005</v>
      </c>
      <c r="G556" s="298">
        <f t="shared" si="86"/>
        <v>714.55</v>
      </c>
      <c r="H556" s="298">
        <f t="shared" si="87"/>
        <v>2858.2</v>
      </c>
      <c r="I556" s="312"/>
      <c r="J556" s="24">
        <v>4</v>
      </c>
      <c r="K556" s="197"/>
      <c r="L556" s="7"/>
      <c r="M556" s="35"/>
      <c r="N556" s="61"/>
      <c r="O556" s="35"/>
      <c r="P556" s="40"/>
      <c r="Q556" s="37"/>
      <c r="R556" s="4"/>
      <c r="S556" s="236">
        <v>4</v>
      </c>
      <c r="T556" s="236">
        <v>574.45000000000005</v>
      </c>
      <c r="U556" s="236">
        <v>723.8</v>
      </c>
      <c r="V556" s="236">
        <v>2895.2</v>
      </c>
    </row>
    <row r="557" spans="1:22" s="52" customFormat="1" outlineLevel="1" x14ac:dyDescent="0.25">
      <c r="A557" s="282" t="s">
        <v>272</v>
      </c>
      <c r="B557" s="280" t="s">
        <v>283</v>
      </c>
      <c r="C557" s="281" t="s">
        <v>284</v>
      </c>
      <c r="D557" s="282" t="s">
        <v>44</v>
      </c>
      <c r="E557" s="285">
        <f t="shared" si="85"/>
        <v>1</v>
      </c>
      <c r="F557" s="283">
        <v>690.14</v>
      </c>
      <c r="G557" s="298">
        <f t="shared" si="86"/>
        <v>858.46</v>
      </c>
      <c r="H557" s="298">
        <f t="shared" si="87"/>
        <v>858.46</v>
      </c>
      <c r="I557" s="312"/>
      <c r="J557" s="24">
        <f>1</f>
        <v>1</v>
      </c>
      <c r="K557" s="197"/>
      <c r="L557" s="7"/>
      <c r="M557" s="35"/>
      <c r="N557" s="61"/>
      <c r="O557" s="35"/>
      <c r="P557" s="40"/>
      <c r="Q557" s="37"/>
      <c r="R557" s="4"/>
      <c r="S557" s="236">
        <v>1</v>
      </c>
      <c r="T557" s="236">
        <v>690.19</v>
      </c>
      <c r="U557" s="236">
        <v>869.63</v>
      </c>
      <c r="V557" s="236">
        <v>869.63</v>
      </c>
    </row>
    <row r="558" spans="1:22" s="52" customFormat="1" outlineLevel="1" x14ac:dyDescent="0.25">
      <c r="A558" s="282" t="s">
        <v>274</v>
      </c>
      <c r="B558" s="280">
        <v>86901</v>
      </c>
      <c r="C558" s="281" t="s">
        <v>192</v>
      </c>
      <c r="D558" s="282" t="s">
        <v>44</v>
      </c>
      <c r="E558" s="285">
        <f t="shared" si="85"/>
        <v>4</v>
      </c>
      <c r="F558" s="283">
        <v>108.45</v>
      </c>
      <c r="G558" s="298">
        <f t="shared" si="86"/>
        <v>134.9</v>
      </c>
      <c r="H558" s="298">
        <f t="shared" si="87"/>
        <v>539.6</v>
      </c>
      <c r="I558" s="312"/>
      <c r="J558" s="24">
        <v>4</v>
      </c>
      <c r="K558" s="197"/>
      <c r="L558" s="7"/>
      <c r="M558" s="35"/>
      <c r="N558" s="61"/>
      <c r="O558" s="35"/>
      <c r="P558" s="40"/>
      <c r="Q558" s="37"/>
      <c r="R558" s="4"/>
      <c r="S558" s="236">
        <v>4</v>
      </c>
      <c r="T558" s="236">
        <v>108.45</v>
      </c>
      <c r="U558" s="236">
        <v>136.63999999999999</v>
      </c>
      <c r="V558" s="236">
        <v>546.55999999999995</v>
      </c>
    </row>
    <row r="559" spans="1:22" s="52" customFormat="1" outlineLevel="1" x14ac:dyDescent="0.25">
      <c r="A559" s="282" t="s">
        <v>276</v>
      </c>
      <c r="B559" s="280">
        <v>86915</v>
      </c>
      <c r="C559" s="281" t="s">
        <v>193</v>
      </c>
      <c r="D559" s="282" t="s">
        <v>44</v>
      </c>
      <c r="E559" s="285">
        <f t="shared" si="85"/>
        <v>1</v>
      </c>
      <c r="F559" s="283">
        <v>84.78</v>
      </c>
      <c r="G559" s="298">
        <f t="shared" si="86"/>
        <v>105.45</v>
      </c>
      <c r="H559" s="298">
        <f t="shared" si="87"/>
        <v>105.45</v>
      </c>
      <c r="I559" s="312"/>
      <c r="J559" s="24">
        <v>1</v>
      </c>
      <c r="K559" s="197"/>
      <c r="L559" s="7"/>
      <c r="M559" s="35"/>
      <c r="N559" s="61"/>
      <c r="O559" s="35"/>
      <c r="P559" s="40"/>
      <c r="Q559" s="37"/>
      <c r="R559" s="4"/>
      <c r="S559" s="236">
        <v>1</v>
      </c>
      <c r="T559" s="236">
        <v>84.78</v>
      </c>
      <c r="U559" s="236">
        <v>106.82</v>
      </c>
      <c r="V559" s="236">
        <v>106.82</v>
      </c>
    </row>
    <row r="560" spans="1:22" s="52" customFormat="1" outlineLevel="1" x14ac:dyDescent="0.25">
      <c r="A560" s="282" t="s">
        <v>373</v>
      </c>
      <c r="B560" s="280">
        <v>99635</v>
      </c>
      <c r="C560" s="281" t="s">
        <v>194</v>
      </c>
      <c r="D560" s="282" t="s">
        <v>44</v>
      </c>
      <c r="E560" s="285">
        <f t="shared" si="85"/>
        <v>3</v>
      </c>
      <c r="F560" s="283">
        <v>184.35</v>
      </c>
      <c r="G560" s="298">
        <f t="shared" si="86"/>
        <v>229.31</v>
      </c>
      <c r="H560" s="298">
        <f t="shared" si="87"/>
        <v>687.93</v>
      </c>
      <c r="I560" s="312"/>
      <c r="J560" s="24">
        <v>3</v>
      </c>
      <c r="K560" s="197"/>
      <c r="L560" s="7"/>
      <c r="M560" s="35"/>
      <c r="N560" s="61"/>
      <c r="O560" s="35"/>
      <c r="P560" s="40"/>
      <c r="Q560" s="37"/>
      <c r="R560" s="4"/>
      <c r="S560" s="236">
        <v>3</v>
      </c>
      <c r="T560" s="236">
        <v>184.35</v>
      </c>
      <c r="U560" s="236">
        <v>232.28</v>
      </c>
      <c r="V560" s="236">
        <v>696.84</v>
      </c>
    </row>
    <row r="561" spans="1:22" s="52" customFormat="1" ht="31.2" outlineLevel="1" x14ac:dyDescent="0.25">
      <c r="A561" s="282" t="s">
        <v>374</v>
      </c>
      <c r="B561" s="280">
        <v>89984</v>
      </c>
      <c r="C561" s="281" t="s">
        <v>277</v>
      </c>
      <c r="D561" s="282" t="s">
        <v>44</v>
      </c>
      <c r="E561" s="285">
        <f t="shared" si="85"/>
        <v>2</v>
      </c>
      <c r="F561" s="283">
        <v>53.43</v>
      </c>
      <c r="G561" s="298">
        <f t="shared" si="86"/>
        <v>66.459999999999994</v>
      </c>
      <c r="H561" s="298">
        <f t="shared" si="87"/>
        <v>132.91999999999999</v>
      </c>
      <c r="I561" s="312"/>
      <c r="J561" s="24">
        <v>2</v>
      </c>
      <c r="K561" s="197"/>
      <c r="L561" s="7"/>
      <c r="M561" s="35"/>
      <c r="N561" s="61"/>
      <c r="O561" s="35"/>
      <c r="P561" s="40"/>
      <c r="Q561" s="37"/>
      <c r="R561" s="4"/>
      <c r="S561" s="236">
        <v>2</v>
      </c>
      <c r="T561" s="236">
        <v>53.43</v>
      </c>
      <c r="U561" s="236">
        <v>67.319999999999993</v>
      </c>
      <c r="V561" s="236">
        <v>134.63999999999999</v>
      </c>
    </row>
    <row r="562" spans="1:22" s="52" customFormat="1" ht="31.2" outlineLevel="1" x14ac:dyDescent="0.25">
      <c r="A562" s="282" t="s">
        <v>375</v>
      </c>
      <c r="B562" s="280">
        <v>86911</v>
      </c>
      <c r="C562" s="281" t="s">
        <v>313</v>
      </c>
      <c r="D562" s="282" t="s">
        <v>44</v>
      </c>
      <c r="E562" s="285">
        <f t="shared" si="85"/>
        <v>2</v>
      </c>
      <c r="F562" s="283">
        <v>42.42</v>
      </c>
      <c r="G562" s="284">
        <f t="shared" si="86"/>
        <v>52.76</v>
      </c>
      <c r="H562" s="298">
        <f t="shared" si="87"/>
        <v>105.52</v>
      </c>
      <c r="I562" s="312"/>
      <c r="J562" s="24">
        <v>2</v>
      </c>
      <c r="K562" s="197"/>
      <c r="L562" s="7"/>
      <c r="M562" s="35"/>
      <c r="N562" s="61"/>
      <c r="O562" s="35"/>
      <c r="P562" s="40"/>
      <c r="Q562" s="37"/>
      <c r="R562" s="4"/>
      <c r="S562" s="236">
        <v>2</v>
      </c>
      <c r="T562" s="236">
        <v>42.42</v>
      </c>
      <c r="U562" s="236">
        <v>53.44</v>
      </c>
      <c r="V562" s="236">
        <v>106.88</v>
      </c>
    </row>
    <row r="563" spans="1:22" s="52" customFormat="1" ht="46.8" outlineLevel="1" x14ac:dyDescent="0.25">
      <c r="A563" s="282" t="s">
        <v>376</v>
      </c>
      <c r="B563" s="280">
        <v>91785</v>
      </c>
      <c r="C563" s="281" t="s">
        <v>377</v>
      </c>
      <c r="D563" s="282" t="s">
        <v>55</v>
      </c>
      <c r="E563" s="285">
        <f t="shared" si="85"/>
        <v>24</v>
      </c>
      <c r="F563" s="283">
        <v>30.62</v>
      </c>
      <c r="G563" s="284">
        <f t="shared" si="86"/>
        <v>38.08</v>
      </c>
      <c r="H563" s="298">
        <f t="shared" si="87"/>
        <v>913.92</v>
      </c>
      <c r="I563" s="312"/>
      <c r="J563" s="24">
        <v>24</v>
      </c>
      <c r="K563" s="197"/>
      <c r="L563" s="7"/>
      <c r="M563" s="35"/>
      <c r="N563" s="61"/>
      <c r="O563" s="35"/>
      <c r="P563" s="40"/>
      <c r="Q563" s="37"/>
      <c r="R563" s="4"/>
      <c r="S563" s="236">
        <v>24</v>
      </c>
      <c r="T563" s="236">
        <v>30.64</v>
      </c>
      <c r="U563" s="236">
        <v>38.6</v>
      </c>
      <c r="V563" s="236">
        <v>926.4</v>
      </c>
    </row>
    <row r="564" spans="1:22" s="52" customFormat="1" outlineLevel="1" x14ac:dyDescent="0.25">
      <c r="A564" s="282" t="s">
        <v>374</v>
      </c>
      <c r="B564" s="280"/>
      <c r="C564" s="294" t="s">
        <v>201</v>
      </c>
      <c r="D564" s="282"/>
      <c r="E564" s="285"/>
      <c r="F564" s="283"/>
      <c r="G564" s="284"/>
      <c r="H564" s="284"/>
      <c r="I564" s="312"/>
      <c r="J564" s="24"/>
      <c r="K564" s="197"/>
      <c r="L564" s="7"/>
      <c r="M564" s="35"/>
      <c r="N564" s="61"/>
      <c r="O564" s="35"/>
      <c r="P564" s="40"/>
      <c r="Q564" s="37"/>
      <c r="R564" s="4"/>
      <c r="S564" s="236"/>
      <c r="T564" s="236"/>
      <c r="U564" s="236"/>
      <c r="V564" s="236"/>
    </row>
    <row r="565" spans="1:22" s="52" customFormat="1" outlineLevel="1" x14ac:dyDescent="0.25">
      <c r="A565" s="282" t="s">
        <v>375</v>
      </c>
      <c r="B565" s="280">
        <v>86881</v>
      </c>
      <c r="C565" s="281" t="s">
        <v>286</v>
      </c>
      <c r="D565" s="282" t="s">
        <v>44</v>
      </c>
      <c r="E565" s="285">
        <f t="shared" ref="E565:E570" si="88">J565</f>
        <v>7</v>
      </c>
      <c r="F565" s="283">
        <v>155.91999999999999</v>
      </c>
      <c r="G565" s="298">
        <f t="shared" ref="G565:G570" si="89">TRUNC(F565*$J$13,2)</f>
        <v>193.94</v>
      </c>
      <c r="H565" s="298">
        <f t="shared" ref="H565:H570" si="90">TRUNC(E565*G565,2)</f>
        <v>1357.58</v>
      </c>
      <c r="I565" s="312"/>
      <c r="J565" s="24">
        <v>7</v>
      </c>
      <c r="K565" s="197"/>
      <c r="L565" s="7"/>
      <c r="M565" s="35"/>
      <c r="N565" s="61"/>
      <c r="O565" s="35"/>
      <c r="P565" s="40"/>
      <c r="Q565" s="37"/>
      <c r="R565" s="4"/>
      <c r="S565" s="236">
        <v>7</v>
      </c>
      <c r="T565" s="236">
        <v>155.91999999999999</v>
      </c>
      <c r="U565" s="236">
        <v>196.45</v>
      </c>
      <c r="V565" s="236">
        <v>1375.15</v>
      </c>
    </row>
    <row r="566" spans="1:22" s="52" customFormat="1" ht="31.2" outlineLevel="1" x14ac:dyDescent="0.25">
      <c r="A566" s="282" t="s">
        <v>376</v>
      </c>
      <c r="B566" s="280">
        <v>86877</v>
      </c>
      <c r="C566" s="281" t="s">
        <v>288</v>
      </c>
      <c r="D566" s="282" t="s">
        <v>44</v>
      </c>
      <c r="E566" s="285">
        <f t="shared" si="88"/>
        <v>4</v>
      </c>
      <c r="F566" s="283">
        <v>25.76</v>
      </c>
      <c r="G566" s="298">
        <f t="shared" si="89"/>
        <v>32.04</v>
      </c>
      <c r="H566" s="298">
        <f t="shared" si="90"/>
        <v>128.16</v>
      </c>
      <c r="I566" s="312"/>
      <c r="J566" s="24">
        <v>4</v>
      </c>
      <c r="K566" s="197"/>
      <c r="L566" s="7"/>
      <c r="M566" s="35"/>
      <c r="N566" s="61"/>
      <c r="O566" s="35"/>
      <c r="P566" s="40"/>
      <c r="Q566" s="37"/>
      <c r="R566" s="4"/>
      <c r="S566" s="236">
        <v>4</v>
      </c>
      <c r="T566" s="236">
        <v>25.76</v>
      </c>
      <c r="U566" s="236">
        <v>32.450000000000003</v>
      </c>
      <c r="V566" s="236">
        <v>129.80000000000001</v>
      </c>
    </row>
    <row r="567" spans="1:22" s="52" customFormat="1" outlineLevel="1" x14ac:dyDescent="0.25">
      <c r="A567" s="282" t="s">
        <v>378</v>
      </c>
      <c r="B567" s="280">
        <v>86878</v>
      </c>
      <c r="C567" s="281" t="s">
        <v>314</v>
      </c>
      <c r="D567" s="282" t="s">
        <v>44</v>
      </c>
      <c r="E567" s="285">
        <f t="shared" si="88"/>
        <v>2</v>
      </c>
      <c r="F567" s="283">
        <v>55.19</v>
      </c>
      <c r="G567" s="284">
        <f t="shared" si="89"/>
        <v>68.650000000000006</v>
      </c>
      <c r="H567" s="284">
        <f t="shared" si="90"/>
        <v>137.30000000000001</v>
      </c>
      <c r="I567" s="312"/>
      <c r="J567" s="24">
        <v>2</v>
      </c>
      <c r="K567" s="197"/>
      <c r="L567" s="7"/>
      <c r="M567" s="35"/>
      <c r="N567" s="61"/>
      <c r="O567" s="35"/>
      <c r="P567" s="40"/>
      <c r="Q567" s="37"/>
      <c r="R567" s="4"/>
      <c r="S567" s="236">
        <v>2</v>
      </c>
      <c r="T567" s="236">
        <v>55.19</v>
      </c>
      <c r="U567" s="236">
        <v>69.53</v>
      </c>
      <c r="V567" s="236">
        <v>139.06</v>
      </c>
    </row>
    <row r="568" spans="1:22" s="52" customFormat="1" outlineLevel="1" x14ac:dyDescent="0.25">
      <c r="A568" s="282" t="s">
        <v>379</v>
      </c>
      <c r="B568" s="280">
        <v>95544</v>
      </c>
      <c r="C568" s="281" t="s">
        <v>202</v>
      </c>
      <c r="D568" s="282" t="s">
        <v>44</v>
      </c>
      <c r="E568" s="285">
        <f t="shared" si="88"/>
        <v>4</v>
      </c>
      <c r="F568" s="283">
        <v>30.21</v>
      </c>
      <c r="G568" s="284">
        <f t="shared" si="89"/>
        <v>37.57</v>
      </c>
      <c r="H568" s="284">
        <f t="shared" si="90"/>
        <v>150.28</v>
      </c>
      <c r="I568" s="312"/>
      <c r="J568" s="24">
        <v>4</v>
      </c>
      <c r="K568" s="197"/>
      <c r="L568" s="7"/>
      <c r="M568" s="35"/>
      <c r="N568" s="61"/>
      <c r="O568" s="35"/>
      <c r="P568" s="40"/>
      <c r="Q568" s="37"/>
      <c r="R568" s="4"/>
      <c r="S568" s="236">
        <v>4</v>
      </c>
      <c r="T568" s="236">
        <v>30.21</v>
      </c>
      <c r="U568" s="236">
        <v>38.06</v>
      </c>
      <c r="V568" s="236">
        <v>152.24</v>
      </c>
    </row>
    <row r="569" spans="1:22" s="52" customFormat="1" outlineLevel="1" x14ac:dyDescent="0.25">
      <c r="A569" s="282" t="s">
        <v>380</v>
      </c>
      <c r="B569" s="280">
        <v>88571</v>
      </c>
      <c r="C569" s="281" t="s">
        <v>357</v>
      </c>
      <c r="D569" s="282" t="s">
        <v>44</v>
      </c>
      <c r="E569" s="285">
        <f t="shared" si="88"/>
        <v>3</v>
      </c>
      <c r="F569" s="283">
        <v>29.63</v>
      </c>
      <c r="G569" s="284">
        <f t="shared" si="89"/>
        <v>36.85</v>
      </c>
      <c r="H569" s="284">
        <f t="shared" si="90"/>
        <v>110.55</v>
      </c>
      <c r="I569" s="312"/>
      <c r="J569" s="24">
        <v>3</v>
      </c>
      <c r="K569" s="197"/>
      <c r="L569" s="7"/>
      <c r="M569" s="35"/>
      <c r="N569" s="61"/>
      <c r="O569" s="35"/>
      <c r="P569" s="40"/>
      <c r="Q569" s="37"/>
      <c r="R569" s="4"/>
      <c r="S569" s="236">
        <v>3</v>
      </c>
      <c r="T569" s="236">
        <v>29.63</v>
      </c>
      <c r="U569" s="236">
        <v>37.33</v>
      </c>
      <c r="V569" s="236">
        <v>111.99</v>
      </c>
    </row>
    <row r="570" spans="1:22" s="52" customFormat="1" outlineLevel="1" x14ac:dyDescent="0.25">
      <c r="A570" s="282" t="s">
        <v>381</v>
      </c>
      <c r="B570" s="280">
        <v>9535</v>
      </c>
      <c r="C570" s="281" t="s">
        <v>273</v>
      </c>
      <c r="D570" s="282" t="s">
        <v>44</v>
      </c>
      <c r="E570" s="285">
        <f t="shared" si="88"/>
        <v>2</v>
      </c>
      <c r="F570" s="283">
        <v>40.83</v>
      </c>
      <c r="G570" s="284">
        <f t="shared" si="89"/>
        <v>50.78</v>
      </c>
      <c r="H570" s="284">
        <f t="shared" si="90"/>
        <v>101.56</v>
      </c>
      <c r="I570" s="312"/>
      <c r="J570" s="24">
        <v>2</v>
      </c>
      <c r="K570" s="197"/>
      <c r="L570" s="7"/>
      <c r="M570" s="35"/>
      <c r="N570" s="61"/>
      <c r="O570" s="35"/>
      <c r="P570" s="40"/>
      <c r="Q570" s="37"/>
      <c r="R570" s="4"/>
      <c r="S570" s="236">
        <v>2</v>
      </c>
      <c r="T570" s="236">
        <v>40.83</v>
      </c>
      <c r="U570" s="236">
        <v>51.44</v>
      </c>
      <c r="V570" s="236">
        <v>102.88</v>
      </c>
    </row>
    <row r="571" spans="1:22" s="52" customFormat="1" ht="31.2" outlineLevel="1" x14ac:dyDescent="0.25">
      <c r="A571" s="282" t="s">
        <v>382</v>
      </c>
      <c r="B571" s="280">
        <v>89714</v>
      </c>
      <c r="C571" s="281" t="s">
        <v>195</v>
      </c>
      <c r="D571" s="282" t="s">
        <v>55</v>
      </c>
      <c r="E571" s="285">
        <f>J571</f>
        <v>18</v>
      </c>
      <c r="F571" s="283">
        <v>42.17</v>
      </c>
      <c r="G571" s="284">
        <f t="shared" ref="G571:G577" si="91">TRUNC(F571*$J$13,2)</f>
        <v>52.45</v>
      </c>
      <c r="H571" s="284">
        <f t="shared" ref="H571:H577" si="92">TRUNC(E571*G571,2)</f>
        <v>944.1</v>
      </c>
      <c r="I571" s="312"/>
      <c r="J571" s="24">
        <v>18</v>
      </c>
      <c r="K571" s="197"/>
      <c r="L571" s="7"/>
      <c r="M571" s="35"/>
      <c r="N571" s="61"/>
      <c r="O571" s="35"/>
      <c r="P571" s="40"/>
      <c r="Q571" s="37"/>
      <c r="R571" s="4"/>
      <c r="S571" s="236">
        <v>18</v>
      </c>
      <c r="T571" s="236">
        <v>42.17</v>
      </c>
      <c r="U571" s="236">
        <v>53.13</v>
      </c>
      <c r="V571" s="236">
        <v>956.34</v>
      </c>
    </row>
    <row r="572" spans="1:22" s="52" customFormat="1" ht="31.2" outlineLevel="1" x14ac:dyDescent="0.25">
      <c r="A572" s="282" t="s">
        <v>383</v>
      </c>
      <c r="B572" s="280">
        <v>89712</v>
      </c>
      <c r="C572" s="281" t="s">
        <v>196</v>
      </c>
      <c r="D572" s="282" t="s">
        <v>55</v>
      </c>
      <c r="E572" s="285">
        <f>J572</f>
        <v>12</v>
      </c>
      <c r="F572" s="283">
        <v>21.1</v>
      </c>
      <c r="G572" s="284">
        <f t="shared" si="91"/>
        <v>26.24</v>
      </c>
      <c r="H572" s="284">
        <f t="shared" si="92"/>
        <v>314.88</v>
      </c>
      <c r="I572" s="312"/>
      <c r="J572" s="24">
        <v>12</v>
      </c>
      <c r="K572" s="197"/>
      <c r="L572" s="7"/>
      <c r="M572" s="35"/>
      <c r="N572" s="61"/>
      <c r="O572" s="35"/>
      <c r="P572" s="40"/>
      <c r="Q572" s="37"/>
      <c r="R572" s="4"/>
      <c r="S572" s="236">
        <v>12</v>
      </c>
      <c r="T572" s="236">
        <v>21.1</v>
      </c>
      <c r="U572" s="236">
        <v>26.58</v>
      </c>
      <c r="V572" s="236">
        <v>318.95999999999998</v>
      </c>
    </row>
    <row r="573" spans="1:22" s="52" customFormat="1" ht="31.2" outlineLevel="1" x14ac:dyDescent="0.25">
      <c r="A573" s="282" t="s">
        <v>384</v>
      </c>
      <c r="B573" s="280">
        <v>89567</v>
      </c>
      <c r="C573" s="281" t="s">
        <v>197</v>
      </c>
      <c r="D573" s="282" t="s">
        <v>44</v>
      </c>
      <c r="E573" s="285">
        <f>J573</f>
        <v>2</v>
      </c>
      <c r="F573" s="283">
        <v>57.95</v>
      </c>
      <c r="G573" s="284">
        <f t="shared" si="91"/>
        <v>72.08</v>
      </c>
      <c r="H573" s="284">
        <f t="shared" si="92"/>
        <v>144.16</v>
      </c>
      <c r="I573" s="312"/>
      <c r="J573" s="24">
        <v>2</v>
      </c>
      <c r="K573" s="197"/>
      <c r="L573" s="7"/>
      <c r="M573" s="35"/>
      <c r="N573" s="61"/>
      <c r="O573" s="35"/>
      <c r="P573" s="40"/>
      <c r="Q573" s="37"/>
      <c r="R573" s="4"/>
      <c r="S573" s="236">
        <v>2</v>
      </c>
      <c r="T573" s="236">
        <v>57.95</v>
      </c>
      <c r="U573" s="236">
        <v>73.010000000000005</v>
      </c>
      <c r="V573" s="236">
        <v>146.02000000000001</v>
      </c>
    </row>
    <row r="574" spans="1:22" s="52" customFormat="1" ht="31.2" outlineLevel="1" x14ac:dyDescent="0.25">
      <c r="A574" s="282" t="s">
        <v>385</v>
      </c>
      <c r="B574" s="280">
        <v>89731</v>
      </c>
      <c r="C574" s="281" t="s">
        <v>198</v>
      </c>
      <c r="D574" s="282" t="s">
        <v>44</v>
      </c>
      <c r="E574" s="285">
        <f>J574</f>
        <v>9</v>
      </c>
      <c r="F574" s="283">
        <v>8.56</v>
      </c>
      <c r="G574" s="284">
        <f t="shared" si="91"/>
        <v>10.64</v>
      </c>
      <c r="H574" s="284">
        <f t="shared" si="92"/>
        <v>95.76</v>
      </c>
      <c r="I574" s="312"/>
      <c r="J574" s="24">
        <v>9</v>
      </c>
      <c r="K574" s="197"/>
      <c r="L574" s="7"/>
      <c r="M574" s="35"/>
      <c r="N574" s="61"/>
      <c r="O574" s="35"/>
      <c r="P574" s="40"/>
      <c r="Q574" s="37"/>
      <c r="R574" s="4"/>
      <c r="S574" s="236">
        <v>9</v>
      </c>
      <c r="T574" s="236">
        <v>8.56</v>
      </c>
      <c r="U574" s="236">
        <v>10.78</v>
      </c>
      <c r="V574" s="236">
        <v>97.02</v>
      </c>
    </row>
    <row r="575" spans="1:22" s="52" customFormat="1" outlineLevel="1" x14ac:dyDescent="0.25">
      <c r="A575" s="282" t="s">
        <v>386</v>
      </c>
      <c r="B575" s="280" t="s">
        <v>810</v>
      </c>
      <c r="C575" s="281" t="s">
        <v>808</v>
      </c>
      <c r="D575" s="295" t="s">
        <v>185</v>
      </c>
      <c r="E575" s="285">
        <v>2</v>
      </c>
      <c r="F575" s="283">
        <f>'COMPOSIÇÃO SINAPI W MENDES'!G3611</f>
        <v>234.28</v>
      </c>
      <c r="G575" s="284">
        <f t="shared" si="91"/>
        <v>291.42</v>
      </c>
      <c r="H575" s="284">
        <f t="shared" si="92"/>
        <v>582.84</v>
      </c>
      <c r="I575" s="312"/>
      <c r="J575" s="24"/>
      <c r="K575" s="197"/>
      <c r="L575" s="7"/>
      <c r="M575" s="35"/>
      <c r="N575" s="61"/>
      <c r="O575" s="35"/>
      <c r="P575" s="40"/>
      <c r="Q575" s="37"/>
      <c r="R575" s="4"/>
      <c r="S575" s="236">
        <v>2</v>
      </c>
      <c r="T575" s="236">
        <v>234.43</v>
      </c>
      <c r="U575" s="236">
        <v>295.38</v>
      </c>
      <c r="V575" s="236">
        <v>590.76</v>
      </c>
    </row>
    <row r="576" spans="1:22" s="52" customFormat="1" outlineLevel="1" x14ac:dyDescent="0.25">
      <c r="A576" s="282" t="s">
        <v>820</v>
      </c>
      <c r="B576" s="280" t="s">
        <v>811</v>
      </c>
      <c r="C576" s="281" t="s">
        <v>809</v>
      </c>
      <c r="D576" s="295" t="s">
        <v>185</v>
      </c>
      <c r="E576" s="285">
        <v>1</v>
      </c>
      <c r="F576" s="283">
        <f>'COMPOSIÇÃO SINAPI W MENDES'!G3617</f>
        <v>198.73999999999998</v>
      </c>
      <c r="G576" s="284">
        <f t="shared" si="91"/>
        <v>247.21</v>
      </c>
      <c r="H576" s="284">
        <f t="shared" si="92"/>
        <v>247.21</v>
      </c>
      <c r="I576" s="312"/>
      <c r="J576" s="24"/>
      <c r="K576" s="197"/>
      <c r="L576" s="7"/>
      <c r="M576" s="35"/>
      <c r="N576" s="61"/>
      <c r="O576" s="35"/>
      <c r="P576" s="40"/>
      <c r="Q576" s="37"/>
      <c r="R576" s="4"/>
      <c r="S576" s="236">
        <v>1</v>
      </c>
      <c r="T576" s="236">
        <v>198.89</v>
      </c>
      <c r="U576" s="236">
        <v>250.6</v>
      </c>
      <c r="V576" s="236">
        <v>250.6</v>
      </c>
    </row>
    <row r="577" spans="1:22" s="52" customFormat="1" ht="31.2" outlineLevel="1" x14ac:dyDescent="0.25">
      <c r="A577" s="282" t="s">
        <v>821</v>
      </c>
      <c r="B577" s="280">
        <v>89744</v>
      </c>
      <c r="C577" s="281" t="s">
        <v>199</v>
      </c>
      <c r="D577" s="282" t="s">
        <v>44</v>
      </c>
      <c r="E577" s="285">
        <f>J577</f>
        <v>4</v>
      </c>
      <c r="F577" s="283">
        <v>18.88</v>
      </c>
      <c r="G577" s="284">
        <f t="shared" si="91"/>
        <v>23.48</v>
      </c>
      <c r="H577" s="284">
        <f t="shared" si="92"/>
        <v>93.92</v>
      </c>
      <c r="I577" s="312"/>
      <c r="J577" s="24">
        <v>4</v>
      </c>
      <c r="K577" s="197"/>
      <c r="L577" s="7"/>
      <c r="M577" s="35"/>
      <c r="N577" s="61"/>
      <c r="O577" s="35"/>
      <c r="P577" s="40"/>
      <c r="Q577" s="37"/>
      <c r="R577" s="4"/>
      <c r="S577" s="236">
        <v>4</v>
      </c>
      <c r="T577" s="236">
        <v>18.88</v>
      </c>
      <c r="U577" s="236">
        <v>23.78</v>
      </c>
      <c r="V577" s="236">
        <v>95.12</v>
      </c>
    </row>
    <row r="578" spans="1:22" s="52" customFormat="1" outlineLevel="1" x14ac:dyDescent="0.25">
      <c r="A578" s="279" t="s">
        <v>299</v>
      </c>
      <c r="B578" s="279"/>
      <c r="C578" s="294" t="s">
        <v>207</v>
      </c>
      <c r="D578" s="558"/>
      <c r="E578" s="294"/>
      <c r="F578" s="403"/>
      <c r="G578" s="296" t="s">
        <v>38</v>
      </c>
      <c r="H578" s="294"/>
      <c r="I578" s="400">
        <f>SUM(H579:H580)</f>
        <v>2047.36</v>
      </c>
      <c r="J578" s="24"/>
      <c r="K578" s="197"/>
      <c r="L578" s="317">
        <f>SUM(H579:H580)</f>
        <v>2047.36</v>
      </c>
      <c r="M578" s="35">
        <f>I578-L578</f>
        <v>0</v>
      </c>
      <c r="N578" s="61"/>
      <c r="O578" s="35"/>
      <c r="P578" s="40"/>
      <c r="Q578" s="37"/>
      <c r="R578" s="4"/>
    </row>
    <row r="579" spans="1:22" s="52" customFormat="1" outlineLevel="1" x14ac:dyDescent="0.25">
      <c r="A579" s="282" t="s">
        <v>300</v>
      </c>
      <c r="B579" s="280">
        <v>72178</v>
      </c>
      <c r="C579" s="281" t="s">
        <v>50</v>
      </c>
      <c r="D579" s="282" t="s">
        <v>24</v>
      </c>
      <c r="E579" s="285">
        <v>32</v>
      </c>
      <c r="F579" s="283">
        <v>22.6</v>
      </c>
      <c r="G579" s="284">
        <f>TRUNC(F579*$J$13,2)</f>
        <v>28.11</v>
      </c>
      <c r="H579" s="284">
        <f>TRUNC(E579*G579,2)</f>
        <v>899.52</v>
      </c>
      <c r="I579" s="297"/>
      <c r="J579" s="24"/>
      <c r="K579" s="197"/>
      <c r="L579" s="7"/>
      <c r="M579" s="35"/>
      <c r="N579" s="61"/>
      <c r="O579" s="35"/>
      <c r="P579" s="40"/>
      <c r="Q579" s="37"/>
      <c r="R579" s="4"/>
      <c r="S579" s="236">
        <v>32</v>
      </c>
      <c r="T579" s="236">
        <v>22.6</v>
      </c>
      <c r="U579" s="236">
        <v>28.47</v>
      </c>
      <c r="V579" s="236">
        <v>911.04</v>
      </c>
    </row>
    <row r="580" spans="1:22" s="52" customFormat="1" ht="31.2" outlineLevel="1" x14ac:dyDescent="0.25">
      <c r="A580" s="282" t="s">
        <v>301</v>
      </c>
      <c r="B580" s="280">
        <v>72181</v>
      </c>
      <c r="C580" s="291" t="s">
        <v>210</v>
      </c>
      <c r="D580" s="282" t="s">
        <v>24</v>
      </c>
      <c r="E580" s="285">
        <v>32</v>
      </c>
      <c r="F580" s="297">
        <v>28.84</v>
      </c>
      <c r="G580" s="284">
        <f>TRUNC(F580*$J$13,2)</f>
        <v>35.869999999999997</v>
      </c>
      <c r="H580" s="284">
        <f>TRUNC(E580*G580,2)</f>
        <v>1147.8399999999999</v>
      </c>
      <c r="I580" s="297"/>
      <c r="J580" s="24"/>
      <c r="K580" s="197"/>
      <c r="L580" s="7"/>
      <c r="M580" s="35"/>
      <c r="N580" s="61"/>
      <c r="O580" s="35"/>
      <c r="P580" s="40"/>
      <c r="Q580" s="37"/>
      <c r="R580" s="4"/>
      <c r="S580" s="236">
        <v>32</v>
      </c>
      <c r="T580" s="236">
        <v>28.84</v>
      </c>
      <c r="U580" s="236">
        <v>36.33</v>
      </c>
      <c r="V580" s="236">
        <v>1162.56</v>
      </c>
    </row>
    <row r="581" spans="1:22" s="52" customFormat="1" outlineLevel="1" x14ac:dyDescent="0.25">
      <c r="A581" s="282"/>
      <c r="B581" s="280"/>
      <c r="C581" s="291"/>
      <c r="D581" s="282"/>
      <c r="E581" s="285"/>
      <c r="F581" s="305"/>
      <c r="G581" s="284"/>
      <c r="H581" s="284"/>
      <c r="I581" s="401"/>
      <c r="J581" s="24"/>
      <c r="K581" s="197"/>
      <c r="L581" s="7"/>
      <c r="M581" s="35"/>
      <c r="N581" s="61"/>
      <c r="O581" s="35"/>
      <c r="P581" s="40"/>
      <c r="Q581" s="37"/>
      <c r="R581" s="4"/>
    </row>
    <row r="582" spans="1:22" s="52" customFormat="1" outlineLevel="1" x14ac:dyDescent="0.25">
      <c r="A582" s="279" t="s">
        <v>387</v>
      </c>
      <c r="B582" s="296"/>
      <c r="C582" s="294" t="s">
        <v>212</v>
      </c>
      <c r="D582" s="558"/>
      <c r="E582" s="294"/>
      <c r="F582" s="403"/>
      <c r="G582" s="294"/>
      <c r="H582" s="558"/>
      <c r="I582" s="404">
        <f>SUM(H583:H583)</f>
        <v>5205.3999999999996</v>
      </c>
      <c r="J582" s="24"/>
      <c r="K582" s="197"/>
      <c r="L582" s="317">
        <f>SUM(H583)</f>
        <v>5205.3999999999996</v>
      </c>
      <c r="M582" s="35">
        <f>I582-L582</f>
        <v>0</v>
      </c>
      <c r="N582" s="61"/>
      <c r="O582" s="35"/>
      <c r="P582" s="40"/>
      <c r="Q582" s="37"/>
      <c r="R582" s="4"/>
    </row>
    <row r="583" spans="1:22" s="52" customFormat="1" outlineLevel="1" x14ac:dyDescent="0.25">
      <c r="A583" s="282" t="s">
        <v>388</v>
      </c>
      <c r="B583" s="280">
        <v>96114</v>
      </c>
      <c r="C583" s="289" t="s">
        <v>639</v>
      </c>
      <c r="D583" s="282" t="s">
        <v>24</v>
      </c>
      <c r="E583" s="285">
        <v>85</v>
      </c>
      <c r="F583" s="283">
        <f>'COMPOSIÇÃO SINAPI W MENDES'!G3651</f>
        <v>49.239999999999995</v>
      </c>
      <c r="G583" s="284">
        <f>TRUNC(F583*$J$13,2)</f>
        <v>61.24</v>
      </c>
      <c r="H583" s="284">
        <f>TRUNC(E583*G583,2)</f>
        <v>5205.3999999999996</v>
      </c>
      <c r="I583" s="297"/>
      <c r="J583" s="24"/>
      <c r="K583" s="197"/>
      <c r="L583" s="7"/>
      <c r="M583" s="35"/>
      <c r="N583" s="61"/>
      <c r="O583" s="35"/>
      <c r="P583" s="40"/>
      <c r="Q583" s="37"/>
      <c r="R583" s="4"/>
      <c r="S583" s="236">
        <v>85</v>
      </c>
      <c r="T583" s="236">
        <v>56.98</v>
      </c>
      <c r="U583" s="236">
        <v>71.790000000000006</v>
      </c>
      <c r="V583" s="236">
        <v>6102.15</v>
      </c>
    </row>
    <row r="584" spans="1:22" s="52" customFormat="1" x14ac:dyDescent="0.25">
      <c r="A584" s="282"/>
      <c r="B584" s="280"/>
      <c r="C584" s="289"/>
      <c r="D584" s="282"/>
      <c r="E584" s="296"/>
      <c r="F584" s="297"/>
      <c r="G584" s="288"/>
      <c r="H584" s="298"/>
      <c r="I584" s="297"/>
      <c r="J584" s="24"/>
      <c r="K584" s="197"/>
      <c r="L584" s="7"/>
      <c r="M584" s="35"/>
      <c r="N584" s="61"/>
      <c r="O584" s="35"/>
      <c r="P584" s="40"/>
      <c r="Q584" s="37"/>
      <c r="R584" s="4"/>
    </row>
    <row r="585" spans="1:22" s="52" customFormat="1" x14ac:dyDescent="0.25">
      <c r="A585" s="554" t="s">
        <v>389</v>
      </c>
      <c r="B585" s="551"/>
      <c r="C585" s="555"/>
      <c r="D585" s="558"/>
      <c r="E585" s="555"/>
      <c r="F585" s="556"/>
      <c r="G585" s="296" t="s">
        <v>19</v>
      </c>
      <c r="H585" s="555"/>
      <c r="I585" s="400">
        <f>SUM(I586:I663)</f>
        <v>67634.459999999992</v>
      </c>
      <c r="J585" s="67"/>
      <c r="K585" s="226"/>
      <c r="L585" s="7"/>
      <c r="M585" s="35"/>
      <c r="N585" s="61"/>
      <c r="O585" s="35"/>
      <c r="P585" s="40"/>
      <c r="Q585" s="37"/>
      <c r="R585" s="4"/>
    </row>
    <row r="586" spans="1:22" s="52" customFormat="1" outlineLevel="1" x14ac:dyDescent="0.25">
      <c r="A586" s="550" t="s">
        <v>20</v>
      </c>
      <c r="B586" s="279"/>
      <c r="C586" s="294" t="s">
        <v>37</v>
      </c>
      <c r="D586" s="558"/>
      <c r="E586" s="294"/>
      <c r="F586" s="403"/>
      <c r="G586" s="294"/>
      <c r="H586" s="558"/>
      <c r="I586" s="402">
        <f>SUM(H587:H592)</f>
        <v>1823.1599999999999</v>
      </c>
      <c r="J586" s="67"/>
      <c r="K586" s="226"/>
      <c r="L586" s="317">
        <f>SUM(H587:H592)</f>
        <v>1823.1599999999999</v>
      </c>
      <c r="M586" s="35">
        <f>I586-L586</f>
        <v>0</v>
      </c>
      <c r="N586" s="61"/>
      <c r="O586" s="35"/>
      <c r="P586" s="40"/>
      <c r="Q586" s="37"/>
      <c r="R586" s="4"/>
    </row>
    <row r="587" spans="1:22" s="52" customFormat="1" outlineLevel="1" x14ac:dyDescent="0.25">
      <c r="A587" s="282" t="s">
        <v>22</v>
      </c>
      <c r="B587" s="286">
        <v>97622</v>
      </c>
      <c r="C587" s="281" t="s">
        <v>303</v>
      </c>
      <c r="D587" s="282" t="s">
        <v>304</v>
      </c>
      <c r="E587" s="285">
        <v>15</v>
      </c>
      <c r="F587" s="283">
        <v>37.39</v>
      </c>
      <c r="G587" s="284">
        <f>TRUNC(F587*$J$13,2)</f>
        <v>46.5</v>
      </c>
      <c r="H587" s="284">
        <f t="shared" ref="H587:H592" si="93">TRUNC(E587*G587,2)</f>
        <v>697.5</v>
      </c>
      <c r="I587" s="401"/>
      <c r="J587" s="67"/>
      <c r="K587" s="226"/>
      <c r="L587" s="7"/>
      <c r="M587" s="35"/>
      <c r="N587" s="61"/>
      <c r="O587" s="35"/>
      <c r="P587" s="40"/>
      <c r="Q587" s="37"/>
      <c r="R587" s="4"/>
      <c r="S587" s="236">
        <v>15</v>
      </c>
      <c r="T587" s="236">
        <v>37.39</v>
      </c>
      <c r="U587" s="236">
        <v>47.11</v>
      </c>
      <c r="V587" s="236">
        <v>706.65</v>
      </c>
    </row>
    <row r="588" spans="1:22" s="52" customFormat="1" outlineLevel="1" x14ac:dyDescent="0.25">
      <c r="A588" s="282" t="s">
        <v>25</v>
      </c>
      <c r="B588" s="286">
        <v>97644</v>
      </c>
      <c r="C588" s="288" t="s">
        <v>43</v>
      </c>
      <c r="D588" s="282" t="s">
        <v>305</v>
      </c>
      <c r="E588" s="285">
        <v>12</v>
      </c>
      <c r="F588" s="283">
        <v>6.04</v>
      </c>
      <c r="G588" s="284">
        <f t="shared" ref="G588:G592" si="94">TRUNC(F588*$J$13,2)</f>
        <v>7.51</v>
      </c>
      <c r="H588" s="284">
        <f t="shared" si="93"/>
        <v>90.12</v>
      </c>
      <c r="I588" s="402"/>
      <c r="J588" s="67"/>
      <c r="K588" s="226"/>
      <c r="L588" s="7"/>
      <c r="M588" s="35"/>
      <c r="N588" s="61"/>
      <c r="O588" s="35"/>
      <c r="P588" s="40"/>
      <c r="Q588" s="37"/>
      <c r="R588" s="4"/>
      <c r="S588" s="236">
        <v>12</v>
      </c>
      <c r="T588" s="236">
        <v>6.04</v>
      </c>
      <c r="U588" s="236">
        <v>7.61</v>
      </c>
      <c r="V588" s="236">
        <v>91.32</v>
      </c>
    </row>
    <row r="589" spans="1:22" s="52" customFormat="1" outlineLevel="1" x14ac:dyDescent="0.25">
      <c r="A589" s="282" t="s">
        <v>56</v>
      </c>
      <c r="B589" s="286" t="s">
        <v>39</v>
      </c>
      <c r="C589" s="288" t="s">
        <v>40</v>
      </c>
      <c r="D589" s="282" t="s">
        <v>304</v>
      </c>
      <c r="E589" s="285">
        <v>0.5</v>
      </c>
      <c r="F589" s="283">
        <f>'COMPOSIÇÃO SINAPI W MENDES'!G3667</f>
        <v>209.74</v>
      </c>
      <c r="G589" s="284">
        <f t="shared" si="94"/>
        <v>260.89</v>
      </c>
      <c r="H589" s="284">
        <f t="shared" si="93"/>
        <v>130.44</v>
      </c>
      <c r="I589" s="402"/>
      <c r="J589" s="67"/>
      <c r="K589" s="226"/>
      <c r="L589" s="7"/>
      <c r="M589" s="35"/>
      <c r="N589" s="61"/>
      <c r="O589" s="35"/>
      <c r="P589" s="40"/>
      <c r="Q589" s="37"/>
      <c r="R589" s="4"/>
      <c r="S589" s="236">
        <v>0.5</v>
      </c>
      <c r="T589" s="236">
        <v>216.76</v>
      </c>
      <c r="U589" s="236">
        <v>273.11</v>
      </c>
      <c r="V589" s="236">
        <v>136.55000000000001</v>
      </c>
    </row>
    <row r="590" spans="1:22" s="52" customFormat="1" outlineLevel="1" x14ac:dyDescent="0.25">
      <c r="A590" s="282" t="s">
        <v>216</v>
      </c>
      <c r="B590" s="286">
        <v>97663</v>
      </c>
      <c r="C590" s="288" t="s">
        <v>45</v>
      </c>
      <c r="D590" s="282" t="s">
        <v>44</v>
      </c>
      <c r="E590" s="285">
        <v>3</v>
      </c>
      <c r="F590" s="283">
        <v>8.07</v>
      </c>
      <c r="G590" s="284">
        <f t="shared" si="94"/>
        <v>10.029999999999999</v>
      </c>
      <c r="H590" s="284">
        <f t="shared" si="93"/>
        <v>30.09</v>
      </c>
      <c r="I590" s="402"/>
      <c r="J590" s="67"/>
      <c r="K590" s="226"/>
      <c r="L590" s="7"/>
      <c r="M590" s="35"/>
      <c r="N590" s="61"/>
      <c r="O590" s="35"/>
      <c r="P590" s="40"/>
      <c r="Q590" s="37"/>
      <c r="R590" s="4"/>
      <c r="S590" s="236">
        <v>3</v>
      </c>
      <c r="T590" s="236">
        <v>8.07</v>
      </c>
      <c r="U590" s="236">
        <v>10.16</v>
      </c>
      <c r="V590" s="236">
        <v>30.48</v>
      </c>
    </row>
    <row r="591" spans="1:22" s="52" customFormat="1" outlineLevel="1" x14ac:dyDescent="0.25">
      <c r="A591" s="282" t="s">
        <v>217</v>
      </c>
      <c r="B591" s="286">
        <v>97666</v>
      </c>
      <c r="C591" s="281" t="s">
        <v>46</v>
      </c>
      <c r="D591" s="282" t="s">
        <v>44</v>
      </c>
      <c r="E591" s="285">
        <v>6</v>
      </c>
      <c r="F591" s="283">
        <v>5.88</v>
      </c>
      <c r="G591" s="284">
        <f t="shared" si="94"/>
        <v>7.31</v>
      </c>
      <c r="H591" s="284">
        <f t="shared" si="93"/>
        <v>43.86</v>
      </c>
      <c r="I591" s="402"/>
      <c r="J591" s="67"/>
      <c r="K591" s="226"/>
      <c r="L591" s="7"/>
      <c r="M591" s="35"/>
      <c r="N591" s="61"/>
      <c r="O591" s="35"/>
      <c r="P591" s="40"/>
      <c r="Q591" s="37"/>
      <c r="R591" s="4"/>
      <c r="S591" s="236">
        <v>6</v>
      </c>
      <c r="T591" s="236">
        <v>5.88</v>
      </c>
      <c r="U591" s="236">
        <v>7.4</v>
      </c>
      <c r="V591" s="236">
        <v>44.4</v>
      </c>
    </row>
    <row r="592" spans="1:22" s="52" customFormat="1" outlineLevel="1" x14ac:dyDescent="0.25">
      <c r="A592" s="282" t="s">
        <v>218</v>
      </c>
      <c r="B592" s="286">
        <v>97633</v>
      </c>
      <c r="C592" s="281" t="s">
        <v>42</v>
      </c>
      <c r="D592" s="282" t="s">
        <v>24</v>
      </c>
      <c r="E592" s="285">
        <v>45</v>
      </c>
      <c r="F592" s="283">
        <v>14.85</v>
      </c>
      <c r="G592" s="284">
        <f t="shared" si="94"/>
        <v>18.47</v>
      </c>
      <c r="H592" s="284">
        <f t="shared" si="93"/>
        <v>831.15</v>
      </c>
      <c r="I592" s="402"/>
      <c r="J592" s="67"/>
      <c r="K592" s="226"/>
      <c r="L592" s="7"/>
      <c r="M592" s="35"/>
      <c r="N592" s="61"/>
      <c r="O592" s="35"/>
      <c r="P592" s="40"/>
      <c r="Q592" s="37"/>
      <c r="R592" s="4"/>
      <c r="S592" s="236">
        <v>45</v>
      </c>
      <c r="T592" s="236">
        <v>14.85</v>
      </c>
      <c r="U592" s="236">
        <v>18.71</v>
      </c>
      <c r="V592" s="236">
        <v>841.95</v>
      </c>
    </row>
    <row r="593" spans="1:22" s="52" customFormat="1" outlineLevel="1" x14ac:dyDescent="0.25">
      <c r="A593" s="279" t="s">
        <v>60</v>
      </c>
      <c r="B593" s="279"/>
      <c r="C593" s="294" t="s">
        <v>51</v>
      </c>
      <c r="D593" s="558"/>
      <c r="E593" s="294"/>
      <c r="F593" s="403"/>
      <c r="G593" s="294"/>
      <c r="H593" s="558"/>
      <c r="I593" s="404">
        <f>SUM(H594:H595)</f>
        <v>3824.81</v>
      </c>
      <c r="J593" s="24"/>
      <c r="K593" s="197"/>
      <c r="L593" s="317">
        <f>SUM(H594:H595)</f>
        <v>3824.81</v>
      </c>
      <c r="M593" s="35">
        <f>I593-L593</f>
        <v>0</v>
      </c>
      <c r="N593" s="61"/>
      <c r="O593" s="35"/>
      <c r="P593" s="40"/>
      <c r="Q593" s="37"/>
      <c r="R593" s="4"/>
    </row>
    <row r="594" spans="1:22" s="52" customFormat="1" ht="31.2" outlineLevel="1" x14ac:dyDescent="0.25">
      <c r="A594" s="282" t="s">
        <v>64</v>
      </c>
      <c r="B594" s="280">
        <v>91338</v>
      </c>
      <c r="C594" s="281" t="s">
        <v>57</v>
      </c>
      <c r="D594" s="282" t="s">
        <v>24</v>
      </c>
      <c r="E594" s="285">
        <f>L594</f>
        <v>1.6800000000000002</v>
      </c>
      <c r="F594" s="283">
        <f>'COMPOSIÇÃO SINAPI W MENDES'!G3692</f>
        <v>871.17000000000007</v>
      </c>
      <c r="G594" s="284">
        <f>TRUNC(F594*$J$13,2)</f>
        <v>1083.6400000000001</v>
      </c>
      <c r="H594" s="284">
        <f>TRUNC(E594*G594,2)</f>
        <v>1820.51</v>
      </c>
      <c r="I594" s="297"/>
      <c r="J594" s="24"/>
      <c r="K594" s="240" t="s">
        <v>390</v>
      </c>
      <c r="L594" s="7">
        <f>0.8*2.1</f>
        <v>1.6800000000000002</v>
      </c>
      <c r="M594" s="35"/>
      <c r="N594" s="61"/>
      <c r="O594" s="35"/>
      <c r="P594" s="40"/>
      <c r="Q594" s="37"/>
      <c r="R594" s="4"/>
      <c r="S594" s="236">
        <v>1.6800000000000002</v>
      </c>
      <c r="T594" s="236">
        <v>975.13</v>
      </c>
      <c r="U594" s="236">
        <v>1228.6600000000001</v>
      </c>
      <c r="V594" s="236">
        <v>2064.14</v>
      </c>
    </row>
    <row r="595" spans="1:22" s="52" customFormat="1" outlineLevel="1" x14ac:dyDescent="0.25">
      <c r="A595" s="282" t="s">
        <v>69</v>
      </c>
      <c r="B595" s="280">
        <v>100701</v>
      </c>
      <c r="C595" s="281" t="s">
        <v>391</v>
      </c>
      <c r="D595" s="282" t="s">
        <v>24</v>
      </c>
      <c r="E595" s="285">
        <f>L595</f>
        <v>3.3600000000000003</v>
      </c>
      <c r="F595" s="283">
        <v>479.56</v>
      </c>
      <c r="G595" s="284">
        <f>TRUNC(F595*$J$13,2)</f>
        <v>596.52</v>
      </c>
      <c r="H595" s="284">
        <f>TRUNC(E595*G595,2)</f>
        <v>2004.3</v>
      </c>
      <c r="I595" s="401"/>
      <c r="J595" s="24"/>
      <c r="K595" s="240" t="s">
        <v>392</v>
      </c>
      <c r="L595" s="7">
        <f>0.8*2.1*2</f>
        <v>3.3600000000000003</v>
      </c>
      <c r="M595" s="35"/>
      <c r="N595" s="61"/>
      <c r="O595" s="35"/>
      <c r="P595" s="40"/>
      <c r="Q595" s="37"/>
      <c r="R595" s="4"/>
      <c r="S595" s="236">
        <v>3.3600000000000003</v>
      </c>
      <c r="T595" s="236">
        <v>479.56</v>
      </c>
      <c r="U595" s="236">
        <v>604.24</v>
      </c>
      <c r="V595" s="236">
        <v>2030.24</v>
      </c>
    </row>
    <row r="596" spans="1:22" s="52" customFormat="1" outlineLevel="1" x14ac:dyDescent="0.25">
      <c r="A596" s="279" t="s">
        <v>74</v>
      </c>
      <c r="B596" s="279"/>
      <c r="C596" s="294" t="s">
        <v>61</v>
      </c>
      <c r="D596" s="558"/>
      <c r="E596" s="294"/>
      <c r="F596" s="403"/>
      <c r="G596" s="294"/>
      <c r="H596" s="558"/>
      <c r="I596" s="404">
        <f>SUM(H597)</f>
        <v>1427.3</v>
      </c>
      <c r="J596" s="24"/>
      <c r="K596" s="197"/>
      <c r="L596" s="317">
        <f>SUM(H597)</f>
        <v>1427.3</v>
      </c>
      <c r="M596" s="35">
        <f>I596-L596</f>
        <v>0</v>
      </c>
      <c r="N596" s="61"/>
      <c r="O596" s="35"/>
      <c r="P596" s="40"/>
      <c r="Q596" s="37"/>
      <c r="R596" s="4"/>
    </row>
    <row r="597" spans="1:22" s="52" customFormat="1" ht="31.2" outlineLevel="1" x14ac:dyDescent="0.25">
      <c r="A597" s="282" t="s">
        <v>77</v>
      </c>
      <c r="B597" s="280">
        <v>87266</v>
      </c>
      <c r="C597" s="281" t="s">
        <v>65</v>
      </c>
      <c r="D597" s="282" t="s">
        <v>24</v>
      </c>
      <c r="E597" s="285">
        <f>L597</f>
        <v>35</v>
      </c>
      <c r="F597" s="283">
        <f>'COMPOSIÇÃO SINAPI W MENDES'!G3708</f>
        <v>32.790000000000006</v>
      </c>
      <c r="G597" s="284">
        <f>TRUNC(F597*$J$13,2)</f>
        <v>40.78</v>
      </c>
      <c r="H597" s="284">
        <f>TRUNC(E597*G597,2)</f>
        <v>1427.3</v>
      </c>
      <c r="I597" s="297"/>
      <c r="J597" s="24"/>
      <c r="K597" s="197" t="s">
        <v>66</v>
      </c>
      <c r="L597" s="7">
        <v>35</v>
      </c>
      <c r="M597" s="35"/>
      <c r="N597" s="61"/>
      <c r="O597" s="35"/>
      <c r="P597" s="40"/>
      <c r="Q597" s="37"/>
      <c r="R597" s="4"/>
      <c r="S597" s="236">
        <v>35</v>
      </c>
      <c r="T597" s="236">
        <v>43.91</v>
      </c>
      <c r="U597" s="236">
        <v>55.32</v>
      </c>
      <c r="V597" s="236">
        <v>1936.2</v>
      </c>
    </row>
    <row r="598" spans="1:22" s="52" customFormat="1" outlineLevel="1" x14ac:dyDescent="0.25">
      <c r="A598" s="279" t="s">
        <v>85</v>
      </c>
      <c r="B598" s="279"/>
      <c r="C598" s="294" t="s">
        <v>75</v>
      </c>
      <c r="D598" s="558"/>
      <c r="E598" s="294"/>
      <c r="F598" s="403"/>
      <c r="G598" s="294"/>
      <c r="H598" s="558"/>
      <c r="I598" s="404">
        <f>SUM(H599:H600)</f>
        <v>3319.87</v>
      </c>
      <c r="J598" s="24"/>
      <c r="K598" s="197"/>
      <c r="L598" s="317">
        <f>SUM(H599:H600)</f>
        <v>3319.87</v>
      </c>
      <c r="M598" s="35">
        <f>I598-L598</f>
        <v>0</v>
      </c>
      <c r="N598" s="61"/>
      <c r="O598" s="35"/>
      <c r="P598" s="40"/>
      <c r="Q598" s="37"/>
      <c r="R598" s="4"/>
      <c r="S598" s="236"/>
      <c r="T598" s="236"/>
      <c r="U598" s="236"/>
      <c r="V598" s="236"/>
    </row>
    <row r="599" spans="1:22" s="52" customFormat="1" ht="31.2" outlineLevel="1" x14ac:dyDescent="0.25">
      <c r="A599" s="282" t="s">
        <v>87</v>
      </c>
      <c r="B599" s="280">
        <v>94993</v>
      </c>
      <c r="C599" s="281" t="s">
        <v>78</v>
      </c>
      <c r="D599" s="282" t="s">
        <v>24</v>
      </c>
      <c r="E599" s="285">
        <f>L599</f>
        <v>35.520000000000003</v>
      </c>
      <c r="F599" s="283">
        <v>62.94</v>
      </c>
      <c r="G599" s="284">
        <f>TRUNC(F599*$J$13,2)</f>
        <v>78.290000000000006</v>
      </c>
      <c r="H599" s="284">
        <f>TRUNC(E599*G599,2)</f>
        <v>2780.86</v>
      </c>
      <c r="I599" s="297"/>
      <c r="J599" s="24"/>
      <c r="K599" s="197" t="s">
        <v>66</v>
      </c>
      <c r="L599" s="7">
        <v>35.520000000000003</v>
      </c>
      <c r="M599" s="35"/>
      <c r="N599" s="61"/>
      <c r="O599" s="35"/>
      <c r="P599" s="40"/>
      <c r="Q599" s="37"/>
      <c r="R599" s="4"/>
      <c r="S599" s="236">
        <v>35.520000000000003</v>
      </c>
      <c r="T599" s="236">
        <v>62.94</v>
      </c>
      <c r="U599" s="236">
        <v>79.3</v>
      </c>
      <c r="V599" s="236">
        <v>2816.73</v>
      </c>
    </row>
    <row r="600" spans="1:22" s="52" customFormat="1" ht="31.2" outlineLevel="1" x14ac:dyDescent="0.25">
      <c r="A600" s="282" t="s">
        <v>90</v>
      </c>
      <c r="B600" s="280">
        <v>87249</v>
      </c>
      <c r="C600" s="281" t="s">
        <v>393</v>
      </c>
      <c r="D600" s="282" t="s">
        <v>24</v>
      </c>
      <c r="E600" s="285">
        <f>J600</f>
        <v>10.23</v>
      </c>
      <c r="F600" s="283">
        <v>42.36</v>
      </c>
      <c r="G600" s="284">
        <f>TRUNC(F600*$J$13,2)</f>
        <v>52.69</v>
      </c>
      <c r="H600" s="284">
        <f>TRUNC(E600*G600,2)</f>
        <v>539.01</v>
      </c>
      <c r="I600" s="297"/>
      <c r="J600" s="24">
        <v>10.23</v>
      </c>
      <c r="K600" s="197" t="s">
        <v>66</v>
      </c>
      <c r="L600" s="7">
        <v>6.4</v>
      </c>
      <c r="M600" s="35"/>
      <c r="N600" s="61"/>
      <c r="O600" s="35"/>
      <c r="P600" s="40"/>
      <c r="Q600" s="37"/>
      <c r="R600" s="4"/>
      <c r="S600" s="236">
        <v>10.23</v>
      </c>
      <c r="T600" s="236">
        <v>42.36</v>
      </c>
      <c r="U600" s="236">
        <v>53.37</v>
      </c>
      <c r="V600" s="236">
        <v>545.97</v>
      </c>
    </row>
    <row r="601" spans="1:22" s="52" customFormat="1" outlineLevel="1" x14ac:dyDescent="0.25">
      <c r="A601" s="279" t="s">
        <v>95</v>
      </c>
      <c r="B601" s="279"/>
      <c r="C601" s="294" t="s">
        <v>86</v>
      </c>
      <c r="D601" s="558"/>
      <c r="E601" s="294"/>
      <c r="F601" s="403"/>
      <c r="G601" s="294"/>
      <c r="H601" s="558"/>
      <c r="I601" s="402">
        <f>SUM(H602:H605)</f>
        <v>35106.439999999995</v>
      </c>
      <c r="J601" s="24"/>
      <c r="K601" s="197"/>
      <c r="L601" s="317">
        <f>SUM(H602:H605)</f>
        <v>35106.439999999995</v>
      </c>
      <c r="M601" s="35">
        <f>I601-L601</f>
        <v>0</v>
      </c>
      <c r="N601" s="61"/>
      <c r="O601" s="35"/>
      <c r="P601" s="40"/>
      <c r="Q601" s="37"/>
      <c r="R601" s="4"/>
    </row>
    <row r="602" spans="1:22" s="52" customFormat="1" outlineLevel="1" x14ac:dyDescent="0.25">
      <c r="A602" s="282" t="s">
        <v>97</v>
      </c>
      <c r="B602" s="280">
        <v>72117</v>
      </c>
      <c r="C602" s="289" t="s">
        <v>88</v>
      </c>
      <c r="D602" s="282" t="s">
        <v>24</v>
      </c>
      <c r="E602" s="285">
        <v>0.5</v>
      </c>
      <c r="F602" s="283">
        <v>159.13</v>
      </c>
      <c r="G602" s="284">
        <f>TRUNC(F602*$J$13,2)</f>
        <v>197.94</v>
      </c>
      <c r="H602" s="284">
        <f>TRUNC(E602*G602,2)</f>
        <v>98.97</v>
      </c>
      <c r="I602" s="297"/>
      <c r="J602" s="24"/>
      <c r="K602" s="197"/>
      <c r="L602" s="7"/>
      <c r="M602" s="35"/>
      <c r="N602" s="61"/>
      <c r="O602" s="35"/>
      <c r="P602" s="40"/>
      <c r="Q602" s="37"/>
      <c r="R602" s="4"/>
      <c r="S602" s="236">
        <v>0.5</v>
      </c>
      <c r="T602" s="236">
        <v>159.13</v>
      </c>
      <c r="U602" s="236">
        <v>200.5</v>
      </c>
      <c r="V602" s="236">
        <v>100.25</v>
      </c>
    </row>
    <row r="603" spans="1:22" s="52" customFormat="1" outlineLevel="1" x14ac:dyDescent="0.25">
      <c r="A603" s="282" t="s">
        <v>100</v>
      </c>
      <c r="B603" s="280">
        <v>84886</v>
      </c>
      <c r="C603" s="289" t="s">
        <v>91</v>
      </c>
      <c r="D603" s="282" t="s">
        <v>92</v>
      </c>
      <c r="E603" s="285">
        <v>1</v>
      </c>
      <c r="F603" s="283">
        <v>1114.46</v>
      </c>
      <c r="G603" s="284">
        <f>TRUNC(F603*$J$13,2)</f>
        <v>1386.27</v>
      </c>
      <c r="H603" s="284">
        <f>TRUNC(E603*G603,2)</f>
        <v>1386.27</v>
      </c>
      <c r="I603" s="297"/>
      <c r="J603" s="24"/>
      <c r="K603" s="197"/>
      <c r="L603" s="7"/>
      <c r="M603" s="35"/>
      <c r="N603" s="61"/>
      <c r="O603" s="35"/>
      <c r="P603" s="40"/>
      <c r="Q603" s="37"/>
      <c r="R603" s="4"/>
      <c r="S603" s="236">
        <v>1</v>
      </c>
      <c r="T603" s="236">
        <v>1139.6199999999999</v>
      </c>
      <c r="U603" s="236">
        <v>1435.92</v>
      </c>
      <c r="V603" s="236">
        <v>1435.92</v>
      </c>
    </row>
    <row r="604" spans="1:22" s="52" customFormat="1" ht="31.2" outlineLevel="1" x14ac:dyDescent="0.25">
      <c r="A604" s="282" t="s">
        <v>103</v>
      </c>
      <c r="B604" s="280">
        <v>84885</v>
      </c>
      <c r="C604" s="281" t="s">
        <v>94</v>
      </c>
      <c r="D604" s="282" t="s">
        <v>44</v>
      </c>
      <c r="E604" s="285">
        <v>1</v>
      </c>
      <c r="F604" s="283">
        <v>612.76</v>
      </c>
      <c r="G604" s="284">
        <f>TRUNC(F604*$J$13,2)</f>
        <v>762.21</v>
      </c>
      <c r="H604" s="284">
        <f>TRUNC(E604*G604,2)</f>
        <v>762.21</v>
      </c>
      <c r="I604" s="297"/>
      <c r="J604" s="24"/>
      <c r="K604" s="197"/>
      <c r="L604" s="7"/>
      <c r="M604" s="35"/>
      <c r="N604" s="61"/>
      <c r="O604" s="35"/>
      <c r="P604" s="40"/>
      <c r="Q604" s="37"/>
      <c r="R604" s="4"/>
      <c r="S604" s="236">
        <v>1</v>
      </c>
      <c r="T604" s="236">
        <v>612.76</v>
      </c>
      <c r="U604" s="236">
        <v>772.07</v>
      </c>
      <c r="V604" s="236">
        <v>772.07</v>
      </c>
    </row>
    <row r="605" spans="1:22" s="52" customFormat="1" outlineLevel="1" x14ac:dyDescent="0.25">
      <c r="A605" s="282" t="s">
        <v>105</v>
      </c>
      <c r="B605" s="280">
        <v>72120</v>
      </c>
      <c r="C605" s="281" t="s">
        <v>229</v>
      </c>
      <c r="D605" s="282" t="s">
        <v>24</v>
      </c>
      <c r="E605" s="285">
        <v>83.12</v>
      </c>
      <c r="F605" s="283">
        <f>'COMPOSIÇÃO SINAPI W MENDES'!G1142</f>
        <v>317.81</v>
      </c>
      <c r="G605" s="284">
        <f>TRUNC(F605*$J$13,2)</f>
        <v>395.32</v>
      </c>
      <c r="H605" s="284">
        <f>TRUNC(E605*G605,2)</f>
        <v>32858.99</v>
      </c>
      <c r="I605" s="297"/>
      <c r="J605" s="24"/>
      <c r="K605" s="197"/>
      <c r="L605" s="7"/>
      <c r="M605" s="35"/>
      <c r="N605" s="61"/>
      <c r="O605" s="35"/>
      <c r="P605" s="40"/>
      <c r="Q605" s="37"/>
      <c r="R605" s="4"/>
      <c r="S605" s="236">
        <v>83.12</v>
      </c>
      <c r="T605" s="236">
        <v>347.26</v>
      </c>
      <c r="U605" s="236">
        <v>437.54</v>
      </c>
      <c r="V605" s="236">
        <v>36368.32</v>
      </c>
    </row>
    <row r="606" spans="1:22" s="52" customFormat="1" outlineLevel="1" x14ac:dyDescent="0.25">
      <c r="A606" s="279" t="s">
        <v>116</v>
      </c>
      <c r="B606" s="279"/>
      <c r="C606" s="294" t="s">
        <v>96</v>
      </c>
      <c r="D606" s="558"/>
      <c r="E606" s="294"/>
      <c r="F606" s="403"/>
      <c r="G606" s="294"/>
      <c r="H606" s="558"/>
      <c r="I606" s="402">
        <f>SUM(H607:H614)</f>
        <v>4790.2300000000005</v>
      </c>
      <c r="J606" s="24"/>
      <c r="K606" s="197"/>
      <c r="L606" s="317">
        <f>SUM(H607:H614)</f>
        <v>4790.2300000000005</v>
      </c>
      <c r="M606" s="35">
        <f>I606-L606</f>
        <v>0</v>
      </c>
      <c r="N606" s="61"/>
      <c r="O606" s="35"/>
      <c r="P606" s="40"/>
      <c r="Q606" s="37"/>
      <c r="R606" s="4"/>
    </row>
    <row r="607" spans="1:22" s="52" customFormat="1" outlineLevel="1" x14ac:dyDescent="0.25">
      <c r="A607" s="282" t="s">
        <v>118</v>
      </c>
      <c r="B607" s="280">
        <v>88423</v>
      </c>
      <c r="C607" s="281" t="s">
        <v>98</v>
      </c>
      <c r="D607" s="282" t="s">
        <v>24</v>
      </c>
      <c r="E607" s="290">
        <v>89.6</v>
      </c>
      <c r="F607" s="283">
        <v>13.45</v>
      </c>
      <c r="G607" s="284">
        <f>TRUNC(F607*$J$13,2)</f>
        <v>16.73</v>
      </c>
      <c r="H607" s="284">
        <f t="shared" ref="H607:H614" si="95">TRUNC(E607*G607,2)</f>
        <v>1499</v>
      </c>
      <c r="I607" s="297"/>
      <c r="J607" s="24"/>
      <c r="K607" s="197"/>
      <c r="L607" s="7"/>
      <c r="M607" s="35"/>
      <c r="N607" s="61"/>
      <c r="O607" s="35"/>
      <c r="P607" s="40"/>
      <c r="Q607" s="37"/>
      <c r="R607" s="4"/>
      <c r="S607" s="236">
        <v>89.6</v>
      </c>
      <c r="T607" s="236">
        <v>16.21</v>
      </c>
      <c r="U607" s="236">
        <v>20.420000000000002</v>
      </c>
      <c r="V607" s="236">
        <v>1829.63</v>
      </c>
    </row>
    <row r="608" spans="1:22" s="52" customFormat="1" outlineLevel="1" x14ac:dyDescent="0.25">
      <c r="A608" s="282" t="s">
        <v>120</v>
      </c>
      <c r="B608" s="280">
        <v>88488</v>
      </c>
      <c r="C608" s="281" t="s">
        <v>104</v>
      </c>
      <c r="D608" s="282" t="s">
        <v>24</v>
      </c>
      <c r="E608" s="290">
        <v>45.81</v>
      </c>
      <c r="F608" s="283">
        <f>'COMPOSIÇÃO SINAPI W MENDES'!G4220</f>
        <v>8.42</v>
      </c>
      <c r="G608" s="284">
        <f t="shared" ref="G608:G614" si="96">TRUNC(F608*$J$13,2)</f>
        <v>10.47</v>
      </c>
      <c r="H608" s="284">
        <f t="shared" si="95"/>
        <v>479.63</v>
      </c>
      <c r="I608" s="297"/>
      <c r="J608" s="24"/>
      <c r="K608" s="197"/>
      <c r="L608" s="7"/>
      <c r="M608" s="35"/>
      <c r="N608" s="61"/>
      <c r="O608" s="35"/>
      <c r="P608" s="40"/>
      <c r="Q608" s="37"/>
      <c r="R608" s="4"/>
      <c r="S608" s="236">
        <v>45.81</v>
      </c>
      <c r="T608" s="236">
        <v>12.65</v>
      </c>
      <c r="U608" s="236">
        <v>15.93</v>
      </c>
      <c r="V608" s="236">
        <v>729.75</v>
      </c>
    </row>
    <row r="609" spans="1:22" s="52" customFormat="1" outlineLevel="1" x14ac:dyDescent="0.25">
      <c r="A609" s="282" t="s">
        <v>122</v>
      </c>
      <c r="B609" s="280">
        <v>88497</v>
      </c>
      <c r="C609" s="288" t="s">
        <v>232</v>
      </c>
      <c r="D609" s="282" t="s">
        <v>24</v>
      </c>
      <c r="E609" s="290">
        <v>65</v>
      </c>
      <c r="F609" s="283">
        <v>9.74</v>
      </c>
      <c r="G609" s="284">
        <f t="shared" si="96"/>
        <v>12.11</v>
      </c>
      <c r="H609" s="284">
        <f t="shared" si="95"/>
        <v>787.15</v>
      </c>
      <c r="I609" s="297"/>
      <c r="J609" s="24"/>
      <c r="K609" s="197"/>
      <c r="L609" s="7"/>
      <c r="M609" s="35"/>
      <c r="N609" s="61"/>
      <c r="O609" s="35"/>
      <c r="P609" s="40"/>
      <c r="Q609" s="37"/>
      <c r="R609" s="4"/>
      <c r="S609" s="236">
        <v>65</v>
      </c>
      <c r="T609" s="236">
        <v>11.24</v>
      </c>
      <c r="U609" s="236">
        <v>14.16</v>
      </c>
      <c r="V609" s="236">
        <v>920.4</v>
      </c>
    </row>
    <row r="610" spans="1:22" s="52" customFormat="1" ht="31.2" outlineLevel="1" x14ac:dyDescent="0.25">
      <c r="A610" s="282" t="s">
        <v>124</v>
      </c>
      <c r="B610" s="280">
        <v>88489</v>
      </c>
      <c r="C610" s="281" t="s">
        <v>648</v>
      </c>
      <c r="D610" s="282" t="s">
        <v>24</v>
      </c>
      <c r="E610" s="290">
        <v>103.6</v>
      </c>
      <c r="F610" s="283">
        <f>'COMPOSIÇÃO SINAPI W MENDES'!G3774</f>
        <v>8.14</v>
      </c>
      <c r="G610" s="284">
        <f t="shared" si="96"/>
        <v>10.119999999999999</v>
      </c>
      <c r="H610" s="284">
        <f>TRUNC(E610*G610,2)</f>
        <v>1048.43</v>
      </c>
      <c r="I610" s="297"/>
      <c r="J610" s="24">
        <f>7*3.2*4</f>
        <v>89.600000000000009</v>
      </c>
      <c r="K610" s="197"/>
      <c r="L610" s="7"/>
      <c r="M610" s="35"/>
      <c r="N610" s="61"/>
      <c r="O610" s="35"/>
      <c r="P610" s="40"/>
      <c r="Q610" s="37"/>
      <c r="R610" s="4"/>
      <c r="S610" s="236">
        <v>103.6</v>
      </c>
      <c r="T610" s="236">
        <v>11.3</v>
      </c>
      <c r="U610" s="236">
        <v>14.23</v>
      </c>
      <c r="V610" s="236">
        <v>1474.22</v>
      </c>
    </row>
    <row r="611" spans="1:22" s="52" customFormat="1" outlineLevel="1" x14ac:dyDescent="0.25">
      <c r="A611" s="282" t="s">
        <v>126</v>
      </c>
      <c r="B611" s="280">
        <v>100725</v>
      </c>
      <c r="C611" s="281" t="s">
        <v>804</v>
      </c>
      <c r="D611" s="282" t="s">
        <v>24</v>
      </c>
      <c r="E611" s="290">
        <f>7*2</f>
        <v>14</v>
      </c>
      <c r="F611" s="283">
        <v>16.12</v>
      </c>
      <c r="G611" s="284">
        <f t="shared" ref="G611" si="97">TRUNC(F611*$J$13,2)</f>
        <v>20.05</v>
      </c>
      <c r="H611" s="284">
        <f>TRUNC(E611*G611,2)</f>
        <v>280.7</v>
      </c>
      <c r="I611" s="297"/>
      <c r="J611" s="24"/>
      <c r="K611" s="197"/>
      <c r="L611" s="7"/>
      <c r="M611" s="35"/>
      <c r="N611" s="61"/>
      <c r="O611" s="35"/>
      <c r="P611" s="40"/>
      <c r="Q611" s="37"/>
      <c r="R611" s="4"/>
      <c r="S611" s="236">
        <v>14</v>
      </c>
      <c r="T611" s="236">
        <v>16.12</v>
      </c>
      <c r="U611" s="236">
        <v>20.309999999999999</v>
      </c>
      <c r="V611" s="236">
        <v>284.33999999999997</v>
      </c>
    </row>
    <row r="612" spans="1:22" s="52" customFormat="1" ht="31.2" outlineLevel="1" x14ac:dyDescent="0.25">
      <c r="A612" s="282" t="s">
        <v>129</v>
      </c>
      <c r="B612" s="280">
        <v>100727</v>
      </c>
      <c r="C612" s="291" t="s">
        <v>805</v>
      </c>
      <c r="D612" s="282" t="s">
        <v>24</v>
      </c>
      <c r="E612" s="290">
        <f>16.86*2</f>
        <v>33.72</v>
      </c>
      <c r="F612" s="283">
        <v>11.97</v>
      </c>
      <c r="G612" s="284">
        <f t="shared" si="96"/>
        <v>14.88</v>
      </c>
      <c r="H612" s="284">
        <f t="shared" ref="H612" si="98">TRUNC(E612*G612,2)</f>
        <v>501.75</v>
      </c>
      <c r="I612" s="297"/>
      <c r="J612" s="24"/>
      <c r="K612" s="197"/>
      <c r="L612" s="7"/>
      <c r="M612" s="35"/>
      <c r="N612" s="61"/>
      <c r="O612" s="35"/>
      <c r="P612" s="40"/>
      <c r="Q612" s="37"/>
      <c r="R612" s="4"/>
      <c r="S612" s="236">
        <v>33.72</v>
      </c>
      <c r="T612" s="236">
        <v>11.97</v>
      </c>
      <c r="U612" s="236">
        <v>15.08</v>
      </c>
      <c r="V612" s="236">
        <v>508.49</v>
      </c>
    </row>
    <row r="613" spans="1:22" s="52" customFormat="1" outlineLevel="1" x14ac:dyDescent="0.25">
      <c r="A613" s="282" t="s">
        <v>131</v>
      </c>
      <c r="B613" s="280" t="s">
        <v>109</v>
      </c>
      <c r="C613" s="281" t="s">
        <v>110</v>
      </c>
      <c r="D613" s="282" t="s">
        <v>24</v>
      </c>
      <c r="E613" s="285">
        <v>6</v>
      </c>
      <c r="F613" s="283">
        <v>12.4</v>
      </c>
      <c r="G613" s="284">
        <f t="shared" si="96"/>
        <v>15.42</v>
      </c>
      <c r="H613" s="284">
        <f t="shared" si="95"/>
        <v>92.52</v>
      </c>
      <c r="I613" s="297"/>
      <c r="J613" s="24"/>
      <c r="K613" s="197"/>
      <c r="L613" s="7"/>
      <c r="M613" s="35"/>
      <c r="N613" s="61"/>
      <c r="O613" s="35"/>
      <c r="P613" s="40"/>
      <c r="Q613" s="37"/>
      <c r="R613" s="4"/>
      <c r="S613" s="236">
        <v>6</v>
      </c>
      <c r="T613" s="236">
        <v>15.01</v>
      </c>
      <c r="U613" s="236">
        <v>18.91</v>
      </c>
      <c r="V613" s="236">
        <v>113.46</v>
      </c>
    </row>
    <row r="614" spans="1:22" s="52" customFormat="1" outlineLevel="1" x14ac:dyDescent="0.25">
      <c r="A614" s="282" t="s">
        <v>133</v>
      </c>
      <c r="B614" s="280">
        <v>100725</v>
      </c>
      <c r="C614" s="281" t="s">
        <v>113</v>
      </c>
      <c r="D614" s="282" t="s">
        <v>24</v>
      </c>
      <c r="E614" s="290">
        <v>5.04</v>
      </c>
      <c r="F614" s="283">
        <v>16.12</v>
      </c>
      <c r="G614" s="284">
        <f t="shared" si="96"/>
        <v>20.05</v>
      </c>
      <c r="H614" s="284">
        <f t="shared" si="95"/>
        <v>101.05</v>
      </c>
      <c r="I614" s="297"/>
      <c r="J614" s="24"/>
      <c r="K614" s="197"/>
      <c r="L614" s="7"/>
      <c r="M614" s="35"/>
      <c r="N614" s="61"/>
      <c r="O614" s="35"/>
      <c r="P614" s="40"/>
      <c r="Q614" s="37"/>
      <c r="R614" s="4"/>
      <c r="S614" s="236">
        <v>5.04</v>
      </c>
      <c r="T614" s="236">
        <v>16.12</v>
      </c>
      <c r="U614" s="236">
        <v>20.309999999999999</v>
      </c>
      <c r="V614" s="236">
        <v>102.36</v>
      </c>
    </row>
    <row r="615" spans="1:22" s="52" customFormat="1" outlineLevel="1" x14ac:dyDescent="0.25">
      <c r="A615" s="279" t="s">
        <v>160</v>
      </c>
      <c r="B615" s="279"/>
      <c r="C615" s="294" t="s">
        <v>117</v>
      </c>
      <c r="D615" s="558"/>
      <c r="E615" s="294"/>
      <c r="F615" s="403"/>
      <c r="G615" s="296" t="s">
        <v>38</v>
      </c>
      <c r="H615" s="558"/>
      <c r="I615" s="559">
        <f>SUM(H616:H636)</f>
        <v>8194.5800000000017</v>
      </c>
      <c r="J615" s="24"/>
      <c r="K615" s="197"/>
      <c r="L615" s="317">
        <f>SUM(H616:H636)</f>
        <v>8194.5800000000017</v>
      </c>
      <c r="M615" s="35">
        <f>I615-L615</f>
        <v>0</v>
      </c>
      <c r="N615" s="61"/>
      <c r="O615" s="35"/>
      <c r="P615" s="40"/>
      <c r="Q615" s="37"/>
      <c r="R615" s="4"/>
    </row>
    <row r="616" spans="1:22" s="52" customFormat="1" outlineLevel="1" x14ac:dyDescent="0.25">
      <c r="A616" s="282" t="s">
        <v>162</v>
      </c>
      <c r="B616" s="280">
        <v>91928</v>
      </c>
      <c r="C616" s="281" t="s">
        <v>123</v>
      </c>
      <c r="D616" s="282" t="s">
        <v>55</v>
      </c>
      <c r="E616" s="285">
        <v>210</v>
      </c>
      <c r="F616" s="283">
        <v>4.42</v>
      </c>
      <c r="G616" s="284">
        <f t="shared" ref="G616:G636" si="99">TRUNC(F616*$J$13,2)</f>
        <v>5.49</v>
      </c>
      <c r="H616" s="284">
        <f t="shared" ref="H616:H636" si="100">TRUNC(E616*G616,2)</f>
        <v>1152.9000000000001</v>
      </c>
      <c r="I616" s="312"/>
      <c r="J616" s="24"/>
      <c r="K616" s="197">
        <f>26.22*3.17</f>
        <v>83.117399999999989</v>
      </c>
      <c r="L616" s="7"/>
      <c r="M616" s="35"/>
      <c r="N616" s="61"/>
      <c r="O616" s="35"/>
      <c r="P616" s="40"/>
      <c r="Q616" s="37"/>
      <c r="R616" s="4"/>
      <c r="S616" s="236">
        <v>210</v>
      </c>
      <c r="T616" s="236">
        <v>4.42</v>
      </c>
      <c r="U616" s="236">
        <v>5.56</v>
      </c>
      <c r="V616" s="236">
        <v>1167.5999999999999</v>
      </c>
    </row>
    <row r="617" spans="1:22" s="52" customFormat="1" outlineLevel="1" x14ac:dyDescent="0.25">
      <c r="A617" s="282" t="s">
        <v>163</v>
      </c>
      <c r="B617" s="280">
        <v>91927</v>
      </c>
      <c r="C617" s="281" t="s">
        <v>125</v>
      </c>
      <c r="D617" s="282" t="s">
        <v>55</v>
      </c>
      <c r="E617" s="285">
        <v>250</v>
      </c>
      <c r="F617" s="283">
        <v>3</v>
      </c>
      <c r="G617" s="284">
        <f t="shared" si="99"/>
        <v>3.73</v>
      </c>
      <c r="H617" s="284">
        <f t="shared" si="100"/>
        <v>932.5</v>
      </c>
      <c r="I617" s="312"/>
      <c r="J617" s="24"/>
      <c r="K617" s="197"/>
      <c r="L617" s="7"/>
      <c r="M617" s="35"/>
      <c r="N617" s="61"/>
      <c r="O617" s="35"/>
      <c r="P617" s="40"/>
      <c r="Q617" s="37"/>
      <c r="R617" s="4"/>
      <c r="S617" s="236">
        <v>250</v>
      </c>
      <c r="T617" s="236">
        <v>3.58</v>
      </c>
      <c r="U617" s="236">
        <v>4.51</v>
      </c>
      <c r="V617" s="236">
        <v>1127.5</v>
      </c>
    </row>
    <row r="618" spans="1:22" s="52" customFormat="1" outlineLevel="1" x14ac:dyDescent="0.25">
      <c r="A618" s="282" t="s">
        <v>164</v>
      </c>
      <c r="B618" s="280">
        <v>90447</v>
      </c>
      <c r="C618" s="281" t="s">
        <v>127</v>
      </c>
      <c r="D618" s="282" t="s">
        <v>55</v>
      </c>
      <c r="E618" s="285">
        <v>36</v>
      </c>
      <c r="F618" s="283">
        <v>4.45</v>
      </c>
      <c r="G618" s="284">
        <f t="shared" si="99"/>
        <v>5.53</v>
      </c>
      <c r="H618" s="284">
        <f t="shared" si="100"/>
        <v>199.08</v>
      </c>
      <c r="I618" s="312"/>
      <c r="J618" s="24"/>
      <c r="K618" s="197"/>
      <c r="L618" s="7"/>
      <c r="M618" s="35"/>
      <c r="N618" s="61"/>
      <c r="O618" s="35"/>
      <c r="P618" s="40"/>
      <c r="Q618" s="37"/>
      <c r="R618" s="4"/>
      <c r="S618" s="236">
        <v>36</v>
      </c>
      <c r="T618" s="236">
        <v>4.45</v>
      </c>
      <c r="U618" s="236">
        <v>5.6</v>
      </c>
      <c r="V618" s="236">
        <v>201.6</v>
      </c>
    </row>
    <row r="619" spans="1:22" s="52" customFormat="1" ht="31.2" outlineLevel="1" x14ac:dyDescent="0.25">
      <c r="A619" s="282" t="s">
        <v>165</v>
      </c>
      <c r="B619" s="577" t="s">
        <v>649</v>
      </c>
      <c r="C619" s="306" t="s">
        <v>396</v>
      </c>
      <c r="D619" s="282" t="s">
        <v>397</v>
      </c>
      <c r="E619" s="285">
        <v>14</v>
      </c>
      <c r="F619" s="283">
        <v>112.37</v>
      </c>
      <c r="G619" s="284">
        <f t="shared" si="99"/>
        <v>139.77000000000001</v>
      </c>
      <c r="H619" s="284">
        <f t="shared" si="100"/>
        <v>1956.78</v>
      </c>
      <c r="I619" s="312"/>
      <c r="J619" s="24"/>
      <c r="K619" s="197"/>
      <c r="L619" s="7"/>
      <c r="M619" s="35"/>
      <c r="N619" s="61"/>
      <c r="O619" s="35"/>
      <c r="P619" s="40"/>
      <c r="Q619" s="37"/>
      <c r="R619" s="4"/>
      <c r="S619" s="236">
        <v>14</v>
      </c>
      <c r="T619" s="236">
        <v>112.46</v>
      </c>
      <c r="U619" s="236">
        <v>141.69</v>
      </c>
      <c r="V619" s="236">
        <v>1983.66</v>
      </c>
    </row>
    <row r="620" spans="1:22" s="52" customFormat="1" ht="31.2" outlineLevel="1" x14ac:dyDescent="0.25">
      <c r="A620" s="282" t="s">
        <v>166</v>
      </c>
      <c r="B620" s="280">
        <v>91836</v>
      </c>
      <c r="C620" s="281" t="s">
        <v>130</v>
      </c>
      <c r="D620" s="282" t="s">
        <v>55</v>
      </c>
      <c r="E620" s="285">
        <v>80</v>
      </c>
      <c r="F620" s="283">
        <v>7.55</v>
      </c>
      <c r="G620" s="284">
        <f t="shared" si="99"/>
        <v>9.39</v>
      </c>
      <c r="H620" s="284">
        <f t="shared" si="100"/>
        <v>751.2</v>
      </c>
      <c r="I620" s="312"/>
      <c r="J620" s="24"/>
      <c r="K620" s="197"/>
      <c r="L620" s="7"/>
      <c r="M620" s="35"/>
      <c r="N620" s="61"/>
      <c r="O620" s="35"/>
      <c r="P620" s="40"/>
      <c r="Q620" s="37"/>
      <c r="R620" s="4"/>
      <c r="S620" s="236">
        <v>80</v>
      </c>
      <c r="T620" s="236">
        <v>7.55</v>
      </c>
      <c r="U620" s="236">
        <v>9.51</v>
      </c>
      <c r="V620" s="236">
        <v>760.8</v>
      </c>
    </row>
    <row r="621" spans="1:22" s="52" customFormat="1" outlineLevel="1" x14ac:dyDescent="0.25">
      <c r="A621" s="282" t="s">
        <v>167</v>
      </c>
      <c r="B621" s="280">
        <v>91996</v>
      </c>
      <c r="C621" s="281" t="s">
        <v>134</v>
      </c>
      <c r="D621" s="282" t="s">
        <v>44</v>
      </c>
      <c r="E621" s="285">
        <v>11</v>
      </c>
      <c r="F621" s="283">
        <v>19.41</v>
      </c>
      <c r="G621" s="284">
        <f t="shared" si="99"/>
        <v>24.14</v>
      </c>
      <c r="H621" s="284">
        <f t="shared" si="100"/>
        <v>265.54000000000002</v>
      </c>
      <c r="I621" s="312"/>
      <c r="J621" s="24"/>
      <c r="K621" s="197"/>
      <c r="L621" s="7"/>
      <c r="M621" s="35"/>
      <c r="N621" s="61"/>
      <c r="O621" s="35"/>
      <c r="P621" s="40"/>
      <c r="Q621" s="37"/>
      <c r="R621" s="4"/>
      <c r="S621" s="236">
        <v>11</v>
      </c>
      <c r="T621" s="236">
        <v>19.41</v>
      </c>
      <c r="U621" s="236">
        <v>24.45</v>
      </c>
      <c r="V621" s="236">
        <v>268.95</v>
      </c>
    </row>
    <row r="622" spans="1:22" s="52" customFormat="1" outlineLevel="1" x14ac:dyDescent="0.25">
      <c r="A622" s="282" t="s">
        <v>169</v>
      </c>
      <c r="B622" s="280">
        <v>91991</v>
      </c>
      <c r="C622" s="281" t="s">
        <v>137</v>
      </c>
      <c r="D622" s="282" t="s">
        <v>44</v>
      </c>
      <c r="E622" s="285">
        <v>6</v>
      </c>
      <c r="F622" s="283">
        <v>21.99</v>
      </c>
      <c r="G622" s="284">
        <f t="shared" si="99"/>
        <v>27.35</v>
      </c>
      <c r="H622" s="284">
        <f t="shared" si="100"/>
        <v>164.1</v>
      </c>
      <c r="I622" s="312"/>
      <c r="J622" s="24"/>
      <c r="K622" s="197"/>
      <c r="L622" s="7"/>
      <c r="M622" s="35"/>
      <c r="N622" s="61"/>
      <c r="O622" s="35"/>
      <c r="P622" s="40"/>
      <c r="Q622" s="37"/>
      <c r="R622" s="4"/>
      <c r="S622" s="236">
        <v>6</v>
      </c>
      <c r="T622" s="236">
        <v>21.99</v>
      </c>
      <c r="U622" s="236">
        <v>27.7</v>
      </c>
      <c r="V622" s="236">
        <v>166.2</v>
      </c>
    </row>
    <row r="623" spans="1:22" s="52" customFormat="1" outlineLevel="1" x14ac:dyDescent="0.25">
      <c r="A623" s="282" t="s">
        <v>171</v>
      </c>
      <c r="B623" s="280">
        <v>91993</v>
      </c>
      <c r="C623" s="281" t="s">
        <v>398</v>
      </c>
      <c r="D623" s="282" t="s">
        <v>44</v>
      </c>
      <c r="E623" s="285">
        <v>3</v>
      </c>
      <c r="F623" s="283">
        <v>26.81</v>
      </c>
      <c r="G623" s="284">
        <f>TRUNC(F623*$J$13,2)</f>
        <v>33.340000000000003</v>
      </c>
      <c r="H623" s="284">
        <f>TRUNC(E623*G623,2)</f>
        <v>100.02</v>
      </c>
      <c r="I623" s="312"/>
      <c r="J623" s="24"/>
      <c r="K623" s="197"/>
      <c r="L623" s="7"/>
      <c r="M623" s="35"/>
      <c r="N623" s="61"/>
      <c r="O623" s="35"/>
      <c r="P623" s="40"/>
      <c r="Q623" s="37"/>
      <c r="R623" s="4"/>
      <c r="S623" s="236">
        <v>3</v>
      </c>
      <c r="T623" s="236">
        <v>26.81</v>
      </c>
      <c r="U623" s="236">
        <v>33.78</v>
      </c>
      <c r="V623" s="236">
        <v>101.34</v>
      </c>
    </row>
    <row r="624" spans="1:22" s="52" customFormat="1" outlineLevel="1" x14ac:dyDescent="0.25">
      <c r="A624" s="282" t="s">
        <v>173</v>
      </c>
      <c r="B624" s="280">
        <v>91953</v>
      </c>
      <c r="C624" s="281" t="s">
        <v>139</v>
      </c>
      <c r="D624" s="282" t="s">
        <v>44</v>
      </c>
      <c r="E624" s="285">
        <v>3</v>
      </c>
      <c r="F624" s="283">
        <v>16.14</v>
      </c>
      <c r="G624" s="284">
        <f t="shared" si="99"/>
        <v>20.07</v>
      </c>
      <c r="H624" s="284">
        <f t="shared" si="100"/>
        <v>60.21</v>
      </c>
      <c r="I624" s="312"/>
      <c r="J624" s="24"/>
      <c r="K624" s="197"/>
      <c r="L624" s="7"/>
      <c r="M624" s="35"/>
      <c r="N624" s="61"/>
      <c r="O624" s="35"/>
      <c r="P624" s="40"/>
      <c r="Q624" s="37"/>
      <c r="R624" s="4"/>
      <c r="S624" s="236">
        <v>3</v>
      </c>
      <c r="T624" s="236">
        <v>16.14</v>
      </c>
      <c r="U624" s="236">
        <v>20.329999999999998</v>
      </c>
      <c r="V624" s="236">
        <v>60.99</v>
      </c>
    </row>
    <row r="625" spans="1:22" s="52" customFormat="1" outlineLevel="1" x14ac:dyDescent="0.25">
      <c r="A625" s="282" t="s">
        <v>175</v>
      </c>
      <c r="B625" s="280">
        <v>91959</v>
      </c>
      <c r="C625" s="281" t="s">
        <v>140</v>
      </c>
      <c r="D625" s="282" t="s">
        <v>44</v>
      </c>
      <c r="E625" s="285">
        <v>2</v>
      </c>
      <c r="F625" s="283">
        <v>25.5</v>
      </c>
      <c r="G625" s="284">
        <f t="shared" si="99"/>
        <v>31.71</v>
      </c>
      <c r="H625" s="284">
        <f t="shared" si="100"/>
        <v>63.42</v>
      </c>
      <c r="I625" s="312"/>
      <c r="J625" s="24"/>
      <c r="K625" s="197"/>
      <c r="L625" s="7"/>
      <c r="M625" s="35"/>
      <c r="N625" s="61"/>
      <c r="O625" s="35"/>
      <c r="P625" s="40"/>
      <c r="Q625" s="37"/>
      <c r="R625" s="4"/>
      <c r="S625" s="236">
        <v>2</v>
      </c>
      <c r="T625" s="236">
        <v>25.5</v>
      </c>
      <c r="U625" s="236">
        <v>32.130000000000003</v>
      </c>
      <c r="V625" s="236">
        <v>64.260000000000005</v>
      </c>
    </row>
    <row r="626" spans="1:22" s="52" customFormat="1" outlineLevel="1" x14ac:dyDescent="0.25">
      <c r="A626" s="282" t="s">
        <v>177</v>
      </c>
      <c r="B626" s="280">
        <v>93655</v>
      </c>
      <c r="C626" s="281" t="s">
        <v>142</v>
      </c>
      <c r="D626" s="282" t="s">
        <v>44</v>
      </c>
      <c r="E626" s="285">
        <v>6</v>
      </c>
      <c r="F626" s="283">
        <v>10.59</v>
      </c>
      <c r="G626" s="284">
        <f t="shared" ref="G626:G633" si="101">TRUNC(F626*$J$13,2)</f>
        <v>13.17</v>
      </c>
      <c r="H626" s="284">
        <f t="shared" ref="H626:H633" si="102">TRUNC(E626*G626,2)</f>
        <v>79.02</v>
      </c>
      <c r="I626" s="312"/>
      <c r="J626" s="24"/>
      <c r="K626" s="197"/>
      <c r="L626" s="7"/>
      <c r="M626" s="35"/>
      <c r="N626" s="61"/>
      <c r="O626" s="35"/>
      <c r="P626" s="40"/>
      <c r="Q626" s="37"/>
      <c r="R626" s="4"/>
      <c r="S626" s="236">
        <v>6</v>
      </c>
      <c r="T626" s="236">
        <v>10.59</v>
      </c>
      <c r="U626" s="236">
        <v>13.34</v>
      </c>
      <c r="V626" s="236">
        <v>80.040000000000006</v>
      </c>
    </row>
    <row r="627" spans="1:22" s="52" customFormat="1" outlineLevel="1" x14ac:dyDescent="0.25">
      <c r="A627" s="282" t="s">
        <v>675</v>
      </c>
      <c r="B627" s="280">
        <v>93657</v>
      </c>
      <c r="C627" s="281" t="s">
        <v>143</v>
      </c>
      <c r="D627" s="282" t="s">
        <v>44</v>
      </c>
      <c r="E627" s="285">
        <v>4</v>
      </c>
      <c r="F627" s="283">
        <v>11.59</v>
      </c>
      <c r="G627" s="284">
        <f t="shared" si="101"/>
        <v>14.41</v>
      </c>
      <c r="H627" s="284">
        <f t="shared" si="102"/>
        <v>57.64</v>
      </c>
      <c r="I627" s="312"/>
      <c r="J627" s="24"/>
      <c r="K627" s="197"/>
      <c r="L627" s="7"/>
      <c r="M627" s="35"/>
      <c r="N627" s="61"/>
      <c r="O627" s="35"/>
      <c r="P627" s="40"/>
      <c r="Q627" s="37"/>
      <c r="R627" s="4"/>
      <c r="S627" s="236">
        <v>4</v>
      </c>
      <c r="T627" s="236">
        <v>11.59</v>
      </c>
      <c r="U627" s="236">
        <v>14.6</v>
      </c>
      <c r="V627" s="236">
        <v>58.4</v>
      </c>
    </row>
    <row r="628" spans="1:22" s="52" customFormat="1" outlineLevel="1" x14ac:dyDescent="0.25">
      <c r="A628" s="282" t="s">
        <v>676</v>
      </c>
      <c r="B628" s="280">
        <v>93660</v>
      </c>
      <c r="C628" s="281" t="s">
        <v>144</v>
      </c>
      <c r="D628" s="282" t="s">
        <v>44</v>
      </c>
      <c r="E628" s="285">
        <v>6</v>
      </c>
      <c r="F628" s="283">
        <v>46.9</v>
      </c>
      <c r="G628" s="284">
        <f t="shared" si="101"/>
        <v>58.33</v>
      </c>
      <c r="H628" s="284">
        <f t="shared" si="102"/>
        <v>349.98</v>
      </c>
      <c r="I628" s="312"/>
      <c r="J628" s="24"/>
      <c r="K628" s="197"/>
      <c r="L628" s="7"/>
      <c r="M628" s="35"/>
      <c r="N628" s="61"/>
      <c r="O628" s="35"/>
      <c r="P628" s="40"/>
      <c r="Q628" s="37"/>
      <c r="R628" s="4"/>
      <c r="S628" s="236">
        <v>6</v>
      </c>
      <c r="T628" s="236">
        <v>46.9</v>
      </c>
      <c r="U628" s="236">
        <v>59.09</v>
      </c>
      <c r="V628" s="236">
        <v>354.54</v>
      </c>
    </row>
    <row r="629" spans="1:22" s="52" customFormat="1" outlineLevel="1" x14ac:dyDescent="0.25">
      <c r="A629" s="282" t="s">
        <v>311</v>
      </c>
      <c r="B629" s="280">
        <v>93662</v>
      </c>
      <c r="C629" s="281" t="s">
        <v>145</v>
      </c>
      <c r="D629" s="282" t="s">
        <v>44</v>
      </c>
      <c r="E629" s="285">
        <v>4</v>
      </c>
      <c r="F629" s="283">
        <v>49.38</v>
      </c>
      <c r="G629" s="284">
        <f t="shared" si="101"/>
        <v>61.42</v>
      </c>
      <c r="H629" s="284">
        <f t="shared" si="102"/>
        <v>245.68</v>
      </c>
      <c r="I629" s="312"/>
      <c r="J629" s="24"/>
      <c r="K629" s="197"/>
      <c r="L629" s="7"/>
      <c r="M629" s="35"/>
      <c r="N629" s="61"/>
      <c r="O629" s="35"/>
      <c r="P629" s="40"/>
      <c r="Q629" s="37"/>
      <c r="R629" s="4"/>
      <c r="S629" s="236">
        <v>4</v>
      </c>
      <c r="T629" s="236">
        <v>49.38</v>
      </c>
      <c r="U629" s="236">
        <v>62.21</v>
      </c>
      <c r="V629" s="236">
        <v>248.84</v>
      </c>
    </row>
    <row r="630" spans="1:22" s="52" customFormat="1" outlineLevel="1" x14ac:dyDescent="0.25">
      <c r="A630" s="282" t="s">
        <v>181</v>
      </c>
      <c r="B630" s="280">
        <v>93664</v>
      </c>
      <c r="C630" s="281" t="s">
        <v>146</v>
      </c>
      <c r="D630" s="282" t="s">
        <v>44</v>
      </c>
      <c r="E630" s="285">
        <v>4</v>
      </c>
      <c r="F630" s="283">
        <v>51.34</v>
      </c>
      <c r="G630" s="284">
        <f t="shared" si="101"/>
        <v>63.86</v>
      </c>
      <c r="H630" s="284">
        <f t="shared" si="102"/>
        <v>255.44</v>
      </c>
      <c r="I630" s="312"/>
      <c r="J630" s="24"/>
      <c r="K630" s="197"/>
      <c r="L630" s="7"/>
      <c r="M630" s="35"/>
      <c r="N630" s="61"/>
      <c r="O630" s="35"/>
      <c r="P630" s="40"/>
      <c r="Q630" s="37"/>
      <c r="R630" s="4"/>
      <c r="S630" s="236">
        <v>4</v>
      </c>
      <c r="T630" s="236">
        <v>51.34</v>
      </c>
      <c r="U630" s="236">
        <v>64.680000000000007</v>
      </c>
      <c r="V630" s="236">
        <v>258.72000000000003</v>
      </c>
    </row>
    <row r="631" spans="1:22" s="52" customFormat="1" outlineLevel="1" x14ac:dyDescent="0.25">
      <c r="A631" s="282" t="s">
        <v>183</v>
      </c>
      <c r="B631" s="280">
        <v>93673</v>
      </c>
      <c r="C631" s="281" t="s">
        <v>147</v>
      </c>
      <c r="D631" s="282" t="s">
        <v>44</v>
      </c>
      <c r="E631" s="285">
        <v>4</v>
      </c>
      <c r="F631" s="283">
        <v>75.680000000000007</v>
      </c>
      <c r="G631" s="284">
        <f t="shared" si="101"/>
        <v>94.13</v>
      </c>
      <c r="H631" s="284">
        <f t="shared" si="102"/>
        <v>376.52</v>
      </c>
      <c r="I631" s="312"/>
      <c r="J631" s="24"/>
      <c r="K631" s="197"/>
      <c r="L631" s="7"/>
      <c r="M631" s="35"/>
      <c r="N631" s="61"/>
      <c r="O631" s="35"/>
      <c r="P631" s="40"/>
      <c r="Q631" s="37"/>
      <c r="R631" s="4"/>
      <c r="S631" s="236">
        <v>4</v>
      </c>
      <c r="T631" s="236">
        <v>75.680000000000007</v>
      </c>
      <c r="U631" s="236">
        <v>95.35</v>
      </c>
      <c r="V631" s="236">
        <v>381.4</v>
      </c>
    </row>
    <row r="632" spans="1:22" s="52" customFormat="1" outlineLevel="1" x14ac:dyDescent="0.25">
      <c r="A632" s="282" t="s">
        <v>677</v>
      </c>
      <c r="B632" s="280">
        <v>93667</v>
      </c>
      <c r="C632" s="281" t="s">
        <v>148</v>
      </c>
      <c r="D632" s="282" t="s">
        <v>44</v>
      </c>
      <c r="E632" s="285">
        <v>4</v>
      </c>
      <c r="F632" s="283">
        <v>58.47</v>
      </c>
      <c r="G632" s="284">
        <f t="shared" si="101"/>
        <v>72.73</v>
      </c>
      <c r="H632" s="284">
        <f t="shared" si="102"/>
        <v>290.92</v>
      </c>
      <c r="I632" s="312"/>
      <c r="J632" s="24"/>
      <c r="K632" s="197"/>
      <c r="L632" s="7"/>
      <c r="M632" s="35"/>
      <c r="N632" s="61"/>
      <c r="O632" s="35"/>
      <c r="P632" s="40"/>
      <c r="Q632" s="37"/>
      <c r="R632" s="4"/>
      <c r="S632" s="236">
        <v>4</v>
      </c>
      <c r="T632" s="236">
        <v>58.47</v>
      </c>
      <c r="U632" s="236">
        <v>73.67</v>
      </c>
      <c r="V632" s="236">
        <v>294.68</v>
      </c>
    </row>
    <row r="633" spans="1:22" s="52" customFormat="1" outlineLevel="1" x14ac:dyDescent="0.25">
      <c r="A633" s="282" t="s">
        <v>678</v>
      </c>
      <c r="B633" s="280">
        <v>93669</v>
      </c>
      <c r="C633" s="281" t="s">
        <v>149</v>
      </c>
      <c r="D633" s="282" t="s">
        <v>44</v>
      </c>
      <c r="E633" s="285">
        <v>4</v>
      </c>
      <c r="F633" s="283">
        <v>62.18</v>
      </c>
      <c r="G633" s="284">
        <f t="shared" si="101"/>
        <v>77.34</v>
      </c>
      <c r="H633" s="284">
        <f t="shared" si="102"/>
        <v>309.36</v>
      </c>
      <c r="I633" s="312"/>
      <c r="J633" s="24"/>
      <c r="K633" s="197"/>
      <c r="L633" s="7"/>
      <c r="M633" s="35"/>
      <c r="N633" s="61"/>
      <c r="O633" s="35"/>
      <c r="P633" s="40"/>
      <c r="Q633" s="37"/>
      <c r="R633" s="4"/>
      <c r="S633" s="236">
        <v>4</v>
      </c>
      <c r="T633" s="236">
        <v>62.18</v>
      </c>
      <c r="U633" s="236">
        <v>78.34</v>
      </c>
      <c r="V633" s="236">
        <v>313.36</v>
      </c>
    </row>
    <row r="634" spans="1:22" s="52" customFormat="1" outlineLevel="1" x14ac:dyDescent="0.25">
      <c r="A634" s="282" t="s">
        <v>679</v>
      </c>
      <c r="B634" s="280">
        <v>91944</v>
      </c>
      <c r="C634" s="281" t="s">
        <v>151</v>
      </c>
      <c r="D634" s="282" t="s">
        <v>44</v>
      </c>
      <c r="E634" s="285">
        <v>5</v>
      </c>
      <c r="F634" s="283">
        <f>'COMPOSIÇÃO SINAPI W MENDES'!G3928</f>
        <v>9.06</v>
      </c>
      <c r="G634" s="284">
        <f t="shared" si="99"/>
        <v>11.26</v>
      </c>
      <c r="H634" s="284">
        <f t="shared" si="100"/>
        <v>56.3</v>
      </c>
      <c r="I634" s="559"/>
      <c r="J634" s="24"/>
      <c r="K634" s="197"/>
      <c r="L634" s="7"/>
      <c r="M634" s="35"/>
      <c r="N634" s="61"/>
      <c r="O634" s="35"/>
      <c r="P634" s="40"/>
      <c r="Q634" s="37"/>
      <c r="R634" s="4"/>
      <c r="S634" s="236">
        <v>5</v>
      </c>
      <c r="T634" s="236">
        <v>9.3000000000000007</v>
      </c>
      <c r="U634" s="236">
        <v>11.71</v>
      </c>
      <c r="V634" s="236">
        <v>58.55</v>
      </c>
    </row>
    <row r="635" spans="1:22" s="52" customFormat="1" ht="31.2" outlineLevel="1" x14ac:dyDescent="0.25">
      <c r="A635" s="282" t="s">
        <v>680</v>
      </c>
      <c r="B635" s="280">
        <v>83463</v>
      </c>
      <c r="C635" s="281" t="s">
        <v>152</v>
      </c>
      <c r="D635" s="282" t="s">
        <v>44</v>
      </c>
      <c r="E635" s="285">
        <v>1</v>
      </c>
      <c r="F635" s="283">
        <v>356.52</v>
      </c>
      <c r="G635" s="284">
        <f t="shared" si="99"/>
        <v>443.47</v>
      </c>
      <c r="H635" s="284">
        <f t="shared" si="100"/>
        <v>443.47</v>
      </c>
      <c r="I635" s="312"/>
      <c r="J635" s="24"/>
      <c r="K635" s="197"/>
      <c r="L635" s="7"/>
      <c r="M635" s="35"/>
      <c r="N635" s="61"/>
      <c r="O635" s="35"/>
      <c r="P635" s="40"/>
      <c r="Q635" s="37"/>
      <c r="R635" s="4"/>
      <c r="S635" s="236">
        <v>1</v>
      </c>
      <c r="T635" s="236">
        <v>356.52</v>
      </c>
      <c r="U635" s="236">
        <v>449.21</v>
      </c>
      <c r="V635" s="236">
        <v>449.21</v>
      </c>
    </row>
    <row r="636" spans="1:22" s="52" customFormat="1" outlineLevel="1" x14ac:dyDescent="0.25">
      <c r="A636" s="282" t="s">
        <v>681</v>
      </c>
      <c r="B636" s="280">
        <v>91941</v>
      </c>
      <c r="C636" s="281" t="s">
        <v>150</v>
      </c>
      <c r="D636" s="282" t="s">
        <v>44</v>
      </c>
      <c r="E636" s="285">
        <v>10</v>
      </c>
      <c r="F636" s="283">
        <v>6.8</v>
      </c>
      <c r="G636" s="284">
        <f t="shared" si="99"/>
        <v>8.4499999999999993</v>
      </c>
      <c r="H636" s="284">
        <f t="shared" si="100"/>
        <v>84.5</v>
      </c>
      <c r="I636" s="312"/>
      <c r="J636" s="24"/>
      <c r="K636" s="197"/>
      <c r="L636" s="7"/>
      <c r="M636" s="35"/>
      <c r="N636" s="61"/>
      <c r="O636" s="35"/>
      <c r="P636" s="40"/>
      <c r="Q636" s="37"/>
      <c r="R636" s="4"/>
      <c r="S636" s="236">
        <v>10</v>
      </c>
      <c r="T636" s="236">
        <v>6.8</v>
      </c>
      <c r="U636" s="236">
        <v>8.56</v>
      </c>
      <c r="V636" s="236">
        <v>85.6</v>
      </c>
    </row>
    <row r="637" spans="1:22" s="52" customFormat="1" outlineLevel="1" x14ac:dyDescent="0.25">
      <c r="A637" s="279" t="s">
        <v>186</v>
      </c>
      <c r="B637" s="279"/>
      <c r="C637" s="294" t="s">
        <v>161</v>
      </c>
      <c r="D637" s="558"/>
      <c r="E637" s="294"/>
      <c r="F637" s="403"/>
      <c r="G637" s="296" t="s">
        <v>38</v>
      </c>
      <c r="H637" s="558"/>
      <c r="I637" s="559">
        <f>SUM(H638:H648)</f>
        <v>5675.869999999999</v>
      </c>
      <c r="J637" s="24"/>
      <c r="K637" s="197"/>
      <c r="L637" s="317">
        <f>SUM(H638:H648)</f>
        <v>5675.869999999999</v>
      </c>
      <c r="M637" s="35">
        <f>I637-L637</f>
        <v>0</v>
      </c>
      <c r="N637" s="61"/>
      <c r="O637" s="35"/>
      <c r="P637" s="40"/>
      <c r="Q637" s="37"/>
      <c r="R637" s="4"/>
    </row>
    <row r="638" spans="1:22" s="52" customFormat="1" outlineLevel="1" x14ac:dyDescent="0.25">
      <c r="A638" s="282" t="s">
        <v>188</v>
      </c>
      <c r="B638" s="280">
        <v>90447</v>
      </c>
      <c r="C638" s="281" t="s">
        <v>127</v>
      </c>
      <c r="D638" s="282" t="s">
        <v>55</v>
      </c>
      <c r="E638" s="285">
        <v>36</v>
      </c>
      <c r="F638" s="283">
        <v>4.45</v>
      </c>
      <c r="G638" s="284">
        <f t="shared" ref="G638:G647" si="103">TRUNC(F638*$J$13,2)</f>
        <v>5.53</v>
      </c>
      <c r="H638" s="284">
        <f t="shared" ref="H638:H647" si="104">TRUNC(E638*G638,2)</f>
        <v>199.08</v>
      </c>
      <c r="I638" s="312"/>
      <c r="J638" s="24"/>
      <c r="K638" s="197"/>
      <c r="L638" s="7"/>
      <c r="M638" s="35"/>
      <c r="N638" s="61"/>
      <c r="O638" s="35"/>
      <c r="P638" s="40"/>
      <c r="Q638" s="37"/>
      <c r="R638" s="4"/>
      <c r="S638" s="236">
        <v>36</v>
      </c>
      <c r="T638" s="236">
        <v>4.45</v>
      </c>
      <c r="U638" s="236">
        <v>5.6</v>
      </c>
      <c r="V638" s="236">
        <v>201.6</v>
      </c>
    </row>
    <row r="639" spans="1:22" s="52" customFormat="1" ht="31.2" outlineLevel="1" x14ac:dyDescent="0.25">
      <c r="A639" s="282" t="s">
        <v>200</v>
      </c>
      <c r="B639" s="280">
        <v>91869</v>
      </c>
      <c r="C639" s="281" t="s">
        <v>132</v>
      </c>
      <c r="D639" s="282" t="s">
        <v>55</v>
      </c>
      <c r="E639" s="285">
        <v>100</v>
      </c>
      <c r="F639" s="283">
        <v>10.32</v>
      </c>
      <c r="G639" s="284">
        <f t="shared" si="103"/>
        <v>12.83</v>
      </c>
      <c r="H639" s="284">
        <f t="shared" si="104"/>
        <v>1283</v>
      </c>
      <c r="I639" s="312"/>
      <c r="J639" s="24"/>
      <c r="K639" s="197"/>
      <c r="L639" s="7"/>
      <c r="M639" s="35"/>
      <c r="N639" s="61"/>
      <c r="O639" s="35"/>
      <c r="P639" s="40"/>
      <c r="Q639" s="37"/>
      <c r="R639" s="4"/>
      <c r="S639" s="236">
        <v>100</v>
      </c>
      <c r="T639" s="236">
        <v>10.32</v>
      </c>
      <c r="U639" s="236">
        <v>13</v>
      </c>
      <c r="V639" s="236">
        <v>1300</v>
      </c>
    </row>
    <row r="640" spans="1:22" s="52" customFormat="1" outlineLevel="1" x14ac:dyDescent="0.25">
      <c r="A640" s="282" t="s">
        <v>236</v>
      </c>
      <c r="B640" s="280">
        <v>91941</v>
      </c>
      <c r="C640" s="281" t="s">
        <v>150</v>
      </c>
      <c r="D640" s="282" t="s">
        <v>44</v>
      </c>
      <c r="E640" s="285">
        <v>6</v>
      </c>
      <c r="F640" s="283">
        <v>6.8</v>
      </c>
      <c r="G640" s="284">
        <f t="shared" si="103"/>
        <v>8.4499999999999993</v>
      </c>
      <c r="H640" s="284">
        <f t="shared" si="104"/>
        <v>50.7</v>
      </c>
      <c r="I640" s="312"/>
      <c r="J640" s="24"/>
      <c r="K640" s="197"/>
      <c r="L640" s="7"/>
      <c r="M640" s="35"/>
      <c r="N640" s="61"/>
      <c r="O640" s="35"/>
      <c r="P640" s="40"/>
      <c r="Q640" s="37"/>
      <c r="R640" s="4"/>
      <c r="S640" s="236">
        <v>6</v>
      </c>
      <c r="T640" s="236">
        <v>6.8</v>
      </c>
      <c r="U640" s="236">
        <v>8.56</v>
      </c>
      <c r="V640" s="236">
        <v>51.36</v>
      </c>
    </row>
    <row r="641" spans="1:22" s="52" customFormat="1" outlineLevel="1" x14ac:dyDescent="0.25">
      <c r="A641" s="282" t="s">
        <v>237</v>
      </c>
      <c r="B641" s="280">
        <v>95778</v>
      </c>
      <c r="C641" s="291" t="s">
        <v>168</v>
      </c>
      <c r="D641" s="282" t="s">
        <v>55</v>
      </c>
      <c r="E641" s="285">
        <v>36</v>
      </c>
      <c r="F641" s="283">
        <v>20.28</v>
      </c>
      <c r="G641" s="284">
        <f t="shared" si="103"/>
        <v>25.22</v>
      </c>
      <c r="H641" s="284">
        <f t="shared" si="104"/>
        <v>907.92</v>
      </c>
      <c r="I641" s="312"/>
      <c r="J641" s="24"/>
      <c r="K641" s="197"/>
      <c r="L641" s="7"/>
      <c r="M641" s="35"/>
      <c r="N641" s="61"/>
      <c r="O641" s="35"/>
      <c r="P641" s="40"/>
      <c r="Q641" s="37"/>
      <c r="R641" s="4"/>
      <c r="S641" s="236">
        <v>36</v>
      </c>
      <c r="T641" s="236">
        <v>20.28</v>
      </c>
      <c r="U641" s="236">
        <v>25.55</v>
      </c>
      <c r="V641" s="236">
        <v>919.8</v>
      </c>
    </row>
    <row r="642" spans="1:22" s="52" customFormat="1" outlineLevel="1" x14ac:dyDescent="0.25">
      <c r="A642" s="282" t="s">
        <v>238</v>
      </c>
      <c r="B642" s="292">
        <v>98294</v>
      </c>
      <c r="C642" s="291" t="s">
        <v>170</v>
      </c>
      <c r="D642" s="282" t="s">
        <v>55</v>
      </c>
      <c r="E642" s="285">
        <v>200</v>
      </c>
      <c r="F642" s="283">
        <v>1.65</v>
      </c>
      <c r="G642" s="284">
        <f t="shared" si="103"/>
        <v>2.0499999999999998</v>
      </c>
      <c r="H642" s="284">
        <f t="shared" si="104"/>
        <v>410</v>
      </c>
      <c r="I642" s="312"/>
      <c r="J642" s="24"/>
      <c r="K642" s="197"/>
      <c r="L642" s="7"/>
      <c r="M642" s="35"/>
      <c r="N642" s="61"/>
      <c r="O642" s="35"/>
      <c r="P642" s="40"/>
      <c r="Q642" s="37"/>
      <c r="R642" s="4"/>
      <c r="S642" s="236">
        <v>200</v>
      </c>
      <c r="T642" s="501">
        <v>2.52</v>
      </c>
      <c r="U642" s="236">
        <v>3.17</v>
      </c>
      <c r="V642" s="236">
        <v>634</v>
      </c>
    </row>
    <row r="643" spans="1:22" s="52" customFormat="1" outlineLevel="1" x14ac:dyDescent="0.25">
      <c r="A643" s="282" t="s">
        <v>239</v>
      </c>
      <c r="B643" s="292">
        <v>98296</v>
      </c>
      <c r="C643" s="291" t="s">
        <v>172</v>
      </c>
      <c r="D643" s="282" t="s">
        <v>55</v>
      </c>
      <c r="E643" s="285">
        <v>100</v>
      </c>
      <c r="F643" s="283">
        <v>2.52</v>
      </c>
      <c r="G643" s="284">
        <f t="shared" si="103"/>
        <v>3.13</v>
      </c>
      <c r="H643" s="284">
        <f t="shared" si="104"/>
        <v>313</v>
      </c>
      <c r="I643" s="312"/>
      <c r="J643" s="24"/>
      <c r="K643" s="197"/>
      <c r="L643" s="7"/>
      <c r="M643" s="35"/>
      <c r="N643" s="61"/>
      <c r="O643" s="35"/>
      <c r="P643" s="40"/>
      <c r="Q643" s="37"/>
      <c r="R643" s="4"/>
      <c r="S643" s="236">
        <v>100</v>
      </c>
      <c r="T643" s="236">
        <v>2.52</v>
      </c>
      <c r="U643" s="236">
        <v>3.17</v>
      </c>
      <c r="V643" s="236">
        <v>317</v>
      </c>
    </row>
    <row r="644" spans="1:22" s="52" customFormat="1" ht="31.2" outlineLevel="1" x14ac:dyDescent="0.25">
      <c r="A644" s="282" t="s">
        <v>240</v>
      </c>
      <c r="B644" s="280" t="s">
        <v>178</v>
      </c>
      <c r="C644" s="291" t="s">
        <v>179</v>
      </c>
      <c r="D644" s="282" t="s">
        <v>44</v>
      </c>
      <c r="E644" s="285">
        <v>1</v>
      </c>
      <c r="F644" s="283">
        <f>'COMPOSIÇÃO SINAPI W MENDES'!G803</f>
        <v>1488.24</v>
      </c>
      <c r="G644" s="284">
        <f t="shared" si="103"/>
        <v>1851.22</v>
      </c>
      <c r="H644" s="284">
        <f t="shared" si="104"/>
        <v>1851.22</v>
      </c>
      <c r="I644" s="312"/>
      <c r="J644" s="24"/>
      <c r="K644" s="197"/>
      <c r="L644" s="7"/>
      <c r="M644" s="35"/>
      <c r="N644" s="61"/>
      <c r="O644" s="35"/>
      <c r="P644" s="40"/>
      <c r="Q644" s="37"/>
      <c r="R644" s="4"/>
      <c r="S644" s="236">
        <v>1</v>
      </c>
      <c r="T644" s="236">
        <v>1489.4</v>
      </c>
      <c r="U644" s="236">
        <v>1876.64</v>
      </c>
      <c r="V644" s="236">
        <v>1876.64</v>
      </c>
    </row>
    <row r="645" spans="1:22" s="52" customFormat="1" outlineLevel="1" x14ac:dyDescent="0.25">
      <c r="A645" s="282" t="s">
        <v>241</v>
      </c>
      <c r="B645" s="280" t="s">
        <v>399</v>
      </c>
      <c r="C645" s="291" t="s">
        <v>400</v>
      </c>
      <c r="D645" s="282" t="s">
        <v>44</v>
      </c>
      <c r="E645" s="285">
        <v>1</v>
      </c>
      <c r="F645" s="283">
        <v>176.86</v>
      </c>
      <c r="G645" s="284">
        <f>TRUNC(F645*$J$13,2)</f>
        <v>219.99</v>
      </c>
      <c r="H645" s="284">
        <f>TRUNC(E645*G645,2)</f>
        <v>219.99</v>
      </c>
      <c r="I645" s="312"/>
      <c r="J645" s="24"/>
      <c r="K645" s="197"/>
      <c r="L645" s="7"/>
      <c r="M645" s="35"/>
      <c r="N645" s="61"/>
      <c r="O645" s="35"/>
      <c r="P645" s="40"/>
      <c r="Q645" s="37"/>
      <c r="R645" s="4"/>
      <c r="S645" s="236">
        <v>1</v>
      </c>
      <c r="T645" s="236">
        <v>176.86</v>
      </c>
      <c r="U645" s="236">
        <v>222.84</v>
      </c>
      <c r="V645" s="236">
        <v>222.84</v>
      </c>
    </row>
    <row r="646" spans="1:22" s="52" customFormat="1" outlineLevel="1" x14ac:dyDescent="0.25">
      <c r="A646" s="282" t="s">
        <v>242</v>
      </c>
      <c r="B646" s="280">
        <v>84798</v>
      </c>
      <c r="C646" s="291" t="s">
        <v>401</v>
      </c>
      <c r="D646" s="282" t="s">
        <v>44</v>
      </c>
      <c r="E646" s="285">
        <v>1</v>
      </c>
      <c r="F646" s="283">
        <v>257.19</v>
      </c>
      <c r="G646" s="284">
        <f>TRUNC(F646*$J$13,2)</f>
        <v>319.91000000000003</v>
      </c>
      <c r="H646" s="284">
        <f>TRUNC(E646*G646,2)</f>
        <v>319.91000000000003</v>
      </c>
      <c r="I646" s="312"/>
      <c r="J646" s="24"/>
      <c r="K646" s="197"/>
      <c r="L646" s="7"/>
      <c r="M646" s="35"/>
      <c r="N646" s="61"/>
      <c r="O646" s="35"/>
      <c r="P646" s="40"/>
      <c r="Q646" s="37"/>
      <c r="R646" s="4"/>
      <c r="S646" s="236">
        <v>1</v>
      </c>
      <c r="T646" s="236">
        <v>257.19</v>
      </c>
      <c r="U646" s="236">
        <v>324.05</v>
      </c>
      <c r="V646" s="236">
        <v>324.05</v>
      </c>
    </row>
    <row r="647" spans="1:22" s="52" customFormat="1" outlineLevel="1" x14ac:dyDescent="0.25">
      <c r="A647" s="282" t="s">
        <v>243</v>
      </c>
      <c r="B647" s="280">
        <v>98307</v>
      </c>
      <c r="C647" s="281" t="s">
        <v>182</v>
      </c>
      <c r="D647" s="282" t="s">
        <v>44</v>
      </c>
      <c r="E647" s="285">
        <v>3</v>
      </c>
      <c r="F647" s="283">
        <v>27.38</v>
      </c>
      <c r="G647" s="284">
        <f t="shared" si="103"/>
        <v>34.049999999999997</v>
      </c>
      <c r="H647" s="284">
        <f t="shared" si="104"/>
        <v>102.15</v>
      </c>
      <c r="I647" s="312"/>
      <c r="J647" s="24"/>
      <c r="K647" s="197"/>
      <c r="L647" s="7"/>
      <c r="M647" s="35"/>
      <c r="N647" s="61"/>
      <c r="O647" s="35"/>
      <c r="P647" s="40"/>
      <c r="Q647" s="37"/>
      <c r="R647" s="4"/>
      <c r="S647" s="236">
        <v>3</v>
      </c>
      <c r="T647" s="236">
        <v>27.38</v>
      </c>
      <c r="U647" s="236">
        <v>34.49</v>
      </c>
      <c r="V647" s="236">
        <v>103.47</v>
      </c>
    </row>
    <row r="648" spans="1:22" s="52" customFormat="1" outlineLevel="1" x14ac:dyDescent="0.25">
      <c r="A648" s="282" t="s">
        <v>244</v>
      </c>
      <c r="B648" s="280" t="s">
        <v>651</v>
      </c>
      <c r="C648" s="289" t="s">
        <v>402</v>
      </c>
      <c r="D648" s="282" t="s">
        <v>44</v>
      </c>
      <c r="E648" s="285">
        <v>3</v>
      </c>
      <c r="F648" s="283">
        <v>5.07</v>
      </c>
      <c r="G648" s="284">
        <f>TRUNC(F648*$J$13,2)</f>
        <v>6.3</v>
      </c>
      <c r="H648" s="284">
        <f>TRUNC(E648*G648,2)</f>
        <v>18.899999999999999</v>
      </c>
      <c r="I648" s="312"/>
      <c r="J648" s="24"/>
      <c r="K648" s="197"/>
      <c r="L648" s="7"/>
      <c r="M648" s="35"/>
      <c r="N648" s="61"/>
      <c r="O648" s="35"/>
      <c r="P648" s="40"/>
      <c r="Q648" s="37"/>
      <c r="R648" s="4"/>
      <c r="S648" s="236">
        <v>3</v>
      </c>
      <c r="T648" s="236">
        <v>5.0999999999999996</v>
      </c>
      <c r="U648" s="236">
        <v>6.42</v>
      </c>
      <c r="V648" s="236">
        <v>19.260000000000002</v>
      </c>
    </row>
    <row r="649" spans="1:22" s="52" customFormat="1" outlineLevel="1" x14ac:dyDescent="0.25">
      <c r="A649" s="279" t="s">
        <v>206</v>
      </c>
      <c r="B649" s="279"/>
      <c r="C649" s="294" t="s">
        <v>187</v>
      </c>
      <c r="D649" s="558"/>
      <c r="E649" s="296"/>
      <c r="F649" s="403"/>
      <c r="G649" s="296" t="s">
        <v>38</v>
      </c>
      <c r="H649" s="558"/>
      <c r="I649" s="559">
        <f>SUM(H650:H659)</f>
        <v>1328.7999999999997</v>
      </c>
      <c r="J649" s="24"/>
      <c r="K649" s="197"/>
      <c r="L649" s="317">
        <f>SUM(H650:H660)</f>
        <v>1328.7999999999997</v>
      </c>
      <c r="M649" s="35">
        <f>I649-L649</f>
        <v>0</v>
      </c>
      <c r="N649" s="61"/>
      <c r="O649" s="35"/>
      <c r="P649" s="40"/>
      <c r="Q649" s="37"/>
      <c r="R649" s="4"/>
    </row>
    <row r="650" spans="1:22" s="52" customFormat="1" outlineLevel="1" x14ac:dyDescent="0.25">
      <c r="A650" s="279" t="s">
        <v>208</v>
      </c>
      <c r="B650" s="280"/>
      <c r="C650" s="294" t="s">
        <v>189</v>
      </c>
      <c r="D650" s="282"/>
      <c r="E650" s="288"/>
      <c r="F650" s="297"/>
      <c r="G650" s="288"/>
      <c r="H650" s="298"/>
      <c r="I650" s="312"/>
      <c r="J650" s="24"/>
      <c r="K650" s="197"/>
      <c r="L650" s="7"/>
      <c r="M650" s="35"/>
      <c r="N650" s="61"/>
      <c r="O650" s="35"/>
      <c r="P650" s="40"/>
      <c r="Q650" s="37"/>
      <c r="R650" s="4"/>
    </row>
    <row r="651" spans="1:22" s="52" customFormat="1" outlineLevel="1" x14ac:dyDescent="0.25">
      <c r="A651" s="282" t="s">
        <v>688</v>
      </c>
      <c r="B651" s="280">
        <v>90443</v>
      </c>
      <c r="C651" s="281" t="s">
        <v>190</v>
      </c>
      <c r="D651" s="282" t="s">
        <v>55</v>
      </c>
      <c r="E651" s="285">
        <v>12</v>
      </c>
      <c r="F651" s="283">
        <v>8.9499999999999993</v>
      </c>
      <c r="G651" s="284">
        <f>TRUNC(F651*$J$13,2)</f>
        <v>11.13</v>
      </c>
      <c r="H651" s="284">
        <f>TRUNC(E651*G651,2)</f>
        <v>133.56</v>
      </c>
      <c r="I651" s="312"/>
      <c r="J651" s="24"/>
      <c r="K651" s="197"/>
      <c r="L651" s="7"/>
      <c r="M651" s="35"/>
      <c r="N651" s="61"/>
      <c r="O651" s="35"/>
      <c r="P651" s="40"/>
      <c r="Q651" s="37"/>
      <c r="R651" s="4"/>
      <c r="S651" s="495">
        <v>12</v>
      </c>
      <c r="T651" s="495">
        <v>8.9499999999999993</v>
      </c>
      <c r="U651" s="198">
        <f>TRUNC(T651*$J$13,2)</f>
        <v>11.13</v>
      </c>
      <c r="V651" s="198">
        <f>TRUNC(S651*U651,2)</f>
        <v>133.56</v>
      </c>
    </row>
    <row r="652" spans="1:22" s="52" customFormat="1" outlineLevel="1" x14ac:dyDescent="0.25">
      <c r="A652" s="282" t="s">
        <v>689</v>
      </c>
      <c r="B652" s="280">
        <v>86895</v>
      </c>
      <c r="C652" s="281" t="s">
        <v>191</v>
      </c>
      <c r="D652" s="282" t="s">
        <v>44</v>
      </c>
      <c r="E652" s="285">
        <v>1</v>
      </c>
      <c r="F652" s="283">
        <v>269.19</v>
      </c>
      <c r="G652" s="284">
        <f>TRUNC(F652*$J$13,2)</f>
        <v>334.84</v>
      </c>
      <c r="H652" s="284">
        <f>TRUNC(E652*G652,2)</f>
        <v>334.84</v>
      </c>
      <c r="I652" s="312"/>
      <c r="J652" s="24"/>
      <c r="K652" s="197"/>
      <c r="L652" s="7"/>
      <c r="M652" s="35"/>
      <c r="N652" s="61"/>
      <c r="O652" s="35"/>
      <c r="P652" s="40"/>
      <c r="Q652" s="37"/>
      <c r="R652" s="4"/>
      <c r="S652" s="495">
        <v>1</v>
      </c>
      <c r="T652" s="502">
        <v>574.45000000000005</v>
      </c>
      <c r="U652" s="198">
        <f>TRUNC(T652*$J$13,2)</f>
        <v>714.55</v>
      </c>
      <c r="V652" s="198">
        <f>TRUNC(S652*U652,2)</f>
        <v>714.55</v>
      </c>
    </row>
    <row r="653" spans="1:22" s="52" customFormat="1" outlineLevel="1" x14ac:dyDescent="0.25">
      <c r="A653" s="282" t="s">
        <v>690</v>
      </c>
      <c r="B653" s="280">
        <v>86901</v>
      </c>
      <c r="C653" s="281" t="s">
        <v>192</v>
      </c>
      <c r="D653" s="282" t="s">
        <v>44</v>
      </c>
      <c r="E653" s="285">
        <v>1</v>
      </c>
      <c r="F653" s="283">
        <v>108.45</v>
      </c>
      <c r="G653" s="284">
        <f>TRUNC(F653*$J$13,2)</f>
        <v>134.9</v>
      </c>
      <c r="H653" s="284">
        <f>TRUNC(E653*G653,2)</f>
        <v>134.9</v>
      </c>
      <c r="I653" s="312"/>
      <c r="J653" s="24"/>
      <c r="K653" s="197"/>
      <c r="L653" s="7"/>
      <c r="M653" s="35"/>
      <c r="N653" s="61"/>
      <c r="O653" s="35"/>
      <c r="P653" s="40"/>
      <c r="Q653" s="37"/>
      <c r="R653" s="4"/>
      <c r="S653" s="495">
        <v>1</v>
      </c>
      <c r="T653" s="495">
        <v>108.45</v>
      </c>
      <c r="U653" s="198">
        <f>TRUNC(T653*$J$13,2)</f>
        <v>134.9</v>
      </c>
      <c r="V653" s="198">
        <f>TRUNC(S653*U653,2)</f>
        <v>134.9</v>
      </c>
    </row>
    <row r="654" spans="1:22" s="52" customFormat="1" outlineLevel="1" x14ac:dyDescent="0.25">
      <c r="A654" s="282" t="s">
        <v>691</v>
      </c>
      <c r="B654" s="280">
        <v>86915</v>
      </c>
      <c r="C654" s="281" t="s">
        <v>193</v>
      </c>
      <c r="D654" s="282" t="s">
        <v>44</v>
      </c>
      <c r="E654" s="285">
        <v>2</v>
      </c>
      <c r="F654" s="283">
        <v>84.78</v>
      </c>
      <c r="G654" s="284">
        <f>TRUNC(F654*$J$13,2)</f>
        <v>105.45</v>
      </c>
      <c r="H654" s="284">
        <f>TRUNC(E654*G654,2)</f>
        <v>210.9</v>
      </c>
      <c r="I654" s="312"/>
      <c r="J654" s="24"/>
      <c r="K654" s="197"/>
      <c r="L654" s="7"/>
      <c r="M654" s="35"/>
      <c r="N654" s="61"/>
      <c r="O654" s="35"/>
      <c r="P654" s="40"/>
      <c r="Q654" s="37"/>
      <c r="R654" s="4"/>
      <c r="S654" s="495">
        <v>2</v>
      </c>
      <c r="T654" s="495">
        <v>84.78</v>
      </c>
      <c r="U654" s="198">
        <f>TRUNC(T654*$J$13,2)</f>
        <v>105.45</v>
      </c>
      <c r="V654" s="198">
        <f>TRUNC(S654*U654,2)</f>
        <v>210.9</v>
      </c>
    </row>
    <row r="655" spans="1:22" s="52" customFormat="1" outlineLevel="1" x14ac:dyDescent="0.25">
      <c r="A655" s="282" t="s">
        <v>692</v>
      </c>
      <c r="B655" s="280">
        <v>99635</v>
      </c>
      <c r="C655" s="281" t="s">
        <v>194</v>
      </c>
      <c r="D655" s="282" t="s">
        <v>44</v>
      </c>
      <c r="E655" s="285">
        <v>1</v>
      </c>
      <c r="F655" s="283">
        <v>184.35</v>
      </c>
      <c r="G655" s="284">
        <f>TRUNC(F655*$J$13,2)</f>
        <v>229.31</v>
      </c>
      <c r="H655" s="284">
        <f>TRUNC(E655*G655,2)</f>
        <v>229.31</v>
      </c>
      <c r="I655" s="312"/>
      <c r="J655" s="24"/>
      <c r="K655" s="197"/>
      <c r="L655" s="7"/>
      <c r="M655" s="35"/>
      <c r="N655" s="61"/>
      <c r="O655" s="35"/>
      <c r="P655" s="40"/>
      <c r="Q655" s="37"/>
      <c r="R655" s="4"/>
      <c r="S655" s="495">
        <v>1</v>
      </c>
      <c r="T655" s="495">
        <v>184.35</v>
      </c>
      <c r="U655" s="198">
        <f>TRUNC(T655*$J$13,2)</f>
        <v>229.31</v>
      </c>
      <c r="V655" s="198">
        <f>TRUNC(S655*U655,2)</f>
        <v>229.31</v>
      </c>
    </row>
    <row r="656" spans="1:22" s="52" customFormat="1" outlineLevel="1" x14ac:dyDescent="0.25">
      <c r="A656" s="279" t="s">
        <v>252</v>
      </c>
      <c r="B656" s="280"/>
      <c r="C656" s="294" t="s">
        <v>201</v>
      </c>
      <c r="D656" s="282"/>
      <c r="E656" s="285"/>
      <c r="F656" s="283"/>
      <c r="G656" s="284"/>
      <c r="H656" s="284"/>
      <c r="I656" s="312"/>
      <c r="J656" s="24"/>
      <c r="K656" s="197"/>
      <c r="L656" s="7"/>
      <c r="M656" s="35"/>
      <c r="N656" s="61"/>
      <c r="O656" s="35"/>
      <c r="P656" s="40"/>
      <c r="Q656" s="37"/>
      <c r="R656" s="4"/>
      <c r="S656" s="495"/>
      <c r="T656" s="495"/>
      <c r="U656" s="198"/>
      <c r="V656" s="198"/>
    </row>
    <row r="657" spans="1:22" s="52" customFormat="1" outlineLevel="1" x14ac:dyDescent="0.25">
      <c r="A657" s="282" t="s">
        <v>698</v>
      </c>
      <c r="B657" s="280">
        <v>95544</v>
      </c>
      <c r="C657" s="281" t="s">
        <v>202</v>
      </c>
      <c r="D657" s="282" t="s">
        <v>44</v>
      </c>
      <c r="E657" s="285">
        <v>1</v>
      </c>
      <c r="F657" s="283">
        <v>30.21</v>
      </c>
      <c r="G657" s="284">
        <f>TRUNC(F657*$J$13,2)</f>
        <v>37.57</v>
      </c>
      <c r="H657" s="284">
        <f>TRUNC(E657*G657,2)</f>
        <v>37.57</v>
      </c>
      <c r="I657" s="312"/>
      <c r="J657" s="24"/>
      <c r="K657" s="197"/>
      <c r="L657" s="7"/>
      <c r="M657" s="35"/>
      <c r="N657" s="61"/>
      <c r="O657" s="35"/>
      <c r="P657" s="40"/>
      <c r="Q657" s="37"/>
      <c r="R657" s="4"/>
      <c r="S657" s="495">
        <v>1</v>
      </c>
      <c r="T657" s="495">
        <v>30.21</v>
      </c>
      <c r="U657" s="198">
        <f>TRUNC(T657*$J$13,2)</f>
        <v>37.57</v>
      </c>
      <c r="V657" s="198">
        <f>TRUNC(S657*U657,2)</f>
        <v>37.57</v>
      </c>
    </row>
    <row r="658" spans="1:22" s="52" customFormat="1" outlineLevel="1" x14ac:dyDescent="0.25">
      <c r="A658" s="282" t="s">
        <v>699</v>
      </c>
      <c r="B658" s="280">
        <v>88571</v>
      </c>
      <c r="C658" s="281" t="s">
        <v>357</v>
      </c>
      <c r="D658" s="282" t="s">
        <v>44</v>
      </c>
      <c r="E658" s="285">
        <v>1</v>
      </c>
      <c r="F658" s="283">
        <v>29.63</v>
      </c>
      <c r="G658" s="284">
        <f>TRUNC(F658*$J$13,2)</f>
        <v>36.85</v>
      </c>
      <c r="H658" s="284">
        <f>TRUNC(E658*G658,2)</f>
        <v>36.85</v>
      </c>
      <c r="I658" s="312"/>
      <c r="J658" s="24"/>
      <c r="K658" s="197"/>
      <c r="L658" s="7"/>
      <c r="M658" s="35"/>
      <c r="N658" s="61"/>
      <c r="O658" s="35"/>
      <c r="P658" s="40"/>
      <c r="Q658" s="37"/>
      <c r="R658" s="4"/>
      <c r="S658" s="495">
        <v>1</v>
      </c>
      <c r="T658" s="495">
        <v>29.63</v>
      </c>
      <c r="U658" s="198">
        <f>TRUNC(T658*$J$13,2)</f>
        <v>36.85</v>
      </c>
      <c r="V658" s="198">
        <f>TRUNC(S658*U658,2)</f>
        <v>36.85</v>
      </c>
    </row>
    <row r="659" spans="1:22" s="52" customFormat="1" ht="31.2" outlineLevel="1" x14ac:dyDescent="0.25">
      <c r="A659" s="282" t="s">
        <v>700</v>
      </c>
      <c r="B659" s="280">
        <v>95470</v>
      </c>
      <c r="C659" s="281" t="s">
        <v>205</v>
      </c>
      <c r="D659" s="282" t="s">
        <v>44</v>
      </c>
      <c r="E659" s="285">
        <v>1</v>
      </c>
      <c r="F659" s="283">
        <v>169.53</v>
      </c>
      <c r="G659" s="284">
        <f>TRUNC(F659*$J$13,2)</f>
        <v>210.87</v>
      </c>
      <c r="H659" s="284">
        <f>TRUNC(E659*G659,2)</f>
        <v>210.87</v>
      </c>
      <c r="I659" s="312"/>
      <c r="J659" s="24"/>
      <c r="K659" s="197"/>
      <c r="L659" s="7"/>
      <c r="M659" s="35"/>
      <c r="N659" s="61"/>
      <c r="O659" s="35"/>
      <c r="P659" s="40"/>
      <c r="Q659" s="37"/>
      <c r="R659" s="4"/>
      <c r="S659" s="495">
        <v>1</v>
      </c>
      <c r="T659" s="495">
        <v>169.53</v>
      </c>
      <c r="U659" s="198">
        <f>TRUNC(T659*$J$13,2)</f>
        <v>210.87</v>
      </c>
      <c r="V659" s="198">
        <f>TRUNC(S659*U659,2)</f>
        <v>210.87</v>
      </c>
    </row>
    <row r="660" spans="1:22" s="52" customFormat="1" outlineLevel="1" x14ac:dyDescent="0.25">
      <c r="A660" s="282"/>
      <c r="B660" s="280"/>
      <c r="C660" s="281"/>
      <c r="D660" s="282"/>
      <c r="E660" s="285"/>
      <c r="F660" s="305"/>
      <c r="G660" s="284"/>
      <c r="H660" s="284"/>
      <c r="I660" s="401"/>
      <c r="J660" s="33"/>
      <c r="K660" s="242"/>
      <c r="L660" s="33"/>
      <c r="M660" s="35"/>
      <c r="N660" s="61"/>
      <c r="O660" s="35"/>
      <c r="P660" s="40"/>
      <c r="Q660" s="37"/>
      <c r="R660" s="4"/>
    </row>
    <row r="661" spans="1:22" s="52" customFormat="1" outlineLevel="1" x14ac:dyDescent="0.25">
      <c r="A661" s="279">
        <v>10</v>
      </c>
      <c r="B661" s="296"/>
      <c r="C661" s="294" t="s">
        <v>212</v>
      </c>
      <c r="D661" s="558"/>
      <c r="E661" s="294"/>
      <c r="F661" s="403"/>
      <c r="G661" s="294"/>
      <c r="H661" s="558"/>
      <c r="I661" s="404">
        <f>SUM(H662:H662)</f>
        <v>2143.4</v>
      </c>
      <c r="J661" s="33"/>
      <c r="K661" s="242"/>
      <c r="L661" s="322">
        <f>SUM(H662)</f>
        <v>2143.4</v>
      </c>
      <c r="M661" s="35">
        <f>I661-L661</f>
        <v>0</v>
      </c>
      <c r="N661" s="61"/>
      <c r="O661" s="35"/>
      <c r="P661" s="40"/>
      <c r="Q661" s="37"/>
      <c r="R661" s="4"/>
    </row>
    <row r="662" spans="1:22" s="52" customFormat="1" outlineLevel="1" x14ac:dyDescent="0.25">
      <c r="A662" s="282" t="s">
        <v>213</v>
      </c>
      <c r="B662" s="280">
        <v>96114</v>
      </c>
      <c r="C662" s="289" t="s">
        <v>639</v>
      </c>
      <c r="D662" s="282" t="s">
        <v>24</v>
      </c>
      <c r="E662" s="285">
        <v>35</v>
      </c>
      <c r="F662" s="283">
        <f>'COMPOSIÇÃO SINAPI W MENDES'!G4096</f>
        <v>49.239999999999995</v>
      </c>
      <c r="G662" s="284">
        <f>TRUNC(F662*$J$13,2)</f>
        <v>61.24</v>
      </c>
      <c r="H662" s="284">
        <f>TRUNC(E662*G662,2)</f>
        <v>2143.4</v>
      </c>
      <c r="I662" s="297"/>
      <c r="J662" s="33"/>
      <c r="K662" s="242"/>
      <c r="L662" s="33"/>
      <c r="M662" s="35"/>
      <c r="N662" s="61"/>
      <c r="O662" s="35"/>
      <c r="P662" s="40"/>
      <c r="Q662" s="37"/>
      <c r="R662" s="4"/>
      <c r="S662" s="495">
        <v>35</v>
      </c>
      <c r="T662" s="495">
        <v>56.98</v>
      </c>
      <c r="U662" s="198">
        <f>TRUNC(T662*$J$13,2)</f>
        <v>70.87</v>
      </c>
      <c r="V662" s="198">
        <f>TRUNC(S662*U662,2)</f>
        <v>2480.4499999999998</v>
      </c>
    </row>
    <row r="663" spans="1:22" s="52" customFormat="1" x14ac:dyDescent="0.25">
      <c r="A663" s="282"/>
      <c r="B663" s="282"/>
      <c r="C663" s="282"/>
      <c r="D663" s="282"/>
      <c r="E663" s="285"/>
      <c r="F663" s="305"/>
      <c r="G663" s="284"/>
      <c r="H663" s="287"/>
      <c r="I663" s="401"/>
      <c r="J663" s="24"/>
      <c r="K663" s="197"/>
      <c r="L663" s="7"/>
      <c r="M663" s="35"/>
      <c r="N663" s="61"/>
      <c r="O663" s="35"/>
      <c r="P663" s="40"/>
      <c r="Q663" s="37"/>
      <c r="R663" s="4"/>
    </row>
    <row r="664" spans="1:22" s="52" customFormat="1" x14ac:dyDescent="0.25">
      <c r="A664" s="554" t="s">
        <v>403</v>
      </c>
      <c r="B664" s="551"/>
      <c r="C664" s="555"/>
      <c r="D664" s="558"/>
      <c r="E664" s="555"/>
      <c r="F664" s="556"/>
      <c r="G664" s="296" t="s">
        <v>19</v>
      </c>
      <c r="H664" s="555"/>
      <c r="I664" s="400">
        <f>SUM(I665:I755)</f>
        <v>98781.349999999977</v>
      </c>
      <c r="J664" s="68"/>
      <c r="K664" s="227"/>
      <c r="L664" s="7"/>
      <c r="M664" s="35"/>
      <c r="N664" s="61"/>
      <c r="O664" s="35"/>
      <c r="P664" s="40"/>
      <c r="Q664" s="37"/>
      <c r="R664" s="4"/>
    </row>
    <row r="665" spans="1:22" s="52" customFormat="1" outlineLevel="1" x14ac:dyDescent="0.25">
      <c r="A665" s="279" t="s">
        <v>20</v>
      </c>
      <c r="B665" s="279"/>
      <c r="C665" s="294" t="s">
        <v>37</v>
      </c>
      <c r="D665" s="558"/>
      <c r="E665" s="294"/>
      <c r="F665" s="403"/>
      <c r="G665" s="296" t="s">
        <v>38</v>
      </c>
      <c r="H665" s="558"/>
      <c r="I665" s="559">
        <f>SUM(H666:H671)</f>
        <v>1781.5099999999998</v>
      </c>
      <c r="J665" s="68"/>
      <c r="K665" s="227"/>
      <c r="L665" s="317">
        <f>SUM(H666:H671)</f>
        <v>1781.5099999999998</v>
      </c>
      <c r="M665" s="35">
        <f>I665-L665</f>
        <v>0</v>
      </c>
      <c r="N665" s="61"/>
      <c r="O665" s="35"/>
      <c r="P665" s="40"/>
      <c r="Q665" s="37"/>
      <c r="R665" s="4"/>
    </row>
    <row r="666" spans="1:22" s="52" customFormat="1" outlineLevel="1" x14ac:dyDescent="0.25">
      <c r="A666" s="282" t="s">
        <v>22</v>
      </c>
      <c r="B666" s="286" t="s">
        <v>39</v>
      </c>
      <c r="C666" s="288" t="s">
        <v>40</v>
      </c>
      <c r="D666" s="282" t="s">
        <v>41</v>
      </c>
      <c r="E666" s="285">
        <v>4</v>
      </c>
      <c r="F666" s="283">
        <f>'COMPOSIÇÃO SINAPI W MENDES'!G4102</f>
        <v>209.74</v>
      </c>
      <c r="G666" s="284">
        <f t="shared" ref="G666:G671" si="105">TRUNC(F666*$J$13,2)</f>
        <v>260.89</v>
      </c>
      <c r="H666" s="284">
        <f t="shared" ref="H666:H671" si="106">TRUNC(E666*G666,2)</f>
        <v>1043.56</v>
      </c>
      <c r="I666" s="400"/>
      <c r="J666" s="68"/>
      <c r="K666" s="227"/>
      <c r="L666" s="7"/>
      <c r="M666" s="35"/>
      <c r="N666" s="61"/>
      <c r="O666" s="35"/>
      <c r="P666" s="40"/>
      <c r="Q666" s="37"/>
      <c r="R666" s="4"/>
      <c r="S666" s="236">
        <v>4</v>
      </c>
      <c r="T666" s="236">
        <v>216.76</v>
      </c>
      <c r="U666" s="236">
        <v>273.11</v>
      </c>
      <c r="V666" s="236">
        <v>1092.44</v>
      </c>
    </row>
    <row r="667" spans="1:22" s="52" customFormat="1" outlineLevel="1" x14ac:dyDescent="0.25">
      <c r="A667" s="282" t="s">
        <v>25</v>
      </c>
      <c r="B667" s="286">
        <v>97633</v>
      </c>
      <c r="C667" s="281" t="s">
        <v>42</v>
      </c>
      <c r="D667" s="287" t="s">
        <v>24</v>
      </c>
      <c r="E667" s="285">
        <v>24</v>
      </c>
      <c r="F667" s="283">
        <v>14.85</v>
      </c>
      <c r="G667" s="284">
        <f t="shared" si="105"/>
        <v>18.47</v>
      </c>
      <c r="H667" s="284">
        <f t="shared" si="106"/>
        <v>443.28</v>
      </c>
      <c r="I667" s="400"/>
      <c r="J667" s="68"/>
      <c r="K667" s="227"/>
      <c r="L667" s="7"/>
      <c r="M667" s="35"/>
      <c r="N667" s="61"/>
      <c r="O667" s="35"/>
      <c r="P667" s="40"/>
      <c r="Q667" s="37"/>
      <c r="R667" s="4"/>
      <c r="S667" s="236">
        <v>24</v>
      </c>
      <c r="T667" s="236">
        <v>14.85</v>
      </c>
      <c r="U667" s="236">
        <v>18.71</v>
      </c>
      <c r="V667" s="236">
        <v>449.04</v>
      </c>
    </row>
    <row r="668" spans="1:22" s="52" customFormat="1" outlineLevel="1" x14ac:dyDescent="0.25">
      <c r="A668" s="282" t="s">
        <v>56</v>
      </c>
      <c r="B668" s="286">
        <v>97644</v>
      </c>
      <c r="C668" s="288" t="s">
        <v>43</v>
      </c>
      <c r="D668" s="287" t="s">
        <v>44</v>
      </c>
      <c r="E668" s="285">
        <v>13</v>
      </c>
      <c r="F668" s="283">
        <v>6.04</v>
      </c>
      <c r="G668" s="284">
        <f t="shared" si="105"/>
        <v>7.51</v>
      </c>
      <c r="H668" s="284">
        <f t="shared" si="106"/>
        <v>97.63</v>
      </c>
      <c r="I668" s="400"/>
      <c r="J668" s="68"/>
      <c r="K668" s="227"/>
      <c r="L668" s="7"/>
      <c r="M668" s="35"/>
      <c r="N668" s="61"/>
      <c r="O668" s="35"/>
      <c r="P668" s="40"/>
      <c r="Q668" s="37"/>
      <c r="R668" s="4"/>
      <c r="S668" s="236">
        <v>13</v>
      </c>
      <c r="T668" s="236">
        <v>6.04</v>
      </c>
      <c r="U668" s="236">
        <v>7.61</v>
      </c>
      <c r="V668" s="236">
        <v>98.93</v>
      </c>
    </row>
    <row r="669" spans="1:22" s="52" customFormat="1" outlineLevel="1" x14ac:dyDescent="0.25">
      <c r="A669" s="282" t="s">
        <v>216</v>
      </c>
      <c r="B669" s="286">
        <v>97663</v>
      </c>
      <c r="C669" s="288" t="s">
        <v>45</v>
      </c>
      <c r="D669" s="287" t="s">
        <v>44</v>
      </c>
      <c r="E669" s="285">
        <v>6</v>
      </c>
      <c r="F669" s="283">
        <v>8.07</v>
      </c>
      <c r="G669" s="284">
        <f t="shared" si="105"/>
        <v>10.029999999999999</v>
      </c>
      <c r="H669" s="284">
        <f t="shared" si="106"/>
        <v>60.18</v>
      </c>
      <c r="I669" s="400"/>
      <c r="J669" s="68"/>
      <c r="K669" s="227"/>
      <c r="L669" s="7"/>
      <c r="M669" s="35"/>
      <c r="N669" s="61"/>
      <c r="O669" s="35"/>
      <c r="P669" s="40"/>
      <c r="Q669" s="37"/>
      <c r="R669" s="4"/>
      <c r="S669" s="236">
        <v>6</v>
      </c>
      <c r="T669" s="236">
        <v>8.07</v>
      </c>
      <c r="U669" s="236">
        <v>10.16</v>
      </c>
      <c r="V669" s="236">
        <v>60.96</v>
      </c>
    </row>
    <row r="670" spans="1:22" s="52" customFormat="1" outlineLevel="1" x14ac:dyDescent="0.25">
      <c r="A670" s="282" t="s">
        <v>217</v>
      </c>
      <c r="B670" s="286">
        <v>97666</v>
      </c>
      <c r="C670" s="281" t="s">
        <v>46</v>
      </c>
      <c r="D670" s="287" t="s">
        <v>44</v>
      </c>
      <c r="E670" s="285">
        <v>6</v>
      </c>
      <c r="F670" s="283">
        <v>5.88</v>
      </c>
      <c r="G670" s="284">
        <f t="shared" si="105"/>
        <v>7.31</v>
      </c>
      <c r="H670" s="284">
        <f t="shared" si="106"/>
        <v>43.86</v>
      </c>
      <c r="I670" s="400"/>
      <c r="J670" s="68"/>
      <c r="K670" s="227"/>
      <c r="L670" s="7"/>
      <c r="M670" s="35"/>
      <c r="N670" s="61"/>
      <c r="O670" s="35"/>
      <c r="P670" s="40"/>
      <c r="Q670" s="37"/>
      <c r="R670" s="4"/>
      <c r="S670" s="236">
        <v>6</v>
      </c>
      <c r="T670" s="236">
        <v>5.88</v>
      </c>
      <c r="U670" s="236">
        <v>7.4</v>
      </c>
      <c r="V670" s="236">
        <v>44.4</v>
      </c>
    </row>
    <row r="671" spans="1:22" s="52" customFormat="1" outlineLevel="1" x14ac:dyDescent="0.25">
      <c r="A671" s="282" t="s">
        <v>218</v>
      </c>
      <c r="B671" s="280">
        <v>97622</v>
      </c>
      <c r="C671" s="281" t="s">
        <v>47</v>
      </c>
      <c r="D671" s="282" t="s">
        <v>41</v>
      </c>
      <c r="E671" s="285">
        <v>2</v>
      </c>
      <c r="F671" s="283">
        <v>37.39</v>
      </c>
      <c r="G671" s="284">
        <f t="shared" si="105"/>
        <v>46.5</v>
      </c>
      <c r="H671" s="284">
        <f t="shared" si="106"/>
        <v>93</v>
      </c>
      <c r="I671" s="400"/>
      <c r="J671" s="68"/>
      <c r="K671" s="227"/>
      <c r="L671" s="7"/>
      <c r="M671" s="35"/>
      <c r="N671" s="61"/>
      <c r="O671" s="35"/>
      <c r="P671" s="40"/>
      <c r="Q671" s="37"/>
      <c r="R671" s="4"/>
      <c r="S671" s="236">
        <v>2</v>
      </c>
      <c r="T671" s="236">
        <v>37.39</v>
      </c>
      <c r="U671" s="236">
        <v>47.11</v>
      </c>
      <c r="V671" s="236">
        <v>94.22</v>
      </c>
    </row>
    <row r="672" spans="1:22" s="52" customFormat="1" outlineLevel="1" x14ac:dyDescent="0.25">
      <c r="A672" s="279" t="s">
        <v>60</v>
      </c>
      <c r="B672" s="279"/>
      <c r="C672" s="294" t="s">
        <v>51</v>
      </c>
      <c r="D672" s="558"/>
      <c r="E672" s="294"/>
      <c r="F672" s="403"/>
      <c r="G672" s="294"/>
      <c r="H672" s="558"/>
      <c r="I672" s="404">
        <f>SUM(H673:H675)</f>
        <v>12810.14</v>
      </c>
      <c r="J672" s="24"/>
      <c r="K672" s="197"/>
      <c r="L672" s="317">
        <f>SUM(H673:H675)</f>
        <v>12810.14</v>
      </c>
      <c r="M672" s="35">
        <f>I672-L672</f>
        <v>0</v>
      </c>
      <c r="N672" s="61"/>
      <c r="O672" s="35"/>
      <c r="P672" s="40"/>
      <c r="Q672" s="37"/>
      <c r="R672" s="4"/>
    </row>
    <row r="673" spans="1:22" s="52" customFormat="1" ht="46.8" outlineLevel="1" x14ac:dyDescent="0.25">
      <c r="A673" s="282" t="s">
        <v>64</v>
      </c>
      <c r="B673" s="280">
        <v>90843</v>
      </c>
      <c r="C673" s="281" t="s">
        <v>53</v>
      </c>
      <c r="D673" s="282" t="s">
        <v>44</v>
      </c>
      <c r="E673" s="285">
        <v>9</v>
      </c>
      <c r="F673" s="283">
        <f>'COMPOSIÇÃO SINAPI W MENDES'!G4135</f>
        <v>640</v>
      </c>
      <c r="G673" s="284">
        <f>TRUNC(F673*$J$13,2)</f>
        <v>796.09</v>
      </c>
      <c r="H673" s="284">
        <f>TRUNC(E673*G673,2)</f>
        <v>7164.81</v>
      </c>
      <c r="I673" s="297"/>
      <c r="J673" s="24"/>
      <c r="K673" s="197"/>
      <c r="L673" s="7"/>
      <c r="M673" s="35"/>
      <c r="N673" s="61"/>
      <c r="O673" s="35"/>
      <c r="P673" s="40"/>
      <c r="Q673" s="37"/>
      <c r="R673" s="4"/>
      <c r="S673" s="236">
        <v>9</v>
      </c>
      <c r="T673" s="236">
        <v>742.69</v>
      </c>
      <c r="U673" s="236">
        <v>935.78</v>
      </c>
      <c r="V673" s="236">
        <v>8422.02</v>
      </c>
    </row>
    <row r="674" spans="1:22" s="52" customFormat="1" ht="31.2" outlineLevel="1" x14ac:dyDescent="0.25">
      <c r="A674" s="282" t="s">
        <v>69</v>
      </c>
      <c r="B674" s="280">
        <v>91338</v>
      </c>
      <c r="C674" s="281" t="s">
        <v>57</v>
      </c>
      <c r="D674" s="282" t="s">
        <v>24</v>
      </c>
      <c r="E674" s="285">
        <f>L674</f>
        <v>3.3600000000000003</v>
      </c>
      <c r="F674" s="283">
        <f>'COMPOSIÇÃO SINAPI W MENDES'!G4144</f>
        <v>871.17000000000007</v>
      </c>
      <c r="G674" s="284">
        <f>TRUNC(F674*$J$13,2)</f>
        <v>1083.6400000000001</v>
      </c>
      <c r="H674" s="284">
        <f>TRUNC(E674*G674,2)</f>
        <v>3641.03</v>
      </c>
      <c r="I674" s="297"/>
      <c r="J674" s="69"/>
      <c r="K674" s="240" t="s">
        <v>404</v>
      </c>
      <c r="L674" s="7">
        <f>0.8*2.1*2</f>
        <v>3.3600000000000003</v>
      </c>
      <c r="M674" s="35"/>
      <c r="N674" s="61"/>
      <c r="O674" s="35"/>
      <c r="P674" s="40"/>
      <c r="Q674" s="37"/>
      <c r="R674" s="4"/>
      <c r="S674" s="236">
        <v>3.3600000000000003</v>
      </c>
      <c r="T674" s="236">
        <v>975.13</v>
      </c>
      <c r="U674" s="236">
        <v>1228.6600000000001</v>
      </c>
      <c r="V674" s="236">
        <v>4128.29</v>
      </c>
    </row>
    <row r="675" spans="1:22" s="52" customFormat="1" outlineLevel="1" x14ac:dyDescent="0.25">
      <c r="A675" s="282" t="s">
        <v>72</v>
      </c>
      <c r="B675" s="280">
        <v>100701</v>
      </c>
      <c r="C675" s="281" t="s">
        <v>324</v>
      </c>
      <c r="D675" s="282" t="s">
        <v>24</v>
      </c>
      <c r="E675" s="285">
        <f>L675</f>
        <v>3.3600000000000003</v>
      </c>
      <c r="F675" s="283">
        <v>479.56</v>
      </c>
      <c r="G675" s="284">
        <f>TRUNC(F675*$J$13,2)</f>
        <v>596.52</v>
      </c>
      <c r="H675" s="284">
        <f>TRUNC(E675*G675,2)</f>
        <v>2004.3</v>
      </c>
      <c r="I675" s="401"/>
      <c r="J675" s="24"/>
      <c r="K675" s="197"/>
      <c r="L675" s="7">
        <f>L674</f>
        <v>3.3600000000000003</v>
      </c>
      <c r="M675" s="35"/>
      <c r="N675" s="61"/>
      <c r="O675" s="35"/>
      <c r="P675" s="40"/>
      <c r="Q675" s="37"/>
      <c r="R675" s="4"/>
      <c r="S675" s="236">
        <v>3.3600000000000003</v>
      </c>
      <c r="T675" s="236">
        <v>479.56</v>
      </c>
      <c r="U675" s="236">
        <v>604.24</v>
      </c>
      <c r="V675" s="236">
        <v>2030.24</v>
      </c>
    </row>
    <row r="676" spans="1:22" s="52" customFormat="1" outlineLevel="1" x14ac:dyDescent="0.25">
      <c r="A676" s="279" t="s">
        <v>74</v>
      </c>
      <c r="B676" s="279"/>
      <c r="C676" s="294" t="s">
        <v>61</v>
      </c>
      <c r="D676" s="558"/>
      <c r="E676" s="294"/>
      <c r="F676" s="403"/>
      <c r="G676" s="294"/>
      <c r="H676" s="558"/>
      <c r="I676" s="404">
        <f>SUM(H677)</f>
        <v>5082.8100000000004</v>
      </c>
      <c r="J676" s="24"/>
      <c r="K676" s="197"/>
      <c r="L676" s="317">
        <f>SUM(H677)</f>
        <v>5082.8100000000004</v>
      </c>
      <c r="M676" s="35">
        <f>I676-L676</f>
        <v>0</v>
      </c>
      <c r="N676" s="61"/>
      <c r="O676" s="35"/>
      <c r="P676" s="40"/>
      <c r="Q676" s="37"/>
      <c r="R676" s="4"/>
    </row>
    <row r="677" spans="1:22" s="52" customFormat="1" ht="31.2" outlineLevel="1" x14ac:dyDescent="0.25">
      <c r="A677" s="282" t="s">
        <v>77</v>
      </c>
      <c r="B677" s="280">
        <v>87266</v>
      </c>
      <c r="C677" s="281" t="s">
        <v>65</v>
      </c>
      <c r="D677" s="282" t="s">
        <v>24</v>
      </c>
      <c r="E677" s="285">
        <f>L677</f>
        <v>124.64</v>
      </c>
      <c r="F677" s="283">
        <f>'COMPOSIÇÃO SINAPI W MENDES'!G4160</f>
        <v>32.790000000000006</v>
      </c>
      <c r="G677" s="284">
        <f>TRUNC(F677*$J$13,2)</f>
        <v>40.78</v>
      </c>
      <c r="H677" s="284">
        <f>TRUNC(E677*G677,2)</f>
        <v>5082.8100000000004</v>
      </c>
      <c r="I677" s="297"/>
      <c r="J677" s="24"/>
      <c r="K677" s="197" t="s">
        <v>66</v>
      </c>
      <c r="L677" s="7">
        <v>124.64</v>
      </c>
      <c r="M677" s="35"/>
      <c r="N677" s="61"/>
      <c r="O677" s="35"/>
      <c r="P677" s="40"/>
      <c r="Q677" s="37"/>
      <c r="R677" s="4"/>
      <c r="S677" s="236">
        <v>124.64</v>
      </c>
      <c r="T677" s="236">
        <v>43.91</v>
      </c>
      <c r="U677" s="236">
        <v>55.32</v>
      </c>
      <c r="V677" s="236">
        <v>6895.08</v>
      </c>
    </row>
    <row r="678" spans="1:22" s="52" customFormat="1" outlineLevel="1" x14ac:dyDescent="0.25">
      <c r="A678" s="279" t="s">
        <v>85</v>
      </c>
      <c r="B678" s="279"/>
      <c r="C678" s="294" t="s">
        <v>75</v>
      </c>
      <c r="D678" s="558"/>
      <c r="E678" s="294"/>
      <c r="F678" s="403"/>
      <c r="G678" s="294"/>
      <c r="H678" s="558"/>
      <c r="I678" s="404">
        <f>SUM(H679:H680)</f>
        <v>6059.37</v>
      </c>
      <c r="J678" s="24"/>
      <c r="K678" s="197"/>
      <c r="L678" s="317">
        <f>SUM(H679:H680)</f>
        <v>6059.37</v>
      </c>
      <c r="M678" s="35">
        <f>I678-L678</f>
        <v>0</v>
      </c>
      <c r="N678" s="61"/>
      <c r="O678" s="35"/>
      <c r="P678" s="40"/>
      <c r="Q678" s="37"/>
      <c r="R678" s="4"/>
    </row>
    <row r="679" spans="1:22" s="52" customFormat="1" ht="31.2" outlineLevel="1" x14ac:dyDescent="0.25">
      <c r="A679" s="282" t="s">
        <v>87</v>
      </c>
      <c r="B679" s="280">
        <v>94993</v>
      </c>
      <c r="C679" s="281" t="s">
        <v>78</v>
      </c>
      <c r="D679" s="282" t="s">
        <v>24</v>
      </c>
      <c r="E679" s="285">
        <f>L679</f>
        <v>47.5</v>
      </c>
      <c r="F679" s="283">
        <v>62.94</v>
      </c>
      <c r="G679" s="284">
        <f>TRUNC(F679*$J$13,2)</f>
        <v>78.290000000000006</v>
      </c>
      <c r="H679" s="284">
        <f>TRUNC(E679*G679,2)</f>
        <v>3718.77</v>
      </c>
      <c r="I679" s="297"/>
      <c r="J679" s="24"/>
      <c r="K679" s="197" t="s">
        <v>66</v>
      </c>
      <c r="L679" s="7">
        <v>47.5</v>
      </c>
      <c r="M679" s="35"/>
      <c r="N679" s="61"/>
      <c r="O679" s="35"/>
      <c r="P679" s="40"/>
      <c r="Q679" s="37"/>
      <c r="R679" s="4"/>
      <c r="S679" s="236">
        <v>47.5</v>
      </c>
      <c r="T679" s="236">
        <v>62.94</v>
      </c>
      <c r="U679" s="236">
        <v>79.3</v>
      </c>
      <c r="V679" s="236">
        <v>3766.75</v>
      </c>
    </row>
    <row r="680" spans="1:22" s="52" customFormat="1" ht="31.2" outlineLevel="1" x14ac:dyDescent="0.25">
      <c r="A680" s="282" t="s">
        <v>90</v>
      </c>
      <c r="B680" s="280">
        <v>87262</v>
      </c>
      <c r="C680" s="281" t="s">
        <v>84</v>
      </c>
      <c r="D680" s="282" t="s">
        <v>24</v>
      </c>
      <c r="E680" s="285">
        <f>L680</f>
        <v>22.9</v>
      </c>
      <c r="F680" s="283">
        <f>'COMPOSIÇÃO SINAPI W MENDES'!G458</f>
        <v>82.17</v>
      </c>
      <c r="G680" s="284">
        <f>TRUNC(F680*$J$13,2)</f>
        <v>102.21</v>
      </c>
      <c r="H680" s="284">
        <f>TRUNC(E680*G680,2)</f>
        <v>2340.6</v>
      </c>
      <c r="I680" s="297"/>
      <c r="J680" s="24"/>
      <c r="K680" s="197" t="s">
        <v>66</v>
      </c>
      <c r="L680" s="7">
        <v>22.9</v>
      </c>
      <c r="M680" s="35"/>
      <c r="N680" s="61"/>
      <c r="O680" s="35"/>
      <c r="P680" s="40"/>
      <c r="Q680" s="37"/>
      <c r="R680" s="4"/>
      <c r="S680" s="236">
        <v>22.9</v>
      </c>
      <c r="T680" s="236">
        <v>92.82</v>
      </c>
      <c r="U680" s="236">
        <v>116.95</v>
      </c>
      <c r="V680" s="236">
        <v>2678.15</v>
      </c>
    </row>
    <row r="681" spans="1:22" s="52" customFormat="1" outlineLevel="1" x14ac:dyDescent="0.25">
      <c r="A681" s="279" t="s">
        <v>95</v>
      </c>
      <c r="B681" s="279"/>
      <c r="C681" s="294" t="s">
        <v>86</v>
      </c>
      <c r="D681" s="558"/>
      <c r="E681" s="294"/>
      <c r="F681" s="403"/>
      <c r="G681" s="294"/>
      <c r="H681" s="558"/>
      <c r="I681" s="402">
        <f>SUM(H682:H684)</f>
        <v>2247.4499999999998</v>
      </c>
      <c r="J681" s="24"/>
      <c r="K681" s="197"/>
      <c r="L681" s="317">
        <f>SUM(H682:H684)</f>
        <v>2247.4499999999998</v>
      </c>
      <c r="M681" s="35">
        <f>I681-L681</f>
        <v>0</v>
      </c>
      <c r="N681" s="61"/>
      <c r="O681" s="35"/>
      <c r="P681" s="40"/>
      <c r="Q681" s="37"/>
      <c r="R681" s="4"/>
    </row>
    <row r="682" spans="1:22" s="52" customFormat="1" outlineLevel="1" x14ac:dyDescent="0.25">
      <c r="A682" s="282" t="s">
        <v>97</v>
      </c>
      <c r="B682" s="280">
        <v>72117</v>
      </c>
      <c r="C682" s="289" t="s">
        <v>88</v>
      </c>
      <c r="D682" s="282" t="s">
        <v>24</v>
      </c>
      <c r="E682" s="285">
        <v>0.5</v>
      </c>
      <c r="F682" s="283">
        <v>159.13</v>
      </c>
      <c r="G682" s="284">
        <f>TRUNC(F682*$J$13,2)</f>
        <v>197.94</v>
      </c>
      <c r="H682" s="284">
        <f>TRUNC(E682*G682,2)</f>
        <v>98.97</v>
      </c>
      <c r="I682" s="297"/>
      <c r="J682" s="24"/>
      <c r="K682" s="197"/>
      <c r="L682" s="7"/>
      <c r="M682" s="35"/>
      <c r="N682" s="61"/>
      <c r="O682" s="35"/>
      <c r="P682" s="40"/>
      <c r="Q682" s="37"/>
      <c r="R682" s="4"/>
      <c r="S682" s="236">
        <v>0.5</v>
      </c>
      <c r="T682" s="236">
        <v>159.13</v>
      </c>
      <c r="U682" s="236">
        <v>200.5</v>
      </c>
      <c r="V682" s="236">
        <v>100.25</v>
      </c>
    </row>
    <row r="683" spans="1:22" s="52" customFormat="1" outlineLevel="1" x14ac:dyDescent="0.25">
      <c r="A683" s="282" t="s">
        <v>100</v>
      </c>
      <c r="B683" s="280">
        <v>84886</v>
      </c>
      <c r="C683" s="289" t="s">
        <v>91</v>
      </c>
      <c r="D683" s="282" t="s">
        <v>92</v>
      </c>
      <c r="E683" s="285">
        <v>1</v>
      </c>
      <c r="F683" s="283">
        <v>1114.46</v>
      </c>
      <c r="G683" s="284">
        <f>TRUNC(F683*$J$13,2)</f>
        <v>1386.27</v>
      </c>
      <c r="H683" s="284">
        <f>TRUNC(E683*G683,2)</f>
        <v>1386.27</v>
      </c>
      <c r="I683" s="297"/>
      <c r="J683" s="24"/>
      <c r="K683" s="197"/>
      <c r="L683" s="7"/>
      <c r="M683" s="35"/>
      <c r="N683" s="61"/>
      <c r="O683" s="35"/>
      <c r="P683" s="40"/>
      <c r="Q683" s="37"/>
      <c r="R683" s="4"/>
      <c r="S683" s="236">
        <v>1</v>
      </c>
      <c r="T683" s="236">
        <v>1139.6199999999999</v>
      </c>
      <c r="U683" s="236">
        <v>1435.92</v>
      </c>
      <c r="V683" s="236">
        <v>1435.92</v>
      </c>
    </row>
    <row r="684" spans="1:22" s="52" customFormat="1" ht="31.2" outlineLevel="1" x14ac:dyDescent="0.25">
      <c r="A684" s="282" t="s">
        <v>103</v>
      </c>
      <c r="B684" s="280">
        <v>84885</v>
      </c>
      <c r="C684" s="281" t="s">
        <v>94</v>
      </c>
      <c r="D684" s="282" t="s">
        <v>44</v>
      </c>
      <c r="E684" s="285">
        <v>1</v>
      </c>
      <c r="F684" s="283">
        <v>612.76</v>
      </c>
      <c r="G684" s="284">
        <f>TRUNC(F684*$J$13,2)</f>
        <v>762.21</v>
      </c>
      <c r="H684" s="284">
        <f>TRUNC(E684*G684,2)</f>
        <v>762.21</v>
      </c>
      <c r="I684" s="297"/>
      <c r="J684" s="24"/>
      <c r="K684" s="197"/>
      <c r="L684" s="7"/>
      <c r="M684" s="35"/>
      <c r="N684" s="61"/>
      <c r="O684" s="35"/>
      <c r="P684" s="40"/>
      <c r="Q684" s="37"/>
      <c r="R684" s="4"/>
      <c r="S684" s="236">
        <v>1</v>
      </c>
      <c r="T684" s="236">
        <v>612.76</v>
      </c>
      <c r="U684" s="236">
        <v>772.07</v>
      </c>
      <c r="V684" s="236">
        <v>772.07</v>
      </c>
    </row>
    <row r="685" spans="1:22" s="52" customFormat="1" outlineLevel="1" x14ac:dyDescent="0.25">
      <c r="A685" s="279" t="s">
        <v>116</v>
      </c>
      <c r="B685" s="279"/>
      <c r="C685" s="294" t="s">
        <v>96</v>
      </c>
      <c r="D685" s="558"/>
      <c r="E685" s="294"/>
      <c r="F685" s="403"/>
      <c r="G685" s="294"/>
      <c r="H685" s="558"/>
      <c r="I685" s="402">
        <f>SUM(H686:H694)</f>
        <v>19541.71</v>
      </c>
      <c r="J685" s="24"/>
      <c r="K685" s="197"/>
      <c r="L685" s="317">
        <f>SUM(H686:H694)</f>
        <v>19541.71</v>
      </c>
      <c r="M685" s="35">
        <f>I685-L685</f>
        <v>0</v>
      </c>
      <c r="N685" s="61"/>
      <c r="O685" s="35"/>
      <c r="P685" s="40"/>
      <c r="Q685" s="37"/>
      <c r="R685" s="4"/>
    </row>
    <row r="686" spans="1:22" s="52" customFormat="1" outlineLevel="1" x14ac:dyDescent="0.25">
      <c r="A686" s="282" t="s">
        <v>118</v>
      </c>
      <c r="B686" s="280">
        <v>88423</v>
      </c>
      <c r="C686" s="281" t="s">
        <v>98</v>
      </c>
      <c r="D686" s="282" t="s">
        <v>24</v>
      </c>
      <c r="E686" s="290">
        <f>L686</f>
        <v>200</v>
      </c>
      <c r="F686" s="283">
        <v>13.45</v>
      </c>
      <c r="G686" s="284">
        <f>TRUNC(F686*$J$13,2)</f>
        <v>16.73</v>
      </c>
      <c r="H686" s="284">
        <f t="shared" ref="H686:H694" si="107">TRUNC(E686*G686,2)</f>
        <v>3346</v>
      </c>
      <c r="I686" s="297"/>
      <c r="J686" s="24"/>
      <c r="K686" s="197"/>
      <c r="L686" s="7">
        <v>200</v>
      </c>
      <c r="M686" s="35"/>
      <c r="N686" s="61"/>
      <c r="O686" s="35"/>
      <c r="P686" s="40"/>
      <c r="Q686" s="37"/>
      <c r="R686" s="4"/>
      <c r="S686" s="236">
        <v>200</v>
      </c>
      <c r="T686" s="236">
        <v>16.21</v>
      </c>
      <c r="U686" s="236">
        <v>20.420000000000002</v>
      </c>
      <c r="V686" s="236">
        <v>4084</v>
      </c>
    </row>
    <row r="687" spans="1:22" s="52" customFormat="1" outlineLevel="1" x14ac:dyDescent="0.25">
      <c r="A687" s="282" t="s">
        <v>120</v>
      </c>
      <c r="B687" s="280">
        <v>88496</v>
      </c>
      <c r="C687" s="288" t="s">
        <v>101</v>
      </c>
      <c r="D687" s="282" t="s">
        <v>24</v>
      </c>
      <c r="E687" s="290">
        <f>L687</f>
        <v>326.25</v>
      </c>
      <c r="F687" s="283">
        <f>'COMPOSIÇÃO SINAPI W MENDES'!G4214</f>
        <v>10.510000000000002</v>
      </c>
      <c r="G687" s="284">
        <f t="shared" ref="G687:G694" si="108">TRUNC(F687*$J$13,2)</f>
        <v>13.07</v>
      </c>
      <c r="H687" s="284">
        <f t="shared" si="107"/>
        <v>4264.08</v>
      </c>
      <c r="I687" s="297"/>
      <c r="J687" s="24"/>
      <c r="K687" s="197" t="s">
        <v>66</v>
      </c>
      <c r="L687" s="7">
        <v>326.25</v>
      </c>
      <c r="M687" s="35"/>
      <c r="N687" s="61"/>
      <c r="O687" s="35"/>
      <c r="P687" s="40"/>
      <c r="Q687" s="37"/>
      <c r="R687" s="4"/>
      <c r="S687" s="236">
        <v>326.25</v>
      </c>
      <c r="T687" s="236">
        <v>19.940000000000001</v>
      </c>
      <c r="U687" s="236">
        <v>25.12</v>
      </c>
      <c r="V687" s="236">
        <v>8195.4</v>
      </c>
    </row>
    <row r="688" spans="1:22" s="52" customFormat="1" outlineLevel="1" x14ac:dyDescent="0.25">
      <c r="A688" s="282" t="s">
        <v>122</v>
      </c>
      <c r="B688" s="280">
        <v>88488</v>
      </c>
      <c r="C688" s="281" t="s">
        <v>104</v>
      </c>
      <c r="D688" s="282" t="s">
        <v>24</v>
      </c>
      <c r="E688" s="290">
        <v>313.64999999999998</v>
      </c>
      <c r="F688" s="283">
        <f>'COMPOSIÇÃO SINAPI W MENDES'!G5013</f>
        <v>8.42</v>
      </c>
      <c r="G688" s="284">
        <f t="shared" si="108"/>
        <v>10.47</v>
      </c>
      <c r="H688" s="284">
        <f t="shared" si="107"/>
        <v>3283.91</v>
      </c>
      <c r="I688" s="297"/>
      <c r="J688" s="24"/>
      <c r="K688" s="197"/>
      <c r="L688" s="7"/>
      <c r="M688" s="35"/>
      <c r="N688" s="61"/>
      <c r="O688" s="35"/>
      <c r="P688" s="40"/>
      <c r="Q688" s="37"/>
      <c r="R688" s="4"/>
      <c r="S688" s="236">
        <v>313.64999999999998</v>
      </c>
      <c r="T688" s="236">
        <v>12.65</v>
      </c>
      <c r="U688" s="236">
        <v>15.93</v>
      </c>
      <c r="V688" s="236">
        <v>4996.4399999999996</v>
      </c>
    </row>
    <row r="689" spans="1:22" s="52" customFormat="1" outlineLevel="1" x14ac:dyDescent="0.25">
      <c r="A689" s="282" t="s">
        <v>124</v>
      </c>
      <c r="B689" s="280">
        <v>88497</v>
      </c>
      <c r="C689" s="288" t="s">
        <v>232</v>
      </c>
      <c r="D689" s="282" t="s">
        <v>24</v>
      </c>
      <c r="E689" s="290">
        <f>L689*0.3</f>
        <v>230.29499999999999</v>
      </c>
      <c r="F689" s="283">
        <v>9.74</v>
      </c>
      <c r="G689" s="284">
        <f t="shared" si="108"/>
        <v>12.11</v>
      </c>
      <c r="H689" s="284">
        <f t="shared" si="107"/>
        <v>2788.87</v>
      </c>
      <c r="I689" s="297"/>
      <c r="J689" s="24"/>
      <c r="K689" s="240" t="s">
        <v>405</v>
      </c>
      <c r="L689" s="7">
        <f>L690</f>
        <v>767.65</v>
      </c>
      <c r="M689" s="35"/>
      <c r="N689" s="61"/>
      <c r="O689" s="35"/>
      <c r="P689" s="40"/>
      <c r="Q689" s="37"/>
      <c r="R689" s="4"/>
      <c r="S689" s="236">
        <v>230.29499999999999</v>
      </c>
      <c r="T689" s="236">
        <v>11.24</v>
      </c>
      <c r="U689" s="236">
        <v>14.16</v>
      </c>
      <c r="V689" s="236">
        <v>3260.97</v>
      </c>
    </row>
    <row r="690" spans="1:22" s="52" customFormat="1" outlineLevel="1" x14ac:dyDescent="0.25">
      <c r="A690" s="282" t="s">
        <v>126</v>
      </c>
      <c r="B690" s="280">
        <v>88489</v>
      </c>
      <c r="C690" s="281" t="s">
        <v>108</v>
      </c>
      <c r="D690" s="282" t="s">
        <v>24</v>
      </c>
      <c r="E690" s="290">
        <v>254</v>
      </c>
      <c r="F690" s="283">
        <f>'COMPOSIÇÃO SINAPI W MENDES'!G4233</f>
        <v>8.14</v>
      </c>
      <c r="G690" s="284">
        <f t="shared" si="108"/>
        <v>10.119999999999999</v>
      </c>
      <c r="H690" s="284">
        <f t="shared" si="107"/>
        <v>2570.48</v>
      </c>
      <c r="I690" s="297"/>
      <c r="J690" s="24"/>
      <c r="K690" s="197" t="s">
        <v>66</v>
      </c>
      <c r="L690" s="7">
        <v>767.65</v>
      </c>
      <c r="M690" s="35"/>
      <c r="N690" s="61"/>
      <c r="O690" s="35"/>
      <c r="P690" s="40"/>
      <c r="Q690" s="37"/>
      <c r="R690" s="4"/>
      <c r="S690" s="236">
        <v>254</v>
      </c>
      <c r="T690" s="236">
        <v>11.3</v>
      </c>
      <c r="U690" s="236">
        <v>14.23</v>
      </c>
      <c r="V690" s="236">
        <v>3614.42</v>
      </c>
    </row>
    <row r="691" spans="1:22" s="52" customFormat="1" outlineLevel="1" x14ac:dyDescent="0.25">
      <c r="A691" s="282" t="s">
        <v>129</v>
      </c>
      <c r="B691" s="280">
        <v>100725</v>
      </c>
      <c r="C691" s="281" t="s">
        <v>804</v>
      </c>
      <c r="D691" s="282" t="s">
        <v>24</v>
      </c>
      <c r="E691" s="290">
        <f>39*2</f>
        <v>78</v>
      </c>
      <c r="F691" s="283">
        <v>16.12</v>
      </c>
      <c r="G691" s="284">
        <f t="shared" ref="G691" si="109">TRUNC(F691*$J$13,2)</f>
        <v>20.05</v>
      </c>
      <c r="H691" s="284">
        <f t="shared" ref="H691" si="110">TRUNC(E691*G691,2)</f>
        <v>1563.9</v>
      </c>
      <c r="I691" s="297"/>
      <c r="J691" s="24"/>
      <c r="K691" s="197"/>
      <c r="L691" s="7"/>
      <c r="M691" s="35"/>
      <c r="N691" s="61"/>
      <c r="O691" s="35"/>
      <c r="P691" s="40"/>
      <c r="Q691" s="37"/>
      <c r="R691" s="4"/>
      <c r="S691" s="236">
        <v>78</v>
      </c>
      <c r="T691" s="236">
        <v>16.12</v>
      </c>
      <c r="U691" s="236">
        <v>20.309999999999999</v>
      </c>
      <c r="V691" s="236">
        <v>1584.18</v>
      </c>
    </row>
    <row r="692" spans="1:22" s="52" customFormat="1" ht="31.2" outlineLevel="1" x14ac:dyDescent="0.25">
      <c r="A692" s="282" t="s">
        <v>131</v>
      </c>
      <c r="B692" s="280">
        <v>100727</v>
      </c>
      <c r="C692" s="291" t="s">
        <v>805</v>
      </c>
      <c r="D692" s="282" t="s">
        <v>24</v>
      </c>
      <c r="E692" s="290">
        <f>35.4*2</f>
        <v>70.8</v>
      </c>
      <c r="F692" s="283">
        <v>11.97</v>
      </c>
      <c r="G692" s="284">
        <f t="shared" si="108"/>
        <v>14.88</v>
      </c>
      <c r="H692" s="284">
        <f t="shared" si="107"/>
        <v>1053.5</v>
      </c>
      <c r="I692" s="297"/>
      <c r="J692" s="24"/>
      <c r="K692" s="197"/>
      <c r="L692" s="7"/>
      <c r="M692" s="35"/>
      <c r="N692" s="61"/>
      <c r="O692" s="35"/>
      <c r="P692" s="40"/>
      <c r="Q692" s="37"/>
      <c r="R692" s="4"/>
      <c r="S692" s="236">
        <v>70.8</v>
      </c>
      <c r="T692" s="236">
        <v>11.97</v>
      </c>
      <c r="U692" s="236">
        <v>15.08</v>
      </c>
      <c r="V692" s="236">
        <v>1067.6600000000001</v>
      </c>
    </row>
    <row r="693" spans="1:22" s="52" customFormat="1" outlineLevel="1" x14ac:dyDescent="0.25">
      <c r="A693" s="282" t="s">
        <v>133</v>
      </c>
      <c r="B693" s="280" t="s">
        <v>109</v>
      </c>
      <c r="C693" s="281" t="s">
        <v>110</v>
      </c>
      <c r="D693" s="282" t="s">
        <v>24</v>
      </c>
      <c r="E693" s="285">
        <v>36.96</v>
      </c>
      <c r="F693" s="283">
        <v>12.4</v>
      </c>
      <c r="G693" s="284">
        <f t="shared" si="108"/>
        <v>15.42</v>
      </c>
      <c r="H693" s="284">
        <f t="shared" si="107"/>
        <v>569.91999999999996</v>
      </c>
      <c r="I693" s="297"/>
      <c r="J693" s="24"/>
      <c r="K693" s="197"/>
      <c r="L693" s="7"/>
      <c r="M693" s="35"/>
      <c r="N693" s="61"/>
      <c r="O693" s="35"/>
      <c r="P693" s="40"/>
      <c r="Q693" s="37"/>
      <c r="R693" s="4"/>
      <c r="S693" s="236">
        <v>36.96</v>
      </c>
      <c r="T693" s="236">
        <v>15.01</v>
      </c>
      <c r="U693" s="236">
        <v>18.91</v>
      </c>
      <c r="V693" s="236">
        <v>698.91</v>
      </c>
    </row>
    <row r="694" spans="1:22" s="52" customFormat="1" outlineLevel="1" x14ac:dyDescent="0.25">
      <c r="A694" s="282" t="s">
        <v>136</v>
      </c>
      <c r="B694" s="280">
        <v>100725</v>
      </c>
      <c r="C694" s="281" t="s">
        <v>113</v>
      </c>
      <c r="D694" s="282" t="s">
        <v>24</v>
      </c>
      <c r="E694" s="290">
        <v>5.04</v>
      </c>
      <c r="F694" s="283">
        <v>16.12</v>
      </c>
      <c r="G694" s="284">
        <f t="shared" si="108"/>
        <v>20.05</v>
      </c>
      <c r="H694" s="284">
        <f t="shared" si="107"/>
        <v>101.05</v>
      </c>
      <c r="I694" s="297"/>
      <c r="J694" s="24"/>
      <c r="K694" s="197"/>
      <c r="L694" s="7"/>
      <c r="M694" s="35"/>
      <c r="N694" s="61"/>
      <c r="O694" s="35"/>
      <c r="P694" s="40"/>
      <c r="Q694" s="37"/>
      <c r="R694" s="4"/>
      <c r="S694" s="236">
        <v>5.04</v>
      </c>
      <c r="T694" s="236">
        <v>16.12</v>
      </c>
      <c r="U694" s="236">
        <v>20.309999999999999</v>
      </c>
      <c r="V694" s="236">
        <v>102.36</v>
      </c>
    </row>
    <row r="695" spans="1:22" s="52" customFormat="1" outlineLevel="1" x14ac:dyDescent="0.25">
      <c r="A695" s="279" t="s">
        <v>160</v>
      </c>
      <c r="B695" s="279"/>
      <c r="C695" s="294" t="s">
        <v>117</v>
      </c>
      <c r="D695" s="558"/>
      <c r="E695" s="294"/>
      <c r="F695" s="403"/>
      <c r="G695" s="296" t="s">
        <v>38</v>
      </c>
      <c r="H695" s="558"/>
      <c r="I695" s="400">
        <f>SUM(H696:H723)</f>
        <v>24394.41</v>
      </c>
      <c r="J695" s="24"/>
      <c r="K695" s="197"/>
      <c r="L695" s="317">
        <f>SUM(H696:H723)</f>
        <v>24394.41</v>
      </c>
      <c r="M695" s="35">
        <f>I695-L695</f>
        <v>0</v>
      </c>
      <c r="N695" s="61"/>
      <c r="O695" s="35"/>
      <c r="P695" s="40"/>
      <c r="Q695" s="37"/>
      <c r="R695" s="4"/>
    </row>
    <row r="696" spans="1:22" s="52" customFormat="1" ht="31.2" outlineLevel="1" x14ac:dyDescent="0.25">
      <c r="A696" s="282" t="s">
        <v>162</v>
      </c>
      <c r="B696" s="280">
        <v>91932</v>
      </c>
      <c r="C696" s="281" t="s">
        <v>119</v>
      </c>
      <c r="D696" s="282" t="s">
        <v>55</v>
      </c>
      <c r="E696" s="285">
        <v>150</v>
      </c>
      <c r="F696" s="283">
        <v>9.9499999999999993</v>
      </c>
      <c r="G696" s="284">
        <f t="shared" ref="G696:G722" si="111">TRUNC(F696*$J$13,2)</f>
        <v>12.37</v>
      </c>
      <c r="H696" s="284">
        <f>TRUNC(E696*G696,2)</f>
        <v>1855.5</v>
      </c>
      <c r="I696" s="312"/>
      <c r="J696" s="24"/>
      <c r="K696" s="197"/>
      <c r="L696" s="7"/>
      <c r="M696" s="35"/>
      <c r="N696" s="61"/>
      <c r="O696" s="35"/>
      <c r="P696" s="40"/>
      <c r="Q696" s="37"/>
      <c r="R696" s="4"/>
      <c r="S696" s="236">
        <v>150</v>
      </c>
      <c r="T696" s="236">
        <v>9.9499999999999993</v>
      </c>
      <c r="U696" s="236">
        <v>12.53</v>
      </c>
      <c r="V696" s="236">
        <v>1879.5</v>
      </c>
    </row>
    <row r="697" spans="1:22" s="52" customFormat="1" ht="31.2" outlineLevel="1" x14ac:dyDescent="0.25">
      <c r="A697" s="282" t="s">
        <v>163</v>
      </c>
      <c r="B697" s="280">
        <v>91930</v>
      </c>
      <c r="C697" s="281" t="s">
        <v>121</v>
      </c>
      <c r="D697" s="282" t="s">
        <v>55</v>
      </c>
      <c r="E697" s="285">
        <v>300</v>
      </c>
      <c r="F697" s="283">
        <v>5.5</v>
      </c>
      <c r="G697" s="284">
        <f t="shared" si="111"/>
        <v>6.84</v>
      </c>
      <c r="H697" s="284">
        <f>TRUNC(E697*G697,2)</f>
        <v>2052</v>
      </c>
      <c r="I697" s="312"/>
      <c r="J697" s="24"/>
      <c r="K697" s="197"/>
      <c r="L697" s="7"/>
      <c r="M697" s="35"/>
      <c r="N697" s="61"/>
      <c r="O697" s="35"/>
      <c r="P697" s="40"/>
      <c r="Q697" s="37"/>
      <c r="R697" s="4"/>
      <c r="S697" s="236">
        <v>300</v>
      </c>
      <c r="T697" s="236">
        <v>6.06</v>
      </c>
      <c r="U697" s="236">
        <v>7.63</v>
      </c>
      <c r="V697" s="236">
        <v>2289</v>
      </c>
    </row>
    <row r="698" spans="1:22" s="52" customFormat="1" outlineLevel="1" x14ac:dyDescent="0.25">
      <c r="A698" s="282" t="s">
        <v>164</v>
      </c>
      <c r="B698" s="280">
        <v>91928</v>
      </c>
      <c r="C698" s="281" t="s">
        <v>123</v>
      </c>
      <c r="D698" s="282" t="s">
        <v>55</v>
      </c>
      <c r="E698" s="285">
        <v>700</v>
      </c>
      <c r="F698" s="283">
        <v>4.42</v>
      </c>
      <c r="G698" s="284">
        <f t="shared" si="111"/>
        <v>5.49</v>
      </c>
      <c r="H698" s="284">
        <f t="shared" ref="H698:H721" si="112">TRUNC(E698*G698,2)</f>
        <v>3843</v>
      </c>
      <c r="I698" s="312"/>
      <c r="J698" s="24"/>
      <c r="K698" s="197"/>
      <c r="L698" s="7"/>
      <c r="M698" s="35"/>
      <c r="N698" s="61"/>
      <c r="O698" s="35"/>
      <c r="P698" s="40"/>
      <c r="Q698" s="37"/>
      <c r="R698" s="4"/>
      <c r="S698" s="236">
        <v>700</v>
      </c>
      <c r="T698" s="236">
        <v>4.42</v>
      </c>
      <c r="U698" s="236">
        <v>5.56</v>
      </c>
      <c r="V698" s="236">
        <v>3892</v>
      </c>
    </row>
    <row r="699" spans="1:22" s="52" customFormat="1" outlineLevel="1" x14ac:dyDescent="0.25">
      <c r="A699" s="282" t="s">
        <v>165</v>
      </c>
      <c r="B699" s="280">
        <v>91927</v>
      </c>
      <c r="C699" s="281" t="s">
        <v>125</v>
      </c>
      <c r="D699" s="282" t="s">
        <v>55</v>
      </c>
      <c r="E699" s="285">
        <v>700</v>
      </c>
      <c r="F699" s="283">
        <v>3</v>
      </c>
      <c r="G699" s="284">
        <f t="shared" si="111"/>
        <v>3.73</v>
      </c>
      <c r="H699" s="284">
        <f t="shared" si="112"/>
        <v>2611</v>
      </c>
      <c r="I699" s="312"/>
      <c r="J699" s="24"/>
      <c r="K699" s="197"/>
      <c r="L699" s="7"/>
      <c r="M699" s="35"/>
      <c r="N699" s="61"/>
      <c r="O699" s="35"/>
      <c r="P699" s="40"/>
      <c r="Q699" s="37"/>
      <c r="R699" s="4"/>
      <c r="S699" s="236">
        <v>700</v>
      </c>
      <c r="T699" s="236">
        <v>3.58</v>
      </c>
      <c r="U699" s="236">
        <v>4.51</v>
      </c>
      <c r="V699" s="236">
        <v>3157</v>
      </c>
    </row>
    <row r="700" spans="1:22" s="52" customFormat="1" outlineLevel="1" x14ac:dyDescent="0.25">
      <c r="A700" s="282" t="s">
        <v>166</v>
      </c>
      <c r="B700" s="280">
        <v>90447</v>
      </c>
      <c r="C700" s="281" t="s">
        <v>127</v>
      </c>
      <c r="D700" s="282" t="s">
        <v>55</v>
      </c>
      <c r="E700" s="285">
        <v>180</v>
      </c>
      <c r="F700" s="283">
        <v>4.45</v>
      </c>
      <c r="G700" s="284">
        <f t="shared" si="111"/>
        <v>5.53</v>
      </c>
      <c r="H700" s="284">
        <f t="shared" si="112"/>
        <v>995.4</v>
      </c>
      <c r="I700" s="312"/>
      <c r="J700" s="24"/>
      <c r="K700" s="197"/>
      <c r="L700" s="7"/>
      <c r="M700" s="35"/>
      <c r="N700" s="61"/>
      <c r="O700" s="35"/>
      <c r="P700" s="40"/>
      <c r="Q700" s="37"/>
      <c r="R700" s="4"/>
      <c r="S700" s="236">
        <v>180</v>
      </c>
      <c r="T700" s="236">
        <v>4.45</v>
      </c>
      <c r="U700" s="236">
        <v>5.6</v>
      </c>
      <c r="V700" s="236">
        <v>1008</v>
      </c>
    </row>
    <row r="701" spans="1:22" s="52" customFormat="1" ht="31.2" outlineLevel="1" x14ac:dyDescent="0.25">
      <c r="A701" s="282" t="s">
        <v>167</v>
      </c>
      <c r="B701" s="280">
        <v>91836</v>
      </c>
      <c r="C701" s="281" t="s">
        <v>130</v>
      </c>
      <c r="D701" s="282" t="s">
        <v>55</v>
      </c>
      <c r="E701" s="285">
        <v>100</v>
      </c>
      <c r="F701" s="283">
        <v>7.55</v>
      </c>
      <c r="G701" s="284">
        <f t="shared" si="111"/>
        <v>9.39</v>
      </c>
      <c r="H701" s="284">
        <f t="shared" si="112"/>
        <v>939</v>
      </c>
      <c r="I701" s="312"/>
      <c r="J701" s="24"/>
      <c r="K701" s="197"/>
      <c r="L701" s="7"/>
      <c r="M701" s="35"/>
      <c r="N701" s="61"/>
      <c r="O701" s="35"/>
      <c r="P701" s="40"/>
      <c r="Q701" s="37"/>
      <c r="R701" s="4"/>
      <c r="S701" s="236">
        <v>100</v>
      </c>
      <c r="T701" s="236">
        <v>7.55</v>
      </c>
      <c r="U701" s="236">
        <v>9.51</v>
      </c>
      <c r="V701" s="236">
        <v>951</v>
      </c>
    </row>
    <row r="702" spans="1:22" s="52" customFormat="1" ht="31.2" outlineLevel="1" x14ac:dyDescent="0.25">
      <c r="A702" s="282" t="s">
        <v>169</v>
      </c>
      <c r="B702" s="280">
        <v>91869</v>
      </c>
      <c r="C702" s="281" t="s">
        <v>132</v>
      </c>
      <c r="D702" s="282" t="s">
        <v>55</v>
      </c>
      <c r="E702" s="285">
        <v>50</v>
      </c>
      <c r="F702" s="283">
        <v>10.32</v>
      </c>
      <c r="G702" s="284">
        <f t="shared" si="111"/>
        <v>12.83</v>
      </c>
      <c r="H702" s="284">
        <f t="shared" si="112"/>
        <v>641.5</v>
      </c>
      <c r="I702" s="312"/>
      <c r="J702" s="24"/>
      <c r="K702" s="197"/>
      <c r="L702" s="7"/>
      <c r="M702" s="35"/>
      <c r="N702" s="61"/>
      <c r="O702" s="35"/>
      <c r="P702" s="40"/>
      <c r="Q702" s="37"/>
      <c r="R702" s="4"/>
      <c r="S702" s="236">
        <v>50</v>
      </c>
      <c r="T702" s="236">
        <v>10.32</v>
      </c>
      <c r="U702" s="236">
        <v>13</v>
      </c>
      <c r="V702" s="236">
        <v>650</v>
      </c>
    </row>
    <row r="703" spans="1:22" s="52" customFormat="1" outlineLevel="1" x14ac:dyDescent="0.25">
      <c r="A703" s="282" t="s">
        <v>171</v>
      </c>
      <c r="B703" s="280">
        <v>91990</v>
      </c>
      <c r="C703" s="281" t="s">
        <v>134</v>
      </c>
      <c r="D703" s="282" t="s">
        <v>44</v>
      </c>
      <c r="E703" s="285">
        <v>100</v>
      </c>
      <c r="F703" s="283">
        <v>20.73</v>
      </c>
      <c r="G703" s="284">
        <f t="shared" si="111"/>
        <v>25.78</v>
      </c>
      <c r="H703" s="284">
        <f t="shared" si="112"/>
        <v>2578</v>
      </c>
      <c r="I703" s="312"/>
      <c r="J703" s="24"/>
      <c r="K703" s="197"/>
      <c r="L703" s="7"/>
      <c r="M703" s="35"/>
      <c r="N703" s="61"/>
      <c r="O703" s="35"/>
      <c r="P703" s="40"/>
      <c r="Q703" s="37"/>
      <c r="R703" s="4"/>
      <c r="S703" s="236">
        <v>100</v>
      </c>
      <c r="T703" s="236">
        <v>20.73</v>
      </c>
      <c r="U703" s="236">
        <v>26.11</v>
      </c>
      <c r="V703" s="236">
        <v>2611</v>
      </c>
    </row>
    <row r="704" spans="1:22" s="52" customFormat="1" outlineLevel="1" x14ac:dyDescent="0.25">
      <c r="A704" s="282" t="s">
        <v>173</v>
      </c>
      <c r="B704" s="280">
        <v>91991</v>
      </c>
      <c r="C704" s="281" t="s">
        <v>137</v>
      </c>
      <c r="D704" s="282" t="s">
        <v>44</v>
      </c>
      <c r="E704" s="285">
        <v>32</v>
      </c>
      <c r="F704" s="283">
        <v>21.99</v>
      </c>
      <c r="G704" s="284">
        <f t="shared" si="111"/>
        <v>27.35</v>
      </c>
      <c r="H704" s="284">
        <f t="shared" si="112"/>
        <v>875.2</v>
      </c>
      <c r="I704" s="312"/>
      <c r="J704" s="24"/>
      <c r="K704" s="197"/>
      <c r="L704" s="7"/>
      <c r="M704" s="35"/>
      <c r="N704" s="61"/>
      <c r="O704" s="35"/>
      <c r="P704" s="40"/>
      <c r="Q704" s="37"/>
      <c r="R704" s="4"/>
      <c r="S704" s="236">
        <v>32</v>
      </c>
      <c r="T704" s="236">
        <v>21.99</v>
      </c>
      <c r="U704" s="236">
        <v>27.7</v>
      </c>
      <c r="V704" s="236">
        <v>886.4</v>
      </c>
    </row>
    <row r="705" spans="1:22" s="52" customFormat="1" outlineLevel="1" x14ac:dyDescent="0.25">
      <c r="A705" s="282" t="s">
        <v>175</v>
      </c>
      <c r="B705" s="280">
        <v>91953</v>
      </c>
      <c r="C705" s="281" t="s">
        <v>139</v>
      </c>
      <c r="D705" s="282" t="s">
        <v>44</v>
      </c>
      <c r="E705" s="285">
        <v>15</v>
      </c>
      <c r="F705" s="283">
        <v>16.14</v>
      </c>
      <c r="G705" s="284">
        <f t="shared" si="111"/>
        <v>20.07</v>
      </c>
      <c r="H705" s="284">
        <f t="shared" si="112"/>
        <v>301.05</v>
      </c>
      <c r="I705" s="312"/>
      <c r="J705" s="24"/>
      <c r="K705" s="197"/>
      <c r="L705" s="7"/>
      <c r="M705" s="35"/>
      <c r="N705" s="61"/>
      <c r="O705" s="35"/>
      <c r="P705" s="40"/>
      <c r="Q705" s="37"/>
      <c r="R705" s="4"/>
      <c r="S705" s="236">
        <v>15</v>
      </c>
      <c r="T705" s="236">
        <v>16.14</v>
      </c>
      <c r="U705" s="236">
        <v>20.329999999999998</v>
      </c>
      <c r="V705" s="236">
        <v>304.95</v>
      </c>
    </row>
    <row r="706" spans="1:22" s="52" customFormat="1" outlineLevel="1" x14ac:dyDescent="0.25">
      <c r="A706" s="282" t="s">
        <v>177</v>
      </c>
      <c r="B706" s="280">
        <v>91959</v>
      </c>
      <c r="C706" s="281" t="s">
        <v>140</v>
      </c>
      <c r="D706" s="282" t="s">
        <v>44</v>
      </c>
      <c r="E706" s="285">
        <v>10</v>
      </c>
      <c r="F706" s="283">
        <v>25.5</v>
      </c>
      <c r="G706" s="284">
        <f t="shared" si="111"/>
        <v>31.71</v>
      </c>
      <c r="H706" s="284">
        <f t="shared" si="112"/>
        <v>317.10000000000002</v>
      </c>
      <c r="I706" s="312"/>
      <c r="J706" s="24"/>
      <c r="K706" s="197"/>
      <c r="L706" s="7"/>
      <c r="M706" s="35"/>
      <c r="N706" s="61"/>
      <c r="O706" s="35"/>
      <c r="P706" s="40"/>
      <c r="Q706" s="37"/>
      <c r="R706" s="4"/>
      <c r="S706" s="236">
        <v>10</v>
      </c>
      <c r="T706" s="236">
        <v>25.5</v>
      </c>
      <c r="U706" s="236">
        <v>32.130000000000003</v>
      </c>
      <c r="V706" s="236">
        <v>321.3</v>
      </c>
    </row>
    <row r="707" spans="1:22" s="52" customFormat="1" outlineLevel="1" x14ac:dyDescent="0.25">
      <c r="A707" s="282" t="s">
        <v>675</v>
      </c>
      <c r="B707" s="280">
        <v>93653</v>
      </c>
      <c r="C707" s="281" t="s">
        <v>141</v>
      </c>
      <c r="D707" s="282" t="s">
        <v>44</v>
      </c>
      <c r="E707" s="285">
        <v>8</v>
      </c>
      <c r="F707" s="283">
        <v>9.3699999999999992</v>
      </c>
      <c r="G707" s="284">
        <f t="shared" ref="G707:G714" si="113">TRUNC(F707*$J$13,2)</f>
        <v>11.65</v>
      </c>
      <c r="H707" s="284">
        <f t="shared" ref="H707:H714" si="114">TRUNC(E707*G707,2)</f>
        <v>93.2</v>
      </c>
      <c r="I707" s="312"/>
      <c r="J707" s="24"/>
      <c r="K707" s="197"/>
      <c r="L707" s="7"/>
      <c r="M707" s="35"/>
      <c r="N707" s="61"/>
      <c r="O707" s="35"/>
      <c r="P707" s="40"/>
      <c r="Q707" s="37"/>
      <c r="R707" s="4"/>
      <c r="S707" s="236">
        <v>8</v>
      </c>
      <c r="T707" s="236">
        <v>9.3699999999999992</v>
      </c>
      <c r="U707" s="236">
        <v>11.8</v>
      </c>
      <c r="V707" s="236">
        <v>94.4</v>
      </c>
    </row>
    <row r="708" spans="1:22" s="52" customFormat="1" outlineLevel="1" x14ac:dyDescent="0.25">
      <c r="A708" s="282" t="s">
        <v>676</v>
      </c>
      <c r="B708" s="280">
        <v>93655</v>
      </c>
      <c r="C708" s="281" t="s">
        <v>142</v>
      </c>
      <c r="D708" s="282" t="s">
        <v>44</v>
      </c>
      <c r="E708" s="285">
        <v>4</v>
      </c>
      <c r="F708" s="283">
        <v>10.59</v>
      </c>
      <c r="G708" s="284">
        <f t="shared" si="113"/>
        <v>13.17</v>
      </c>
      <c r="H708" s="284">
        <f t="shared" si="114"/>
        <v>52.68</v>
      </c>
      <c r="I708" s="312"/>
      <c r="J708" s="24"/>
      <c r="K708" s="197"/>
      <c r="L708" s="7"/>
      <c r="M708" s="35"/>
      <c r="N708" s="61"/>
      <c r="O708" s="35"/>
      <c r="P708" s="40"/>
      <c r="Q708" s="37"/>
      <c r="R708" s="4"/>
      <c r="S708" s="236">
        <v>4</v>
      </c>
      <c r="T708" s="236">
        <v>10.59</v>
      </c>
      <c r="U708" s="236">
        <v>13.34</v>
      </c>
      <c r="V708" s="236">
        <v>53.36</v>
      </c>
    </row>
    <row r="709" spans="1:22" s="52" customFormat="1" outlineLevel="1" x14ac:dyDescent="0.25">
      <c r="A709" s="282" t="s">
        <v>311</v>
      </c>
      <c r="B709" s="280">
        <v>93657</v>
      </c>
      <c r="C709" s="281" t="s">
        <v>143</v>
      </c>
      <c r="D709" s="282" t="s">
        <v>44</v>
      </c>
      <c r="E709" s="285">
        <v>4</v>
      </c>
      <c r="F709" s="283">
        <v>11.59</v>
      </c>
      <c r="G709" s="284">
        <f t="shared" si="113"/>
        <v>14.41</v>
      </c>
      <c r="H709" s="284">
        <f t="shared" si="114"/>
        <v>57.64</v>
      </c>
      <c r="I709" s="312"/>
      <c r="J709" s="24"/>
      <c r="K709" s="197"/>
      <c r="L709" s="7"/>
      <c r="M709" s="35"/>
      <c r="N709" s="61"/>
      <c r="O709" s="35"/>
      <c r="P709" s="40"/>
      <c r="Q709" s="37"/>
      <c r="R709" s="4"/>
      <c r="S709" s="236">
        <v>4</v>
      </c>
      <c r="T709" s="236">
        <v>11.59</v>
      </c>
      <c r="U709" s="236">
        <v>14.6</v>
      </c>
      <c r="V709" s="236">
        <v>58.4</v>
      </c>
    </row>
    <row r="710" spans="1:22" s="52" customFormat="1" outlineLevel="1" x14ac:dyDescent="0.25">
      <c r="A710" s="282" t="s">
        <v>181</v>
      </c>
      <c r="B710" s="280">
        <v>93660</v>
      </c>
      <c r="C710" s="281" t="s">
        <v>144</v>
      </c>
      <c r="D710" s="282" t="s">
        <v>44</v>
      </c>
      <c r="E710" s="285">
        <v>8</v>
      </c>
      <c r="F710" s="283">
        <v>46.9</v>
      </c>
      <c r="G710" s="284">
        <f t="shared" si="113"/>
        <v>58.33</v>
      </c>
      <c r="H710" s="284">
        <f t="shared" si="114"/>
        <v>466.64</v>
      </c>
      <c r="I710" s="312"/>
      <c r="J710" s="24"/>
      <c r="K710" s="197"/>
      <c r="L710" s="7"/>
      <c r="M710" s="35"/>
      <c r="N710" s="61"/>
      <c r="O710" s="35"/>
      <c r="P710" s="40"/>
      <c r="Q710" s="37"/>
      <c r="R710" s="4"/>
      <c r="S710" s="236">
        <v>8</v>
      </c>
      <c r="T710" s="236">
        <v>46.9</v>
      </c>
      <c r="U710" s="236">
        <v>59.09</v>
      </c>
      <c r="V710" s="236">
        <v>472.72</v>
      </c>
    </row>
    <row r="711" spans="1:22" s="52" customFormat="1" outlineLevel="1" x14ac:dyDescent="0.25">
      <c r="A711" s="282" t="s">
        <v>183</v>
      </c>
      <c r="B711" s="280">
        <v>93662</v>
      </c>
      <c r="C711" s="281" t="s">
        <v>145</v>
      </c>
      <c r="D711" s="282" t="s">
        <v>44</v>
      </c>
      <c r="E711" s="285">
        <v>8</v>
      </c>
      <c r="F711" s="283">
        <v>49.38</v>
      </c>
      <c r="G711" s="284">
        <f t="shared" si="113"/>
        <v>61.42</v>
      </c>
      <c r="H711" s="284">
        <f t="shared" si="114"/>
        <v>491.36</v>
      </c>
      <c r="I711" s="312"/>
      <c r="J711" s="24"/>
      <c r="K711" s="197"/>
      <c r="L711" s="7"/>
      <c r="M711" s="35"/>
      <c r="N711" s="61"/>
      <c r="O711" s="35"/>
      <c r="P711" s="40"/>
      <c r="Q711" s="37"/>
      <c r="R711" s="4"/>
      <c r="S711" s="236">
        <v>8</v>
      </c>
      <c r="T711" s="236">
        <v>49.38</v>
      </c>
      <c r="U711" s="236">
        <v>62.21</v>
      </c>
      <c r="V711" s="236">
        <v>497.68</v>
      </c>
    </row>
    <row r="712" spans="1:22" s="52" customFormat="1" outlineLevel="1" x14ac:dyDescent="0.25">
      <c r="A712" s="282" t="s">
        <v>677</v>
      </c>
      <c r="B712" s="280">
        <v>93664</v>
      </c>
      <c r="C712" s="281" t="s">
        <v>146</v>
      </c>
      <c r="D712" s="282" t="s">
        <v>44</v>
      </c>
      <c r="E712" s="285">
        <v>12</v>
      </c>
      <c r="F712" s="283">
        <v>51.34</v>
      </c>
      <c r="G712" s="284">
        <f t="shared" si="113"/>
        <v>63.86</v>
      </c>
      <c r="H712" s="284">
        <f t="shared" si="114"/>
        <v>766.32</v>
      </c>
      <c r="I712" s="312"/>
      <c r="J712" s="24"/>
      <c r="K712" s="197"/>
      <c r="L712" s="7"/>
      <c r="M712" s="35"/>
      <c r="N712" s="61"/>
      <c r="O712" s="35"/>
      <c r="P712" s="40"/>
      <c r="Q712" s="37"/>
      <c r="R712" s="4"/>
      <c r="S712" s="236">
        <v>12</v>
      </c>
      <c r="T712" s="236">
        <v>51.34</v>
      </c>
      <c r="U712" s="236">
        <v>64.680000000000007</v>
      </c>
      <c r="V712" s="236">
        <v>776.16</v>
      </c>
    </row>
    <row r="713" spans="1:22" s="52" customFormat="1" outlineLevel="1" x14ac:dyDescent="0.25">
      <c r="A713" s="282" t="s">
        <v>678</v>
      </c>
      <c r="B713" s="280">
        <v>93673</v>
      </c>
      <c r="C713" s="281" t="s">
        <v>147</v>
      </c>
      <c r="D713" s="282" t="s">
        <v>44</v>
      </c>
      <c r="E713" s="285">
        <v>2</v>
      </c>
      <c r="F713" s="283">
        <v>75.680000000000007</v>
      </c>
      <c r="G713" s="284">
        <f t="shared" si="113"/>
        <v>94.13</v>
      </c>
      <c r="H713" s="284">
        <f t="shared" si="114"/>
        <v>188.26</v>
      </c>
      <c r="I713" s="312"/>
      <c r="J713" s="24"/>
      <c r="K713" s="197"/>
      <c r="L713" s="7"/>
      <c r="M713" s="35"/>
      <c r="N713" s="61"/>
      <c r="O713" s="35"/>
      <c r="P713" s="40"/>
      <c r="Q713" s="37"/>
      <c r="R713" s="4"/>
      <c r="S713" s="236">
        <v>2</v>
      </c>
      <c r="T713" s="236">
        <v>75.680000000000007</v>
      </c>
      <c r="U713" s="236">
        <v>95.35</v>
      </c>
      <c r="V713" s="236">
        <v>190.7</v>
      </c>
    </row>
    <row r="714" spans="1:22" s="52" customFormat="1" outlineLevel="1" x14ac:dyDescent="0.25">
      <c r="A714" s="282" t="s">
        <v>679</v>
      </c>
      <c r="B714" s="280">
        <v>93667</v>
      </c>
      <c r="C714" s="281" t="s">
        <v>148</v>
      </c>
      <c r="D714" s="282" t="s">
        <v>44</v>
      </c>
      <c r="E714" s="285">
        <v>5</v>
      </c>
      <c r="F714" s="283">
        <v>58.47</v>
      </c>
      <c r="G714" s="284">
        <f t="shared" si="113"/>
        <v>72.73</v>
      </c>
      <c r="H714" s="284">
        <f t="shared" si="114"/>
        <v>363.65</v>
      </c>
      <c r="I714" s="312"/>
      <c r="J714" s="24"/>
      <c r="K714" s="197"/>
      <c r="L714" s="7"/>
      <c r="M714" s="35"/>
      <c r="N714" s="61"/>
      <c r="O714" s="35"/>
      <c r="P714" s="40"/>
      <c r="Q714" s="37"/>
      <c r="R714" s="4"/>
      <c r="S714" s="236">
        <v>5</v>
      </c>
      <c r="T714" s="236">
        <v>58.47</v>
      </c>
      <c r="U714" s="236">
        <v>73.67</v>
      </c>
      <c r="V714" s="236">
        <v>368.35</v>
      </c>
    </row>
    <row r="715" spans="1:22" s="52" customFormat="1" outlineLevel="1" x14ac:dyDescent="0.25">
      <c r="A715" s="282" t="s">
        <v>680</v>
      </c>
      <c r="B715" s="280">
        <v>93669</v>
      </c>
      <c r="C715" s="281" t="s">
        <v>149</v>
      </c>
      <c r="D715" s="282" t="s">
        <v>44</v>
      </c>
      <c r="E715" s="285">
        <v>5</v>
      </c>
      <c r="F715" s="283">
        <v>62.18</v>
      </c>
      <c r="G715" s="284">
        <f t="shared" si="111"/>
        <v>77.34</v>
      </c>
      <c r="H715" s="284">
        <f t="shared" si="112"/>
        <v>386.7</v>
      </c>
      <c r="I715" s="312"/>
      <c r="J715" s="24"/>
      <c r="K715" s="197"/>
      <c r="L715" s="7"/>
      <c r="M715" s="35"/>
      <c r="N715" s="61"/>
      <c r="O715" s="35"/>
      <c r="P715" s="40"/>
      <c r="Q715" s="37"/>
      <c r="R715" s="4"/>
      <c r="S715" s="236">
        <v>5</v>
      </c>
      <c r="T715" s="236">
        <v>62.18</v>
      </c>
      <c r="U715" s="236">
        <v>78.34</v>
      </c>
      <c r="V715" s="236">
        <v>391.7</v>
      </c>
    </row>
    <row r="716" spans="1:22" s="52" customFormat="1" outlineLevel="1" x14ac:dyDescent="0.25">
      <c r="A716" s="282" t="s">
        <v>681</v>
      </c>
      <c r="B716" s="280" t="s">
        <v>369</v>
      </c>
      <c r="C716" s="281" t="s">
        <v>370</v>
      </c>
      <c r="D716" s="282" t="s">
        <v>44</v>
      </c>
      <c r="E716" s="285">
        <v>1</v>
      </c>
      <c r="F716" s="283">
        <v>432.24</v>
      </c>
      <c r="G716" s="284">
        <f t="shared" si="111"/>
        <v>537.66</v>
      </c>
      <c r="H716" s="284">
        <f t="shared" si="112"/>
        <v>537.66</v>
      </c>
      <c r="I716" s="312"/>
      <c r="J716" s="24"/>
      <c r="K716" s="197"/>
      <c r="L716" s="7"/>
      <c r="M716" s="35"/>
      <c r="N716" s="61"/>
      <c r="O716" s="35"/>
      <c r="P716" s="40"/>
      <c r="Q716" s="37"/>
      <c r="R716" s="4"/>
      <c r="S716" s="236">
        <v>1</v>
      </c>
      <c r="T716" s="236">
        <v>473.16</v>
      </c>
      <c r="U716" s="236">
        <v>596.17999999999995</v>
      </c>
      <c r="V716" s="236">
        <v>596.17999999999995</v>
      </c>
    </row>
    <row r="717" spans="1:22" s="52" customFormat="1" outlineLevel="1" x14ac:dyDescent="0.25">
      <c r="A717" s="282" t="s">
        <v>682</v>
      </c>
      <c r="B717" s="280">
        <v>91944</v>
      </c>
      <c r="C717" s="281" t="s">
        <v>151</v>
      </c>
      <c r="D717" s="282" t="s">
        <v>44</v>
      </c>
      <c r="E717" s="285">
        <v>15</v>
      </c>
      <c r="F717" s="283">
        <f>'COMPOSIÇÃO SINAPI W MENDES'!G4410</f>
        <v>9.06</v>
      </c>
      <c r="G717" s="284">
        <f t="shared" si="111"/>
        <v>11.26</v>
      </c>
      <c r="H717" s="284">
        <f t="shared" si="112"/>
        <v>168.9</v>
      </c>
      <c r="I717" s="559"/>
      <c r="J717" s="24"/>
      <c r="K717" s="197"/>
      <c r="L717" s="7"/>
      <c r="M717" s="35"/>
      <c r="N717" s="61"/>
      <c r="O717" s="35"/>
      <c r="P717" s="40"/>
      <c r="Q717" s="37"/>
      <c r="R717" s="4"/>
      <c r="S717" s="236">
        <v>15</v>
      </c>
      <c r="T717" s="236">
        <v>9.3000000000000007</v>
      </c>
      <c r="U717" s="236">
        <v>11.71</v>
      </c>
      <c r="V717" s="236">
        <v>175.65</v>
      </c>
    </row>
    <row r="718" spans="1:22" s="52" customFormat="1" ht="31.2" outlineLevel="1" x14ac:dyDescent="0.25">
      <c r="A718" s="282" t="s">
        <v>683</v>
      </c>
      <c r="B718" s="280">
        <v>83463</v>
      </c>
      <c r="C718" s="281" t="s">
        <v>152</v>
      </c>
      <c r="D718" s="282" t="s">
        <v>44</v>
      </c>
      <c r="E718" s="285">
        <v>1</v>
      </c>
      <c r="F718" s="283">
        <v>356.52</v>
      </c>
      <c r="G718" s="284">
        <f t="shared" si="111"/>
        <v>443.47</v>
      </c>
      <c r="H718" s="284">
        <f t="shared" si="112"/>
        <v>443.47</v>
      </c>
      <c r="I718" s="312"/>
      <c r="J718" s="24"/>
      <c r="K718" s="197"/>
      <c r="L718" s="7"/>
      <c r="M718" s="35"/>
      <c r="N718" s="61"/>
      <c r="O718" s="35"/>
      <c r="P718" s="40"/>
      <c r="Q718" s="37"/>
      <c r="R718" s="4"/>
      <c r="S718" s="236">
        <v>1</v>
      </c>
      <c r="T718" s="236">
        <v>356.52</v>
      </c>
      <c r="U718" s="236">
        <v>449.21</v>
      </c>
      <c r="V718" s="236">
        <v>449.21</v>
      </c>
    </row>
    <row r="719" spans="1:22" s="52" customFormat="1" ht="31.2" outlineLevel="1" x14ac:dyDescent="0.25">
      <c r="A719" s="282" t="s">
        <v>684</v>
      </c>
      <c r="B719" s="280" t="s">
        <v>153</v>
      </c>
      <c r="C719" s="281" t="s">
        <v>154</v>
      </c>
      <c r="D719" s="282" t="s">
        <v>44</v>
      </c>
      <c r="E719" s="285">
        <v>1</v>
      </c>
      <c r="F719" s="283">
        <v>606.13</v>
      </c>
      <c r="G719" s="284">
        <f t="shared" si="111"/>
        <v>753.96</v>
      </c>
      <c r="H719" s="284">
        <f t="shared" si="112"/>
        <v>753.96</v>
      </c>
      <c r="I719" s="312"/>
      <c r="J719" s="24"/>
      <c r="K719" s="197"/>
      <c r="L719" s="7"/>
      <c r="M719" s="35"/>
      <c r="N719" s="61"/>
      <c r="O719" s="35"/>
      <c r="P719" s="40"/>
      <c r="Q719" s="37"/>
      <c r="R719" s="4"/>
      <c r="S719" s="236">
        <v>1</v>
      </c>
      <c r="T719" s="236">
        <v>606.13</v>
      </c>
      <c r="U719" s="236">
        <v>763.72</v>
      </c>
      <c r="V719" s="236">
        <v>763.72</v>
      </c>
    </row>
    <row r="720" spans="1:22" s="52" customFormat="1" outlineLevel="1" x14ac:dyDescent="0.25">
      <c r="A720" s="282" t="s">
        <v>685</v>
      </c>
      <c r="B720" s="280">
        <v>91941</v>
      </c>
      <c r="C720" s="281" t="s">
        <v>150</v>
      </c>
      <c r="D720" s="282" t="s">
        <v>44</v>
      </c>
      <c r="E720" s="285">
        <v>52</v>
      </c>
      <c r="F720" s="283">
        <v>6.8</v>
      </c>
      <c r="G720" s="284">
        <f t="shared" si="111"/>
        <v>8.4499999999999993</v>
      </c>
      <c r="H720" s="284">
        <f t="shared" si="112"/>
        <v>439.4</v>
      </c>
      <c r="I720" s="312"/>
      <c r="J720" s="24"/>
      <c r="K720" s="197"/>
      <c r="L720" s="7"/>
      <c r="M720" s="35"/>
      <c r="N720" s="61"/>
      <c r="O720" s="35"/>
      <c r="P720" s="40"/>
      <c r="Q720" s="37"/>
      <c r="R720" s="4"/>
      <c r="S720" s="236">
        <v>52</v>
      </c>
      <c r="T720" s="236">
        <v>6.8</v>
      </c>
      <c r="U720" s="236">
        <v>8.56</v>
      </c>
      <c r="V720" s="236">
        <v>445.12</v>
      </c>
    </row>
    <row r="721" spans="1:22" s="52" customFormat="1" outlineLevel="1" x14ac:dyDescent="0.25">
      <c r="A721" s="282" t="s">
        <v>686</v>
      </c>
      <c r="B721" s="280">
        <v>93012</v>
      </c>
      <c r="C721" s="281" t="s">
        <v>155</v>
      </c>
      <c r="D721" s="282" t="s">
        <v>55</v>
      </c>
      <c r="E721" s="285">
        <v>12</v>
      </c>
      <c r="F721" s="283">
        <v>36.47</v>
      </c>
      <c r="G721" s="284">
        <f t="shared" si="111"/>
        <v>45.36</v>
      </c>
      <c r="H721" s="284">
        <f t="shared" si="112"/>
        <v>544.32000000000005</v>
      </c>
      <c r="I721" s="312"/>
      <c r="J721" s="24"/>
      <c r="K721" s="197"/>
      <c r="L721" s="7"/>
      <c r="M721" s="35"/>
      <c r="N721" s="61"/>
      <c r="O721" s="35"/>
      <c r="P721" s="40"/>
      <c r="Q721" s="37"/>
      <c r="R721" s="4"/>
      <c r="S721" s="236">
        <v>12</v>
      </c>
      <c r="T721" s="236">
        <v>36.47</v>
      </c>
      <c r="U721" s="236">
        <v>45.95</v>
      </c>
      <c r="V721" s="236">
        <v>551.4</v>
      </c>
    </row>
    <row r="722" spans="1:22" s="52" customFormat="1" ht="31.2" outlineLevel="1" x14ac:dyDescent="0.25">
      <c r="A722" s="282" t="s">
        <v>687</v>
      </c>
      <c r="B722" s="280" t="s">
        <v>156</v>
      </c>
      <c r="C722" s="281" t="s">
        <v>157</v>
      </c>
      <c r="D722" s="282" t="s">
        <v>44</v>
      </c>
      <c r="E722" s="285">
        <v>1</v>
      </c>
      <c r="F722" s="283">
        <v>852.27</v>
      </c>
      <c r="G722" s="284">
        <f t="shared" si="111"/>
        <v>1060.1300000000001</v>
      </c>
      <c r="H722" s="284">
        <f>TRUNC(E722*G722,2)</f>
        <v>1060.1300000000001</v>
      </c>
      <c r="I722" s="312"/>
      <c r="J722" s="24"/>
      <c r="K722" s="197"/>
      <c r="L722" s="7"/>
      <c r="M722" s="35"/>
      <c r="N722" s="61"/>
      <c r="O722" s="35"/>
      <c r="P722" s="40"/>
      <c r="Q722" s="37"/>
      <c r="R722" s="4"/>
      <c r="S722" s="236">
        <v>1</v>
      </c>
      <c r="T722" s="236">
        <v>852.27</v>
      </c>
      <c r="U722" s="236">
        <v>1073.8599999999999</v>
      </c>
      <c r="V722" s="236">
        <v>1073.8599999999999</v>
      </c>
    </row>
    <row r="723" spans="1:22" s="52" customFormat="1" ht="31.2" outlineLevel="1" x14ac:dyDescent="0.25">
      <c r="A723" s="282" t="s">
        <v>710</v>
      </c>
      <c r="B723" s="280" t="s">
        <v>351</v>
      </c>
      <c r="C723" s="281" t="s">
        <v>352</v>
      </c>
      <c r="D723" s="282" t="s">
        <v>44</v>
      </c>
      <c r="E723" s="285">
        <v>1</v>
      </c>
      <c r="F723" s="283">
        <v>459.34</v>
      </c>
      <c r="G723" s="284">
        <f>TRUNC(F723*$J$13,2)</f>
        <v>571.37</v>
      </c>
      <c r="H723" s="284">
        <f>TRUNC(E723*G723,2)</f>
        <v>571.37</v>
      </c>
      <c r="I723" s="312"/>
      <c r="J723" s="24"/>
      <c r="K723" s="197"/>
      <c r="L723" s="7"/>
      <c r="M723" s="35"/>
      <c r="N723" s="61"/>
      <c r="O723" s="35"/>
      <c r="P723" s="40"/>
      <c r="Q723" s="37"/>
      <c r="R723" s="4"/>
      <c r="S723" s="236">
        <v>1</v>
      </c>
      <c r="T723" s="236">
        <v>459.34</v>
      </c>
      <c r="U723" s="236">
        <v>578.76</v>
      </c>
      <c r="V723" s="236">
        <v>578.76</v>
      </c>
    </row>
    <row r="724" spans="1:22" s="52" customFormat="1" outlineLevel="1" x14ac:dyDescent="0.25">
      <c r="A724" s="279" t="s">
        <v>186</v>
      </c>
      <c r="B724" s="279"/>
      <c r="C724" s="294" t="s">
        <v>161</v>
      </c>
      <c r="D724" s="558"/>
      <c r="E724" s="294"/>
      <c r="F724" s="403"/>
      <c r="G724" s="296" t="s">
        <v>38</v>
      </c>
      <c r="H724" s="558"/>
      <c r="I724" s="400">
        <f>SUM(H725:H736)</f>
        <v>16993.84</v>
      </c>
      <c r="J724" s="24"/>
      <c r="K724" s="197"/>
      <c r="L724" s="317">
        <f>SUM(H725:H736)</f>
        <v>16993.84</v>
      </c>
      <c r="M724" s="35">
        <f>I724-L724</f>
        <v>0</v>
      </c>
      <c r="N724" s="61"/>
      <c r="O724" s="35"/>
      <c r="P724" s="40"/>
      <c r="Q724" s="37"/>
      <c r="R724" s="4"/>
    </row>
    <row r="725" spans="1:22" s="52" customFormat="1" outlineLevel="1" x14ac:dyDescent="0.25">
      <c r="A725" s="282" t="s">
        <v>188</v>
      </c>
      <c r="B725" s="280">
        <v>90447</v>
      </c>
      <c r="C725" s="281" t="s">
        <v>127</v>
      </c>
      <c r="D725" s="282" t="s">
        <v>55</v>
      </c>
      <c r="E725" s="285">
        <v>36</v>
      </c>
      <c r="F725" s="283">
        <v>4.45</v>
      </c>
      <c r="G725" s="284">
        <f t="shared" ref="G725:G736" si="115">TRUNC(F725*$J$13,2)</f>
        <v>5.53</v>
      </c>
      <c r="H725" s="284">
        <f t="shared" ref="H725:H736" si="116">TRUNC(E725*G725,2)</f>
        <v>199.08</v>
      </c>
      <c r="I725" s="283"/>
      <c r="J725" s="24"/>
      <c r="K725" s="197"/>
      <c r="L725" s="7"/>
      <c r="M725" s="35"/>
      <c r="N725" s="61"/>
      <c r="O725" s="35"/>
      <c r="P725" s="40"/>
      <c r="Q725" s="37"/>
      <c r="R725" s="4"/>
      <c r="S725" s="236">
        <v>36</v>
      </c>
      <c r="T725" s="236">
        <v>4.45</v>
      </c>
      <c r="U725" s="236">
        <v>5.6</v>
      </c>
      <c r="V725" s="236">
        <v>201.6</v>
      </c>
    </row>
    <row r="726" spans="1:22" s="52" customFormat="1" ht="31.2" outlineLevel="1" x14ac:dyDescent="0.25">
      <c r="A726" s="282" t="s">
        <v>200</v>
      </c>
      <c r="B726" s="280">
        <v>91836</v>
      </c>
      <c r="C726" s="281" t="s">
        <v>130</v>
      </c>
      <c r="D726" s="282" t="s">
        <v>55</v>
      </c>
      <c r="E726" s="285">
        <v>500</v>
      </c>
      <c r="F726" s="283">
        <v>7.55</v>
      </c>
      <c r="G726" s="284">
        <f t="shared" si="115"/>
        <v>9.39</v>
      </c>
      <c r="H726" s="284">
        <f t="shared" si="116"/>
        <v>4695</v>
      </c>
      <c r="I726" s="283"/>
      <c r="J726" s="24"/>
      <c r="K726" s="197"/>
      <c r="L726" s="7"/>
      <c r="M726" s="35"/>
      <c r="N726" s="61"/>
      <c r="O726" s="35"/>
      <c r="P726" s="40"/>
      <c r="Q726" s="37"/>
      <c r="R726" s="4"/>
      <c r="S726" s="236">
        <v>500</v>
      </c>
      <c r="T726" s="236">
        <v>7.55</v>
      </c>
      <c r="U726" s="236">
        <v>9.51</v>
      </c>
      <c r="V726" s="236">
        <v>4755</v>
      </c>
    </row>
    <row r="727" spans="1:22" s="52" customFormat="1" ht="31.2" outlineLevel="1" x14ac:dyDescent="0.25">
      <c r="A727" s="282" t="s">
        <v>236</v>
      </c>
      <c r="B727" s="280">
        <v>91869</v>
      </c>
      <c r="C727" s="281" t="s">
        <v>132</v>
      </c>
      <c r="D727" s="282" t="s">
        <v>55</v>
      </c>
      <c r="E727" s="285">
        <v>200</v>
      </c>
      <c r="F727" s="283">
        <v>10.32</v>
      </c>
      <c r="G727" s="284">
        <f t="shared" si="115"/>
        <v>12.83</v>
      </c>
      <c r="H727" s="284">
        <f t="shared" si="116"/>
        <v>2566</v>
      </c>
      <c r="I727" s="283"/>
      <c r="J727" s="24"/>
      <c r="K727" s="197"/>
      <c r="L727" s="7"/>
      <c r="M727" s="35"/>
      <c r="N727" s="61"/>
      <c r="O727" s="35"/>
      <c r="P727" s="40"/>
      <c r="Q727" s="37"/>
      <c r="R727" s="4"/>
      <c r="S727" s="236">
        <v>200</v>
      </c>
      <c r="T727" s="236">
        <v>10.32</v>
      </c>
      <c r="U727" s="236">
        <v>13</v>
      </c>
      <c r="V727" s="236">
        <v>2600</v>
      </c>
    </row>
    <row r="728" spans="1:22" s="52" customFormat="1" outlineLevel="1" x14ac:dyDescent="0.25">
      <c r="A728" s="282" t="s">
        <v>237</v>
      </c>
      <c r="B728" s="280">
        <v>91941</v>
      </c>
      <c r="C728" s="281" t="s">
        <v>150</v>
      </c>
      <c r="D728" s="282" t="s">
        <v>44</v>
      </c>
      <c r="E728" s="285">
        <v>60</v>
      </c>
      <c r="F728" s="283">
        <v>6.8</v>
      </c>
      <c r="G728" s="284">
        <f t="shared" si="115"/>
        <v>8.4499999999999993</v>
      </c>
      <c r="H728" s="284">
        <f t="shared" si="116"/>
        <v>507</v>
      </c>
      <c r="I728" s="283"/>
      <c r="J728" s="24"/>
      <c r="K728" s="197"/>
      <c r="L728" s="7"/>
      <c r="M728" s="35"/>
      <c r="N728" s="61"/>
      <c r="O728" s="35"/>
      <c r="P728" s="40"/>
      <c r="Q728" s="37"/>
      <c r="R728" s="4"/>
      <c r="S728" s="236">
        <v>60</v>
      </c>
      <c r="T728" s="236">
        <v>6.8</v>
      </c>
      <c r="U728" s="236">
        <v>8.56</v>
      </c>
      <c r="V728" s="236">
        <v>513.6</v>
      </c>
    </row>
    <row r="729" spans="1:22" s="52" customFormat="1" outlineLevel="1" x14ac:dyDescent="0.25">
      <c r="A729" s="282" t="s">
        <v>238</v>
      </c>
      <c r="B729" s="280">
        <v>95778</v>
      </c>
      <c r="C729" s="281" t="s">
        <v>168</v>
      </c>
      <c r="D729" s="282" t="s">
        <v>55</v>
      </c>
      <c r="E729" s="285">
        <v>36</v>
      </c>
      <c r="F729" s="283">
        <v>20.28</v>
      </c>
      <c r="G729" s="284">
        <f t="shared" si="115"/>
        <v>25.22</v>
      </c>
      <c r="H729" s="284">
        <f t="shared" si="116"/>
        <v>907.92</v>
      </c>
      <c r="I729" s="283"/>
      <c r="J729" s="24"/>
      <c r="K729" s="197"/>
      <c r="L729" s="7"/>
      <c r="M729" s="35"/>
      <c r="N729" s="61"/>
      <c r="O729" s="35"/>
      <c r="P729" s="40"/>
      <c r="Q729" s="37"/>
      <c r="R729" s="4"/>
      <c r="S729" s="236">
        <v>36</v>
      </c>
      <c r="T729" s="236">
        <v>20.28</v>
      </c>
      <c r="U729" s="236">
        <v>25.55</v>
      </c>
      <c r="V729" s="236">
        <v>919.8</v>
      </c>
    </row>
    <row r="730" spans="1:22" s="52" customFormat="1" outlineLevel="1" x14ac:dyDescent="0.25">
      <c r="A730" s="282" t="s">
        <v>239</v>
      </c>
      <c r="B730" s="292">
        <v>98296</v>
      </c>
      <c r="C730" s="291" t="s">
        <v>172</v>
      </c>
      <c r="D730" s="282" t="s">
        <v>55</v>
      </c>
      <c r="E730" s="285">
        <v>600</v>
      </c>
      <c r="F730" s="283">
        <v>2.52</v>
      </c>
      <c r="G730" s="284">
        <f t="shared" si="115"/>
        <v>3.13</v>
      </c>
      <c r="H730" s="284">
        <f t="shared" si="116"/>
        <v>1878</v>
      </c>
      <c r="I730" s="283"/>
      <c r="J730" s="24"/>
      <c r="K730" s="197"/>
      <c r="L730" s="7"/>
      <c r="M730" s="35"/>
      <c r="N730" s="61"/>
      <c r="O730" s="35"/>
      <c r="P730" s="40"/>
      <c r="Q730" s="37"/>
      <c r="R730" s="4"/>
      <c r="S730" s="236">
        <v>600</v>
      </c>
      <c r="T730" s="501">
        <v>1.65</v>
      </c>
      <c r="U730" s="236">
        <v>2.0699999999999998</v>
      </c>
      <c r="V730" s="236">
        <v>1242</v>
      </c>
    </row>
    <row r="731" spans="1:22" s="52" customFormat="1" outlineLevel="1" x14ac:dyDescent="0.25">
      <c r="A731" s="282" t="s">
        <v>240</v>
      </c>
      <c r="B731" s="280">
        <v>98302</v>
      </c>
      <c r="C731" s="289" t="s">
        <v>174</v>
      </c>
      <c r="D731" s="282" t="s">
        <v>44</v>
      </c>
      <c r="E731" s="285">
        <v>1</v>
      </c>
      <c r="F731" s="283">
        <v>497.66</v>
      </c>
      <c r="G731" s="284">
        <f t="shared" si="115"/>
        <v>619.03</v>
      </c>
      <c r="H731" s="284">
        <f t="shared" si="116"/>
        <v>619.03</v>
      </c>
      <c r="I731" s="283"/>
      <c r="J731" s="24"/>
      <c r="K731" s="197"/>
      <c r="L731" s="7"/>
      <c r="M731" s="35"/>
      <c r="N731" s="61"/>
      <c r="O731" s="35"/>
      <c r="P731" s="40"/>
      <c r="Q731" s="37"/>
      <c r="R731" s="4"/>
      <c r="S731" s="236">
        <v>1</v>
      </c>
      <c r="T731" s="236">
        <v>497.66</v>
      </c>
      <c r="U731" s="236">
        <v>627.04999999999995</v>
      </c>
      <c r="V731" s="236">
        <v>627.04999999999995</v>
      </c>
    </row>
    <row r="732" spans="1:22" s="52" customFormat="1" outlineLevel="1" x14ac:dyDescent="0.25">
      <c r="A732" s="282" t="s">
        <v>241</v>
      </c>
      <c r="B732" s="280">
        <v>98593</v>
      </c>
      <c r="C732" s="293" t="s">
        <v>176</v>
      </c>
      <c r="D732" s="282" t="s">
        <v>44</v>
      </c>
      <c r="E732" s="285">
        <v>2</v>
      </c>
      <c r="F732" s="283">
        <v>650.59</v>
      </c>
      <c r="G732" s="284">
        <f t="shared" si="115"/>
        <v>809.26</v>
      </c>
      <c r="H732" s="284">
        <f t="shared" si="116"/>
        <v>1618.52</v>
      </c>
      <c r="I732" s="283"/>
      <c r="J732" s="24"/>
      <c r="K732" s="197"/>
      <c r="L732" s="7"/>
      <c r="M732" s="35"/>
      <c r="N732" s="61"/>
      <c r="O732" s="35"/>
      <c r="P732" s="40"/>
      <c r="Q732" s="37"/>
      <c r="R732" s="4"/>
      <c r="S732" s="236">
        <v>2</v>
      </c>
      <c r="T732" s="236">
        <v>650.59</v>
      </c>
      <c r="U732" s="236">
        <v>819.74</v>
      </c>
      <c r="V732" s="236">
        <v>1639.48</v>
      </c>
    </row>
    <row r="733" spans="1:22" s="52" customFormat="1" outlineLevel="1" x14ac:dyDescent="0.25">
      <c r="A733" s="282" t="s">
        <v>242</v>
      </c>
      <c r="B733" s="280" t="s">
        <v>652</v>
      </c>
      <c r="C733" s="289" t="s">
        <v>406</v>
      </c>
      <c r="D733" s="282" t="s">
        <v>44</v>
      </c>
      <c r="E733" s="285">
        <v>2</v>
      </c>
      <c r="F733" s="283">
        <v>3.63</v>
      </c>
      <c r="G733" s="284">
        <f t="shared" si="115"/>
        <v>4.51</v>
      </c>
      <c r="H733" s="284">
        <f t="shared" si="116"/>
        <v>9.02</v>
      </c>
      <c r="I733" s="283"/>
      <c r="J733" s="24"/>
      <c r="K733" s="197"/>
      <c r="L733" s="7"/>
      <c r="M733" s="35"/>
      <c r="N733" s="61"/>
      <c r="O733" s="35"/>
      <c r="P733" s="40"/>
      <c r="Q733" s="37"/>
      <c r="R733" s="4"/>
      <c r="S733" s="236">
        <v>2</v>
      </c>
      <c r="T733" s="236">
        <v>3.65</v>
      </c>
      <c r="U733" s="236">
        <v>4.59</v>
      </c>
      <c r="V733" s="236">
        <v>9.18</v>
      </c>
    </row>
    <row r="734" spans="1:22" s="52" customFormat="1" ht="31.2" outlineLevel="1" x14ac:dyDescent="0.25">
      <c r="A734" s="282" t="s">
        <v>243</v>
      </c>
      <c r="B734" s="280" t="s">
        <v>178</v>
      </c>
      <c r="C734" s="289" t="s">
        <v>407</v>
      </c>
      <c r="D734" s="282" t="s">
        <v>44</v>
      </c>
      <c r="E734" s="285">
        <v>1</v>
      </c>
      <c r="F734" s="283">
        <f>'COMPOSIÇÃO SINAPI W MENDES'!G1462</f>
        <v>1488.24</v>
      </c>
      <c r="G734" s="284">
        <f t="shared" si="115"/>
        <v>1851.22</v>
      </c>
      <c r="H734" s="284">
        <f t="shared" si="116"/>
        <v>1851.22</v>
      </c>
      <c r="I734" s="283"/>
      <c r="J734" s="24"/>
      <c r="K734" s="197"/>
      <c r="L734" s="7"/>
      <c r="M734" s="35"/>
      <c r="N734" s="61"/>
      <c r="O734" s="35"/>
      <c r="P734" s="40"/>
      <c r="Q734" s="37"/>
      <c r="R734" s="4"/>
      <c r="S734" s="236">
        <v>1</v>
      </c>
      <c r="T734" s="236">
        <v>1489.4</v>
      </c>
      <c r="U734" s="236">
        <v>1876.64</v>
      </c>
      <c r="V734" s="236">
        <v>1876.64</v>
      </c>
    </row>
    <row r="735" spans="1:22" s="52" customFormat="1" outlineLevel="1" x14ac:dyDescent="0.25">
      <c r="A735" s="282" t="s">
        <v>244</v>
      </c>
      <c r="B735" s="280">
        <v>98307</v>
      </c>
      <c r="C735" s="281" t="s">
        <v>182</v>
      </c>
      <c r="D735" s="282" t="s">
        <v>44</v>
      </c>
      <c r="E735" s="285">
        <v>60</v>
      </c>
      <c r="F735" s="283">
        <v>27.38</v>
      </c>
      <c r="G735" s="284">
        <f t="shared" si="115"/>
        <v>34.049999999999997</v>
      </c>
      <c r="H735" s="284">
        <f t="shared" si="116"/>
        <v>2043</v>
      </c>
      <c r="I735" s="283"/>
      <c r="J735" s="24"/>
      <c r="K735" s="197"/>
      <c r="L735" s="7"/>
      <c r="M735" s="35"/>
      <c r="N735" s="61"/>
      <c r="O735" s="35"/>
      <c r="P735" s="40"/>
      <c r="Q735" s="37"/>
      <c r="R735" s="4"/>
      <c r="S735" s="236">
        <v>60</v>
      </c>
      <c r="T735" s="236">
        <v>27.38</v>
      </c>
      <c r="U735" s="236">
        <v>34.49</v>
      </c>
      <c r="V735" s="236">
        <v>2069.4</v>
      </c>
    </row>
    <row r="736" spans="1:22" s="52" customFormat="1" ht="31.2" outlineLevel="1" x14ac:dyDescent="0.25">
      <c r="A736" s="282" t="s">
        <v>368</v>
      </c>
      <c r="B736" s="280">
        <v>100560</v>
      </c>
      <c r="C736" s="281" t="s">
        <v>184</v>
      </c>
      <c r="D736" s="282" t="s">
        <v>185</v>
      </c>
      <c r="E736" s="285">
        <v>1</v>
      </c>
      <c r="F736" s="283">
        <v>80.44</v>
      </c>
      <c r="G736" s="284">
        <f t="shared" si="115"/>
        <v>100.05</v>
      </c>
      <c r="H736" s="284">
        <f t="shared" si="116"/>
        <v>100.05</v>
      </c>
      <c r="I736" s="283"/>
      <c r="J736" s="24"/>
      <c r="K736" s="197"/>
      <c r="L736" s="7"/>
      <c r="M736" s="35"/>
      <c r="N736" s="61"/>
      <c r="O736" s="35"/>
      <c r="P736" s="40"/>
      <c r="Q736" s="37"/>
      <c r="R736" s="4"/>
      <c r="S736" s="236">
        <v>1</v>
      </c>
      <c r="T736" s="236">
        <v>80.44</v>
      </c>
      <c r="U736" s="236">
        <v>101.35</v>
      </c>
      <c r="V736" s="236">
        <v>101.35</v>
      </c>
    </row>
    <row r="737" spans="1:22" s="52" customFormat="1" outlineLevel="1" x14ac:dyDescent="0.25">
      <c r="A737" s="279" t="s">
        <v>206</v>
      </c>
      <c r="B737" s="279"/>
      <c r="C737" s="294" t="s">
        <v>187</v>
      </c>
      <c r="D737" s="558"/>
      <c r="E737" s="296"/>
      <c r="F737" s="403"/>
      <c r="G737" s="296" t="s">
        <v>38</v>
      </c>
      <c r="H737" s="558"/>
      <c r="I737" s="400">
        <f>SUM(H738:H749)</f>
        <v>4864.1500000000005</v>
      </c>
      <c r="J737" s="24"/>
      <c r="K737" s="197"/>
      <c r="L737" s="317">
        <f>SUM(H739:H749)</f>
        <v>4864.1500000000005</v>
      </c>
      <c r="M737" s="35">
        <f>I737-L737</f>
        <v>0</v>
      </c>
      <c r="N737" s="61"/>
      <c r="O737" s="35"/>
      <c r="P737" s="40"/>
      <c r="Q737" s="37"/>
      <c r="R737" s="4"/>
    </row>
    <row r="738" spans="1:22" s="52" customFormat="1" outlineLevel="1" x14ac:dyDescent="0.25">
      <c r="A738" s="279" t="s">
        <v>208</v>
      </c>
      <c r="B738" s="280"/>
      <c r="C738" s="294" t="s">
        <v>189</v>
      </c>
      <c r="D738" s="282"/>
      <c r="E738" s="288"/>
      <c r="F738" s="297"/>
      <c r="G738" s="288"/>
      <c r="H738" s="298"/>
      <c r="I738" s="312"/>
      <c r="J738" s="24"/>
      <c r="K738" s="197"/>
      <c r="L738" s="7"/>
      <c r="M738" s="35"/>
      <c r="N738" s="61"/>
      <c r="O738" s="35"/>
      <c r="P738" s="40"/>
      <c r="Q738" s="37"/>
      <c r="R738" s="4"/>
    </row>
    <row r="739" spans="1:22" s="52" customFormat="1" outlineLevel="1" x14ac:dyDescent="0.25">
      <c r="A739" s="282" t="s">
        <v>688</v>
      </c>
      <c r="B739" s="280">
        <v>90443</v>
      </c>
      <c r="C739" s="281" t="s">
        <v>190</v>
      </c>
      <c r="D739" s="282" t="s">
        <v>55</v>
      </c>
      <c r="E739" s="285">
        <v>12</v>
      </c>
      <c r="F739" s="283">
        <v>8.9499999999999993</v>
      </c>
      <c r="G739" s="284">
        <f>TRUNC(F739*$J$13,2)</f>
        <v>11.13</v>
      </c>
      <c r="H739" s="284">
        <f>TRUNC(E739*G739,2)</f>
        <v>133.56</v>
      </c>
      <c r="I739" s="312"/>
      <c r="J739" s="24"/>
      <c r="K739" s="197"/>
      <c r="L739" s="7"/>
      <c r="M739" s="35"/>
      <c r="N739" s="61"/>
      <c r="O739" s="35"/>
      <c r="P739" s="40"/>
      <c r="Q739" s="37"/>
      <c r="R739" s="4"/>
      <c r="S739" s="236">
        <v>12</v>
      </c>
      <c r="T739" s="236">
        <v>8.9499999999999993</v>
      </c>
      <c r="U739" s="236">
        <v>11.27</v>
      </c>
      <c r="V739" s="236">
        <v>135.24</v>
      </c>
    </row>
    <row r="740" spans="1:22" s="52" customFormat="1" outlineLevel="1" x14ac:dyDescent="0.25">
      <c r="A740" s="282" t="s">
        <v>689</v>
      </c>
      <c r="B740" s="280">
        <v>86895</v>
      </c>
      <c r="C740" s="281" t="s">
        <v>191</v>
      </c>
      <c r="D740" s="282" t="s">
        <v>44</v>
      </c>
      <c r="E740" s="285">
        <v>4</v>
      </c>
      <c r="F740" s="283">
        <v>269.19</v>
      </c>
      <c r="G740" s="284">
        <f>TRUNC(F740*$J$13,2)</f>
        <v>334.84</v>
      </c>
      <c r="H740" s="284">
        <f>TRUNC(E740*G740,2)</f>
        <v>1339.36</v>
      </c>
      <c r="I740" s="312"/>
      <c r="J740" s="24"/>
      <c r="K740" s="197"/>
      <c r="L740" s="7"/>
      <c r="M740" s="35"/>
      <c r="N740" s="61"/>
      <c r="O740" s="35"/>
      <c r="P740" s="40"/>
      <c r="Q740" s="37"/>
      <c r="R740" s="4"/>
      <c r="S740" s="236">
        <v>4</v>
      </c>
      <c r="T740" s="236">
        <v>269.19</v>
      </c>
      <c r="U740" s="236">
        <v>339.17</v>
      </c>
      <c r="V740" s="236">
        <v>1356.68</v>
      </c>
    </row>
    <row r="741" spans="1:22" s="52" customFormat="1" outlineLevel="1" x14ac:dyDescent="0.25">
      <c r="A741" s="282" t="s">
        <v>690</v>
      </c>
      <c r="B741" s="280">
        <v>86901</v>
      </c>
      <c r="C741" s="281" t="s">
        <v>192</v>
      </c>
      <c r="D741" s="282" t="s">
        <v>44</v>
      </c>
      <c r="E741" s="285">
        <v>4</v>
      </c>
      <c r="F741" s="283">
        <v>108.45</v>
      </c>
      <c r="G741" s="284">
        <f>TRUNC(F741*$J$13,2)</f>
        <v>134.9</v>
      </c>
      <c r="H741" s="284">
        <f>TRUNC(E741*G741,2)</f>
        <v>539.6</v>
      </c>
      <c r="I741" s="312"/>
      <c r="J741" s="24"/>
      <c r="K741" s="197"/>
      <c r="L741" s="7"/>
      <c r="M741" s="35"/>
      <c r="N741" s="61"/>
      <c r="O741" s="35"/>
      <c r="P741" s="40"/>
      <c r="Q741" s="37"/>
      <c r="R741" s="4"/>
      <c r="S741" s="236">
        <v>4</v>
      </c>
      <c r="T741" s="236">
        <v>108.45</v>
      </c>
      <c r="U741" s="236">
        <v>136.63999999999999</v>
      </c>
      <c r="V741" s="236">
        <v>546.55999999999995</v>
      </c>
    </row>
    <row r="742" spans="1:22" s="52" customFormat="1" outlineLevel="1" x14ac:dyDescent="0.25">
      <c r="A742" s="282" t="s">
        <v>691</v>
      </c>
      <c r="B742" s="280">
        <v>86915</v>
      </c>
      <c r="C742" s="281" t="s">
        <v>193</v>
      </c>
      <c r="D742" s="282" t="s">
        <v>44</v>
      </c>
      <c r="E742" s="285">
        <v>4</v>
      </c>
      <c r="F742" s="283">
        <v>84.78</v>
      </c>
      <c r="G742" s="284">
        <f>TRUNC(F742*$J$13,2)</f>
        <v>105.45</v>
      </c>
      <c r="H742" s="284">
        <f>TRUNC(E742*G742,2)</f>
        <v>421.8</v>
      </c>
      <c r="I742" s="312"/>
      <c r="J742" s="24"/>
      <c r="K742" s="197"/>
      <c r="L742" s="7"/>
      <c r="M742" s="35"/>
      <c r="N742" s="61"/>
      <c r="O742" s="35"/>
      <c r="P742" s="40"/>
      <c r="Q742" s="37"/>
      <c r="R742" s="4"/>
      <c r="S742" s="236">
        <v>4</v>
      </c>
      <c r="T742" s="236">
        <v>84.78</v>
      </c>
      <c r="U742" s="236">
        <v>106.82</v>
      </c>
      <c r="V742" s="236">
        <v>427.28</v>
      </c>
    </row>
    <row r="743" spans="1:22" s="52" customFormat="1" outlineLevel="1" x14ac:dyDescent="0.25">
      <c r="A743" s="282" t="s">
        <v>692</v>
      </c>
      <c r="B743" s="280">
        <v>99635</v>
      </c>
      <c r="C743" s="281" t="s">
        <v>194</v>
      </c>
      <c r="D743" s="282" t="s">
        <v>44</v>
      </c>
      <c r="E743" s="285">
        <v>2</v>
      </c>
      <c r="F743" s="283">
        <v>184.35</v>
      </c>
      <c r="G743" s="284">
        <f>TRUNC(F743*$J$13,2)</f>
        <v>229.31</v>
      </c>
      <c r="H743" s="284">
        <f>TRUNC(E743*G743,2)</f>
        <v>458.62</v>
      </c>
      <c r="I743" s="312"/>
      <c r="J743" s="24"/>
      <c r="K743" s="197"/>
      <c r="L743" s="7"/>
      <c r="M743" s="35"/>
      <c r="N743" s="61"/>
      <c r="O743" s="35"/>
      <c r="P743" s="40"/>
      <c r="Q743" s="37"/>
      <c r="R743" s="4"/>
      <c r="S743" s="236">
        <v>2</v>
      </c>
      <c r="T743" s="236">
        <v>184.35</v>
      </c>
      <c r="U743" s="236">
        <v>232.28</v>
      </c>
      <c r="V743" s="236">
        <v>464.56</v>
      </c>
    </row>
    <row r="744" spans="1:22" s="52" customFormat="1" outlineLevel="1" x14ac:dyDescent="0.25">
      <c r="A744" s="279" t="s">
        <v>252</v>
      </c>
      <c r="B744" s="280"/>
      <c r="C744" s="294" t="s">
        <v>201</v>
      </c>
      <c r="D744" s="282"/>
      <c r="E744" s="285"/>
      <c r="F744" s="283"/>
      <c r="G744" s="284"/>
      <c r="H744" s="284"/>
      <c r="I744" s="312"/>
      <c r="J744" s="24"/>
      <c r="K744" s="197"/>
      <c r="L744" s="7"/>
      <c r="M744" s="35"/>
      <c r="N744" s="61"/>
      <c r="O744" s="35"/>
      <c r="P744" s="40"/>
      <c r="Q744" s="37"/>
      <c r="R744" s="4"/>
      <c r="S744" s="236"/>
      <c r="T744" s="236"/>
      <c r="U744" s="236"/>
      <c r="V744" s="236"/>
    </row>
    <row r="745" spans="1:22" s="52" customFormat="1" outlineLevel="1" x14ac:dyDescent="0.25">
      <c r="A745" s="282" t="s">
        <v>698</v>
      </c>
      <c r="B745" s="280">
        <v>95544</v>
      </c>
      <c r="C745" s="281" t="s">
        <v>202</v>
      </c>
      <c r="D745" s="282" t="s">
        <v>44</v>
      </c>
      <c r="E745" s="285">
        <v>4</v>
      </c>
      <c r="F745" s="283">
        <v>30.21</v>
      </c>
      <c r="G745" s="284">
        <f>TRUNC(F745*$J$13,2)</f>
        <v>37.57</v>
      </c>
      <c r="H745" s="284">
        <f>TRUNC(E745*G745,2)</f>
        <v>150.28</v>
      </c>
      <c r="I745" s="312"/>
      <c r="J745" s="24"/>
      <c r="K745" s="197"/>
      <c r="L745" s="7"/>
      <c r="M745" s="35"/>
      <c r="N745" s="61"/>
      <c r="O745" s="35"/>
      <c r="P745" s="40"/>
      <c r="Q745" s="37"/>
      <c r="R745" s="4"/>
      <c r="S745" s="236">
        <v>4</v>
      </c>
      <c r="T745" s="236">
        <v>30.21</v>
      </c>
      <c r="U745" s="236">
        <v>38.06</v>
      </c>
      <c r="V745" s="236">
        <v>152.24</v>
      </c>
    </row>
    <row r="746" spans="1:22" s="52" customFormat="1" outlineLevel="1" x14ac:dyDescent="0.25">
      <c r="A746" s="282" t="s">
        <v>699</v>
      </c>
      <c r="B746" s="280">
        <v>95545</v>
      </c>
      <c r="C746" s="281" t="s">
        <v>357</v>
      </c>
      <c r="D746" s="282" t="s">
        <v>44</v>
      </c>
      <c r="E746" s="285">
        <v>4</v>
      </c>
      <c r="F746" s="283">
        <v>29.63</v>
      </c>
      <c r="G746" s="284">
        <f>TRUNC(F746*$J$13,2)</f>
        <v>36.85</v>
      </c>
      <c r="H746" s="284">
        <f>TRUNC(E746*G746,2)</f>
        <v>147.4</v>
      </c>
      <c r="I746" s="312"/>
      <c r="J746" s="24"/>
      <c r="K746" s="197"/>
      <c r="L746" s="7"/>
      <c r="M746" s="35"/>
      <c r="N746" s="61"/>
      <c r="O746" s="35"/>
      <c r="P746" s="40"/>
      <c r="Q746" s="37"/>
      <c r="R746" s="4"/>
      <c r="S746" s="236">
        <v>4</v>
      </c>
      <c r="T746" s="236">
        <v>29.63</v>
      </c>
      <c r="U746" s="236">
        <v>37.33</v>
      </c>
      <c r="V746" s="236">
        <v>149.32</v>
      </c>
    </row>
    <row r="747" spans="1:22" s="52" customFormat="1" outlineLevel="1" x14ac:dyDescent="0.25">
      <c r="A747" s="282" t="s">
        <v>700</v>
      </c>
      <c r="B747" s="280" t="s">
        <v>810</v>
      </c>
      <c r="C747" s="281" t="s">
        <v>808</v>
      </c>
      <c r="D747" s="295" t="s">
        <v>185</v>
      </c>
      <c r="E747" s="285">
        <v>2</v>
      </c>
      <c r="F747" s="283">
        <f>'COMPOSIÇÃO SINAPI W MENDES'!G4585</f>
        <v>234.28</v>
      </c>
      <c r="G747" s="284">
        <f>TRUNC(F747*$J$13,2)</f>
        <v>291.42</v>
      </c>
      <c r="H747" s="284">
        <f>TRUNC(E747*G747,2)</f>
        <v>582.84</v>
      </c>
      <c r="I747" s="312"/>
      <c r="J747" s="24"/>
      <c r="K747" s="197"/>
      <c r="L747" s="7"/>
      <c r="M747" s="35"/>
      <c r="N747" s="61"/>
      <c r="O747" s="35"/>
      <c r="P747" s="40"/>
      <c r="Q747" s="37"/>
      <c r="R747" s="4"/>
      <c r="S747" s="236">
        <v>2</v>
      </c>
      <c r="T747" s="236">
        <v>234.43</v>
      </c>
      <c r="U747" s="236">
        <v>295.38</v>
      </c>
      <c r="V747" s="236">
        <v>590.76</v>
      </c>
    </row>
    <row r="748" spans="1:22" s="52" customFormat="1" outlineLevel="1" x14ac:dyDescent="0.25">
      <c r="A748" s="282" t="s">
        <v>701</v>
      </c>
      <c r="B748" s="280" t="s">
        <v>811</v>
      </c>
      <c r="C748" s="281" t="s">
        <v>809</v>
      </c>
      <c r="D748" s="295" t="s">
        <v>185</v>
      </c>
      <c r="E748" s="285">
        <v>1</v>
      </c>
      <c r="F748" s="283">
        <f>'COMPOSIÇÃO SINAPI W MENDES'!G4591</f>
        <v>198.73999999999998</v>
      </c>
      <c r="G748" s="284">
        <f>TRUNC(F748*$J$13,2)</f>
        <v>247.21</v>
      </c>
      <c r="H748" s="284">
        <f>TRUNC(E748*G748,2)</f>
        <v>247.21</v>
      </c>
      <c r="I748" s="312"/>
      <c r="J748" s="24"/>
      <c r="K748" s="197"/>
      <c r="L748" s="7"/>
      <c r="M748" s="35"/>
      <c r="N748" s="61"/>
      <c r="O748" s="35"/>
      <c r="P748" s="40"/>
      <c r="Q748" s="37"/>
      <c r="R748" s="4"/>
      <c r="S748" s="236">
        <v>1</v>
      </c>
      <c r="T748" s="236">
        <v>198.89</v>
      </c>
      <c r="U748" s="236">
        <v>250.6</v>
      </c>
      <c r="V748" s="236">
        <v>250.6</v>
      </c>
    </row>
    <row r="749" spans="1:22" s="52" customFormat="1" ht="31.2" outlineLevel="1" x14ac:dyDescent="0.25">
      <c r="A749" s="282" t="s">
        <v>816</v>
      </c>
      <c r="B749" s="280">
        <v>95470</v>
      </c>
      <c r="C749" s="281" t="s">
        <v>205</v>
      </c>
      <c r="D749" s="282" t="s">
        <v>44</v>
      </c>
      <c r="E749" s="285">
        <v>4</v>
      </c>
      <c r="F749" s="283">
        <v>169.53</v>
      </c>
      <c r="G749" s="284">
        <f>TRUNC(F749*$J$13,2)</f>
        <v>210.87</v>
      </c>
      <c r="H749" s="284">
        <f>TRUNC(E749*G749,2)</f>
        <v>843.48</v>
      </c>
      <c r="I749" s="312"/>
      <c r="J749" s="24"/>
      <c r="K749" s="197"/>
      <c r="L749" s="7"/>
      <c r="M749" s="35"/>
      <c r="N749" s="61"/>
      <c r="O749" s="35"/>
      <c r="P749" s="40"/>
      <c r="Q749" s="37"/>
      <c r="R749" s="4"/>
      <c r="S749" s="236">
        <v>4</v>
      </c>
      <c r="T749" s="236">
        <v>169.53</v>
      </c>
      <c r="U749" s="236">
        <v>213.6</v>
      </c>
      <c r="V749" s="236">
        <v>854.4</v>
      </c>
    </row>
    <row r="750" spans="1:22" s="52" customFormat="1" outlineLevel="1" x14ac:dyDescent="0.25">
      <c r="A750" s="279" t="s">
        <v>211</v>
      </c>
      <c r="B750" s="279"/>
      <c r="C750" s="294" t="s">
        <v>207</v>
      </c>
      <c r="D750" s="558"/>
      <c r="E750" s="294"/>
      <c r="F750" s="403"/>
      <c r="G750" s="296" t="s">
        <v>38</v>
      </c>
      <c r="H750" s="294"/>
      <c r="I750" s="400">
        <f>SUM(H751:H751)</f>
        <v>1147.8399999999999</v>
      </c>
      <c r="J750" s="24"/>
      <c r="K750" s="197"/>
      <c r="L750" s="317">
        <f>SUM(H751)</f>
        <v>1147.8399999999999</v>
      </c>
      <c r="M750" s="35">
        <f>I750-L750</f>
        <v>0</v>
      </c>
      <c r="N750" s="61"/>
      <c r="O750" s="35"/>
      <c r="P750" s="40"/>
      <c r="Q750" s="37"/>
      <c r="R750" s="4"/>
    </row>
    <row r="751" spans="1:22" s="52" customFormat="1" ht="31.2" outlineLevel="1" x14ac:dyDescent="0.25">
      <c r="A751" s="282" t="s">
        <v>213</v>
      </c>
      <c r="B751" s="280">
        <v>72181</v>
      </c>
      <c r="C751" s="291" t="s">
        <v>210</v>
      </c>
      <c r="D751" s="282" t="s">
        <v>24</v>
      </c>
      <c r="E751" s="285">
        <v>32</v>
      </c>
      <c r="F751" s="283">
        <v>28.84</v>
      </c>
      <c r="G751" s="284">
        <f>TRUNC(F751*$J$13,2)</f>
        <v>35.869999999999997</v>
      </c>
      <c r="H751" s="284">
        <f>TRUNC(E751*G751,2)</f>
        <v>1147.8399999999999</v>
      </c>
      <c r="I751" s="297"/>
      <c r="J751" s="24"/>
      <c r="K751" s="197"/>
      <c r="L751" s="7"/>
      <c r="M751" s="35"/>
      <c r="N751" s="61"/>
      <c r="O751" s="35"/>
      <c r="P751" s="40"/>
      <c r="Q751" s="37"/>
      <c r="R751" s="4"/>
      <c r="S751" s="236">
        <v>32</v>
      </c>
      <c r="T751" s="236">
        <v>28.84</v>
      </c>
      <c r="U751" s="236">
        <v>36.33</v>
      </c>
      <c r="V751" s="236">
        <v>1162.56</v>
      </c>
    </row>
    <row r="752" spans="1:22" s="52" customFormat="1" outlineLevel="1" x14ac:dyDescent="0.25">
      <c r="A752" s="282"/>
      <c r="B752" s="280"/>
      <c r="C752" s="291"/>
      <c r="D752" s="282"/>
      <c r="E752" s="285"/>
      <c r="F752" s="305"/>
      <c r="G752" s="284"/>
      <c r="H752" s="284"/>
      <c r="I752" s="401"/>
      <c r="J752" s="24"/>
      <c r="K752" s="197"/>
      <c r="L752" s="7"/>
      <c r="M752" s="35"/>
      <c r="N752" s="61"/>
      <c r="O752" s="35"/>
      <c r="P752" s="40"/>
      <c r="Q752" s="37"/>
      <c r="R752" s="4"/>
    </row>
    <row r="753" spans="1:22" s="52" customFormat="1" outlineLevel="1" x14ac:dyDescent="0.25">
      <c r="A753" s="279" t="s">
        <v>299</v>
      </c>
      <c r="B753" s="296"/>
      <c r="C753" s="294" t="s">
        <v>212</v>
      </c>
      <c r="D753" s="558"/>
      <c r="E753" s="294"/>
      <c r="F753" s="403"/>
      <c r="G753" s="294"/>
      <c r="H753" s="558"/>
      <c r="I753" s="404">
        <f>SUM(H754:H754)</f>
        <v>3858.12</v>
      </c>
      <c r="J753" s="24"/>
      <c r="K753" s="197"/>
      <c r="L753" s="317">
        <f>SUM(H754)</f>
        <v>3858.12</v>
      </c>
      <c r="M753" s="35">
        <f>I753-L753</f>
        <v>0</v>
      </c>
      <c r="N753" s="61"/>
      <c r="O753" s="35"/>
      <c r="P753" s="40"/>
      <c r="Q753" s="37"/>
      <c r="R753" s="4"/>
    </row>
    <row r="754" spans="1:22" s="52" customFormat="1" outlineLevel="1" x14ac:dyDescent="0.25">
      <c r="A754" s="282" t="s">
        <v>300</v>
      </c>
      <c r="B754" s="280">
        <v>96114</v>
      </c>
      <c r="C754" s="289" t="s">
        <v>639</v>
      </c>
      <c r="D754" s="282" t="s">
        <v>24</v>
      </c>
      <c r="E754" s="285">
        <v>63</v>
      </c>
      <c r="F754" s="283">
        <f>'COMPOSIÇÃO SINAPI W MENDES'!G4618</f>
        <v>49.239999999999995</v>
      </c>
      <c r="G754" s="284">
        <f>TRUNC(F754*$J$13,2)</f>
        <v>61.24</v>
      </c>
      <c r="H754" s="284">
        <f>TRUNC(E754*G754,2)</f>
        <v>3858.12</v>
      </c>
      <c r="I754" s="297"/>
      <c r="J754" s="24"/>
      <c r="K754" s="197"/>
      <c r="L754" s="7"/>
      <c r="M754" s="35"/>
      <c r="N754" s="61"/>
      <c r="O754" s="35"/>
      <c r="P754" s="40"/>
      <c r="Q754" s="37"/>
      <c r="R754" s="4"/>
      <c r="S754" s="236">
        <v>63</v>
      </c>
      <c r="T754" s="236">
        <v>56.98</v>
      </c>
      <c r="U754" s="236">
        <v>71.790000000000006</v>
      </c>
      <c r="V754" s="236">
        <v>4522.7700000000004</v>
      </c>
    </row>
    <row r="755" spans="1:22" s="52" customFormat="1" x14ac:dyDescent="0.25">
      <c r="A755" s="282"/>
      <c r="B755" s="282"/>
      <c r="C755" s="282"/>
      <c r="D755" s="282"/>
      <c r="E755" s="285"/>
      <c r="F755" s="305"/>
      <c r="G755" s="284"/>
      <c r="H755" s="287"/>
      <c r="I755" s="401"/>
      <c r="J755" s="24"/>
      <c r="K755" s="197"/>
      <c r="L755" s="7"/>
      <c r="M755" s="35"/>
      <c r="N755" s="61"/>
      <c r="O755" s="35"/>
      <c r="P755" s="40"/>
      <c r="Q755" s="37"/>
      <c r="R755" s="4"/>
    </row>
    <row r="756" spans="1:22" s="52" customFormat="1" x14ac:dyDescent="0.25">
      <c r="A756" s="558" t="s">
        <v>408</v>
      </c>
      <c r="B756" s="551"/>
      <c r="C756" s="555"/>
      <c r="D756" s="558"/>
      <c r="E756" s="555"/>
      <c r="F756" s="556"/>
      <c r="G756" s="296" t="s">
        <v>19</v>
      </c>
      <c r="H756" s="555"/>
      <c r="I756" s="400">
        <f>SUM(I757:I890)</f>
        <v>555017.66999999993</v>
      </c>
      <c r="J756" s="17"/>
      <c r="K756" s="226"/>
      <c r="L756" s="7"/>
      <c r="M756" s="35"/>
      <c r="N756" s="61"/>
      <c r="O756" s="35"/>
      <c r="P756" s="40"/>
      <c r="Q756" s="37"/>
      <c r="R756" s="4"/>
    </row>
    <row r="757" spans="1:22" s="52" customFormat="1" outlineLevel="1" x14ac:dyDescent="0.25">
      <c r="A757" s="279" t="s">
        <v>20</v>
      </c>
      <c r="B757" s="279"/>
      <c r="C757" s="294" t="s">
        <v>21</v>
      </c>
      <c r="D757" s="558"/>
      <c r="E757" s="294"/>
      <c r="F757" s="403"/>
      <c r="G757" s="294"/>
      <c r="H757" s="558"/>
      <c r="I757" s="402">
        <f>SUM(H758:H758)</f>
        <v>1043.56</v>
      </c>
      <c r="J757" s="70"/>
      <c r="K757" s="226"/>
      <c r="L757" s="71" t="s">
        <v>409</v>
      </c>
      <c r="M757" s="2"/>
      <c r="N757" s="2">
        <f>5*2.5</f>
        <v>12.5</v>
      </c>
      <c r="O757" s="2"/>
      <c r="P757" s="3"/>
      <c r="Q757" s="37"/>
      <c r="R757" s="4"/>
    </row>
    <row r="758" spans="1:22" s="52" customFormat="1" outlineLevel="1" x14ac:dyDescent="0.25">
      <c r="A758" s="282" t="s">
        <v>22</v>
      </c>
      <c r="B758" s="286" t="s">
        <v>39</v>
      </c>
      <c r="C758" s="288" t="s">
        <v>40</v>
      </c>
      <c r="D758" s="282" t="s">
        <v>41</v>
      </c>
      <c r="E758" s="285">
        <v>4</v>
      </c>
      <c r="F758" s="283">
        <f>'COMPOSIÇÃO SINAPI W MENDES'!G4624</f>
        <v>209.74</v>
      </c>
      <c r="G758" s="284">
        <f t="shared" ref="G758" si="117">TRUNC(F758*$J$13,2)</f>
        <v>260.89</v>
      </c>
      <c r="H758" s="284">
        <f>TRUNC(E758*G758,2)</f>
        <v>1043.56</v>
      </c>
      <c r="I758" s="297"/>
      <c r="J758" s="72"/>
      <c r="K758" s="229"/>
      <c r="L758" s="323">
        <f>SUM(H758)</f>
        <v>1043.56</v>
      </c>
      <c r="M758" s="27">
        <f>I757-L758</f>
        <v>0</v>
      </c>
      <c r="N758" s="27"/>
      <c r="O758" s="27"/>
      <c r="P758" s="28"/>
      <c r="Q758" s="37"/>
      <c r="R758" s="4"/>
      <c r="S758" s="236">
        <v>4</v>
      </c>
      <c r="T758" s="236">
        <v>216.76</v>
      </c>
      <c r="U758" s="236">
        <v>273.11</v>
      </c>
      <c r="V758" s="236">
        <v>1092.44</v>
      </c>
    </row>
    <row r="759" spans="1:22" s="52" customFormat="1" outlineLevel="1" x14ac:dyDescent="0.25">
      <c r="A759" s="279" t="s">
        <v>60</v>
      </c>
      <c r="B759" s="279"/>
      <c r="C759" s="294" t="s">
        <v>411</v>
      </c>
      <c r="D759" s="558"/>
      <c r="E759" s="294"/>
      <c r="F759" s="403"/>
      <c r="G759" s="294"/>
      <c r="H759" s="558"/>
      <c r="I759" s="402">
        <f>SUM(H760:H766)</f>
        <v>28378.379999999997</v>
      </c>
      <c r="J759" s="73"/>
      <c r="K759" s="197"/>
      <c r="L759" s="317">
        <f>SUM(H760:H766)</f>
        <v>28378.379999999997</v>
      </c>
      <c r="M759" s="2">
        <f>I759-L759</f>
        <v>0</v>
      </c>
      <c r="N759" s="2"/>
      <c r="O759" s="2"/>
      <c r="P759" s="3"/>
      <c r="Q759" s="37"/>
      <c r="R759" s="4"/>
    </row>
    <row r="760" spans="1:22" s="52" customFormat="1" outlineLevel="1" x14ac:dyDescent="0.25">
      <c r="A760" s="282" t="s">
        <v>64</v>
      </c>
      <c r="B760" s="280">
        <v>96526</v>
      </c>
      <c r="C760" s="289" t="s">
        <v>412</v>
      </c>
      <c r="D760" s="282" t="s">
        <v>41</v>
      </c>
      <c r="E760" s="285">
        <f t="shared" ref="E760:E766" si="118">TRUNC(J760,2)</f>
        <v>17.37</v>
      </c>
      <c r="F760" s="283">
        <v>204.77</v>
      </c>
      <c r="G760" s="284">
        <f t="shared" ref="G760:G766" si="119">TRUNC(F760*$J$13,2)</f>
        <v>254.71</v>
      </c>
      <c r="H760" s="284">
        <f>TRUNC(E760*G760,2)</f>
        <v>4424.3100000000004</v>
      </c>
      <c r="I760" s="297"/>
      <c r="J760" s="74">
        <f>(20+20+16.2+16.2)*0.4*0.6</f>
        <v>17.376000000000001</v>
      </c>
      <c r="K760" s="243"/>
      <c r="L760" s="25"/>
      <c r="M760" s="27"/>
      <c r="N760" s="27"/>
      <c r="O760" s="27"/>
      <c r="P760" s="28"/>
      <c r="Q760" s="37"/>
      <c r="R760" s="4"/>
      <c r="S760" s="236">
        <v>17.37</v>
      </c>
      <c r="T760" s="236">
        <v>204.77</v>
      </c>
      <c r="U760" s="236">
        <v>258.01</v>
      </c>
      <c r="V760" s="236">
        <v>4481.63</v>
      </c>
    </row>
    <row r="761" spans="1:22" s="52" customFormat="1" ht="31.2" outlineLevel="1" x14ac:dyDescent="0.25">
      <c r="A761" s="282" t="s">
        <v>69</v>
      </c>
      <c r="B761" s="280">
        <v>101096</v>
      </c>
      <c r="C761" s="289" t="s">
        <v>413</v>
      </c>
      <c r="D761" s="282" t="s">
        <v>41</v>
      </c>
      <c r="E761" s="285">
        <v>19</v>
      </c>
      <c r="F761" s="283">
        <v>818.16</v>
      </c>
      <c r="G761" s="284">
        <f t="shared" si="119"/>
        <v>1017.7</v>
      </c>
      <c r="H761" s="284">
        <f t="shared" ref="H761:H766" si="120">TRUNC(E761*G761,2)</f>
        <v>19336.3</v>
      </c>
      <c r="I761" s="297"/>
      <c r="J761" s="75">
        <f>7*(0.4*0.4)*3.14*5+(12*(0.4*0.4)*3.14*2)+1.2*0.2*17</f>
        <v>33.721600000000002</v>
      </c>
      <c r="K761" s="229"/>
      <c r="L761" s="25"/>
      <c r="M761" s="27"/>
      <c r="N761" s="27"/>
      <c r="O761" s="27"/>
      <c r="P761" s="28"/>
      <c r="Q761" s="37"/>
      <c r="R761" s="4"/>
      <c r="S761" s="236">
        <v>19</v>
      </c>
      <c r="T761" s="236">
        <v>818.16</v>
      </c>
      <c r="U761" s="236">
        <v>1030.8800000000001</v>
      </c>
      <c r="V761" s="236">
        <v>19586.72</v>
      </c>
    </row>
    <row r="762" spans="1:22" s="52" customFormat="1" ht="31.2" outlineLevel="1" x14ac:dyDescent="0.25">
      <c r="A762" s="282" t="s">
        <v>72</v>
      </c>
      <c r="B762" s="280" t="s">
        <v>654</v>
      </c>
      <c r="C762" s="289" t="s">
        <v>414</v>
      </c>
      <c r="D762" s="282" t="s">
        <v>41</v>
      </c>
      <c r="E762" s="285">
        <f t="shared" si="118"/>
        <v>418.5</v>
      </c>
      <c r="F762" s="283">
        <v>2.46</v>
      </c>
      <c r="G762" s="284">
        <f t="shared" si="119"/>
        <v>3.05</v>
      </c>
      <c r="H762" s="284">
        <f t="shared" si="120"/>
        <v>1276.42</v>
      </c>
      <c r="I762" s="297"/>
      <c r="J762" s="74">
        <f>21*17.2*1+((1*1.5/2)*(21+21+17.2+17.2))</f>
        <v>418.5</v>
      </c>
      <c r="K762" s="229"/>
      <c r="L762" s="25"/>
      <c r="M762" s="27"/>
      <c r="N762" s="27"/>
      <c r="O762" s="27"/>
      <c r="P762" s="28"/>
      <c r="Q762" s="37"/>
      <c r="R762" s="4"/>
      <c r="S762" s="236">
        <v>418.5</v>
      </c>
      <c r="T762" s="236">
        <v>2.46</v>
      </c>
      <c r="U762" s="236">
        <v>3.09</v>
      </c>
      <c r="V762" s="236">
        <v>1293.1600000000001</v>
      </c>
    </row>
    <row r="763" spans="1:22" s="52" customFormat="1" outlineLevel="1" x14ac:dyDescent="0.25">
      <c r="A763" s="282" t="s">
        <v>671</v>
      </c>
      <c r="B763" s="280">
        <v>100574</v>
      </c>
      <c r="C763" s="289" t="s">
        <v>415</v>
      </c>
      <c r="D763" s="282" t="s">
        <v>41</v>
      </c>
      <c r="E763" s="285">
        <f t="shared" si="118"/>
        <v>418.5</v>
      </c>
      <c r="F763" s="283">
        <v>0.81</v>
      </c>
      <c r="G763" s="284">
        <f t="shared" si="119"/>
        <v>1</v>
      </c>
      <c r="H763" s="284">
        <f t="shared" si="120"/>
        <v>418.5</v>
      </c>
      <c r="I763" s="297"/>
      <c r="J763" s="74">
        <f>21*17.2*1+((1*1.5/2)*(21+21+17.2+17.2))</f>
        <v>418.5</v>
      </c>
      <c r="K763" s="229"/>
      <c r="L763" s="25"/>
      <c r="M763" s="27"/>
      <c r="N763" s="27"/>
      <c r="O763" s="27"/>
      <c r="P763" s="28"/>
      <c r="Q763" s="37"/>
      <c r="R763" s="4"/>
      <c r="S763" s="236">
        <v>418.5</v>
      </c>
      <c r="T763" s="236">
        <v>0.81</v>
      </c>
      <c r="U763" s="236">
        <v>1.02</v>
      </c>
      <c r="V763" s="236">
        <v>426.87</v>
      </c>
    </row>
    <row r="764" spans="1:22" s="52" customFormat="1" outlineLevel="1" x14ac:dyDescent="0.25">
      <c r="A764" s="282" t="s">
        <v>672</v>
      </c>
      <c r="B764" s="280" t="s">
        <v>416</v>
      </c>
      <c r="C764" s="289" t="s">
        <v>417</v>
      </c>
      <c r="D764" s="282" t="s">
        <v>41</v>
      </c>
      <c r="E764" s="285">
        <f t="shared" si="118"/>
        <v>418.5</v>
      </c>
      <c r="F764" s="283">
        <v>4.55</v>
      </c>
      <c r="G764" s="284">
        <f t="shared" si="119"/>
        <v>5.65</v>
      </c>
      <c r="H764" s="284">
        <f t="shared" si="120"/>
        <v>2364.52</v>
      </c>
      <c r="I764" s="297"/>
      <c r="J764" s="72">
        <f>J762</f>
        <v>418.5</v>
      </c>
      <c r="K764" s="229"/>
      <c r="L764" s="25"/>
      <c r="M764" s="27"/>
      <c r="N764" s="27"/>
      <c r="O764" s="27"/>
      <c r="P764" s="28"/>
      <c r="Q764" s="37"/>
      <c r="R764" s="4"/>
      <c r="S764" s="236">
        <v>418.5</v>
      </c>
      <c r="T764" s="236">
        <v>4.55</v>
      </c>
      <c r="U764" s="236">
        <v>5.73</v>
      </c>
      <c r="V764" s="236">
        <v>2398</v>
      </c>
    </row>
    <row r="765" spans="1:22" s="52" customFormat="1" outlineLevel="1" x14ac:dyDescent="0.25">
      <c r="A765" s="282" t="s">
        <v>673</v>
      </c>
      <c r="B765" s="280">
        <v>96995</v>
      </c>
      <c r="C765" s="289" t="s">
        <v>418</v>
      </c>
      <c r="D765" s="282" t="s">
        <v>41</v>
      </c>
      <c r="E765" s="285">
        <f t="shared" si="118"/>
        <v>11.19</v>
      </c>
      <c r="F765" s="283">
        <v>34.46</v>
      </c>
      <c r="G765" s="284">
        <f t="shared" si="119"/>
        <v>42.86</v>
      </c>
      <c r="H765" s="284">
        <f t="shared" si="120"/>
        <v>479.6</v>
      </c>
      <c r="I765" s="297"/>
      <c r="J765" s="72">
        <f>K765-L765</f>
        <v>11.196000000000002</v>
      </c>
      <c r="K765" s="244">
        <f>(20+20+16.2+16.2)*0.4*0.6</f>
        <v>17.376000000000001</v>
      </c>
      <c r="L765" s="76">
        <f>0.2*0.3*(20+20+16.2+16.2+1.2+1.2+1.2+9.5+16+1.5)</f>
        <v>6.1800000000000006</v>
      </c>
      <c r="M765" s="27"/>
      <c r="N765" s="27"/>
      <c r="O765" s="27"/>
      <c r="P765" s="28"/>
      <c r="Q765" s="37"/>
      <c r="R765" s="4"/>
      <c r="S765" s="236">
        <v>11.19</v>
      </c>
      <c r="T765" s="236">
        <v>34.46</v>
      </c>
      <c r="U765" s="236">
        <v>43.41</v>
      </c>
      <c r="V765" s="236">
        <v>485.75</v>
      </c>
    </row>
    <row r="766" spans="1:22" s="52" customFormat="1" outlineLevel="1" x14ac:dyDescent="0.25">
      <c r="A766" s="282" t="s">
        <v>709</v>
      </c>
      <c r="B766" s="280">
        <v>94097</v>
      </c>
      <c r="C766" s="289" t="s">
        <v>419</v>
      </c>
      <c r="D766" s="282" t="s">
        <v>24</v>
      </c>
      <c r="E766" s="285">
        <f t="shared" si="118"/>
        <v>15.2</v>
      </c>
      <c r="F766" s="283">
        <v>4.17</v>
      </c>
      <c r="G766" s="284">
        <f t="shared" si="119"/>
        <v>5.18</v>
      </c>
      <c r="H766" s="284">
        <f t="shared" si="120"/>
        <v>78.73</v>
      </c>
      <c r="I766" s="297"/>
      <c r="J766" s="74">
        <f>0.2*(20+20+16.2+16.2+1.2+1.2+1.2)</f>
        <v>15.200000000000003</v>
      </c>
      <c r="K766" s="229"/>
      <c r="L766" s="25"/>
      <c r="M766" s="27"/>
      <c r="N766" s="27"/>
      <c r="O766" s="27"/>
      <c r="P766" s="28"/>
      <c r="Q766" s="37"/>
      <c r="R766" s="4"/>
      <c r="S766" s="236">
        <v>15.2</v>
      </c>
      <c r="T766" s="236">
        <v>4.17</v>
      </c>
      <c r="U766" s="236">
        <v>5.25</v>
      </c>
      <c r="V766" s="236">
        <v>79.8</v>
      </c>
    </row>
    <row r="767" spans="1:22" s="52" customFormat="1" outlineLevel="1" x14ac:dyDescent="0.25">
      <c r="A767" s="279" t="s">
        <v>74</v>
      </c>
      <c r="B767" s="279"/>
      <c r="C767" s="294" t="s">
        <v>420</v>
      </c>
      <c r="D767" s="558"/>
      <c r="E767" s="294"/>
      <c r="F767" s="403"/>
      <c r="G767" s="294"/>
      <c r="H767" s="558"/>
      <c r="I767" s="402">
        <f>SUM(H768:H775)</f>
        <v>56024.88</v>
      </c>
      <c r="J767" s="73"/>
      <c r="K767" s="197"/>
      <c r="L767" s="317">
        <f>SUM(H768:H775)</f>
        <v>56024.88</v>
      </c>
      <c r="M767" s="2">
        <f>I767-L767</f>
        <v>0</v>
      </c>
      <c r="N767" s="2"/>
      <c r="O767" s="2"/>
      <c r="P767" s="3"/>
      <c r="Q767" s="37"/>
      <c r="R767" s="4"/>
    </row>
    <row r="768" spans="1:22" s="52" customFormat="1" ht="31.2" outlineLevel="1" x14ac:dyDescent="0.25">
      <c r="A768" s="282" t="s">
        <v>77</v>
      </c>
      <c r="B768" s="280">
        <v>94962</v>
      </c>
      <c r="C768" s="281" t="s">
        <v>421</v>
      </c>
      <c r="D768" s="282" t="s">
        <v>41</v>
      </c>
      <c r="E768" s="285">
        <f t="shared" ref="E768:E774" si="121">TRUNC(J768,2)</f>
        <v>0.76</v>
      </c>
      <c r="F768" s="283">
        <v>255.79</v>
      </c>
      <c r="G768" s="284">
        <f t="shared" ref="G768:G775" si="122">TRUNC(F768*$J$13,2)</f>
        <v>318.17</v>
      </c>
      <c r="H768" s="284">
        <f>TRUNC(E768*G768,2)</f>
        <v>241.8</v>
      </c>
      <c r="I768" s="297"/>
      <c r="J768" s="74">
        <f>(0.2*(20+20+16.2+16.2+1.2+1.2+1.2))*0.05</f>
        <v>0.76000000000000023</v>
      </c>
      <c r="K768" s="229"/>
      <c r="L768" s="25"/>
      <c r="M768" s="27"/>
      <c r="N768" s="27"/>
      <c r="O768" s="27"/>
      <c r="P768" s="28"/>
      <c r="Q768" s="37"/>
      <c r="R768" s="4"/>
      <c r="S768" s="236">
        <v>0.76</v>
      </c>
      <c r="T768" s="236">
        <v>255.79</v>
      </c>
      <c r="U768" s="236">
        <v>322.29000000000002</v>
      </c>
      <c r="V768" s="236">
        <v>244.94</v>
      </c>
    </row>
    <row r="769" spans="1:22" s="52" customFormat="1" outlineLevel="1" x14ac:dyDescent="0.25">
      <c r="A769" s="282" t="s">
        <v>83</v>
      </c>
      <c r="B769" s="280">
        <v>96533</v>
      </c>
      <c r="C769" s="281" t="s">
        <v>422</v>
      </c>
      <c r="D769" s="282" t="s">
        <v>24</v>
      </c>
      <c r="E769" s="285">
        <f t="shared" si="121"/>
        <v>82.4</v>
      </c>
      <c r="F769" s="283">
        <v>57.82</v>
      </c>
      <c r="G769" s="284">
        <f t="shared" si="122"/>
        <v>71.92</v>
      </c>
      <c r="H769" s="284">
        <f t="shared" ref="H769:H775" si="123">TRUNC(E769*G769,2)</f>
        <v>5926.2</v>
      </c>
      <c r="I769" s="297"/>
      <c r="J769" s="74">
        <f>0.8*(20+20+16.2+16.2+1.2+1.2+1.2+27)</f>
        <v>82.40000000000002</v>
      </c>
      <c r="K769" s="229"/>
      <c r="L769" s="25"/>
      <c r="M769" s="27"/>
      <c r="N769" s="27"/>
      <c r="O769" s="27"/>
      <c r="P769" s="28"/>
      <c r="Q769" s="37"/>
      <c r="R769" s="4"/>
      <c r="S769" s="236">
        <v>82.4</v>
      </c>
      <c r="T769" s="236">
        <v>57.82</v>
      </c>
      <c r="U769" s="236">
        <v>72.849999999999994</v>
      </c>
      <c r="V769" s="236">
        <v>6002.84</v>
      </c>
    </row>
    <row r="770" spans="1:22" s="52" customFormat="1" ht="31.2" outlineLevel="1" x14ac:dyDescent="0.25">
      <c r="A770" s="282" t="s">
        <v>322</v>
      </c>
      <c r="B770" s="280">
        <v>94965</v>
      </c>
      <c r="C770" s="281" t="s">
        <v>423</v>
      </c>
      <c r="D770" s="282" t="s">
        <v>41</v>
      </c>
      <c r="E770" s="285">
        <f t="shared" si="121"/>
        <v>6.18</v>
      </c>
      <c r="F770" s="283">
        <v>323.58999999999997</v>
      </c>
      <c r="G770" s="284">
        <f t="shared" si="122"/>
        <v>402.51</v>
      </c>
      <c r="H770" s="284">
        <f t="shared" si="123"/>
        <v>2487.5100000000002</v>
      </c>
      <c r="I770" s="297"/>
      <c r="J770" s="74">
        <f>0.2*0.3*(20+20+16.2+16.2+1.2+1.2+1.2+9.5+16+1.5)</f>
        <v>6.1800000000000006</v>
      </c>
      <c r="K770" s="228"/>
      <c r="L770" s="26"/>
      <c r="M770" s="27"/>
      <c r="N770" s="27"/>
      <c r="O770" s="27"/>
      <c r="P770" s="28"/>
      <c r="Q770" s="37"/>
      <c r="R770" s="4"/>
      <c r="S770" s="236">
        <v>6.18</v>
      </c>
      <c r="T770" s="236">
        <v>323.58999999999997</v>
      </c>
      <c r="U770" s="236">
        <v>407.72</v>
      </c>
      <c r="V770" s="236">
        <v>2519.6999999999998</v>
      </c>
    </row>
    <row r="771" spans="1:22" s="52" customFormat="1" outlineLevel="1" x14ac:dyDescent="0.25">
      <c r="A771" s="282" t="s">
        <v>323</v>
      </c>
      <c r="B771" s="280">
        <v>92873</v>
      </c>
      <c r="C771" s="281" t="s">
        <v>424</v>
      </c>
      <c r="D771" s="282" t="s">
        <v>41</v>
      </c>
      <c r="E771" s="285">
        <f t="shared" si="121"/>
        <v>6.18</v>
      </c>
      <c r="F771" s="283">
        <v>146.29</v>
      </c>
      <c r="G771" s="284">
        <f t="shared" si="122"/>
        <v>181.97</v>
      </c>
      <c r="H771" s="284">
        <f t="shared" si="123"/>
        <v>1124.57</v>
      </c>
      <c r="I771" s="297"/>
      <c r="J771" s="77">
        <f>J770</f>
        <v>6.1800000000000006</v>
      </c>
      <c r="K771" s="228"/>
      <c r="L771" s="26"/>
      <c r="M771" s="27"/>
      <c r="N771" s="27"/>
      <c r="O771" s="27"/>
      <c r="P771" s="28"/>
      <c r="Q771" s="37"/>
      <c r="R771" s="4"/>
      <c r="S771" s="236">
        <v>6.18</v>
      </c>
      <c r="T771" s="236">
        <v>146.29</v>
      </c>
      <c r="U771" s="236">
        <v>184.32</v>
      </c>
      <c r="V771" s="236">
        <v>1139.0899999999999</v>
      </c>
    </row>
    <row r="772" spans="1:22" s="52" customFormat="1" ht="31.2" outlineLevel="1" x14ac:dyDescent="0.25">
      <c r="A772" s="282" t="s">
        <v>674</v>
      </c>
      <c r="B772" s="280">
        <v>92919</v>
      </c>
      <c r="C772" s="281" t="s">
        <v>425</v>
      </c>
      <c r="D772" s="282" t="s">
        <v>426</v>
      </c>
      <c r="E772" s="285">
        <v>1955</v>
      </c>
      <c r="F772" s="283">
        <v>8.65</v>
      </c>
      <c r="G772" s="284">
        <f t="shared" si="122"/>
        <v>10.75</v>
      </c>
      <c r="H772" s="284">
        <f t="shared" si="123"/>
        <v>21016.25</v>
      </c>
      <c r="I772" s="297"/>
      <c r="J772" s="72">
        <f>(J770+J761)*80*0.7</f>
        <v>2234.4895999999999</v>
      </c>
      <c r="K772" s="229"/>
      <c r="L772" s="25"/>
      <c r="M772" s="27"/>
      <c r="N772" s="27"/>
      <c r="O772" s="27"/>
      <c r="P772" s="28"/>
      <c r="Q772" s="37"/>
      <c r="R772" s="4"/>
      <c r="S772" s="236">
        <v>1955</v>
      </c>
      <c r="T772" s="236">
        <v>8.65</v>
      </c>
      <c r="U772" s="236">
        <v>10.89</v>
      </c>
      <c r="V772" s="236">
        <v>21289.95</v>
      </c>
    </row>
    <row r="773" spans="1:22" s="52" customFormat="1" ht="31.2" outlineLevel="1" x14ac:dyDescent="0.25">
      <c r="A773" s="282" t="s">
        <v>711</v>
      </c>
      <c r="B773" s="280">
        <v>92916</v>
      </c>
      <c r="C773" s="281" t="s">
        <v>427</v>
      </c>
      <c r="D773" s="282" t="s">
        <v>426</v>
      </c>
      <c r="E773" s="285">
        <v>875</v>
      </c>
      <c r="F773" s="283">
        <v>10.56</v>
      </c>
      <c r="G773" s="284">
        <f t="shared" si="122"/>
        <v>13.13</v>
      </c>
      <c r="H773" s="284">
        <f t="shared" si="123"/>
        <v>11488.75</v>
      </c>
      <c r="I773" s="297"/>
      <c r="J773" s="72">
        <f>(J770+J761)*80*0.3</f>
        <v>957.63840000000005</v>
      </c>
      <c r="K773" s="229"/>
      <c r="L773" s="25"/>
      <c r="M773" s="27"/>
      <c r="N773" s="27"/>
      <c r="O773" s="27"/>
      <c r="P773" s="28"/>
      <c r="Q773" s="37"/>
      <c r="R773" s="4"/>
      <c r="S773" s="236">
        <v>875</v>
      </c>
      <c r="T773" s="236">
        <v>10.56</v>
      </c>
      <c r="U773" s="236">
        <v>13.3</v>
      </c>
      <c r="V773" s="236">
        <v>11637.5</v>
      </c>
    </row>
    <row r="774" spans="1:22" s="52" customFormat="1" ht="31.2" outlineLevel="1" x14ac:dyDescent="0.25">
      <c r="A774" s="282" t="s">
        <v>712</v>
      </c>
      <c r="B774" s="280">
        <v>98561</v>
      </c>
      <c r="C774" s="281" t="s">
        <v>428</v>
      </c>
      <c r="D774" s="282" t="s">
        <v>24</v>
      </c>
      <c r="E774" s="285">
        <f t="shared" si="121"/>
        <v>73.260000000000005</v>
      </c>
      <c r="F774" s="283">
        <v>28.67</v>
      </c>
      <c r="G774" s="284">
        <f t="shared" si="122"/>
        <v>35.659999999999997</v>
      </c>
      <c r="H774" s="284">
        <f t="shared" si="123"/>
        <v>2612.4499999999998</v>
      </c>
      <c r="I774" s="297"/>
      <c r="J774" s="72">
        <f>(12+15.45+12+14.8+14.8+14.8+14.8+15.45+4+4)*0.6</f>
        <v>73.259999999999991</v>
      </c>
      <c r="K774" s="229"/>
      <c r="L774" s="25"/>
      <c r="M774" s="27"/>
      <c r="N774" s="27"/>
      <c r="O774" s="27"/>
      <c r="P774" s="28"/>
      <c r="Q774" s="37"/>
      <c r="R774" s="4"/>
      <c r="S774" s="236">
        <v>73.260000000000005</v>
      </c>
      <c r="T774" s="236">
        <v>28.67</v>
      </c>
      <c r="U774" s="236">
        <v>36.119999999999997</v>
      </c>
      <c r="V774" s="236">
        <v>2646.15</v>
      </c>
    </row>
    <row r="775" spans="1:22" s="52" customFormat="1" ht="31.2" outlineLevel="1" x14ac:dyDescent="0.25">
      <c r="A775" s="282" t="s">
        <v>713</v>
      </c>
      <c r="B775" s="280">
        <v>87517</v>
      </c>
      <c r="C775" s="281" t="s">
        <v>655</v>
      </c>
      <c r="D775" s="282" t="s">
        <v>24</v>
      </c>
      <c r="E775" s="285">
        <v>65</v>
      </c>
      <c r="F775" s="283">
        <v>137.63</v>
      </c>
      <c r="G775" s="284">
        <f t="shared" si="122"/>
        <v>171.19</v>
      </c>
      <c r="H775" s="284">
        <f t="shared" si="123"/>
        <v>11127.35</v>
      </c>
      <c r="I775" s="297"/>
      <c r="J775" s="72">
        <f>(12+15.45+12+14.8+14.8+14.8+14.8+15.45+4+4)*0.8</f>
        <v>97.68</v>
      </c>
      <c r="K775" s="229"/>
      <c r="L775" s="25"/>
      <c r="M775" s="27"/>
      <c r="N775" s="27"/>
      <c r="O775" s="27"/>
      <c r="P775" s="28"/>
      <c r="Q775" s="37"/>
      <c r="R775" s="4"/>
      <c r="S775" s="236">
        <v>65</v>
      </c>
      <c r="T775" s="236">
        <v>137.63</v>
      </c>
      <c r="U775" s="236">
        <v>173.41</v>
      </c>
      <c r="V775" s="236">
        <v>11271.65</v>
      </c>
    </row>
    <row r="776" spans="1:22" s="52" customFormat="1" outlineLevel="1" x14ac:dyDescent="0.25">
      <c r="A776" s="279" t="s">
        <v>85</v>
      </c>
      <c r="B776" s="279"/>
      <c r="C776" s="294" t="s">
        <v>429</v>
      </c>
      <c r="D776" s="558"/>
      <c r="E776" s="294"/>
      <c r="F776" s="403"/>
      <c r="G776" s="294"/>
      <c r="H776" s="558"/>
      <c r="I776" s="404">
        <f>SUM(H777:H782)</f>
        <v>75606.06</v>
      </c>
      <c r="J776" s="73"/>
      <c r="K776" s="197"/>
      <c r="L776" s="317">
        <f>SUM(H777:H782)</f>
        <v>75606.06</v>
      </c>
      <c r="M776" s="2">
        <f>I776-L776</f>
        <v>0</v>
      </c>
      <c r="N776" s="2"/>
      <c r="O776" s="2"/>
      <c r="P776" s="3"/>
      <c r="Q776" s="37"/>
      <c r="R776" s="4"/>
    </row>
    <row r="777" spans="1:22" s="52" customFormat="1" ht="31.2" outlineLevel="1" x14ac:dyDescent="0.25">
      <c r="A777" s="282" t="s">
        <v>87</v>
      </c>
      <c r="B777" s="280">
        <v>94965</v>
      </c>
      <c r="C777" s="281" t="s">
        <v>423</v>
      </c>
      <c r="D777" s="282" t="s">
        <v>41</v>
      </c>
      <c r="E777" s="285">
        <f t="shared" ref="E777:E782" si="124">TRUNC(J777,2)</f>
        <v>26.11</v>
      </c>
      <c r="F777" s="283">
        <v>323.58999999999997</v>
      </c>
      <c r="G777" s="284">
        <f t="shared" ref="G777:G782" si="125">TRUNC(F777*$J$13,2)</f>
        <v>402.51</v>
      </c>
      <c r="H777" s="284">
        <f t="shared" ref="H777:H782" si="126">TRUNC(E777*G777,2)</f>
        <v>10509.53</v>
      </c>
      <c r="I777" s="297"/>
      <c r="J777" s="74">
        <f>(0.2*0.3*15*6)+(0.15*0.3*6*5)+((20+20+16.2+16.2+1.2+1.2+1.2)*0.15*0.3*1)+(20+20+15+15)*0.15*1+20*0.15*1.5+7*0.15*0.3*3</f>
        <v>26.115000000000002</v>
      </c>
      <c r="K777" s="228"/>
      <c r="L777" s="26"/>
      <c r="M777" s="27"/>
      <c r="N777" s="27"/>
      <c r="O777" s="27"/>
      <c r="P777" s="28"/>
      <c r="Q777" s="37"/>
      <c r="R777" s="4"/>
      <c r="S777" s="236">
        <v>26.11</v>
      </c>
      <c r="T777" s="236">
        <v>323.58999999999997</v>
      </c>
      <c r="U777" s="236">
        <v>407.72</v>
      </c>
      <c r="V777" s="236">
        <v>10645.56</v>
      </c>
    </row>
    <row r="778" spans="1:22" s="52" customFormat="1" outlineLevel="1" x14ac:dyDescent="0.25">
      <c r="A778" s="282" t="s">
        <v>90</v>
      </c>
      <c r="B778" s="280">
        <v>92873</v>
      </c>
      <c r="C778" s="281" t="s">
        <v>430</v>
      </c>
      <c r="D778" s="282" t="s">
        <v>41</v>
      </c>
      <c r="E778" s="285">
        <f t="shared" si="124"/>
        <v>26.11</v>
      </c>
      <c r="F778" s="283">
        <v>146.29</v>
      </c>
      <c r="G778" s="284">
        <f t="shared" si="125"/>
        <v>181.97</v>
      </c>
      <c r="H778" s="284">
        <f t="shared" si="126"/>
        <v>4751.2299999999996</v>
      </c>
      <c r="I778" s="297"/>
      <c r="J778" s="72">
        <f>J777</f>
        <v>26.115000000000002</v>
      </c>
      <c r="K778" s="228"/>
      <c r="L778" s="26"/>
      <c r="M778" s="27"/>
      <c r="N778" s="27"/>
      <c r="O778" s="27"/>
      <c r="P778" s="28"/>
      <c r="Q778" s="37"/>
      <c r="R778" s="4"/>
      <c r="S778" s="236">
        <v>26.11</v>
      </c>
      <c r="T778" s="236">
        <v>146.29</v>
      </c>
      <c r="U778" s="236">
        <v>184.32</v>
      </c>
      <c r="V778" s="236">
        <v>4812.59</v>
      </c>
    </row>
    <row r="779" spans="1:22" s="52" customFormat="1" ht="31.2" outlineLevel="1" x14ac:dyDescent="0.25">
      <c r="A779" s="282" t="s">
        <v>93</v>
      </c>
      <c r="B779" s="280">
        <v>92263</v>
      </c>
      <c r="C779" s="281" t="s">
        <v>431</v>
      </c>
      <c r="D779" s="282" t="s">
        <v>24</v>
      </c>
      <c r="E779" s="285">
        <f t="shared" si="124"/>
        <v>276.05</v>
      </c>
      <c r="F779" s="283">
        <v>100.55</v>
      </c>
      <c r="G779" s="284">
        <f t="shared" si="125"/>
        <v>125.07</v>
      </c>
      <c r="H779" s="284">
        <f t="shared" si="126"/>
        <v>34525.57</v>
      </c>
      <c r="I779" s="297"/>
      <c r="J779" s="74">
        <f>(20+20+16.2+16.2)*0.75*1+(20+20+15+15*2.15)+20*1*2+14*0.9*6+7*0.9*3</f>
        <v>276.04999999999995</v>
      </c>
      <c r="K779" s="229"/>
      <c r="L779" s="25"/>
      <c r="M779" s="27"/>
      <c r="N779" s="27"/>
      <c r="O779" s="27"/>
      <c r="P779" s="28"/>
      <c r="Q779" s="37"/>
      <c r="R779" s="4"/>
      <c r="S779" s="236">
        <v>276.05</v>
      </c>
      <c r="T779" s="236">
        <v>100.55</v>
      </c>
      <c r="U779" s="236">
        <v>126.69</v>
      </c>
      <c r="V779" s="236">
        <v>34972.769999999997</v>
      </c>
    </row>
    <row r="780" spans="1:22" s="52" customFormat="1" ht="31.2" outlineLevel="1" x14ac:dyDescent="0.25">
      <c r="A780" s="282" t="s">
        <v>226</v>
      </c>
      <c r="B780" s="280">
        <v>92919</v>
      </c>
      <c r="C780" s="281" t="s">
        <v>432</v>
      </c>
      <c r="D780" s="282" t="s">
        <v>426</v>
      </c>
      <c r="E780" s="285">
        <f t="shared" si="124"/>
        <v>1462.44</v>
      </c>
      <c r="F780" s="283">
        <v>8.65</v>
      </c>
      <c r="G780" s="284">
        <f t="shared" si="125"/>
        <v>10.75</v>
      </c>
      <c r="H780" s="284">
        <f t="shared" si="126"/>
        <v>15721.23</v>
      </c>
      <c r="I780" s="297"/>
      <c r="J780" s="72">
        <f>J777*80*0.7</f>
        <v>1462.44</v>
      </c>
      <c r="K780" s="229"/>
      <c r="L780" s="25"/>
      <c r="M780" s="27"/>
      <c r="N780" s="27"/>
      <c r="O780" s="27"/>
      <c r="P780" s="28"/>
      <c r="Q780" s="37"/>
      <c r="R780" s="4"/>
      <c r="S780" s="236">
        <v>1462.44</v>
      </c>
      <c r="T780" s="236">
        <v>8.65</v>
      </c>
      <c r="U780" s="236">
        <v>10.89</v>
      </c>
      <c r="V780" s="236">
        <v>15925.97</v>
      </c>
    </row>
    <row r="781" spans="1:22" s="52" customFormat="1" ht="31.2" outlineLevel="1" x14ac:dyDescent="0.25">
      <c r="A781" s="282" t="s">
        <v>394</v>
      </c>
      <c r="B781" s="280">
        <v>92916</v>
      </c>
      <c r="C781" s="281" t="s">
        <v>427</v>
      </c>
      <c r="D781" s="282" t="s">
        <v>426</v>
      </c>
      <c r="E781" s="285">
        <f t="shared" si="124"/>
        <v>626.76</v>
      </c>
      <c r="F781" s="283">
        <v>10.56</v>
      </c>
      <c r="G781" s="284">
        <f t="shared" si="125"/>
        <v>13.13</v>
      </c>
      <c r="H781" s="284">
        <f t="shared" si="126"/>
        <v>8229.35</v>
      </c>
      <c r="I781" s="297"/>
      <c r="J781" s="72">
        <f>J777*80*0.3</f>
        <v>626.7600000000001</v>
      </c>
      <c r="K781" s="228"/>
      <c r="L781" s="26"/>
      <c r="M781" s="27"/>
      <c r="N781" s="27"/>
      <c r="O781" s="27"/>
      <c r="P781" s="28"/>
      <c r="Q781" s="37"/>
      <c r="R781" s="4"/>
      <c r="S781" s="236">
        <v>626.76</v>
      </c>
      <c r="T781" s="236">
        <v>10.56</v>
      </c>
      <c r="U781" s="236">
        <v>13.3</v>
      </c>
      <c r="V781" s="236">
        <v>8335.9</v>
      </c>
    </row>
    <row r="782" spans="1:22" s="52" customFormat="1" ht="31.2" outlineLevel="1" x14ac:dyDescent="0.25">
      <c r="A782" s="282" t="s">
        <v>714</v>
      </c>
      <c r="B782" s="280" t="s">
        <v>433</v>
      </c>
      <c r="C782" s="281" t="s">
        <v>434</v>
      </c>
      <c r="D782" s="282" t="s">
        <v>24</v>
      </c>
      <c r="E782" s="285">
        <f t="shared" si="124"/>
        <v>18.489999999999998</v>
      </c>
      <c r="F782" s="283">
        <v>81.27</v>
      </c>
      <c r="G782" s="284">
        <f t="shared" si="125"/>
        <v>101.09</v>
      </c>
      <c r="H782" s="284">
        <f t="shared" si="126"/>
        <v>1869.15</v>
      </c>
      <c r="I782" s="401"/>
      <c r="J782" s="74">
        <f>4.3*4.3</f>
        <v>18.489999999999998</v>
      </c>
      <c r="K782" s="228"/>
      <c r="L782" s="26"/>
      <c r="M782" s="27"/>
      <c r="N782" s="27"/>
      <c r="O782" s="27"/>
      <c r="P782" s="28"/>
      <c r="Q782" s="37"/>
      <c r="R782" s="4"/>
      <c r="S782" s="236">
        <v>18.489999999999998</v>
      </c>
      <c r="T782" s="236">
        <v>81.27</v>
      </c>
      <c r="U782" s="236">
        <v>102.4</v>
      </c>
      <c r="V782" s="236">
        <v>1893.37</v>
      </c>
    </row>
    <row r="783" spans="1:22" s="52" customFormat="1" outlineLevel="1" x14ac:dyDescent="0.25">
      <c r="A783" s="279" t="s">
        <v>95</v>
      </c>
      <c r="B783" s="279"/>
      <c r="C783" s="294" t="s">
        <v>221</v>
      </c>
      <c r="D783" s="558"/>
      <c r="E783" s="294"/>
      <c r="F783" s="403"/>
      <c r="G783" s="294"/>
      <c r="H783" s="558"/>
      <c r="I783" s="404">
        <f>SUM(H784:H785)</f>
        <v>45370.400000000001</v>
      </c>
      <c r="J783" s="73"/>
      <c r="K783" s="197"/>
      <c r="L783" s="317">
        <f>SUM(H784:H785)</f>
        <v>45370.400000000001</v>
      </c>
      <c r="M783" s="2">
        <f>I783-L783</f>
        <v>0</v>
      </c>
      <c r="N783" s="2"/>
      <c r="O783" s="2"/>
      <c r="P783" s="3"/>
      <c r="Q783" s="37"/>
      <c r="R783" s="4"/>
    </row>
    <row r="784" spans="1:22" s="52" customFormat="1" ht="31.2" outlineLevel="1" x14ac:dyDescent="0.25">
      <c r="A784" s="282" t="s">
        <v>97</v>
      </c>
      <c r="B784" s="280">
        <v>87496</v>
      </c>
      <c r="C784" s="281" t="s">
        <v>435</v>
      </c>
      <c r="D784" s="282" t="s">
        <v>24</v>
      </c>
      <c r="E784" s="285">
        <f>TRUNC(J784,2)</f>
        <v>519.9</v>
      </c>
      <c r="F784" s="283">
        <v>68.099999999999994</v>
      </c>
      <c r="G784" s="284">
        <f>TRUNC(F784*$J$13,2)</f>
        <v>84.7</v>
      </c>
      <c r="H784" s="284">
        <f>TRUNC(E784*G784,2)</f>
        <v>44035.53</v>
      </c>
      <c r="I784" s="297"/>
      <c r="J784" s="74">
        <f>(20+15+15+20)*6-(5.8*4.5)+(15*2*1.5)+(16+9.5+1.5)*3</f>
        <v>519.9</v>
      </c>
      <c r="K784" s="229"/>
      <c r="L784" s="25"/>
      <c r="M784" s="27"/>
      <c r="N784" s="27"/>
      <c r="O784" s="78"/>
      <c r="P784" s="28"/>
      <c r="Q784" s="37"/>
      <c r="R784" s="4"/>
      <c r="S784" s="236">
        <v>519.9</v>
      </c>
      <c r="T784" s="236">
        <v>68.099999999999994</v>
      </c>
      <c r="U784" s="236">
        <v>85.8</v>
      </c>
      <c r="V784" s="236">
        <v>44607.42</v>
      </c>
    </row>
    <row r="785" spans="1:22" s="52" customFormat="1" outlineLevel="1" x14ac:dyDescent="0.25">
      <c r="A785" s="282" t="s">
        <v>100</v>
      </c>
      <c r="B785" s="280">
        <v>93182</v>
      </c>
      <c r="C785" s="281" t="s">
        <v>436</v>
      </c>
      <c r="D785" s="282" t="s">
        <v>55</v>
      </c>
      <c r="E785" s="285">
        <f>TRUNC(J785,2)</f>
        <v>48.4</v>
      </c>
      <c r="F785" s="283">
        <v>22.18</v>
      </c>
      <c r="G785" s="284">
        <f>TRUNC(F785*$J$13,2)</f>
        <v>27.58</v>
      </c>
      <c r="H785" s="284">
        <f>TRUNC(E785*G785,2)</f>
        <v>1334.87</v>
      </c>
      <c r="I785" s="297"/>
      <c r="J785" s="72">
        <f>1.6*19+1.5*8+1.2*5</f>
        <v>48.400000000000006</v>
      </c>
      <c r="K785" s="229"/>
      <c r="L785" s="25"/>
      <c r="M785" s="27"/>
      <c r="N785" s="27"/>
      <c r="O785" s="78"/>
      <c r="P785" s="28"/>
      <c r="Q785" s="37"/>
      <c r="R785" s="4"/>
      <c r="S785" s="236">
        <v>48.4</v>
      </c>
      <c r="T785" s="236">
        <v>22.18</v>
      </c>
      <c r="U785" s="236">
        <v>27.94</v>
      </c>
      <c r="V785" s="236">
        <v>1352.29</v>
      </c>
    </row>
    <row r="786" spans="1:22" s="52" customFormat="1" outlineLevel="1" x14ac:dyDescent="0.25">
      <c r="A786" s="279" t="s">
        <v>116</v>
      </c>
      <c r="B786" s="279"/>
      <c r="C786" s="294" t="s">
        <v>437</v>
      </c>
      <c r="D786" s="558"/>
      <c r="E786" s="294"/>
      <c r="F786" s="403"/>
      <c r="G786" s="294"/>
      <c r="H786" s="558"/>
      <c r="I786" s="402">
        <f>SUM(H787:H791)</f>
        <v>113502.25999999998</v>
      </c>
      <c r="J786" s="73"/>
      <c r="K786" s="197"/>
      <c r="L786" s="317">
        <f>SUM(H787:H791)</f>
        <v>113502.25999999998</v>
      </c>
      <c r="M786" s="2">
        <f>I786-L786</f>
        <v>0</v>
      </c>
      <c r="N786" s="2"/>
      <c r="O786" s="2"/>
      <c r="P786" s="3"/>
      <c r="Q786" s="37"/>
      <c r="R786" s="4"/>
    </row>
    <row r="787" spans="1:22" s="52" customFormat="1" ht="31.2" outlineLevel="1" x14ac:dyDescent="0.25">
      <c r="A787" s="282" t="s">
        <v>118</v>
      </c>
      <c r="B787" s="280">
        <v>92580</v>
      </c>
      <c r="C787" s="281" t="s">
        <v>438</v>
      </c>
      <c r="D787" s="282" t="s">
        <v>24</v>
      </c>
      <c r="E787" s="285">
        <f>K787</f>
        <v>488.56</v>
      </c>
      <c r="F787" s="283">
        <v>27.27</v>
      </c>
      <c r="G787" s="284">
        <f>TRUNC(F787*$J$13,2)</f>
        <v>33.92</v>
      </c>
      <c r="H787" s="284">
        <f>TRUNC(E787*G787,2)</f>
        <v>16571.95</v>
      </c>
      <c r="I787" s="297"/>
      <c r="J787" s="79">
        <f>21*15.5</f>
        <v>325.5</v>
      </c>
      <c r="K787" s="229">
        <v>488.56</v>
      </c>
      <c r="L787" s="25"/>
      <c r="M787" s="27"/>
      <c r="N787" s="27"/>
      <c r="O787" s="27"/>
      <c r="P787" s="28"/>
      <c r="Q787" s="37"/>
      <c r="R787" s="4"/>
      <c r="S787" s="236">
        <v>488.56</v>
      </c>
      <c r="T787" s="236">
        <v>27.27</v>
      </c>
      <c r="U787" s="236">
        <v>34.36</v>
      </c>
      <c r="V787" s="236">
        <v>16786.919999999998</v>
      </c>
    </row>
    <row r="788" spans="1:22" s="52" customFormat="1" outlineLevel="1" x14ac:dyDescent="0.25">
      <c r="A788" s="282" t="s">
        <v>120</v>
      </c>
      <c r="B788" s="280">
        <v>94216</v>
      </c>
      <c r="C788" s="281" t="s">
        <v>439</v>
      </c>
      <c r="D788" s="282" t="s">
        <v>24</v>
      </c>
      <c r="E788" s="285">
        <f>K788</f>
        <v>488.56</v>
      </c>
      <c r="F788" s="283">
        <v>130.59</v>
      </c>
      <c r="G788" s="284">
        <f>TRUNC(F788*$J$13,2)</f>
        <v>162.44</v>
      </c>
      <c r="H788" s="284">
        <f>TRUNC(E788*G788,2)</f>
        <v>79361.679999999993</v>
      </c>
      <c r="I788" s="297"/>
      <c r="J788" s="72">
        <f>J787</f>
        <v>325.5</v>
      </c>
      <c r="K788" s="229">
        <v>488.56</v>
      </c>
      <c r="L788" s="25"/>
      <c r="M788" s="27"/>
      <c r="N788" s="27"/>
      <c r="O788" s="27"/>
      <c r="P788" s="28"/>
      <c r="Q788" s="37"/>
      <c r="R788" s="4"/>
      <c r="S788" s="236">
        <v>488.56</v>
      </c>
      <c r="T788" s="236">
        <v>130.59</v>
      </c>
      <c r="U788" s="236">
        <v>164.54</v>
      </c>
      <c r="V788" s="236">
        <v>80387.66</v>
      </c>
    </row>
    <row r="789" spans="1:22" s="52" customFormat="1" outlineLevel="1" x14ac:dyDescent="0.25">
      <c r="A789" s="282" t="s">
        <v>122</v>
      </c>
      <c r="B789" s="280">
        <v>94231</v>
      </c>
      <c r="C789" s="281" t="s">
        <v>440</v>
      </c>
      <c r="D789" s="282" t="s">
        <v>55</v>
      </c>
      <c r="E789" s="285">
        <f>TRUNC(J789,2)+K789</f>
        <v>131.19999999999999</v>
      </c>
      <c r="F789" s="283">
        <v>36.200000000000003</v>
      </c>
      <c r="G789" s="284">
        <f>TRUNC(F789*$J$13,2)</f>
        <v>45.02</v>
      </c>
      <c r="H789" s="284">
        <f>TRUNC(E789*G789,2)</f>
        <v>5906.62</v>
      </c>
      <c r="I789" s="297"/>
      <c r="J789" s="72">
        <f>12+12+15.2+15.2+15.45*4</f>
        <v>116.2</v>
      </c>
      <c r="K789" s="229">
        <v>15</v>
      </c>
      <c r="L789" s="25"/>
      <c r="M789" s="27"/>
      <c r="N789" s="27"/>
      <c r="O789" s="27"/>
      <c r="P789" s="28"/>
      <c r="Q789" s="37"/>
      <c r="R789" s="4"/>
      <c r="S789" s="236">
        <v>131.19999999999999</v>
      </c>
      <c r="T789" s="236">
        <v>36.200000000000003</v>
      </c>
      <c r="U789" s="236">
        <v>45.61</v>
      </c>
      <c r="V789" s="236">
        <v>5984.03</v>
      </c>
    </row>
    <row r="790" spans="1:22" s="52" customFormat="1" outlineLevel="1" x14ac:dyDescent="0.25">
      <c r="A790" s="282" t="s">
        <v>124</v>
      </c>
      <c r="B790" s="280">
        <v>94228</v>
      </c>
      <c r="C790" s="281" t="s">
        <v>441</v>
      </c>
      <c r="D790" s="282" t="s">
        <v>55</v>
      </c>
      <c r="E790" s="285">
        <f>TRUNC(J790,2)+K790</f>
        <v>76.8</v>
      </c>
      <c r="F790" s="283">
        <v>60.25</v>
      </c>
      <c r="G790" s="284">
        <f>TRUNC(F790*$J$13,2)</f>
        <v>74.94</v>
      </c>
      <c r="H790" s="284">
        <f>TRUNC(E790*G790,2)</f>
        <v>5755.39</v>
      </c>
      <c r="I790" s="297"/>
      <c r="J790" s="72">
        <f>15.45*4</f>
        <v>61.8</v>
      </c>
      <c r="K790" s="229">
        <v>15</v>
      </c>
      <c r="L790" s="25"/>
      <c r="M790" s="27"/>
      <c r="N790" s="27"/>
      <c r="O790" s="27"/>
      <c r="P790" s="28"/>
      <c r="Q790" s="37"/>
      <c r="R790" s="4"/>
      <c r="S790" s="236">
        <v>76.8</v>
      </c>
      <c r="T790" s="236">
        <v>60.25</v>
      </c>
      <c r="U790" s="236">
        <v>75.91</v>
      </c>
      <c r="V790" s="236">
        <v>5829.88</v>
      </c>
    </row>
    <row r="791" spans="1:22" s="52" customFormat="1" outlineLevel="1" x14ac:dyDescent="0.25">
      <c r="A791" s="282" t="s">
        <v>126</v>
      </c>
      <c r="B791" s="280">
        <v>94231</v>
      </c>
      <c r="C791" s="281" t="s">
        <v>442</v>
      </c>
      <c r="D791" s="282" t="s">
        <v>55</v>
      </c>
      <c r="E791" s="285">
        <f>TRUNC(J791,2)+K791</f>
        <v>131.19999999999999</v>
      </c>
      <c r="F791" s="283">
        <v>36.200000000000003</v>
      </c>
      <c r="G791" s="284">
        <f>TRUNC(F791*$J$13,2)</f>
        <v>45.02</v>
      </c>
      <c r="H791" s="284">
        <f>TRUNC(E791*G791,2)</f>
        <v>5906.62</v>
      </c>
      <c r="I791" s="297"/>
      <c r="J791" s="72">
        <f>J789</f>
        <v>116.2</v>
      </c>
      <c r="K791" s="229">
        <v>15</v>
      </c>
      <c r="L791" s="25"/>
      <c r="M791" s="27"/>
      <c r="N791" s="31"/>
      <c r="O791" s="27"/>
      <c r="P791" s="28"/>
      <c r="Q791" s="37"/>
      <c r="R791" s="4"/>
      <c r="S791" s="236">
        <v>131.19999999999999</v>
      </c>
      <c r="T791" s="236">
        <v>36.200000000000003</v>
      </c>
      <c r="U791" s="236">
        <v>45.61</v>
      </c>
      <c r="V791" s="236">
        <v>5984.03</v>
      </c>
    </row>
    <row r="792" spans="1:22" s="52" customFormat="1" outlineLevel="1" x14ac:dyDescent="0.25">
      <c r="A792" s="279" t="s">
        <v>160</v>
      </c>
      <c r="B792" s="279"/>
      <c r="C792" s="294" t="s">
        <v>51</v>
      </c>
      <c r="D792" s="558"/>
      <c r="E792" s="294"/>
      <c r="F792" s="403"/>
      <c r="G792" s="294"/>
      <c r="H792" s="558"/>
      <c r="I792" s="402">
        <f>SUM(H793:H796)</f>
        <v>25762.67</v>
      </c>
      <c r="J792" s="73">
        <v>80103.03</v>
      </c>
      <c r="K792" s="197"/>
      <c r="L792" s="317">
        <f>SUM(H793:H796)</f>
        <v>25762.67</v>
      </c>
      <c r="M792" s="2">
        <f>I792-L792</f>
        <v>0</v>
      </c>
      <c r="N792" s="2"/>
      <c r="O792" s="2"/>
      <c r="P792" s="3"/>
      <c r="Q792" s="37"/>
      <c r="R792" s="4"/>
    </row>
    <row r="793" spans="1:22" s="52" customFormat="1" ht="46.8" outlineLevel="1" x14ac:dyDescent="0.25">
      <c r="A793" s="282" t="s">
        <v>162</v>
      </c>
      <c r="B793" s="280">
        <v>90843</v>
      </c>
      <c r="C793" s="281" t="s">
        <v>53</v>
      </c>
      <c r="D793" s="282" t="s">
        <v>44</v>
      </c>
      <c r="E793" s="285">
        <v>5</v>
      </c>
      <c r="F793" s="283">
        <f>'COMPOSIÇÃO SINAPI W MENDES'!G4891</f>
        <v>640</v>
      </c>
      <c r="G793" s="284">
        <f>TRUNC(F793*$J$13,2)</f>
        <v>796.09</v>
      </c>
      <c r="H793" s="284">
        <f>TRUNC(E793*G793,2)</f>
        <v>3980.45</v>
      </c>
      <c r="I793" s="297"/>
      <c r="J793" s="72">
        <v>5</v>
      </c>
      <c r="K793" s="228"/>
      <c r="L793" s="26"/>
      <c r="M793" s="27"/>
      <c r="N793" s="27"/>
      <c r="O793" s="27"/>
      <c r="P793" s="28"/>
      <c r="Q793" s="37"/>
      <c r="R793" s="4"/>
      <c r="S793" s="236">
        <v>5</v>
      </c>
      <c r="T793" s="236">
        <v>742.69</v>
      </c>
      <c r="U793" s="236">
        <v>935.78</v>
      </c>
      <c r="V793" s="236">
        <v>4678.8999999999996</v>
      </c>
    </row>
    <row r="794" spans="1:22" s="52" customFormat="1" outlineLevel="1" x14ac:dyDescent="0.25">
      <c r="A794" s="282" t="s">
        <v>163</v>
      </c>
      <c r="B794" s="280">
        <v>100701</v>
      </c>
      <c r="C794" s="281" t="s">
        <v>391</v>
      </c>
      <c r="D794" s="282" t="s">
        <v>24</v>
      </c>
      <c r="E794" s="285">
        <f>TRUNC(J794,2)</f>
        <v>15.9</v>
      </c>
      <c r="F794" s="283">
        <v>479.56</v>
      </c>
      <c r="G794" s="284">
        <f>TRUNC(F794*$J$13,2)</f>
        <v>596.52</v>
      </c>
      <c r="H794" s="284">
        <f>TRUNC(E794*G794,2)</f>
        <v>9484.66</v>
      </c>
      <c r="I794" s="403"/>
      <c r="J794" s="80">
        <f>5.05*3.15</f>
        <v>15.907499999999999</v>
      </c>
      <c r="K794" s="233"/>
      <c r="L794" s="34"/>
      <c r="M794" s="35"/>
      <c r="N794" s="35"/>
      <c r="O794" s="35"/>
      <c r="P794" s="40"/>
      <c r="Q794" s="37"/>
      <c r="R794" s="4"/>
      <c r="S794" s="236">
        <v>15.9</v>
      </c>
      <c r="T794" s="236">
        <v>479.56</v>
      </c>
      <c r="U794" s="236">
        <v>604.24</v>
      </c>
      <c r="V794" s="236">
        <v>9607.41</v>
      </c>
    </row>
    <row r="795" spans="1:22" s="52" customFormat="1" outlineLevel="1" x14ac:dyDescent="0.25">
      <c r="A795" s="282" t="s">
        <v>164</v>
      </c>
      <c r="B795" s="280">
        <v>94559</v>
      </c>
      <c r="C795" s="281" t="s">
        <v>443</v>
      </c>
      <c r="D795" s="282" t="s">
        <v>24</v>
      </c>
      <c r="E795" s="285">
        <f>TRUNC(J795,2)</f>
        <v>9.36</v>
      </c>
      <c r="F795" s="283">
        <v>566.87</v>
      </c>
      <c r="G795" s="284">
        <f>TRUNC(F795*$J$13,2)</f>
        <v>705.12</v>
      </c>
      <c r="H795" s="284">
        <f>TRUNC(E795*G795,2)</f>
        <v>6599.92</v>
      </c>
      <c r="I795" s="403"/>
      <c r="J795" s="80">
        <f>13*1.2*0.6</f>
        <v>9.36</v>
      </c>
      <c r="K795" s="233"/>
      <c r="L795" s="34"/>
      <c r="M795" s="35"/>
      <c r="N795" s="35"/>
      <c r="O795" s="35"/>
      <c r="P795" s="40"/>
      <c r="Q795" s="37"/>
      <c r="R795" s="4"/>
      <c r="S795" s="236">
        <v>9.36</v>
      </c>
      <c r="T795" s="236">
        <v>566.87</v>
      </c>
      <c r="U795" s="236">
        <v>714.25</v>
      </c>
      <c r="V795" s="236">
        <v>6685.38</v>
      </c>
    </row>
    <row r="796" spans="1:22" s="52" customFormat="1" outlineLevel="1" x14ac:dyDescent="0.25">
      <c r="A796" s="282" t="s">
        <v>165</v>
      </c>
      <c r="B796" s="292">
        <v>94560</v>
      </c>
      <c r="C796" s="281" t="s">
        <v>444</v>
      </c>
      <c r="D796" s="282" t="s">
        <v>24</v>
      </c>
      <c r="E796" s="285">
        <f>TRUNC(J796,2)</f>
        <v>8.8000000000000007</v>
      </c>
      <c r="F796" s="283">
        <v>520.51</v>
      </c>
      <c r="G796" s="284">
        <f>TRUNC(F796*$J$13,2)</f>
        <v>647.46</v>
      </c>
      <c r="H796" s="284">
        <f>TRUNC(E796*G796,2)</f>
        <v>5697.64</v>
      </c>
      <c r="I796" s="297"/>
      <c r="J796" s="80">
        <f>8*1.1*1</f>
        <v>8.8000000000000007</v>
      </c>
      <c r="K796" s="233"/>
      <c r="L796" s="34"/>
      <c r="M796" s="35"/>
      <c r="N796" s="35"/>
      <c r="O796" s="35"/>
      <c r="P796" s="40"/>
      <c r="Q796" s="37"/>
      <c r="R796" s="4"/>
      <c r="S796" s="236">
        <v>8.8000000000000007</v>
      </c>
      <c r="T796" s="236">
        <v>520.51</v>
      </c>
      <c r="U796" s="236">
        <v>655.84</v>
      </c>
      <c r="V796" s="236">
        <v>5771.39</v>
      </c>
    </row>
    <row r="797" spans="1:22" s="52" customFormat="1" outlineLevel="1" x14ac:dyDescent="0.25">
      <c r="A797" s="279" t="s">
        <v>186</v>
      </c>
      <c r="B797" s="279"/>
      <c r="C797" s="294" t="s">
        <v>61</v>
      </c>
      <c r="D797" s="558"/>
      <c r="E797" s="294"/>
      <c r="F797" s="403"/>
      <c r="G797" s="294"/>
      <c r="H797" s="558"/>
      <c r="I797" s="402">
        <f>SUM(H798:H800)</f>
        <v>42171.96</v>
      </c>
      <c r="J797" s="73"/>
      <c r="K797" s="197"/>
      <c r="L797" s="317">
        <f>SUM(H798:H800)</f>
        <v>42171.96</v>
      </c>
      <c r="M797" s="2">
        <f>I797-L797</f>
        <v>0</v>
      </c>
      <c r="N797" s="2"/>
      <c r="O797" s="2"/>
      <c r="P797" s="3"/>
      <c r="Q797" s="37"/>
      <c r="R797" s="4"/>
    </row>
    <row r="798" spans="1:22" s="52" customFormat="1" ht="31.2" outlineLevel="1" x14ac:dyDescent="0.25">
      <c r="A798" s="282" t="s">
        <v>188</v>
      </c>
      <c r="B798" s="280">
        <v>87874</v>
      </c>
      <c r="C798" s="307" t="s">
        <v>445</v>
      </c>
      <c r="D798" s="282" t="s">
        <v>24</v>
      </c>
      <c r="E798" s="285">
        <f>TRUNC(J798,2)</f>
        <v>1039.8</v>
      </c>
      <c r="F798" s="283">
        <v>3.99</v>
      </c>
      <c r="G798" s="284">
        <f>TRUNC(F798*$J$13,2)</f>
        <v>4.96</v>
      </c>
      <c r="H798" s="284">
        <f>TRUNC(E798*G798,2)</f>
        <v>5157.3999999999996</v>
      </c>
      <c r="I798" s="297"/>
      <c r="J798" s="72">
        <f>J784*2</f>
        <v>1039.8</v>
      </c>
      <c r="K798" s="229"/>
      <c r="L798" s="25"/>
      <c r="M798" s="31"/>
      <c r="N798" s="27"/>
      <c r="O798" s="27"/>
      <c r="P798" s="28"/>
      <c r="Q798" s="37"/>
      <c r="R798" s="4"/>
      <c r="S798" s="236">
        <v>1039.8</v>
      </c>
      <c r="T798" s="236">
        <v>3.99</v>
      </c>
      <c r="U798" s="236">
        <v>5.0199999999999996</v>
      </c>
      <c r="V798" s="236">
        <v>5219.79</v>
      </c>
    </row>
    <row r="799" spans="1:22" s="52" customFormat="1" ht="46.8" outlineLevel="1" x14ac:dyDescent="0.25">
      <c r="A799" s="282" t="s">
        <v>200</v>
      </c>
      <c r="B799" s="280">
        <v>87530</v>
      </c>
      <c r="C799" s="281" t="s">
        <v>446</v>
      </c>
      <c r="D799" s="282" t="s">
        <v>24</v>
      </c>
      <c r="E799" s="285">
        <f>TRUNC(J799,2)</f>
        <v>1039.8</v>
      </c>
      <c r="F799" s="283">
        <v>27.45</v>
      </c>
      <c r="G799" s="284">
        <f>TRUNC(F799*$J$13,2)</f>
        <v>34.14</v>
      </c>
      <c r="H799" s="284">
        <f>TRUNC(E799*G799,2)</f>
        <v>35498.769999999997</v>
      </c>
      <c r="I799" s="297"/>
      <c r="J799" s="81">
        <f>J798</f>
        <v>1039.8</v>
      </c>
      <c r="K799" s="245">
        <f>TRUNC(H799*J799,2)</f>
        <v>36911621.039999999</v>
      </c>
      <c r="L799" s="25"/>
      <c r="M799" s="31"/>
      <c r="N799" s="27"/>
      <c r="O799" s="27"/>
      <c r="P799" s="28"/>
      <c r="Q799" s="37"/>
      <c r="R799" s="4"/>
      <c r="S799" s="236">
        <v>1039.8</v>
      </c>
      <c r="T799" s="236">
        <v>27.45</v>
      </c>
      <c r="U799" s="236">
        <v>34.58</v>
      </c>
      <c r="V799" s="236">
        <v>35956.28</v>
      </c>
    </row>
    <row r="800" spans="1:22" s="52" customFormat="1" ht="31.2" outlineLevel="1" x14ac:dyDescent="0.25">
      <c r="A800" s="282" t="s">
        <v>236</v>
      </c>
      <c r="B800" s="280">
        <v>87266</v>
      </c>
      <c r="C800" s="281" t="s">
        <v>65</v>
      </c>
      <c r="D800" s="282" t="s">
        <v>24</v>
      </c>
      <c r="E800" s="285">
        <f>TRUNC(J800,2)</f>
        <v>37.17</v>
      </c>
      <c r="F800" s="283">
        <f>'COMPOSIÇÃO SINAPI W MENDES'!G4933</f>
        <v>32.790000000000006</v>
      </c>
      <c r="G800" s="284">
        <f>TRUNC(F800*$J$13,2)</f>
        <v>40.78</v>
      </c>
      <c r="H800" s="284">
        <f>TRUNC(E800*G800,2)</f>
        <v>1515.79</v>
      </c>
      <c r="I800" s="297"/>
      <c r="J800" s="72">
        <f>(3.85*2+5*2)*2.1</f>
        <v>37.17</v>
      </c>
      <c r="K800" s="229"/>
      <c r="L800" s="25"/>
      <c r="M800" s="27"/>
      <c r="N800" s="27"/>
      <c r="O800" s="27"/>
      <c r="P800" s="28"/>
      <c r="Q800" s="37"/>
      <c r="R800" s="4"/>
      <c r="S800" s="236">
        <v>37.17</v>
      </c>
      <c r="T800" s="236">
        <v>43.91</v>
      </c>
      <c r="U800" s="236">
        <v>55.32</v>
      </c>
      <c r="V800" s="236">
        <v>2056.2399999999998</v>
      </c>
    </row>
    <row r="801" spans="1:22" s="52" customFormat="1" outlineLevel="1" x14ac:dyDescent="0.25">
      <c r="A801" s="279" t="s">
        <v>206</v>
      </c>
      <c r="B801" s="279"/>
      <c r="C801" s="294" t="s">
        <v>75</v>
      </c>
      <c r="D801" s="558"/>
      <c r="E801" s="294"/>
      <c r="F801" s="403"/>
      <c r="G801" s="294"/>
      <c r="H801" s="558"/>
      <c r="I801" s="404">
        <f>SUM(H802:H806)</f>
        <v>63749.77</v>
      </c>
      <c r="J801" s="73"/>
      <c r="K801" s="197"/>
      <c r="L801" s="317">
        <f>SUM(H802:H806)</f>
        <v>63749.77</v>
      </c>
      <c r="M801" s="2">
        <f>I801-L801</f>
        <v>0</v>
      </c>
      <c r="N801" s="2"/>
      <c r="O801" s="2"/>
      <c r="P801" s="3"/>
      <c r="Q801" s="37"/>
      <c r="R801" s="4"/>
    </row>
    <row r="802" spans="1:22" s="52" customFormat="1" outlineLevel="1" x14ac:dyDescent="0.25">
      <c r="A802" s="282" t="s">
        <v>208</v>
      </c>
      <c r="B802" s="280">
        <v>84191</v>
      </c>
      <c r="C802" s="281" t="s">
        <v>82</v>
      </c>
      <c r="D802" s="282" t="s">
        <v>24</v>
      </c>
      <c r="E802" s="285">
        <f>TRUNC(J802,2)</f>
        <v>311.02</v>
      </c>
      <c r="F802" s="283">
        <f>'COMPOSIÇÃO SINAPI W MENDES'!G4942</f>
        <v>91.929999999999993</v>
      </c>
      <c r="G802" s="284">
        <f>TRUNC(F802*$J$13,2)</f>
        <v>114.35</v>
      </c>
      <c r="H802" s="284">
        <f>TRUNC(E802*G802,2)</f>
        <v>35565.129999999997</v>
      </c>
      <c r="I802" s="297"/>
      <c r="J802" s="72">
        <f>74+19.25+19+19.25+179.52</f>
        <v>311.02</v>
      </c>
      <c r="K802" s="228">
        <v>60</v>
      </c>
      <c r="L802" s="26"/>
      <c r="M802" s="27"/>
      <c r="N802" s="27"/>
      <c r="O802" s="27"/>
      <c r="P802" s="28"/>
      <c r="Q802" s="37"/>
      <c r="R802" s="4"/>
      <c r="S802" s="236">
        <v>311.02</v>
      </c>
      <c r="T802" s="236">
        <v>111.14</v>
      </c>
      <c r="U802" s="236">
        <v>140.03</v>
      </c>
      <c r="V802" s="236">
        <v>43552.13</v>
      </c>
    </row>
    <row r="803" spans="1:22" s="52" customFormat="1" ht="31.2" outlineLevel="1" x14ac:dyDescent="0.25">
      <c r="A803" s="282" t="s">
        <v>200</v>
      </c>
      <c r="B803" s="280">
        <v>94991</v>
      </c>
      <c r="C803" s="281" t="s">
        <v>447</v>
      </c>
      <c r="D803" s="282" t="s">
        <v>41</v>
      </c>
      <c r="E803" s="285">
        <f>TRUNC(J803,2)</f>
        <v>7.89</v>
      </c>
      <c r="F803" s="283">
        <v>545.37</v>
      </c>
      <c r="G803" s="284">
        <f>TRUNC(F803*$J$13,2)</f>
        <v>678.38</v>
      </c>
      <c r="H803" s="284">
        <f>TRUNC(E803*G803,2)</f>
        <v>5352.41</v>
      </c>
      <c r="I803" s="297"/>
      <c r="J803" s="72">
        <f>(74+19.25+19+19.25)*0.06</f>
        <v>7.89</v>
      </c>
      <c r="K803" s="228"/>
      <c r="L803" s="26"/>
      <c r="M803" s="27"/>
      <c r="N803" s="27"/>
      <c r="O803" s="27"/>
      <c r="P803" s="28"/>
      <c r="Q803" s="37"/>
      <c r="R803" s="4"/>
      <c r="S803" s="236">
        <v>7.89</v>
      </c>
      <c r="T803" s="236">
        <v>545.37</v>
      </c>
      <c r="U803" s="236">
        <v>687.16</v>
      </c>
      <c r="V803" s="236">
        <v>5421.69</v>
      </c>
    </row>
    <row r="804" spans="1:22" s="52" customFormat="1" ht="31.2" outlineLevel="1" x14ac:dyDescent="0.25">
      <c r="A804" s="282" t="s">
        <v>252</v>
      </c>
      <c r="B804" s="280">
        <v>94994</v>
      </c>
      <c r="C804" s="281" t="s">
        <v>448</v>
      </c>
      <c r="D804" s="282" t="s">
        <v>24</v>
      </c>
      <c r="E804" s="285">
        <f>TRUNC(J804,2)</f>
        <v>179.52</v>
      </c>
      <c r="F804" s="283">
        <v>73.540000000000006</v>
      </c>
      <c r="G804" s="284">
        <f>TRUNC(F804*$J$13,2)</f>
        <v>91.47</v>
      </c>
      <c r="H804" s="284">
        <f>TRUNC(E804*G804,2)</f>
        <v>16420.689999999999</v>
      </c>
      <c r="I804" s="297"/>
      <c r="J804" s="72">
        <v>179.52</v>
      </c>
      <c r="K804" s="228"/>
      <c r="L804" s="26"/>
      <c r="M804" s="27"/>
      <c r="N804" s="27"/>
      <c r="O804" s="27"/>
      <c r="P804" s="28"/>
      <c r="Q804" s="37"/>
      <c r="R804" s="4"/>
      <c r="S804" s="236">
        <v>179.52</v>
      </c>
      <c r="T804" s="236">
        <v>73.540000000000006</v>
      </c>
      <c r="U804" s="236">
        <v>92.66</v>
      </c>
      <c r="V804" s="236">
        <v>16634.32</v>
      </c>
    </row>
    <row r="805" spans="1:22" s="52" customFormat="1" ht="31.2" outlineLevel="1" x14ac:dyDescent="0.25">
      <c r="A805" s="282" t="s">
        <v>236</v>
      </c>
      <c r="B805" s="280">
        <v>94991</v>
      </c>
      <c r="C805" s="281" t="s">
        <v>449</v>
      </c>
      <c r="D805" s="282" t="s">
        <v>41</v>
      </c>
      <c r="E805" s="285">
        <f>TRUNC(J805,2)</f>
        <v>4.28</v>
      </c>
      <c r="F805" s="283">
        <v>545.37</v>
      </c>
      <c r="G805" s="284">
        <f>TRUNC(F805*$J$13,2)</f>
        <v>678.38</v>
      </c>
      <c r="H805" s="284">
        <f>TRUNC(E805*G805,2)</f>
        <v>2903.46</v>
      </c>
      <c r="I805" s="297"/>
      <c r="J805" s="72">
        <f>(4.3*9+(12+15.45+12+15.2)*0.6)*0.06</f>
        <v>4.2893999999999997</v>
      </c>
      <c r="K805" s="228"/>
      <c r="L805" s="26"/>
      <c r="M805" s="27"/>
      <c r="N805" s="27"/>
      <c r="O805" s="27"/>
      <c r="P805" s="28"/>
      <c r="Q805" s="37"/>
      <c r="R805" s="4"/>
      <c r="S805" s="236">
        <v>4.28</v>
      </c>
      <c r="T805" s="236">
        <v>545.37</v>
      </c>
      <c r="U805" s="236">
        <v>687.16</v>
      </c>
      <c r="V805" s="236">
        <v>2941.04</v>
      </c>
    </row>
    <row r="806" spans="1:22" s="52" customFormat="1" outlineLevel="1" x14ac:dyDescent="0.25">
      <c r="A806" s="282" t="s">
        <v>209</v>
      </c>
      <c r="B806" s="280" t="s">
        <v>450</v>
      </c>
      <c r="C806" s="281" t="s">
        <v>451</v>
      </c>
      <c r="D806" s="282" t="s">
        <v>55</v>
      </c>
      <c r="E806" s="285">
        <f>TRUNC(J806,2)</f>
        <v>126.6</v>
      </c>
      <c r="F806" s="283">
        <v>22.28</v>
      </c>
      <c r="G806" s="284">
        <f>TRUNC(F806*$J$13,2)</f>
        <v>27.71</v>
      </c>
      <c r="H806" s="284">
        <f>TRUNC(E806*G806,2)</f>
        <v>3508.08</v>
      </c>
      <c r="I806" s="403"/>
      <c r="J806" s="25">
        <f>11.85+11.85+15.15+14.8+14.8+5+5+17.7+17.7+17.5-4.75</f>
        <v>126.60000000000002</v>
      </c>
      <c r="K806" s="228"/>
      <c r="L806" s="26"/>
      <c r="M806" s="27"/>
      <c r="N806" s="27"/>
      <c r="O806" s="27"/>
      <c r="P806" s="28"/>
      <c r="Q806" s="37"/>
      <c r="R806" s="4"/>
      <c r="S806" s="236">
        <v>126.6</v>
      </c>
      <c r="T806" s="236">
        <v>22.28</v>
      </c>
      <c r="U806" s="236">
        <v>28.07</v>
      </c>
      <c r="V806" s="236">
        <v>3553.66</v>
      </c>
    </row>
    <row r="807" spans="1:22" s="52" customFormat="1" outlineLevel="1" x14ac:dyDescent="0.25">
      <c r="A807" s="279" t="s">
        <v>715</v>
      </c>
      <c r="B807" s="279"/>
      <c r="C807" s="294" t="s">
        <v>86</v>
      </c>
      <c r="D807" s="558"/>
      <c r="E807" s="294"/>
      <c r="F807" s="403"/>
      <c r="G807" s="294"/>
      <c r="H807" s="558"/>
      <c r="I807" s="402">
        <f>SUM(H808)</f>
        <v>1741.87</v>
      </c>
      <c r="J807" s="73"/>
      <c r="K807" s="197"/>
      <c r="L807" s="317">
        <f>SUM(H808)</f>
        <v>1741.87</v>
      </c>
      <c r="M807" s="2">
        <f>I807-L807</f>
        <v>0</v>
      </c>
      <c r="N807" s="2"/>
      <c r="O807" s="2"/>
      <c r="P807" s="3"/>
      <c r="Q807" s="37"/>
      <c r="R807" s="4"/>
    </row>
    <row r="808" spans="1:22" s="52" customFormat="1" outlineLevel="1" x14ac:dyDescent="0.25">
      <c r="A808" s="282" t="s">
        <v>213</v>
      </c>
      <c r="B808" s="280">
        <v>72117</v>
      </c>
      <c r="C808" s="289" t="s">
        <v>88</v>
      </c>
      <c r="D808" s="282" t="s">
        <v>24</v>
      </c>
      <c r="E808" s="285">
        <f>TRUNC(J808,2)</f>
        <v>8.8000000000000007</v>
      </c>
      <c r="F808" s="283">
        <v>159.13</v>
      </c>
      <c r="G808" s="284">
        <f>TRUNC(F808*$J$13,2)</f>
        <v>197.94</v>
      </c>
      <c r="H808" s="284">
        <f>TRUNC(E808*G808,2)</f>
        <v>1741.87</v>
      </c>
      <c r="I808" s="297"/>
      <c r="J808" s="72">
        <f>J796</f>
        <v>8.8000000000000007</v>
      </c>
      <c r="K808" s="229"/>
      <c r="L808" s="25"/>
      <c r="M808" s="27"/>
      <c r="N808" s="27"/>
      <c r="O808" s="27"/>
      <c r="P808" s="28"/>
      <c r="Q808" s="37"/>
      <c r="R808" s="4"/>
      <c r="S808" s="236">
        <v>8.8000000000000007</v>
      </c>
      <c r="T808" s="236">
        <v>159.13</v>
      </c>
      <c r="U808" s="236">
        <v>200.5</v>
      </c>
      <c r="V808" s="236">
        <v>1764.4</v>
      </c>
    </row>
    <row r="809" spans="1:22" s="52" customFormat="1" outlineLevel="1" x14ac:dyDescent="0.25">
      <c r="A809" s="279" t="s">
        <v>299</v>
      </c>
      <c r="B809" s="279"/>
      <c r="C809" s="294" t="s">
        <v>96</v>
      </c>
      <c r="D809" s="558"/>
      <c r="E809" s="294"/>
      <c r="F809" s="403"/>
      <c r="G809" s="294"/>
      <c r="H809" s="558"/>
      <c r="I809" s="402">
        <f>SUM(H810:H819)</f>
        <v>28953.47</v>
      </c>
      <c r="J809" s="73"/>
      <c r="K809" s="197"/>
      <c r="L809" s="317">
        <f>SUM(H810:H819)</f>
        <v>28953.47</v>
      </c>
      <c r="M809" s="2">
        <f>I809-L809</f>
        <v>0</v>
      </c>
      <c r="N809" s="2"/>
      <c r="O809" s="2"/>
      <c r="P809" s="3"/>
      <c r="Q809" s="37"/>
      <c r="R809" s="4"/>
    </row>
    <row r="810" spans="1:22" s="52" customFormat="1" outlineLevel="1" x14ac:dyDescent="0.25">
      <c r="A810" s="282" t="s">
        <v>300</v>
      </c>
      <c r="B810" s="280">
        <v>88415</v>
      </c>
      <c r="C810" s="281" t="s">
        <v>452</v>
      </c>
      <c r="D810" s="282" t="s">
        <v>24</v>
      </c>
      <c r="E810" s="285">
        <f t="shared" ref="E810:E818" si="127">TRUNC(J810,2)</f>
        <v>412.8</v>
      </c>
      <c r="F810" s="283">
        <v>1.83</v>
      </c>
      <c r="G810" s="284">
        <f t="shared" ref="G810:G818" si="128">TRUNC(F810*$J$13,2)</f>
        <v>2.27</v>
      </c>
      <c r="H810" s="284">
        <f>TRUNC(E810*G810,2)</f>
        <v>937.05</v>
      </c>
      <c r="I810" s="402"/>
      <c r="J810" s="82">
        <f>(19.7+19.7+14.7+14.7)*6</f>
        <v>412.79999999999995</v>
      </c>
      <c r="K810" s="197"/>
      <c r="L810" s="7"/>
      <c r="M810" s="2"/>
      <c r="N810" s="2"/>
      <c r="O810" s="2"/>
      <c r="P810" s="3"/>
      <c r="Q810" s="37"/>
      <c r="R810" s="4"/>
      <c r="S810" s="236">
        <v>412.8</v>
      </c>
      <c r="T810" s="236">
        <v>1.83</v>
      </c>
      <c r="U810" s="236">
        <v>2.2999999999999998</v>
      </c>
      <c r="V810" s="236">
        <v>949.44</v>
      </c>
    </row>
    <row r="811" spans="1:22" s="52" customFormat="1" outlineLevel="1" x14ac:dyDescent="0.25">
      <c r="A811" s="282" t="s">
        <v>707</v>
      </c>
      <c r="B811" s="280">
        <v>88423</v>
      </c>
      <c r="C811" s="281" t="s">
        <v>98</v>
      </c>
      <c r="D811" s="282" t="s">
        <v>24</v>
      </c>
      <c r="E811" s="285">
        <f t="shared" si="127"/>
        <v>412.8</v>
      </c>
      <c r="F811" s="283">
        <v>13.45</v>
      </c>
      <c r="G811" s="284">
        <f t="shared" si="128"/>
        <v>16.73</v>
      </c>
      <c r="H811" s="284">
        <f t="shared" ref="H811:H818" si="129">TRUNC(E811*G811,2)</f>
        <v>6906.14</v>
      </c>
      <c r="I811" s="297"/>
      <c r="J811" s="72">
        <f>J810</f>
        <v>412.79999999999995</v>
      </c>
      <c r="K811" s="229"/>
      <c r="L811" s="25"/>
      <c r="M811" s="27"/>
      <c r="N811" s="27"/>
      <c r="O811" s="27"/>
      <c r="P811" s="28"/>
      <c r="Q811" s="37"/>
      <c r="R811" s="4"/>
      <c r="S811" s="236">
        <v>412.8</v>
      </c>
      <c r="T811" s="236">
        <v>16.21</v>
      </c>
      <c r="U811" s="236">
        <v>20.420000000000002</v>
      </c>
      <c r="V811" s="236">
        <v>8429.3700000000008</v>
      </c>
    </row>
    <row r="812" spans="1:22" s="52" customFormat="1" outlineLevel="1" x14ac:dyDescent="0.25">
      <c r="A812" s="282" t="s">
        <v>301</v>
      </c>
      <c r="B812" s="280">
        <v>88496</v>
      </c>
      <c r="C812" s="288" t="s">
        <v>101</v>
      </c>
      <c r="D812" s="282" t="s">
        <v>24</v>
      </c>
      <c r="E812" s="285">
        <f t="shared" si="127"/>
        <v>18.489999999999998</v>
      </c>
      <c r="F812" s="283">
        <f>'COMPOSIÇÃO SINAPI W MENDES'!G5007</f>
        <v>10.510000000000002</v>
      </c>
      <c r="G812" s="284">
        <f t="shared" si="128"/>
        <v>13.07</v>
      </c>
      <c r="H812" s="284">
        <f t="shared" si="129"/>
        <v>241.66</v>
      </c>
      <c r="I812" s="297"/>
      <c r="J812" s="74">
        <f>4.3*4.3</f>
        <v>18.489999999999998</v>
      </c>
      <c r="K812" s="229"/>
      <c r="L812" s="25"/>
      <c r="M812" s="27"/>
      <c r="N812" s="27"/>
      <c r="O812" s="27"/>
      <c r="P812" s="28"/>
      <c r="Q812" s="37"/>
      <c r="R812" s="4"/>
      <c r="S812" s="236">
        <v>18.489999999999998</v>
      </c>
      <c r="T812" s="236">
        <v>19.940000000000001</v>
      </c>
      <c r="U812" s="236">
        <v>25.12</v>
      </c>
      <c r="V812" s="236">
        <v>464.46</v>
      </c>
    </row>
    <row r="813" spans="1:22" s="52" customFormat="1" outlineLevel="1" x14ac:dyDescent="0.25">
      <c r="A813" s="282" t="s">
        <v>716</v>
      </c>
      <c r="B813" s="280">
        <v>88488</v>
      </c>
      <c r="C813" s="281" t="s">
        <v>104</v>
      </c>
      <c r="D813" s="282" t="s">
        <v>24</v>
      </c>
      <c r="E813" s="285">
        <f t="shared" si="127"/>
        <v>18.489999999999998</v>
      </c>
      <c r="F813" s="283">
        <f>'COMPOSIÇÃO SINAPI W MENDES'!G499</f>
        <v>8.42</v>
      </c>
      <c r="G813" s="284">
        <f t="shared" si="128"/>
        <v>10.47</v>
      </c>
      <c r="H813" s="284">
        <f t="shared" si="129"/>
        <v>193.59</v>
      </c>
      <c r="I813" s="297"/>
      <c r="J813" s="72">
        <f>J812</f>
        <v>18.489999999999998</v>
      </c>
      <c r="K813" s="229"/>
      <c r="L813" s="25"/>
      <c r="M813" s="27"/>
      <c r="N813" s="27"/>
      <c r="O813" s="27"/>
      <c r="P813" s="28"/>
      <c r="Q813" s="37"/>
      <c r="R813" s="4"/>
      <c r="S813" s="236">
        <v>18.489999999999998</v>
      </c>
      <c r="T813" s="236">
        <v>12.65</v>
      </c>
      <c r="U813" s="236">
        <v>15.93</v>
      </c>
      <c r="V813" s="236">
        <v>294.54000000000002</v>
      </c>
    </row>
    <row r="814" spans="1:22" s="52" customFormat="1" outlineLevel="1" x14ac:dyDescent="0.25">
      <c r="A814" s="282" t="s">
        <v>717</v>
      </c>
      <c r="B814" s="280">
        <v>88497</v>
      </c>
      <c r="C814" s="288" t="s">
        <v>232</v>
      </c>
      <c r="D814" s="282" t="s">
        <v>24</v>
      </c>
      <c r="E814" s="285">
        <f t="shared" si="127"/>
        <v>621.26</v>
      </c>
      <c r="F814" s="283">
        <v>9.74</v>
      </c>
      <c r="G814" s="284">
        <f t="shared" si="128"/>
        <v>12.11</v>
      </c>
      <c r="H814" s="284">
        <f t="shared" si="129"/>
        <v>7523.45</v>
      </c>
      <c r="I814" s="297"/>
      <c r="J814" s="82">
        <f>(19.7+19.7+14.7+14.7)*6+(16+9.5+1.5)*2*3+10.1*4.6</f>
        <v>621.26</v>
      </c>
      <c r="K814" s="229"/>
      <c r="L814" s="25"/>
      <c r="M814" s="27"/>
      <c r="N814" s="27"/>
      <c r="O814" s="27"/>
      <c r="P814" s="28"/>
      <c r="Q814" s="37"/>
      <c r="R814" s="4"/>
      <c r="S814" s="236">
        <v>621.26</v>
      </c>
      <c r="T814" s="236">
        <v>11.24</v>
      </c>
      <c r="U814" s="236">
        <v>14.16</v>
      </c>
      <c r="V814" s="236">
        <v>8797.0400000000009</v>
      </c>
    </row>
    <row r="815" spans="1:22" s="52" customFormat="1" outlineLevel="1" x14ac:dyDescent="0.25">
      <c r="A815" s="282" t="s">
        <v>718</v>
      </c>
      <c r="B815" s="280">
        <v>88489</v>
      </c>
      <c r="C815" s="281" t="s">
        <v>108</v>
      </c>
      <c r="D815" s="282" t="s">
        <v>24</v>
      </c>
      <c r="E815" s="285">
        <f t="shared" si="127"/>
        <v>621.26</v>
      </c>
      <c r="F815" s="283">
        <f>'COMPOSIÇÃO SINAPI W MENDES'!G5026</f>
        <v>8.14</v>
      </c>
      <c r="G815" s="284">
        <f t="shared" si="128"/>
        <v>10.119999999999999</v>
      </c>
      <c r="H815" s="284">
        <f t="shared" si="129"/>
        <v>6287.15</v>
      </c>
      <c r="I815" s="297"/>
      <c r="J815" s="72">
        <f>J814</f>
        <v>621.26</v>
      </c>
      <c r="K815" s="229"/>
      <c r="L815" s="25"/>
      <c r="M815" s="27"/>
      <c r="N815" s="27"/>
      <c r="O815" s="27"/>
      <c r="P815" s="28"/>
      <c r="Q815" s="37"/>
      <c r="R815" s="4"/>
      <c r="S815" s="236">
        <v>621.26</v>
      </c>
      <c r="T815" s="236">
        <v>11.3</v>
      </c>
      <c r="U815" s="236">
        <v>14.23</v>
      </c>
      <c r="V815" s="236">
        <v>8840.52</v>
      </c>
    </row>
    <row r="816" spans="1:22" s="52" customFormat="1" outlineLevel="1" x14ac:dyDescent="0.25">
      <c r="A816" s="282" t="s">
        <v>719</v>
      </c>
      <c r="B816" s="280">
        <v>100725</v>
      </c>
      <c r="C816" s="281" t="s">
        <v>804</v>
      </c>
      <c r="D816" s="282" t="s">
        <v>24</v>
      </c>
      <c r="E816" s="285">
        <f>1.2*0.6*17*2</f>
        <v>24.48</v>
      </c>
      <c r="F816" s="283">
        <v>16.12</v>
      </c>
      <c r="G816" s="284">
        <f t="shared" si="128"/>
        <v>20.05</v>
      </c>
      <c r="H816" s="284">
        <f t="shared" si="129"/>
        <v>490.82</v>
      </c>
      <c r="I816" s="297"/>
      <c r="J816" s="72"/>
      <c r="K816" s="229"/>
      <c r="L816" s="25"/>
      <c r="M816" s="27"/>
      <c r="N816" s="27"/>
      <c r="O816" s="27"/>
      <c r="P816" s="28"/>
      <c r="Q816" s="37"/>
      <c r="R816" s="4"/>
      <c r="S816" s="236">
        <v>24.48</v>
      </c>
      <c r="T816" s="236">
        <v>16.12</v>
      </c>
      <c r="U816" s="236">
        <v>20.309999999999999</v>
      </c>
      <c r="V816" s="236">
        <v>497.18</v>
      </c>
    </row>
    <row r="817" spans="1:22" s="52" customFormat="1" outlineLevel="1" x14ac:dyDescent="0.25">
      <c r="A817" s="282" t="s">
        <v>720</v>
      </c>
      <c r="B817" s="280" t="s">
        <v>109</v>
      </c>
      <c r="C817" s="281" t="s">
        <v>110</v>
      </c>
      <c r="D817" s="282" t="s">
        <v>24</v>
      </c>
      <c r="E817" s="285">
        <v>16.8</v>
      </c>
      <c r="F817" s="283">
        <v>12.4</v>
      </c>
      <c r="G817" s="284">
        <f t="shared" si="128"/>
        <v>15.42</v>
      </c>
      <c r="H817" s="284">
        <f t="shared" si="129"/>
        <v>259.05</v>
      </c>
      <c r="I817" s="297"/>
      <c r="J817" s="72" t="e">
        <f>#REF!</f>
        <v>#REF!</v>
      </c>
      <c r="K817" s="229"/>
      <c r="L817" s="25"/>
      <c r="M817" s="27"/>
      <c r="N817" s="27"/>
      <c r="O817" s="27"/>
      <c r="P817" s="28"/>
      <c r="Q817" s="37"/>
      <c r="R817" s="4"/>
      <c r="S817" s="236">
        <v>16.8</v>
      </c>
      <c r="T817" s="236">
        <v>15.01</v>
      </c>
      <c r="U817" s="236">
        <v>18.91</v>
      </c>
      <c r="V817" s="236">
        <v>317.68</v>
      </c>
    </row>
    <row r="818" spans="1:22" s="52" customFormat="1" outlineLevel="1" x14ac:dyDescent="0.25">
      <c r="A818" s="282" t="s">
        <v>721</v>
      </c>
      <c r="B818" s="280" t="s">
        <v>334</v>
      </c>
      <c r="C818" s="281" t="s">
        <v>113</v>
      </c>
      <c r="D818" s="282" t="s">
        <v>24</v>
      </c>
      <c r="E818" s="285">
        <f t="shared" si="127"/>
        <v>68.13</v>
      </c>
      <c r="F818" s="283">
        <v>15.01</v>
      </c>
      <c r="G818" s="284">
        <f t="shared" si="128"/>
        <v>18.670000000000002</v>
      </c>
      <c r="H818" s="284">
        <f t="shared" si="129"/>
        <v>1271.98</v>
      </c>
      <c r="I818" s="297"/>
      <c r="J818" s="72">
        <f>8*1.1*1*2+13*1.2*0.6*2+J794*2</f>
        <v>68.134999999999991</v>
      </c>
      <c r="K818" s="229"/>
      <c r="L818" s="25"/>
      <c r="M818" s="27"/>
      <c r="N818" s="27"/>
      <c r="O818" s="27"/>
      <c r="P818" s="28"/>
      <c r="Q818" s="37"/>
      <c r="R818" s="4"/>
      <c r="S818" s="236">
        <v>68.13</v>
      </c>
      <c r="T818" s="236">
        <v>15.01</v>
      </c>
      <c r="U818" s="236">
        <v>18.91</v>
      </c>
      <c r="V818" s="236">
        <v>1288.33</v>
      </c>
    </row>
    <row r="819" spans="1:22" s="52" customFormat="1" outlineLevel="1" x14ac:dyDescent="0.25">
      <c r="A819" s="282" t="s">
        <v>721</v>
      </c>
      <c r="B819" s="280" t="s">
        <v>453</v>
      </c>
      <c r="C819" s="281" t="s">
        <v>454</v>
      </c>
      <c r="D819" s="282" t="s">
        <v>24</v>
      </c>
      <c r="E819" s="285">
        <f>TRUNC(J819,2)</f>
        <v>311.02</v>
      </c>
      <c r="F819" s="283">
        <v>12.52</v>
      </c>
      <c r="G819" s="284">
        <f>TRUNC(F819*$J$13,2)</f>
        <v>15.57</v>
      </c>
      <c r="H819" s="284">
        <f>TRUNC(E819*G819,2)</f>
        <v>4842.58</v>
      </c>
      <c r="I819" s="297"/>
      <c r="J819" s="80">
        <f>J802</f>
        <v>311.02</v>
      </c>
      <c r="K819" s="229"/>
      <c r="L819" s="25"/>
      <c r="M819" s="27"/>
      <c r="N819" s="27"/>
      <c r="O819" s="27"/>
      <c r="P819" s="28"/>
      <c r="Q819" s="37"/>
      <c r="R819" s="4"/>
      <c r="S819" s="236">
        <v>311.02</v>
      </c>
      <c r="T819" s="236">
        <v>16.66</v>
      </c>
      <c r="U819" s="236">
        <v>20.99</v>
      </c>
      <c r="V819" s="236">
        <v>6528.3</v>
      </c>
    </row>
    <row r="820" spans="1:22" s="52" customFormat="1" outlineLevel="1" x14ac:dyDescent="0.25">
      <c r="A820" s="279" t="s">
        <v>387</v>
      </c>
      <c r="B820" s="279"/>
      <c r="C820" s="294" t="s">
        <v>117</v>
      </c>
      <c r="D820" s="558"/>
      <c r="E820" s="294"/>
      <c r="F820" s="403"/>
      <c r="G820" s="294"/>
      <c r="H820" s="558"/>
      <c r="I820" s="402">
        <f>SUM(H821:H863)</f>
        <v>49424.55999999999</v>
      </c>
      <c r="J820" s="73"/>
      <c r="K820" s="197"/>
      <c r="L820" s="317">
        <f>SUM(H821:H863)</f>
        <v>49424.55999999999</v>
      </c>
      <c r="M820" s="2">
        <f>I820-L820</f>
        <v>0</v>
      </c>
      <c r="N820" s="2"/>
      <c r="O820" s="2"/>
      <c r="P820" s="3"/>
      <c r="Q820" s="37"/>
      <c r="R820" s="4"/>
    </row>
    <row r="821" spans="1:22" s="52" customFormat="1" outlineLevel="1" x14ac:dyDescent="0.25">
      <c r="A821" s="282" t="s">
        <v>388</v>
      </c>
      <c r="B821" s="280">
        <v>96989</v>
      </c>
      <c r="C821" s="281" t="s">
        <v>455</v>
      </c>
      <c r="D821" s="282" t="s">
        <v>397</v>
      </c>
      <c r="E821" s="285">
        <f t="shared" ref="E821:E863" si="130">TRUNC(J821,2)</f>
        <v>2</v>
      </c>
      <c r="F821" s="283">
        <v>103.39</v>
      </c>
      <c r="G821" s="284">
        <f t="shared" ref="G821:G827" si="131">TRUNC(F821*$J$13,2)</f>
        <v>128.6</v>
      </c>
      <c r="H821" s="284">
        <f t="shared" ref="H821:H831" si="132">TRUNC(E821*G821,2)</f>
        <v>257.2</v>
      </c>
      <c r="I821" s="297"/>
      <c r="J821" s="80">
        <v>2</v>
      </c>
      <c r="K821" s="246"/>
      <c r="L821" s="33"/>
      <c r="M821" s="35"/>
      <c r="N821" s="35">
        <f>53*3</f>
        <v>159</v>
      </c>
      <c r="O821" s="35"/>
      <c r="P821" s="40"/>
      <c r="Q821" s="37"/>
      <c r="R821" s="4"/>
      <c r="S821" s="236">
        <v>2</v>
      </c>
      <c r="T821" s="236">
        <v>103.39</v>
      </c>
      <c r="U821" s="236">
        <v>130.27000000000001</v>
      </c>
      <c r="V821" s="236">
        <v>260.54000000000002</v>
      </c>
    </row>
    <row r="822" spans="1:22" s="52" customFormat="1" outlineLevel="1" x14ac:dyDescent="0.25">
      <c r="A822" s="282" t="s">
        <v>722</v>
      </c>
      <c r="B822" s="280">
        <v>72315</v>
      </c>
      <c r="C822" s="281" t="s">
        <v>456</v>
      </c>
      <c r="D822" s="282" t="s">
        <v>397</v>
      </c>
      <c r="E822" s="285">
        <f t="shared" si="130"/>
        <v>12</v>
      </c>
      <c r="F822" s="283">
        <v>26.87</v>
      </c>
      <c r="G822" s="284">
        <f>TRUNC(F822*$J$13,2)</f>
        <v>33.42</v>
      </c>
      <c r="H822" s="284">
        <f>TRUNC(E822*G822,2)</f>
        <v>401.04</v>
      </c>
      <c r="I822" s="297"/>
      <c r="J822" s="80">
        <v>12</v>
      </c>
      <c r="K822" s="246"/>
      <c r="L822" s="33"/>
      <c r="M822" s="35"/>
      <c r="N822" s="35"/>
      <c r="O822" s="35"/>
      <c r="P822" s="40"/>
      <c r="Q822" s="37"/>
      <c r="R822" s="4"/>
      <c r="S822" s="236">
        <v>12</v>
      </c>
      <c r="T822" s="236">
        <v>26.87</v>
      </c>
      <c r="U822" s="236">
        <v>33.85</v>
      </c>
      <c r="V822" s="236">
        <v>406.2</v>
      </c>
    </row>
    <row r="823" spans="1:22" s="52" customFormat="1" outlineLevel="1" x14ac:dyDescent="0.25">
      <c r="A823" s="282" t="s">
        <v>723</v>
      </c>
      <c r="B823" s="280">
        <v>98463</v>
      </c>
      <c r="C823" s="281" t="s">
        <v>457</v>
      </c>
      <c r="D823" s="282" t="s">
        <v>397</v>
      </c>
      <c r="E823" s="285">
        <f t="shared" si="130"/>
        <v>93</v>
      </c>
      <c r="F823" s="283">
        <v>19.27</v>
      </c>
      <c r="G823" s="284">
        <f>TRUNC(F823*$J$13,2)</f>
        <v>23.96</v>
      </c>
      <c r="H823" s="284">
        <f>TRUNC(E823*G823,2)</f>
        <v>2228.2800000000002</v>
      </c>
      <c r="I823" s="297"/>
      <c r="J823" s="80">
        <f>(16+16+16+7+7+7+24)</f>
        <v>93</v>
      </c>
      <c r="K823" s="246"/>
      <c r="L823" s="33"/>
      <c r="M823" s="35"/>
      <c r="N823" s="35"/>
      <c r="O823" s="35"/>
      <c r="P823" s="40"/>
      <c r="Q823" s="37"/>
      <c r="R823" s="4"/>
      <c r="S823" s="236">
        <v>93</v>
      </c>
      <c r="T823" s="236">
        <v>19.27</v>
      </c>
      <c r="U823" s="236">
        <v>24.28</v>
      </c>
      <c r="V823" s="236">
        <v>2258.04</v>
      </c>
    </row>
    <row r="824" spans="1:22" s="52" customFormat="1" outlineLevel="1" x14ac:dyDescent="0.25">
      <c r="A824" s="282" t="s">
        <v>724</v>
      </c>
      <c r="B824" s="280">
        <v>96973</v>
      </c>
      <c r="C824" s="281" t="s">
        <v>458</v>
      </c>
      <c r="D824" s="282" t="s">
        <v>55</v>
      </c>
      <c r="E824" s="285">
        <f t="shared" si="130"/>
        <v>149.30000000000001</v>
      </c>
      <c r="F824" s="283">
        <v>39.159999999999997</v>
      </c>
      <c r="G824" s="284">
        <f>TRUNC(F824*$J$13,2)</f>
        <v>48.71</v>
      </c>
      <c r="H824" s="284">
        <f>TRUNC(E824*G824,2)</f>
        <v>7272.4</v>
      </c>
      <c r="I824" s="297"/>
      <c r="J824" s="80">
        <f>(37+37+15.3+15.3+15.3+(4.9*6))</f>
        <v>149.29999999999998</v>
      </c>
      <c r="K824" s="246"/>
      <c r="L824" s="33"/>
      <c r="M824" s="35"/>
      <c r="N824" s="35"/>
      <c r="O824" s="35"/>
      <c r="P824" s="40"/>
      <c r="Q824" s="37"/>
      <c r="R824" s="4"/>
      <c r="S824" s="236">
        <v>149.30000000000001</v>
      </c>
      <c r="T824" s="236">
        <v>39.159999999999997</v>
      </c>
      <c r="U824" s="236">
        <v>49.34</v>
      </c>
      <c r="V824" s="236">
        <v>7366.46</v>
      </c>
    </row>
    <row r="825" spans="1:22" s="52" customFormat="1" outlineLevel="1" x14ac:dyDescent="0.25">
      <c r="A825" s="282" t="s">
        <v>725</v>
      </c>
      <c r="B825" s="280">
        <v>96974</v>
      </c>
      <c r="C825" s="281" t="s">
        <v>459</v>
      </c>
      <c r="D825" s="282" t="s">
        <v>55</v>
      </c>
      <c r="E825" s="285">
        <f t="shared" si="130"/>
        <v>120.1</v>
      </c>
      <c r="F825" s="283">
        <v>49.86</v>
      </c>
      <c r="G825" s="284">
        <f t="shared" si="131"/>
        <v>62.02</v>
      </c>
      <c r="H825" s="284">
        <f t="shared" si="132"/>
        <v>7448.6</v>
      </c>
      <c r="I825" s="297"/>
      <c r="J825" s="80">
        <f>(4.8*6)+15.3+37+37+2</f>
        <v>120.1</v>
      </c>
      <c r="K825" s="246"/>
      <c r="L825" s="33"/>
      <c r="M825" s="35"/>
      <c r="N825" s="38"/>
      <c r="O825" s="35"/>
      <c r="P825" s="40"/>
      <c r="Q825" s="37"/>
      <c r="R825" s="4"/>
      <c r="S825" s="236">
        <v>120.1</v>
      </c>
      <c r="T825" s="236">
        <v>49.86</v>
      </c>
      <c r="U825" s="236">
        <v>62.82</v>
      </c>
      <c r="V825" s="236">
        <v>7544.68</v>
      </c>
    </row>
    <row r="826" spans="1:22" s="52" customFormat="1" outlineLevel="1" x14ac:dyDescent="0.25">
      <c r="A826" s="282" t="s">
        <v>726</v>
      </c>
      <c r="B826" s="280">
        <v>96985</v>
      </c>
      <c r="C826" s="281" t="s">
        <v>460</v>
      </c>
      <c r="D826" s="282" t="s">
        <v>397</v>
      </c>
      <c r="E826" s="285">
        <f t="shared" si="130"/>
        <v>18</v>
      </c>
      <c r="F826" s="283">
        <v>44.95</v>
      </c>
      <c r="G826" s="284">
        <f t="shared" si="131"/>
        <v>55.91</v>
      </c>
      <c r="H826" s="284">
        <f t="shared" si="132"/>
        <v>1006.38</v>
      </c>
      <c r="I826" s="297"/>
      <c r="J826" s="80">
        <v>18</v>
      </c>
      <c r="K826" s="246"/>
      <c r="L826" s="33"/>
      <c r="M826" s="35"/>
      <c r="N826" s="38"/>
      <c r="O826" s="35"/>
      <c r="P826" s="40"/>
      <c r="Q826" s="37"/>
      <c r="R826" s="4"/>
      <c r="S826" s="236">
        <v>18</v>
      </c>
      <c r="T826" s="236">
        <v>44.95</v>
      </c>
      <c r="U826" s="236">
        <v>56.63</v>
      </c>
      <c r="V826" s="236">
        <v>1019.34</v>
      </c>
    </row>
    <row r="827" spans="1:22" s="52" customFormat="1" outlineLevel="1" x14ac:dyDescent="0.25">
      <c r="A827" s="282" t="s">
        <v>727</v>
      </c>
      <c r="B827" s="280">
        <v>72272</v>
      </c>
      <c r="C827" s="281" t="s">
        <v>461</v>
      </c>
      <c r="D827" s="282" t="s">
        <v>397</v>
      </c>
      <c r="E827" s="285">
        <f t="shared" si="130"/>
        <v>18</v>
      </c>
      <c r="F827" s="283">
        <v>13.06</v>
      </c>
      <c r="G827" s="284">
        <f t="shared" si="131"/>
        <v>16.239999999999998</v>
      </c>
      <c r="H827" s="284">
        <f t="shared" si="132"/>
        <v>292.32</v>
      </c>
      <c r="I827" s="297"/>
      <c r="J827" s="80">
        <v>18</v>
      </c>
      <c r="K827" s="246"/>
      <c r="L827" s="33"/>
      <c r="M827" s="35"/>
      <c r="N827" s="38"/>
      <c r="O827" s="35"/>
      <c r="P827" s="40"/>
      <c r="Q827" s="37"/>
      <c r="R827" s="4"/>
      <c r="S827" s="236">
        <v>18</v>
      </c>
      <c r="T827" s="236">
        <v>13.06</v>
      </c>
      <c r="U827" s="236">
        <v>16.45</v>
      </c>
      <c r="V827" s="236">
        <v>296.10000000000002</v>
      </c>
    </row>
    <row r="828" spans="1:22" s="52" customFormat="1" outlineLevel="1" x14ac:dyDescent="0.25">
      <c r="A828" s="282" t="s">
        <v>728</v>
      </c>
      <c r="B828" s="280">
        <v>72263</v>
      </c>
      <c r="C828" s="281" t="s">
        <v>462</v>
      </c>
      <c r="D828" s="282" t="s">
        <v>397</v>
      </c>
      <c r="E828" s="285">
        <f t="shared" si="130"/>
        <v>8</v>
      </c>
      <c r="F828" s="283">
        <v>19.22</v>
      </c>
      <c r="G828" s="284">
        <f>TRUNC(F828*$J$13,2)</f>
        <v>23.9</v>
      </c>
      <c r="H828" s="284">
        <f>TRUNC(E828*G828,2)</f>
        <v>191.2</v>
      </c>
      <c r="I828" s="297"/>
      <c r="J828" s="80">
        <v>8</v>
      </c>
      <c r="K828" s="246"/>
      <c r="L828" s="33"/>
      <c r="M828" s="35"/>
      <c r="N828" s="38"/>
      <c r="O828" s="35"/>
      <c r="P828" s="40"/>
      <c r="Q828" s="37"/>
      <c r="R828" s="4"/>
      <c r="S828" s="236">
        <v>8</v>
      </c>
      <c r="T828" s="236">
        <v>19.22</v>
      </c>
      <c r="U828" s="236">
        <v>24.21</v>
      </c>
      <c r="V828" s="236">
        <v>193.68</v>
      </c>
    </row>
    <row r="829" spans="1:22" s="52" customFormat="1" outlineLevel="1" x14ac:dyDescent="0.25">
      <c r="A829" s="282" t="s">
        <v>729</v>
      </c>
      <c r="B829" s="280">
        <v>83446</v>
      </c>
      <c r="C829" s="281" t="s">
        <v>463</v>
      </c>
      <c r="D829" s="282" t="s">
        <v>397</v>
      </c>
      <c r="E829" s="285">
        <f t="shared" si="130"/>
        <v>4</v>
      </c>
      <c r="F829" s="283">
        <v>162.57</v>
      </c>
      <c r="G829" s="284">
        <f>TRUNC(F829*$J$13,2)</f>
        <v>202.22</v>
      </c>
      <c r="H829" s="284">
        <f>TRUNC(E829*G829,2)</f>
        <v>808.88</v>
      </c>
      <c r="I829" s="297"/>
      <c r="J829" s="80">
        <v>4</v>
      </c>
      <c r="K829" s="246"/>
      <c r="L829" s="33"/>
      <c r="M829" s="35"/>
      <c r="N829" s="38"/>
      <c r="O829" s="35"/>
      <c r="P829" s="40"/>
      <c r="Q829" s="37"/>
      <c r="R829" s="4"/>
      <c r="S829" s="236">
        <v>4</v>
      </c>
      <c r="T829" s="236">
        <v>162.57</v>
      </c>
      <c r="U829" s="236">
        <v>204.83</v>
      </c>
      <c r="V829" s="236">
        <v>819.32</v>
      </c>
    </row>
    <row r="830" spans="1:22" s="52" customFormat="1" outlineLevel="1" x14ac:dyDescent="0.25">
      <c r="A830" s="282" t="s">
        <v>730</v>
      </c>
      <c r="B830" s="280">
        <v>97902</v>
      </c>
      <c r="C830" s="281" t="s">
        <v>464</v>
      </c>
      <c r="D830" s="282" t="s">
        <v>397</v>
      </c>
      <c r="E830" s="285">
        <f t="shared" si="130"/>
        <v>2</v>
      </c>
      <c r="F830" s="283">
        <v>449.1</v>
      </c>
      <c r="G830" s="284">
        <f>TRUNC(F830*$J$13,2)</f>
        <v>558.63</v>
      </c>
      <c r="H830" s="284">
        <f>TRUNC(E830*G830,2)</f>
        <v>1117.26</v>
      </c>
      <c r="I830" s="297"/>
      <c r="J830" s="80">
        <v>2</v>
      </c>
      <c r="K830" s="246"/>
      <c r="L830" s="33"/>
      <c r="M830" s="35"/>
      <c r="N830" s="38"/>
      <c r="O830" s="35"/>
      <c r="P830" s="40"/>
      <c r="Q830" s="37"/>
      <c r="R830" s="4"/>
      <c r="S830" s="236">
        <v>2</v>
      </c>
      <c r="T830" s="236">
        <v>449.1</v>
      </c>
      <c r="U830" s="236">
        <v>565.86</v>
      </c>
      <c r="V830" s="236">
        <v>1131.72</v>
      </c>
    </row>
    <row r="831" spans="1:22" s="52" customFormat="1" ht="31.2" outlineLevel="1" x14ac:dyDescent="0.25">
      <c r="A831" s="282" t="s">
        <v>731</v>
      </c>
      <c r="B831" s="280">
        <v>92986</v>
      </c>
      <c r="C831" s="281" t="s">
        <v>465</v>
      </c>
      <c r="D831" s="282" t="s">
        <v>55</v>
      </c>
      <c r="E831" s="285">
        <f t="shared" si="130"/>
        <v>165.2</v>
      </c>
      <c r="F831" s="283">
        <v>24.61</v>
      </c>
      <c r="G831" s="284">
        <f t="shared" ref="G831:G861" si="133">TRUNC(F831*$J$13,2)</f>
        <v>30.61</v>
      </c>
      <c r="H831" s="284">
        <f t="shared" si="132"/>
        <v>5056.7700000000004</v>
      </c>
      <c r="I831" s="297"/>
      <c r="J831" s="80">
        <f>(1.5+12.3+26+1.5)*4</f>
        <v>165.2</v>
      </c>
      <c r="K831" s="232"/>
      <c r="L831" s="33"/>
      <c r="M831" s="35"/>
      <c r="N831" s="35"/>
      <c r="O831" s="35"/>
      <c r="P831" s="40"/>
      <c r="Q831" s="37"/>
      <c r="R831" s="4"/>
      <c r="S831" s="236">
        <v>165.2</v>
      </c>
      <c r="T831" s="236">
        <v>24.61</v>
      </c>
      <c r="U831" s="236">
        <v>31</v>
      </c>
      <c r="V831" s="236">
        <v>5121.2</v>
      </c>
    </row>
    <row r="832" spans="1:22" s="52" customFormat="1" ht="31.2" outlineLevel="1" x14ac:dyDescent="0.25">
      <c r="A832" s="282" t="s">
        <v>732</v>
      </c>
      <c r="B832" s="280">
        <v>91932</v>
      </c>
      <c r="C832" s="281" t="s">
        <v>119</v>
      </c>
      <c r="D832" s="282" t="s">
        <v>55</v>
      </c>
      <c r="E832" s="285">
        <f t="shared" si="130"/>
        <v>50.4</v>
      </c>
      <c r="F832" s="283">
        <v>9.9499999999999993</v>
      </c>
      <c r="G832" s="284">
        <f t="shared" si="133"/>
        <v>12.37</v>
      </c>
      <c r="H832" s="284">
        <f>TRUNC(E832*G832,2)</f>
        <v>623.44000000000005</v>
      </c>
      <c r="I832" s="297"/>
      <c r="J832" s="80">
        <f>(1.5+1.5+13.8)*3</f>
        <v>50.400000000000006</v>
      </c>
      <c r="K832" s="232"/>
      <c r="L832" s="33"/>
      <c r="M832" s="35"/>
      <c r="N832" s="35"/>
      <c r="O832" s="35"/>
      <c r="P832" s="40"/>
      <c r="Q832" s="37"/>
      <c r="R832" s="4"/>
      <c r="S832" s="236">
        <v>50.4</v>
      </c>
      <c r="T832" s="236">
        <v>9.9499999999999993</v>
      </c>
      <c r="U832" s="236">
        <v>12.53</v>
      </c>
      <c r="V832" s="236">
        <v>631.51</v>
      </c>
    </row>
    <row r="833" spans="1:22" s="52" customFormat="1" ht="31.2" outlineLevel="1" x14ac:dyDescent="0.25">
      <c r="A833" s="282" t="s">
        <v>733</v>
      </c>
      <c r="B833" s="280">
        <v>91930</v>
      </c>
      <c r="C833" s="281" t="s">
        <v>121</v>
      </c>
      <c r="D833" s="282" t="s">
        <v>55</v>
      </c>
      <c r="E833" s="285">
        <f t="shared" si="130"/>
        <v>192.8</v>
      </c>
      <c r="F833" s="283">
        <v>5.5</v>
      </c>
      <c r="G833" s="284">
        <f t="shared" si="133"/>
        <v>6.84</v>
      </c>
      <c r="H833" s="284">
        <f>TRUNC(E833*G833,2)</f>
        <v>1318.75</v>
      </c>
      <c r="I833" s="297"/>
      <c r="J833" s="80">
        <f>((24+3+1.5+1)*6)+(15.8)</f>
        <v>192.8</v>
      </c>
      <c r="K833" s="232"/>
      <c r="L833" s="33"/>
      <c r="M833" s="35"/>
      <c r="N833" s="35"/>
      <c r="O833" s="35"/>
      <c r="P833" s="40"/>
      <c r="Q833" s="37"/>
      <c r="R833" s="4"/>
      <c r="S833" s="236">
        <v>192.8</v>
      </c>
      <c r="T833" s="236">
        <v>6.06</v>
      </c>
      <c r="U833" s="236">
        <v>7.63</v>
      </c>
      <c r="V833" s="236">
        <v>1471.06</v>
      </c>
    </row>
    <row r="834" spans="1:22" s="52" customFormat="1" outlineLevel="1" x14ac:dyDescent="0.25">
      <c r="A834" s="282" t="s">
        <v>734</v>
      </c>
      <c r="B834" s="280">
        <v>91928</v>
      </c>
      <c r="C834" s="281" t="s">
        <v>123</v>
      </c>
      <c r="D834" s="282" t="s">
        <v>55</v>
      </c>
      <c r="E834" s="285">
        <f t="shared" si="130"/>
        <v>126.68</v>
      </c>
      <c r="F834" s="283">
        <v>4.42</v>
      </c>
      <c r="G834" s="284">
        <f t="shared" si="133"/>
        <v>5.49</v>
      </c>
      <c r="H834" s="284">
        <f t="shared" ref="H834:H861" si="134">TRUNC(E834*G834,2)</f>
        <v>695.47</v>
      </c>
      <c r="I834" s="297"/>
      <c r="J834" s="80">
        <f>(17.79+13.88)*4</f>
        <v>126.68</v>
      </c>
      <c r="K834" s="247">
        <f>(17.79+13.88)</f>
        <v>31.67</v>
      </c>
      <c r="L834" s="34"/>
      <c r="M834" s="35"/>
      <c r="N834" s="35"/>
      <c r="O834" s="35"/>
      <c r="P834" s="40"/>
      <c r="Q834" s="37"/>
      <c r="R834" s="4"/>
      <c r="S834" s="236">
        <v>126.68</v>
      </c>
      <c r="T834" s="236">
        <v>4.42</v>
      </c>
      <c r="U834" s="236">
        <v>5.56</v>
      </c>
      <c r="V834" s="236">
        <v>704.34</v>
      </c>
    </row>
    <row r="835" spans="1:22" s="52" customFormat="1" outlineLevel="1" x14ac:dyDescent="0.25">
      <c r="A835" s="282" t="s">
        <v>735</v>
      </c>
      <c r="B835" s="280">
        <v>91927</v>
      </c>
      <c r="C835" s="281" t="s">
        <v>125</v>
      </c>
      <c r="D835" s="282" t="s">
        <v>55</v>
      </c>
      <c r="E835" s="285">
        <f t="shared" si="130"/>
        <v>1020.18</v>
      </c>
      <c r="F835" s="283">
        <v>3</v>
      </c>
      <c r="G835" s="284">
        <f t="shared" si="133"/>
        <v>3.73</v>
      </c>
      <c r="H835" s="284">
        <f t="shared" si="134"/>
        <v>3805.27</v>
      </c>
      <c r="I835" s="297"/>
      <c r="J835" s="80">
        <f>3*(36.5+10.11+46.87+2.17+1.81+1.67+4.34+78.03+11.71+15.4+28.46+21.63+47.95+33.41)</f>
        <v>1020.1800000000002</v>
      </c>
      <c r="K835" s="247">
        <f>(36.5+10.11+46.87+2.17+1.81+1.67+4.34+78.03+11.71+15.4+28.46+21.63+47.95+33.41)</f>
        <v>340.06000000000006</v>
      </c>
      <c r="L835" s="34">
        <f>K834+K835</f>
        <v>371.73000000000008</v>
      </c>
      <c r="M835" s="35"/>
      <c r="N835" s="35"/>
      <c r="O835" s="35"/>
      <c r="P835" s="40"/>
      <c r="Q835" s="37"/>
      <c r="R835" s="4"/>
      <c r="S835" s="236">
        <v>1020.18</v>
      </c>
      <c r="T835" s="236">
        <v>3.58</v>
      </c>
      <c r="U835" s="236">
        <v>4.51</v>
      </c>
      <c r="V835" s="236">
        <v>4601.01</v>
      </c>
    </row>
    <row r="836" spans="1:22" s="52" customFormat="1" outlineLevel="1" x14ac:dyDescent="0.25">
      <c r="A836" s="282" t="s">
        <v>736</v>
      </c>
      <c r="B836" s="280">
        <v>90447</v>
      </c>
      <c r="C836" s="281" t="s">
        <v>127</v>
      </c>
      <c r="D836" s="282" t="s">
        <v>55</v>
      </c>
      <c r="E836" s="285">
        <f t="shared" si="130"/>
        <v>106.5</v>
      </c>
      <c r="F836" s="283">
        <v>4.45</v>
      </c>
      <c r="G836" s="284">
        <f t="shared" si="133"/>
        <v>5.53</v>
      </c>
      <c r="H836" s="284">
        <f t="shared" si="134"/>
        <v>588.94000000000005</v>
      </c>
      <c r="I836" s="297"/>
      <c r="J836" s="80">
        <f>21+8.5+6+3+11+22+35.002</f>
        <v>106.50200000000001</v>
      </c>
      <c r="K836" s="233"/>
      <c r="L836" s="34"/>
      <c r="M836" s="35"/>
      <c r="N836" s="35"/>
      <c r="O836" s="35"/>
      <c r="P836" s="40"/>
      <c r="Q836" s="37"/>
      <c r="R836" s="4"/>
      <c r="S836" s="236">
        <v>106.5</v>
      </c>
      <c r="T836" s="236">
        <v>4.45</v>
      </c>
      <c r="U836" s="236">
        <v>5.6</v>
      </c>
      <c r="V836" s="236">
        <v>596.4</v>
      </c>
    </row>
    <row r="837" spans="1:22" s="52" customFormat="1" ht="31.2" outlineLevel="1" x14ac:dyDescent="0.25">
      <c r="A837" s="282" t="s">
        <v>737</v>
      </c>
      <c r="B837" s="280">
        <v>91854</v>
      </c>
      <c r="C837" s="281" t="s">
        <v>466</v>
      </c>
      <c r="D837" s="282" t="s">
        <v>55</v>
      </c>
      <c r="E837" s="285">
        <f t="shared" si="130"/>
        <v>371.73</v>
      </c>
      <c r="F837" s="283">
        <v>6.03</v>
      </c>
      <c r="G837" s="284">
        <f t="shared" si="133"/>
        <v>7.5</v>
      </c>
      <c r="H837" s="284">
        <f t="shared" si="134"/>
        <v>2787.97</v>
      </c>
      <c r="I837" s="297"/>
      <c r="J837" s="80">
        <f>K834+K835</f>
        <v>371.73000000000008</v>
      </c>
      <c r="K837" s="233"/>
      <c r="L837" s="34"/>
      <c r="M837" s="35"/>
      <c r="N837" s="35"/>
      <c r="O837" s="35"/>
      <c r="P837" s="40"/>
      <c r="Q837" s="37"/>
      <c r="R837" s="4"/>
      <c r="S837" s="236">
        <v>371.73</v>
      </c>
      <c r="T837" s="236">
        <v>6.03</v>
      </c>
      <c r="U837" s="236">
        <v>7.59</v>
      </c>
      <c r="V837" s="236">
        <v>2821.43</v>
      </c>
    </row>
    <row r="838" spans="1:22" s="52" customFormat="1" outlineLevel="1" x14ac:dyDescent="0.25">
      <c r="A838" s="282" t="s">
        <v>738</v>
      </c>
      <c r="B838" s="280">
        <v>91873</v>
      </c>
      <c r="C838" s="281" t="s">
        <v>467</v>
      </c>
      <c r="D838" s="282" t="s">
        <v>55</v>
      </c>
      <c r="E838" s="285">
        <f t="shared" si="130"/>
        <v>34.6</v>
      </c>
      <c r="F838" s="283">
        <v>12.48</v>
      </c>
      <c r="G838" s="284">
        <f t="shared" si="133"/>
        <v>15.52</v>
      </c>
      <c r="H838" s="284">
        <f t="shared" si="134"/>
        <v>536.99</v>
      </c>
      <c r="I838" s="297"/>
      <c r="J838" s="80">
        <f>((2.8)*6)+(12.8+5)</f>
        <v>34.599999999999994</v>
      </c>
      <c r="K838" s="233"/>
      <c r="L838" s="34"/>
      <c r="M838" s="35"/>
      <c r="N838" s="35"/>
      <c r="O838" s="43"/>
      <c r="P838" s="40"/>
      <c r="Q838" s="37"/>
      <c r="R838" s="4"/>
      <c r="S838" s="236">
        <v>34.6</v>
      </c>
      <c r="T838" s="236">
        <v>12.48</v>
      </c>
      <c r="U838" s="236">
        <v>15.72</v>
      </c>
      <c r="V838" s="236">
        <v>543.91</v>
      </c>
    </row>
    <row r="839" spans="1:22" s="52" customFormat="1" ht="31.2" outlineLevel="1" x14ac:dyDescent="0.25">
      <c r="A839" s="282" t="s">
        <v>739</v>
      </c>
      <c r="B839" s="280">
        <v>91836</v>
      </c>
      <c r="C839" s="281" t="s">
        <v>130</v>
      </c>
      <c r="D839" s="282" t="s">
        <v>55</v>
      </c>
      <c r="E839" s="285">
        <f t="shared" si="130"/>
        <v>52</v>
      </c>
      <c r="F839" s="283">
        <v>7.55</v>
      </c>
      <c r="G839" s="284">
        <f t="shared" si="133"/>
        <v>9.39</v>
      </c>
      <c r="H839" s="284">
        <f t="shared" si="134"/>
        <v>488.28</v>
      </c>
      <c r="I839" s="297"/>
      <c r="J839" s="80">
        <f>(24+2)*2</f>
        <v>52</v>
      </c>
      <c r="K839" s="233"/>
      <c r="L839" s="34"/>
      <c r="M839" s="35"/>
      <c r="N839" s="35"/>
      <c r="O839" s="43"/>
      <c r="P839" s="40"/>
      <c r="Q839" s="37"/>
      <c r="R839" s="4"/>
      <c r="S839" s="236">
        <v>52</v>
      </c>
      <c r="T839" s="236">
        <v>7.55</v>
      </c>
      <c r="U839" s="236">
        <v>9.51</v>
      </c>
      <c r="V839" s="236">
        <v>494.52</v>
      </c>
    </row>
    <row r="840" spans="1:22" s="52" customFormat="1" outlineLevel="1" x14ac:dyDescent="0.25">
      <c r="A840" s="282" t="s">
        <v>740</v>
      </c>
      <c r="B840" s="280">
        <v>93009</v>
      </c>
      <c r="C840" s="281" t="s">
        <v>468</v>
      </c>
      <c r="D840" s="282" t="s">
        <v>55</v>
      </c>
      <c r="E840" s="285">
        <f t="shared" si="130"/>
        <v>55.3</v>
      </c>
      <c r="F840" s="283">
        <v>14.44</v>
      </c>
      <c r="G840" s="284">
        <f t="shared" si="133"/>
        <v>17.96</v>
      </c>
      <c r="H840" s="284">
        <f t="shared" si="134"/>
        <v>993.18</v>
      </c>
      <c r="I840" s="297"/>
      <c r="J840" s="80">
        <f>(1.5+23.5+13.5)+(6*2.8)</f>
        <v>55.3</v>
      </c>
      <c r="K840" s="233"/>
      <c r="L840" s="34"/>
      <c r="M840" s="35"/>
      <c r="N840" s="35"/>
      <c r="O840" s="35"/>
      <c r="P840" s="40"/>
      <c r="Q840" s="37"/>
      <c r="R840" s="4"/>
      <c r="S840" s="236">
        <v>55.3</v>
      </c>
      <c r="T840" s="236">
        <v>14.44</v>
      </c>
      <c r="U840" s="236">
        <v>18.190000000000001</v>
      </c>
      <c r="V840" s="236">
        <v>1005.9</v>
      </c>
    </row>
    <row r="841" spans="1:22" s="52" customFormat="1" outlineLevel="1" x14ac:dyDescent="0.25">
      <c r="A841" s="282" t="s">
        <v>741</v>
      </c>
      <c r="B841" s="280">
        <v>92008</v>
      </c>
      <c r="C841" s="281" t="s">
        <v>338</v>
      </c>
      <c r="D841" s="282" t="s">
        <v>397</v>
      </c>
      <c r="E841" s="285">
        <f t="shared" si="130"/>
        <v>39</v>
      </c>
      <c r="F841" s="283">
        <v>27.23</v>
      </c>
      <c r="G841" s="284">
        <f t="shared" si="133"/>
        <v>33.869999999999997</v>
      </c>
      <c r="H841" s="284">
        <f t="shared" si="134"/>
        <v>1320.93</v>
      </c>
      <c r="I841" s="297"/>
      <c r="J841" s="80">
        <v>39</v>
      </c>
      <c r="K841" s="232"/>
      <c r="L841" s="33"/>
      <c r="M841" s="35"/>
      <c r="N841" s="35"/>
      <c r="O841" s="35"/>
      <c r="P841" s="40"/>
      <c r="Q841" s="37"/>
      <c r="R841" s="4"/>
      <c r="S841" s="236">
        <v>39</v>
      </c>
      <c r="T841" s="236">
        <v>27.23</v>
      </c>
      <c r="U841" s="236">
        <v>34.299999999999997</v>
      </c>
      <c r="V841" s="236">
        <v>1337.7</v>
      </c>
    </row>
    <row r="842" spans="1:22" s="52" customFormat="1" outlineLevel="1" x14ac:dyDescent="0.25">
      <c r="A842" s="282" t="s">
        <v>742</v>
      </c>
      <c r="B842" s="280">
        <v>91993</v>
      </c>
      <c r="C842" s="281" t="s">
        <v>469</v>
      </c>
      <c r="D842" s="282" t="s">
        <v>397</v>
      </c>
      <c r="E842" s="285">
        <f t="shared" si="130"/>
        <v>4</v>
      </c>
      <c r="F842" s="283">
        <v>26.81</v>
      </c>
      <c r="G842" s="284">
        <f t="shared" si="133"/>
        <v>33.340000000000003</v>
      </c>
      <c r="H842" s="284">
        <f t="shared" si="134"/>
        <v>133.36000000000001</v>
      </c>
      <c r="I842" s="297"/>
      <c r="J842" s="80">
        <v>4</v>
      </c>
      <c r="K842" s="232"/>
      <c r="L842" s="33"/>
      <c r="M842" s="35"/>
      <c r="N842" s="35"/>
      <c r="O842" s="35"/>
      <c r="P842" s="44"/>
      <c r="Q842" s="37"/>
      <c r="R842" s="4"/>
      <c r="S842" s="236">
        <v>4</v>
      </c>
      <c r="T842" s="236">
        <v>26.81</v>
      </c>
      <c r="U842" s="236">
        <v>33.78</v>
      </c>
      <c r="V842" s="236">
        <v>135.12</v>
      </c>
    </row>
    <row r="843" spans="1:22" s="52" customFormat="1" outlineLevel="1" x14ac:dyDescent="0.25">
      <c r="A843" s="282" t="s">
        <v>743</v>
      </c>
      <c r="B843" s="280">
        <v>91953</v>
      </c>
      <c r="C843" s="281" t="s">
        <v>139</v>
      </c>
      <c r="D843" s="282" t="s">
        <v>397</v>
      </c>
      <c r="E843" s="285">
        <f t="shared" si="130"/>
        <v>4</v>
      </c>
      <c r="F843" s="283">
        <v>16.14</v>
      </c>
      <c r="G843" s="284">
        <f t="shared" si="133"/>
        <v>20.07</v>
      </c>
      <c r="H843" s="284">
        <f t="shared" si="134"/>
        <v>80.28</v>
      </c>
      <c r="I843" s="297"/>
      <c r="J843" s="80">
        <v>4</v>
      </c>
      <c r="K843" s="232"/>
      <c r="L843" s="33"/>
      <c r="M843" s="35"/>
      <c r="N843" s="35"/>
      <c r="O843" s="35"/>
      <c r="P843" s="44"/>
      <c r="Q843" s="37"/>
      <c r="R843" s="4"/>
      <c r="S843" s="236">
        <v>4</v>
      </c>
      <c r="T843" s="236">
        <v>16.14</v>
      </c>
      <c r="U843" s="236">
        <v>20.329999999999998</v>
      </c>
      <c r="V843" s="236">
        <v>81.319999999999993</v>
      </c>
    </row>
    <row r="844" spans="1:22" s="52" customFormat="1" outlineLevel="1" x14ac:dyDescent="0.25">
      <c r="A844" s="282" t="s">
        <v>744</v>
      </c>
      <c r="B844" s="280">
        <v>91959</v>
      </c>
      <c r="C844" s="281" t="s">
        <v>140</v>
      </c>
      <c r="D844" s="282" t="s">
        <v>397</v>
      </c>
      <c r="E844" s="285">
        <f t="shared" si="130"/>
        <v>2</v>
      </c>
      <c r="F844" s="283">
        <v>25.5</v>
      </c>
      <c r="G844" s="284">
        <f t="shared" si="133"/>
        <v>31.71</v>
      </c>
      <c r="H844" s="284">
        <f t="shared" si="134"/>
        <v>63.42</v>
      </c>
      <c r="I844" s="297"/>
      <c r="J844" s="80">
        <v>2</v>
      </c>
      <c r="K844" s="232"/>
      <c r="L844" s="33"/>
      <c r="M844" s="35"/>
      <c r="N844" s="35"/>
      <c r="O844" s="35"/>
      <c r="P844" s="40"/>
      <c r="Q844" s="37"/>
      <c r="R844" s="4"/>
      <c r="S844" s="236">
        <v>2</v>
      </c>
      <c r="T844" s="236">
        <v>25.5</v>
      </c>
      <c r="U844" s="236">
        <v>32.130000000000003</v>
      </c>
      <c r="V844" s="236">
        <v>64.260000000000005</v>
      </c>
    </row>
    <row r="845" spans="1:22" s="52" customFormat="1" outlineLevel="1" x14ac:dyDescent="0.25">
      <c r="A845" s="282" t="s">
        <v>745</v>
      </c>
      <c r="B845" s="280">
        <v>91967</v>
      </c>
      <c r="C845" s="281" t="s">
        <v>470</v>
      </c>
      <c r="D845" s="282" t="s">
        <v>397</v>
      </c>
      <c r="E845" s="285">
        <f t="shared" si="130"/>
        <v>6</v>
      </c>
      <c r="F845" s="283">
        <v>34.880000000000003</v>
      </c>
      <c r="G845" s="284">
        <f t="shared" si="133"/>
        <v>43.38</v>
      </c>
      <c r="H845" s="284">
        <f t="shared" si="134"/>
        <v>260.27999999999997</v>
      </c>
      <c r="I845" s="297"/>
      <c r="J845" s="80">
        <v>6</v>
      </c>
      <c r="K845" s="232"/>
      <c r="L845" s="33"/>
      <c r="M845" s="35"/>
      <c r="N845" s="35"/>
      <c r="O845" s="35"/>
      <c r="P845" s="40"/>
      <c r="Q845" s="37"/>
      <c r="R845" s="4"/>
      <c r="S845" s="236">
        <v>6</v>
      </c>
      <c r="T845" s="236">
        <v>34.880000000000003</v>
      </c>
      <c r="U845" s="236">
        <v>43.94</v>
      </c>
      <c r="V845" s="236">
        <v>263.64</v>
      </c>
    </row>
    <row r="846" spans="1:22" s="52" customFormat="1" outlineLevel="1" x14ac:dyDescent="0.25">
      <c r="A846" s="282" t="s">
        <v>746</v>
      </c>
      <c r="B846" s="280">
        <v>97592</v>
      </c>
      <c r="C846" s="281" t="s">
        <v>471</v>
      </c>
      <c r="D846" s="282" t="s">
        <v>397</v>
      </c>
      <c r="E846" s="285">
        <f t="shared" si="130"/>
        <v>45</v>
      </c>
      <c r="F846" s="283">
        <v>30.26</v>
      </c>
      <c r="G846" s="284">
        <f t="shared" si="133"/>
        <v>37.64</v>
      </c>
      <c r="H846" s="284">
        <f t="shared" si="134"/>
        <v>1693.8</v>
      </c>
      <c r="I846" s="297"/>
      <c r="J846" s="80">
        <v>45</v>
      </c>
      <c r="K846" s="232"/>
      <c r="L846" s="33"/>
      <c r="M846" s="35"/>
      <c r="N846" s="35"/>
      <c r="O846" s="35"/>
      <c r="P846" s="40"/>
      <c r="Q846" s="37"/>
      <c r="R846" s="4"/>
      <c r="S846" s="236">
        <v>45</v>
      </c>
      <c r="T846" s="236">
        <v>30.26</v>
      </c>
      <c r="U846" s="236">
        <v>38.119999999999997</v>
      </c>
      <c r="V846" s="236">
        <v>1715.4</v>
      </c>
    </row>
    <row r="847" spans="1:22" s="52" customFormat="1" ht="31.2" outlineLevel="1" x14ac:dyDescent="0.25">
      <c r="A847" s="282" t="s">
        <v>747</v>
      </c>
      <c r="B847" s="577" t="s">
        <v>649</v>
      </c>
      <c r="C847" s="306" t="s">
        <v>396</v>
      </c>
      <c r="D847" s="282" t="s">
        <v>397</v>
      </c>
      <c r="E847" s="285">
        <f t="shared" si="130"/>
        <v>21</v>
      </c>
      <c r="F847" s="283">
        <v>112.37</v>
      </c>
      <c r="G847" s="284">
        <f>TRUNC(F847*$J$13,2)</f>
        <v>139.77000000000001</v>
      </c>
      <c r="H847" s="284">
        <f>TRUNC(E847*G847,2)</f>
        <v>2935.17</v>
      </c>
      <c r="I847" s="297"/>
      <c r="J847" s="80">
        <f>20+1</f>
        <v>21</v>
      </c>
      <c r="K847" s="232"/>
      <c r="L847" s="33"/>
      <c r="M847" s="35"/>
      <c r="N847" s="35"/>
      <c r="O847" s="35"/>
      <c r="P847" s="40"/>
      <c r="Q847" s="37"/>
      <c r="R847" s="4"/>
      <c r="S847" s="236">
        <v>21</v>
      </c>
      <c r="T847" s="236">
        <v>112.46</v>
      </c>
      <c r="U847" s="236">
        <v>141.69</v>
      </c>
      <c r="V847" s="236">
        <v>2975.49</v>
      </c>
    </row>
    <row r="848" spans="1:22" s="52" customFormat="1" outlineLevel="1" x14ac:dyDescent="0.25">
      <c r="A848" s="282" t="s">
        <v>748</v>
      </c>
      <c r="B848" s="577" t="s">
        <v>395</v>
      </c>
      <c r="C848" s="306" t="s">
        <v>472</v>
      </c>
      <c r="D848" s="282" t="s">
        <v>397</v>
      </c>
      <c r="E848" s="285">
        <f t="shared" si="130"/>
        <v>4</v>
      </c>
      <c r="F848" s="283">
        <v>306.86</v>
      </c>
      <c r="G848" s="284">
        <f>TRUNC(F848*$J$13,2)</f>
        <v>381.7</v>
      </c>
      <c r="H848" s="284">
        <f>TRUNC(E848*G848,2)</f>
        <v>1526.8</v>
      </c>
      <c r="I848" s="297"/>
      <c r="J848" s="80">
        <v>4</v>
      </c>
      <c r="K848" s="232"/>
      <c r="L848" s="33"/>
      <c r="M848" s="35"/>
      <c r="N848" s="35"/>
      <c r="O848" s="35"/>
      <c r="P848" s="40"/>
      <c r="Q848" s="37"/>
      <c r="R848" s="4"/>
      <c r="S848" s="236">
        <v>4</v>
      </c>
      <c r="T848" s="236">
        <v>306.86</v>
      </c>
      <c r="U848" s="236">
        <v>386.64</v>
      </c>
      <c r="V848" s="236">
        <v>1546.56</v>
      </c>
    </row>
    <row r="849" spans="1:22" s="52" customFormat="1" outlineLevel="1" x14ac:dyDescent="0.25">
      <c r="A849" s="282" t="s">
        <v>749</v>
      </c>
      <c r="B849" s="280">
        <v>93673</v>
      </c>
      <c r="C849" s="306" t="s">
        <v>473</v>
      </c>
      <c r="D849" s="282" t="s">
        <v>397</v>
      </c>
      <c r="E849" s="285">
        <f t="shared" si="130"/>
        <v>2</v>
      </c>
      <c r="F849" s="283">
        <v>75.680000000000007</v>
      </c>
      <c r="G849" s="284">
        <f>TRUNC(F849*$J$13,2)</f>
        <v>94.13</v>
      </c>
      <c r="H849" s="284">
        <f>TRUNC(E849*G849,2)</f>
        <v>188.26</v>
      </c>
      <c r="I849" s="297"/>
      <c r="J849" s="80">
        <v>2</v>
      </c>
      <c r="K849" s="232"/>
      <c r="L849" s="33"/>
      <c r="M849" s="35"/>
      <c r="N849" s="35"/>
      <c r="O849" s="35"/>
      <c r="P849" s="40"/>
      <c r="Q849" s="37"/>
      <c r="R849" s="4"/>
      <c r="S849" s="236">
        <v>2</v>
      </c>
      <c r="T849" s="236">
        <v>75.680000000000007</v>
      </c>
      <c r="U849" s="236">
        <v>95.35</v>
      </c>
      <c r="V849" s="236">
        <v>190.7</v>
      </c>
    </row>
    <row r="850" spans="1:22" s="52" customFormat="1" outlineLevel="1" x14ac:dyDescent="0.25">
      <c r="A850" s="282" t="s">
        <v>750</v>
      </c>
      <c r="B850" s="280" t="s">
        <v>347</v>
      </c>
      <c r="C850" s="281" t="s">
        <v>348</v>
      </c>
      <c r="D850" s="282" t="s">
        <v>397</v>
      </c>
      <c r="E850" s="285">
        <f t="shared" si="130"/>
        <v>2</v>
      </c>
      <c r="F850" s="283">
        <v>97.3</v>
      </c>
      <c r="G850" s="284">
        <f t="shared" si="133"/>
        <v>121.03</v>
      </c>
      <c r="H850" s="284">
        <f t="shared" si="134"/>
        <v>242.06</v>
      </c>
      <c r="I850" s="297"/>
      <c r="J850" s="80">
        <v>2</v>
      </c>
      <c r="K850" s="232"/>
      <c r="L850" s="33"/>
      <c r="M850" s="35"/>
      <c r="N850" s="35"/>
      <c r="O850" s="35"/>
      <c r="P850" s="40"/>
      <c r="Q850" s="37"/>
      <c r="R850" s="4"/>
      <c r="S850" s="236">
        <v>2</v>
      </c>
      <c r="T850" s="236">
        <v>105.48</v>
      </c>
      <c r="U850" s="236">
        <v>132.9</v>
      </c>
      <c r="V850" s="236">
        <v>265.8</v>
      </c>
    </row>
    <row r="851" spans="1:22" s="52" customFormat="1" outlineLevel="1" x14ac:dyDescent="0.25">
      <c r="A851" s="282" t="s">
        <v>751</v>
      </c>
      <c r="B851" s="280">
        <v>93653</v>
      </c>
      <c r="C851" s="281" t="s">
        <v>141</v>
      </c>
      <c r="D851" s="282" t="s">
        <v>397</v>
      </c>
      <c r="E851" s="285">
        <f t="shared" si="130"/>
        <v>4</v>
      </c>
      <c r="F851" s="283">
        <v>9.3699999999999992</v>
      </c>
      <c r="G851" s="284">
        <f t="shared" si="133"/>
        <v>11.65</v>
      </c>
      <c r="H851" s="284">
        <f t="shared" si="134"/>
        <v>46.6</v>
      </c>
      <c r="I851" s="297"/>
      <c r="J851" s="80">
        <v>4</v>
      </c>
      <c r="K851" s="232"/>
      <c r="L851" s="33"/>
      <c r="M851" s="35"/>
      <c r="N851" s="35"/>
      <c r="O851" s="35"/>
      <c r="P851" s="40"/>
      <c r="Q851" s="37"/>
      <c r="R851" s="4"/>
      <c r="S851" s="236">
        <v>4</v>
      </c>
      <c r="T851" s="236">
        <v>9.3699999999999992</v>
      </c>
      <c r="U851" s="236">
        <v>11.8</v>
      </c>
      <c r="V851" s="236">
        <v>47.2</v>
      </c>
    </row>
    <row r="852" spans="1:22" s="52" customFormat="1" outlineLevel="1" x14ac:dyDescent="0.25">
      <c r="A852" s="282" t="s">
        <v>752</v>
      </c>
      <c r="B852" s="280">
        <v>93654</v>
      </c>
      <c r="C852" s="281" t="s">
        <v>474</v>
      </c>
      <c r="D852" s="282" t="s">
        <v>397</v>
      </c>
      <c r="E852" s="285">
        <f t="shared" si="130"/>
        <v>4</v>
      </c>
      <c r="F852" s="283">
        <v>9.7899999999999991</v>
      </c>
      <c r="G852" s="284">
        <f t="shared" si="133"/>
        <v>12.17</v>
      </c>
      <c r="H852" s="284">
        <f t="shared" si="134"/>
        <v>48.68</v>
      </c>
      <c r="I852" s="297"/>
      <c r="J852" s="80">
        <v>4</v>
      </c>
      <c r="K852" s="232"/>
      <c r="L852" s="33"/>
      <c r="M852" s="35"/>
      <c r="N852" s="35"/>
      <c r="O852" s="35"/>
      <c r="P852" s="40"/>
      <c r="Q852" s="37"/>
      <c r="R852" s="4"/>
      <c r="S852" s="236">
        <v>4</v>
      </c>
      <c r="T852" s="236">
        <v>9.7899999999999991</v>
      </c>
      <c r="U852" s="236">
        <v>12.33</v>
      </c>
      <c r="V852" s="236">
        <v>49.32</v>
      </c>
    </row>
    <row r="853" spans="1:22" s="52" customFormat="1" outlineLevel="1" x14ac:dyDescent="0.25">
      <c r="A853" s="282" t="s">
        <v>753</v>
      </c>
      <c r="B853" s="280">
        <v>93655</v>
      </c>
      <c r="C853" s="281" t="s">
        <v>142</v>
      </c>
      <c r="D853" s="282" t="s">
        <v>397</v>
      </c>
      <c r="E853" s="285">
        <f t="shared" si="130"/>
        <v>2</v>
      </c>
      <c r="F853" s="283">
        <v>10.59</v>
      </c>
      <c r="G853" s="284">
        <f t="shared" si="133"/>
        <v>13.17</v>
      </c>
      <c r="H853" s="284">
        <f t="shared" si="134"/>
        <v>26.34</v>
      </c>
      <c r="I853" s="297"/>
      <c r="J853" s="80">
        <v>2</v>
      </c>
      <c r="K853" s="232"/>
      <c r="L853" s="33"/>
      <c r="M853" s="35"/>
      <c r="N853" s="35"/>
      <c r="O853" s="35"/>
      <c r="P853" s="40"/>
      <c r="Q853" s="37"/>
      <c r="R853" s="4"/>
      <c r="S853" s="236">
        <v>2</v>
      </c>
      <c r="T853" s="236">
        <v>10.59</v>
      </c>
      <c r="U853" s="236">
        <v>13.34</v>
      </c>
      <c r="V853" s="236">
        <v>26.68</v>
      </c>
    </row>
    <row r="854" spans="1:22" s="52" customFormat="1" outlineLevel="1" x14ac:dyDescent="0.25">
      <c r="A854" s="282" t="s">
        <v>754</v>
      </c>
      <c r="B854" s="280">
        <v>93662</v>
      </c>
      <c r="C854" s="281" t="s">
        <v>145</v>
      </c>
      <c r="D854" s="282" t="s">
        <v>397</v>
      </c>
      <c r="E854" s="285">
        <f t="shared" si="130"/>
        <v>2</v>
      </c>
      <c r="F854" s="283">
        <v>49.38</v>
      </c>
      <c r="G854" s="284">
        <f t="shared" si="133"/>
        <v>61.42</v>
      </c>
      <c r="H854" s="284">
        <f t="shared" si="134"/>
        <v>122.84</v>
      </c>
      <c r="I854" s="297"/>
      <c r="J854" s="80">
        <v>2</v>
      </c>
      <c r="K854" s="232"/>
      <c r="L854" s="33"/>
      <c r="M854" s="35"/>
      <c r="N854" s="35"/>
      <c r="O854" s="35"/>
      <c r="P854" s="40"/>
      <c r="Q854" s="37"/>
      <c r="R854" s="4"/>
      <c r="S854" s="236">
        <v>2</v>
      </c>
      <c r="T854" s="236">
        <v>49.38</v>
      </c>
      <c r="U854" s="236">
        <v>62.21</v>
      </c>
      <c r="V854" s="236">
        <v>124.42</v>
      </c>
    </row>
    <row r="855" spans="1:22" s="52" customFormat="1" outlineLevel="1" x14ac:dyDescent="0.25">
      <c r="A855" s="282" t="s">
        <v>755</v>
      </c>
      <c r="B855" s="280">
        <v>93663</v>
      </c>
      <c r="C855" s="281" t="s">
        <v>475</v>
      </c>
      <c r="D855" s="282" t="s">
        <v>397</v>
      </c>
      <c r="E855" s="285">
        <f t="shared" si="130"/>
        <v>4</v>
      </c>
      <c r="F855" s="283">
        <v>49.38</v>
      </c>
      <c r="G855" s="284">
        <f t="shared" si="133"/>
        <v>61.42</v>
      </c>
      <c r="H855" s="284">
        <f t="shared" si="134"/>
        <v>245.68</v>
      </c>
      <c r="I855" s="297"/>
      <c r="J855" s="80">
        <v>4</v>
      </c>
      <c r="K855" s="232"/>
      <c r="L855" s="33"/>
      <c r="M855" s="35"/>
      <c r="N855" s="35"/>
      <c r="O855" s="35"/>
      <c r="P855" s="40"/>
      <c r="Q855" s="37"/>
      <c r="R855" s="4"/>
      <c r="S855" s="236">
        <v>4</v>
      </c>
      <c r="T855" s="236">
        <v>49.38</v>
      </c>
      <c r="U855" s="236">
        <v>62.21</v>
      </c>
      <c r="V855" s="236">
        <v>248.84</v>
      </c>
    </row>
    <row r="856" spans="1:22" s="52" customFormat="1" outlineLevel="1" x14ac:dyDescent="0.25">
      <c r="A856" s="282" t="s">
        <v>756</v>
      </c>
      <c r="B856" s="280" t="s">
        <v>666</v>
      </c>
      <c r="C856" s="281" t="s">
        <v>476</v>
      </c>
      <c r="D856" s="282" t="s">
        <v>397</v>
      </c>
      <c r="E856" s="285">
        <f t="shared" si="130"/>
        <v>4</v>
      </c>
      <c r="F856" s="283">
        <f>'COMPOSIÇÃO SINAPI W MENDES'!G5290</f>
        <v>80.08</v>
      </c>
      <c r="G856" s="284">
        <f t="shared" si="133"/>
        <v>99.61</v>
      </c>
      <c r="H856" s="284">
        <f t="shared" si="134"/>
        <v>398.44</v>
      </c>
      <c r="I856" s="297"/>
      <c r="J856" s="80">
        <v>4</v>
      </c>
      <c r="K856" s="232"/>
      <c r="L856" s="33"/>
      <c r="M856" s="35"/>
      <c r="N856" s="35"/>
      <c r="O856" s="35"/>
      <c r="P856" s="40"/>
      <c r="Q856" s="37"/>
      <c r="R856" s="4"/>
      <c r="S856" s="236">
        <v>4</v>
      </c>
      <c r="T856" s="236">
        <v>80.11</v>
      </c>
      <c r="U856" s="236">
        <v>100.93</v>
      </c>
      <c r="V856" s="236">
        <v>403.72</v>
      </c>
    </row>
    <row r="857" spans="1:22" s="52" customFormat="1" outlineLevel="1" x14ac:dyDescent="0.25">
      <c r="A857" s="282" t="s">
        <v>757</v>
      </c>
      <c r="B857" s="280" t="s">
        <v>667</v>
      </c>
      <c r="C857" s="281" t="s">
        <v>477</v>
      </c>
      <c r="D857" s="282" t="s">
        <v>397</v>
      </c>
      <c r="E857" s="285">
        <f t="shared" si="130"/>
        <v>1</v>
      </c>
      <c r="F857" s="283">
        <f>'COMPOSIÇÃO SINAPI W MENDES'!G5296</f>
        <v>392.25</v>
      </c>
      <c r="G857" s="284">
        <f t="shared" si="133"/>
        <v>487.91</v>
      </c>
      <c r="H857" s="284">
        <f t="shared" si="134"/>
        <v>487.91</v>
      </c>
      <c r="I857" s="297"/>
      <c r="J857" s="80">
        <v>1</v>
      </c>
      <c r="K857" s="232"/>
      <c r="L857" s="33"/>
      <c r="M857" s="35"/>
      <c r="N857" s="35"/>
      <c r="O857" s="35"/>
      <c r="P857" s="40"/>
      <c r="Q857" s="37"/>
      <c r="R857" s="4"/>
      <c r="S857" s="236">
        <v>1</v>
      </c>
      <c r="T857" s="236">
        <v>392.31</v>
      </c>
      <c r="U857" s="236">
        <v>494.31</v>
      </c>
      <c r="V857" s="236">
        <v>494.31</v>
      </c>
    </row>
    <row r="858" spans="1:22" s="52" customFormat="1" outlineLevel="1" x14ac:dyDescent="0.25">
      <c r="A858" s="282" t="s">
        <v>758</v>
      </c>
      <c r="B858" s="280">
        <v>91944</v>
      </c>
      <c r="C858" s="281" t="s">
        <v>151</v>
      </c>
      <c r="D858" s="282" t="s">
        <v>397</v>
      </c>
      <c r="E858" s="285">
        <f t="shared" si="130"/>
        <v>9</v>
      </c>
      <c r="F858" s="283">
        <f>'COMPOSIÇÃO SINAPI W MENDES'!G5343</f>
        <v>9.06</v>
      </c>
      <c r="G858" s="284">
        <f t="shared" si="133"/>
        <v>11.26</v>
      </c>
      <c r="H858" s="284">
        <f t="shared" si="134"/>
        <v>101.34</v>
      </c>
      <c r="I858" s="403"/>
      <c r="J858" s="80">
        <v>9</v>
      </c>
      <c r="K858" s="232"/>
      <c r="L858" s="33"/>
      <c r="M858" s="35"/>
      <c r="N858" s="35"/>
      <c r="O858" s="35"/>
      <c r="P858" s="40"/>
      <c r="Q858" s="37"/>
      <c r="R858" s="4"/>
      <c r="S858" s="236">
        <v>9</v>
      </c>
      <c r="T858" s="236">
        <v>9.3000000000000007</v>
      </c>
      <c r="U858" s="236">
        <v>11.71</v>
      </c>
      <c r="V858" s="236">
        <v>105.39</v>
      </c>
    </row>
    <row r="859" spans="1:22" s="52" customFormat="1" ht="31.2" outlineLevel="1" x14ac:dyDescent="0.25">
      <c r="A859" s="282" t="s">
        <v>759</v>
      </c>
      <c r="B859" s="280">
        <v>83463</v>
      </c>
      <c r="C859" s="281" t="s">
        <v>152</v>
      </c>
      <c r="D859" s="282" t="s">
        <v>397</v>
      </c>
      <c r="E859" s="285">
        <f>TRUNC(J859,2)</f>
        <v>1</v>
      </c>
      <c r="F859" s="283">
        <v>356.52</v>
      </c>
      <c r="G859" s="284">
        <f>TRUNC(F859*$J$13,2)</f>
        <v>443.47</v>
      </c>
      <c r="H859" s="284">
        <f>TRUNC(E859*G859,2)</f>
        <v>443.47</v>
      </c>
      <c r="I859" s="403"/>
      <c r="J859" s="80">
        <v>1</v>
      </c>
      <c r="K859" s="232"/>
      <c r="L859" s="33"/>
      <c r="M859" s="35"/>
      <c r="N859" s="35"/>
      <c r="O859" s="35"/>
      <c r="P859" s="40"/>
      <c r="Q859" s="37"/>
      <c r="R859" s="4"/>
      <c r="S859" s="236">
        <v>1</v>
      </c>
      <c r="T859" s="236">
        <v>356.52</v>
      </c>
      <c r="U859" s="236">
        <v>449.21</v>
      </c>
      <c r="V859" s="236">
        <v>449.21</v>
      </c>
    </row>
    <row r="860" spans="1:22" s="52" customFormat="1" ht="31.2" outlineLevel="1" x14ac:dyDescent="0.25">
      <c r="A860" s="282" t="s">
        <v>760</v>
      </c>
      <c r="B860" s="280" t="s">
        <v>478</v>
      </c>
      <c r="C860" s="281" t="s">
        <v>479</v>
      </c>
      <c r="D860" s="282" t="s">
        <v>397</v>
      </c>
      <c r="E860" s="285">
        <f t="shared" si="130"/>
        <v>1</v>
      </c>
      <c r="F860" s="283">
        <v>526.85</v>
      </c>
      <c r="G860" s="284">
        <f t="shared" si="133"/>
        <v>655.34</v>
      </c>
      <c r="H860" s="284">
        <f t="shared" si="134"/>
        <v>655.34</v>
      </c>
      <c r="I860" s="297"/>
      <c r="J860" s="80">
        <v>1</v>
      </c>
      <c r="K860" s="232"/>
      <c r="L860" s="33"/>
      <c r="M860" s="35"/>
      <c r="N860" s="35"/>
      <c r="O860" s="35"/>
      <c r="P860" s="40"/>
      <c r="Q860" s="37"/>
      <c r="R860" s="4"/>
      <c r="S860" s="236">
        <v>1</v>
      </c>
      <c r="T860" s="236">
        <v>526.85</v>
      </c>
      <c r="U860" s="236">
        <v>663.83</v>
      </c>
      <c r="V860" s="236">
        <v>663.83</v>
      </c>
    </row>
    <row r="861" spans="1:22" s="52" customFormat="1" outlineLevel="1" x14ac:dyDescent="0.25">
      <c r="A861" s="282" t="s">
        <v>761</v>
      </c>
      <c r="B861" s="280">
        <v>91941</v>
      </c>
      <c r="C861" s="281" t="s">
        <v>150</v>
      </c>
      <c r="D861" s="282" t="s">
        <v>397</v>
      </c>
      <c r="E861" s="285">
        <f t="shared" si="130"/>
        <v>41</v>
      </c>
      <c r="F861" s="283">
        <v>6.8</v>
      </c>
      <c r="G861" s="284">
        <f t="shared" si="133"/>
        <v>8.4499999999999993</v>
      </c>
      <c r="H861" s="284">
        <f t="shared" si="134"/>
        <v>346.45</v>
      </c>
      <c r="I861" s="297"/>
      <c r="J861" s="80">
        <v>41</v>
      </c>
      <c r="K861" s="232"/>
      <c r="L861" s="33"/>
      <c r="M861" s="35"/>
      <c r="N861" s="35"/>
      <c r="O861" s="35"/>
      <c r="P861" s="40"/>
      <c r="Q861" s="37"/>
      <c r="R861" s="4"/>
      <c r="S861" s="236">
        <v>41</v>
      </c>
      <c r="T861" s="236">
        <v>6.8</v>
      </c>
      <c r="U861" s="236">
        <v>8.56</v>
      </c>
      <c r="V861" s="236">
        <v>350.96</v>
      </c>
    </row>
    <row r="862" spans="1:22" s="52" customFormat="1" outlineLevel="1" x14ac:dyDescent="0.25">
      <c r="A862" s="282" t="s">
        <v>762</v>
      </c>
      <c r="B862" s="280">
        <v>98111</v>
      </c>
      <c r="C862" s="281" t="s">
        <v>480</v>
      </c>
      <c r="D862" s="282" t="s">
        <v>397</v>
      </c>
      <c r="E862" s="285">
        <f t="shared" si="130"/>
        <v>4</v>
      </c>
      <c r="F862" s="283">
        <v>19.899999999999999</v>
      </c>
      <c r="G862" s="284">
        <f>TRUNC(F862*$J$13,2)</f>
        <v>24.75</v>
      </c>
      <c r="H862" s="284">
        <f>TRUNC(E862*G862,2)</f>
        <v>99</v>
      </c>
      <c r="I862" s="297"/>
      <c r="J862" s="80">
        <v>4</v>
      </c>
      <c r="K862" s="232"/>
      <c r="L862" s="33"/>
      <c r="M862" s="35"/>
      <c r="N862" s="35"/>
      <c r="O862" s="35"/>
      <c r="P862" s="40"/>
      <c r="Q862" s="37"/>
      <c r="R862" s="4"/>
      <c r="S862" s="236">
        <v>4</v>
      </c>
      <c r="T862" s="236">
        <v>19.899999999999999</v>
      </c>
      <c r="U862" s="236">
        <v>25.07</v>
      </c>
      <c r="V862" s="236">
        <v>100.28</v>
      </c>
    </row>
    <row r="863" spans="1:22" s="52" customFormat="1" outlineLevel="1" x14ac:dyDescent="0.25">
      <c r="A863" s="282" t="s">
        <v>763</v>
      </c>
      <c r="B863" s="280">
        <v>83399</v>
      </c>
      <c r="C863" s="281" t="s">
        <v>481</v>
      </c>
      <c r="D863" s="282" t="s">
        <v>397</v>
      </c>
      <c r="E863" s="285">
        <f t="shared" si="130"/>
        <v>1</v>
      </c>
      <c r="F863" s="283">
        <v>31.75</v>
      </c>
      <c r="G863" s="284">
        <f>TRUNC(F863*$J$13,2)</f>
        <v>39.49</v>
      </c>
      <c r="H863" s="284">
        <f>TRUNC(E863*G863,2)</f>
        <v>39.49</v>
      </c>
      <c r="I863" s="297"/>
      <c r="J863" s="80">
        <v>1</v>
      </c>
      <c r="K863" s="232"/>
      <c r="L863" s="33"/>
      <c r="M863" s="35"/>
      <c r="N863" s="35"/>
      <c r="O863" s="35"/>
      <c r="P863" s="40"/>
      <c r="Q863" s="37"/>
      <c r="R863" s="4"/>
      <c r="S863" s="236">
        <v>1</v>
      </c>
      <c r="T863" s="236">
        <v>31.75</v>
      </c>
      <c r="U863" s="236">
        <v>40</v>
      </c>
      <c r="V863" s="236">
        <v>40</v>
      </c>
    </row>
    <row r="864" spans="1:22" s="52" customFormat="1" outlineLevel="1" x14ac:dyDescent="0.25">
      <c r="A864" s="279" t="s">
        <v>764</v>
      </c>
      <c r="B864" s="279"/>
      <c r="C864" s="294" t="s">
        <v>161</v>
      </c>
      <c r="D864" s="558"/>
      <c r="E864" s="294"/>
      <c r="F864" s="403"/>
      <c r="G864" s="294"/>
      <c r="H864" s="558"/>
      <c r="I864" s="402">
        <f>SUM(H865:H876)</f>
        <v>7035.7199999999993</v>
      </c>
      <c r="J864" s="70"/>
      <c r="K864" s="225"/>
      <c r="L864" s="317">
        <f>SUM(H865:H876)</f>
        <v>7035.7199999999993</v>
      </c>
      <c r="M864" s="12">
        <f>I864-L864</f>
        <v>0</v>
      </c>
      <c r="N864" s="12"/>
      <c r="O864" s="12"/>
      <c r="P864" s="47"/>
      <c r="Q864" s="37"/>
      <c r="R864" s="4"/>
    </row>
    <row r="865" spans="1:22" s="52" customFormat="1" outlineLevel="1" x14ac:dyDescent="0.25">
      <c r="A865" s="282" t="s">
        <v>765</v>
      </c>
      <c r="B865" s="280">
        <v>91944</v>
      </c>
      <c r="C865" s="281" t="s">
        <v>151</v>
      </c>
      <c r="D865" s="282" t="s">
        <v>44</v>
      </c>
      <c r="E865" s="285">
        <f>TRUNC(J865,2)</f>
        <v>2</v>
      </c>
      <c r="F865" s="283">
        <f>'COMPOSIÇÃO SINAPI W MENDES'!G5343</f>
        <v>9.06</v>
      </c>
      <c r="G865" s="284">
        <f>TRUNC(F865*$J$13,2)</f>
        <v>11.26</v>
      </c>
      <c r="H865" s="284">
        <f>TRUNC(E865*G865,2)</f>
        <v>22.52</v>
      </c>
      <c r="I865" s="297"/>
      <c r="J865" s="80">
        <v>2</v>
      </c>
      <c r="K865" s="232"/>
      <c r="L865" s="33"/>
      <c r="M865" s="36"/>
      <c r="N865" s="36"/>
      <c r="O865" s="36"/>
      <c r="P865" s="49"/>
      <c r="Q865" s="37"/>
      <c r="R865" s="4"/>
      <c r="S865" s="236">
        <v>2</v>
      </c>
      <c r="T865" s="236">
        <v>9.3000000000000007</v>
      </c>
      <c r="U865" s="236">
        <v>11.71</v>
      </c>
      <c r="V865" s="236">
        <v>23.42</v>
      </c>
    </row>
    <row r="866" spans="1:22" s="52" customFormat="1" outlineLevel="1" x14ac:dyDescent="0.25">
      <c r="A866" s="282" t="s">
        <v>766</v>
      </c>
      <c r="B866" s="280">
        <v>90447</v>
      </c>
      <c r="C866" s="281" t="s">
        <v>127</v>
      </c>
      <c r="D866" s="282" t="s">
        <v>55</v>
      </c>
      <c r="E866" s="285">
        <f>TRUNC(J866,2)</f>
        <v>41</v>
      </c>
      <c r="F866" s="283">
        <v>4.45</v>
      </c>
      <c r="G866" s="284">
        <f t="shared" ref="G866:G876" si="135">TRUNC(F866*$J$13,2)</f>
        <v>5.53</v>
      </c>
      <c r="H866" s="284">
        <f t="shared" ref="H866:H876" si="136">TRUNC(E866*G866,2)</f>
        <v>226.73</v>
      </c>
      <c r="I866" s="297"/>
      <c r="J866" s="80">
        <v>41</v>
      </c>
      <c r="K866" s="232"/>
      <c r="L866" s="33"/>
      <c r="M866" s="36"/>
      <c r="N866" s="36"/>
      <c r="O866" s="36"/>
      <c r="P866" s="49"/>
      <c r="Q866" s="37"/>
      <c r="R866" s="4"/>
      <c r="S866" s="236">
        <v>41</v>
      </c>
      <c r="T866" s="236">
        <v>4.45</v>
      </c>
      <c r="U866" s="236">
        <v>5.6</v>
      </c>
      <c r="V866" s="236">
        <v>229.6</v>
      </c>
    </row>
    <row r="867" spans="1:22" s="52" customFormat="1" ht="31.2" outlineLevel="1" x14ac:dyDescent="0.25">
      <c r="A867" s="282" t="s">
        <v>767</v>
      </c>
      <c r="B867" s="280">
        <v>91836</v>
      </c>
      <c r="C867" s="281" t="s">
        <v>130</v>
      </c>
      <c r="D867" s="282" t="s">
        <v>55</v>
      </c>
      <c r="E867" s="285">
        <v>85</v>
      </c>
      <c r="F867" s="283">
        <v>7.55</v>
      </c>
      <c r="G867" s="284">
        <f t="shared" si="135"/>
        <v>9.39</v>
      </c>
      <c r="H867" s="284">
        <f t="shared" si="136"/>
        <v>798.15</v>
      </c>
      <c r="I867" s="297"/>
      <c r="J867" s="80">
        <f>(1.5+2.5+2.5+4+4+1.5+15.5+2)*2</f>
        <v>67</v>
      </c>
      <c r="K867" s="232"/>
      <c r="L867" s="33"/>
      <c r="M867" s="35"/>
      <c r="N867" s="35"/>
      <c r="O867" s="35"/>
      <c r="P867" s="40"/>
      <c r="Q867" s="37"/>
      <c r="R867" s="4"/>
      <c r="S867" s="236">
        <v>85</v>
      </c>
      <c r="T867" s="236">
        <v>7.55</v>
      </c>
      <c r="U867" s="236">
        <v>9.51</v>
      </c>
      <c r="V867" s="236">
        <v>808.35</v>
      </c>
    </row>
    <row r="868" spans="1:22" s="52" customFormat="1" outlineLevel="1" x14ac:dyDescent="0.25">
      <c r="A868" s="282" t="s">
        <v>768</v>
      </c>
      <c r="B868" s="280">
        <v>91941</v>
      </c>
      <c r="C868" s="281" t="s">
        <v>150</v>
      </c>
      <c r="D868" s="282" t="s">
        <v>44</v>
      </c>
      <c r="E868" s="285">
        <f>TRUNC(J868,2)</f>
        <v>16</v>
      </c>
      <c r="F868" s="283">
        <v>6.8</v>
      </c>
      <c r="G868" s="284">
        <f t="shared" si="135"/>
        <v>8.4499999999999993</v>
      </c>
      <c r="H868" s="284">
        <f t="shared" si="136"/>
        <v>135.19999999999999</v>
      </c>
      <c r="I868" s="297"/>
      <c r="J868" s="80">
        <v>16</v>
      </c>
      <c r="K868" s="232"/>
      <c r="L868" s="33"/>
      <c r="M868" s="35"/>
      <c r="N868" s="35"/>
      <c r="O868" s="35"/>
      <c r="P868" s="40"/>
      <c r="Q868" s="37"/>
      <c r="R868" s="4"/>
      <c r="S868" s="236">
        <v>16</v>
      </c>
      <c r="T868" s="236">
        <v>6.8</v>
      </c>
      <c r="U868" s="236">
        <v>8.56</v>
      </c>
      <c r="V868" s="236">
        <v>136.96</v>
      </c>
    </row>
    <row r="869" spans="1:22" s="52" customFormat="1" outlineLevel="1" x14ac:dyDescent="0.25">
      <c r="A869" s="282" t="s">
        <v>769</v>
      </c>
      <c r="B869" s="292">
        <v>98294</v>
      </c>
      <c r="C869" s="291" t="s">
        <v>170</v>
      </c>
      <c r="D869" s="282" t="s">
        <v>55</v>
      </c>
      <c r="E869" s="285">
        <f t="shared" ref="E869:E876" si="137">TRUNC(J869,2)</f>
        <v>310.5</v>
      </c>
      <c r="F869" s="283">
        <v>1.65</v>
      </c>
      <c r="G869" s="284">
        <f t="shared" si="135"/>
        <v>2.0499999999999998</v>
      </c>
      <c r="H869" s="284">
        <f t="shared" si="136"/>
        <v>636.52</v>
      </c>
      <c r="I869" s="297"/>
      <c r="J869" s="80">
        <v>310.5</v>
      </c>
      <c r="K869" s="232"/>
      <c r="L869" s="33"/>
      <c r="M869" s="35"/>
      <c r="N869" s="35"/>
      <c r="O869" s="35"/>
      <c r="P869" s="40"/>
      <c r="Q869" s="37"/>
      <c r="R869" s="4"/>
      <c r="S869" s="236">
        <v>310.5</v>
      </c>
      <c r="T869" s="501">
        <v>2.52</v>
      </c>
      <c r="U869" s="236">
        <v>3.17</v>
      </c>
      <c r="V869" s="236">
        <v>984.28</v>
      </c>
    </row>
    <row r="870" spans="1:22" s="52" customFormat="1" outlineLevel="1" x14ac:dyDescent="0.25">
      <c r="A870" s="282" t="s">
        <v>770</v>
      </c>
      <c r="B870" s="292">
        <v>98296</v>
      </c>
      <c r="C870" s="291" t="s">
        <v>172</v>
      </c>
      <c r="D870" s="282" t="s">
        <v>55</v>
      </c>
      <c r="E870" s="285">
        <f t="shared" si="137"/>
        <v>310.5</v>
      </c>
      <c r="F870" s="283">
        <v>2.52</v>
      </c>
      <c r="G870" s="284">
        <f t="shared" si="135"/>
        <v>3.13</v>
      </c>
      <c r="H870" s="284">
        <f t="shared" si="136"/>
        <v>971.86</v>
      </c>
      <c r="I870" s="297"/>
      <c r="J870" s="80">
        <v>310.5</v>
      </c>
      <c r="K870" s="232"/>
      <c r="L870" s="33"/>
      <c r="M870" s="36"/>
      <c r="N870" s="36"/>
      <c r="O870" s="36"/>
      <c r="P870" s="49"/>
      <c r="Q870" s="37"/>
      <c r="R870" s="4"/>
      <c r="S870" s="236">
        <v>310.5</v>
      </c>
      <c r="T870" s="501">
        <v>1.65</v>
      </c>
      <c r="U870" s="236">
        <v>2.0699999999999998</v>
      </c>
      <c r="V870" s="236">
        <v>642.73</v>
      </c>
    </row>
    <row r="871" spans="1:22" s="52" customFormat="1" outlineLevel="1" x14ac:dyDescent="0.25">
      <c r="A871" s="282" t="s">
        <v>771</v>
      </c>
      <c r="B871" s="280">
        <v>98302</v>
      </c>
      <c r="C871" s="289" t="s">
        <v>174</v>
      </c>
      <c r="D871" s="282" t="s">
        <v>44</v>
      </c>
      <c r="E871" s="285">
        <f t="shared" si="137"/>
        <v>2</v>
      </c>
      <c r="F871" s="283">
        <v>497.66</v>
      </c>
      <c r="G871" s="284">
        <f t="shared" si="135"/>
        <v>619.03</v>
      </c>
      <c r="H871" s="284">
        <f t="shared" si="136"/>
        <v>1238.06</v>
      </c>
      <c r="I871" s="297"/>
      <c r="J871" s="80">
        <v>2</v>
      </c>
      <c r="K871" s="232"/>
      <c r="L871" s="33"/>
      <c r="M871" s="36"/>
      <c r="N871" s="36"/>
      <c r="O871" s="36"/>
      <c r="P871" s="49"/>
      <c r="Q871" s="37"/>
      <c r="R871" s="4"/>
      <c r="S871" s="236">
        <v>2</v>
      </c>
      <c r="T871" s="236">
        <v>497.66</v>
      </c>
      <c r="U871" s="236">
        <v>627.04999999999995</v>
      </c>
      <c r="V871" s="236">
        <v>1254.0999999999999</v>
      </c>
    </row>
    <row r="872" spans="1:22" s="52" customFormat="1" outlineLevel="1" x14ac:dyDescent="0.25">
      <c r="A872" s="282" t="s">
        <v>772</v>
      </c>
      <c r="B872" s="280" t="s">
        <v>652</v>
      </c>
      <c r="C872" s="289" t="s">
        <v>406</v>
      </c>
      <c r="D872" s="282" t="s">
        <v>44</v>
      </c>
      <c r="E872" s="285">
        <f t="shared" si="137"/>
        <v>16</v>
      </c>
      <c r="F872" s="283">
        <v>3.63</v>
      </c>
      <c r="G872" s="284">
        <f t="shared" si="135"/>
        <v>4.51</v>
      </c>
      <c r="H872" s="284">
        <f t="shared" si="136"/>
        <v>72.16</v>
      </c>
      <c r="I872" s="297"/>
      <c r="J872" s="80">
        <v>16</v>
      </c>
      <c r="K872" s="232"/>
      <c r="L872" s="33"/>
      <c r="M872" s="36"/>
      <c r="N872" s="36"/>
      <c r="O872" s="36"/>
      <c r="P872" s="49"/>
      <c r="Q872" s="37"/>
      <c r="R872" s="4"/>
      <c r="S872" s="236">
        <v>16</v>
      </c>
      <c r="T872" s="236">
        <v>3.65</v>
      </c>
      <c r="U872" s="236">
        <v>4.59</v>
      </c>
      <c r="V872" s="236">
        <v>73.44</v>
      </c>
    </row>
    <row r="873" spans="1:22" s="52" customFormat="1" ht="31.2" outlineLevel="1" x14ac:dyDescent="0.25">
      <c r="A873" s="282" t="s">
        <v>773</v>
      </c>
      <c r="B873" s="280" t="s">
        <v>178</v>
      </c>
      <c r="C873" s="289" t="s">
        <v>179</v>
      </c>
      <c r="D873" s="282" t="s">
        <v>44</v>
      </c>
      <c r="E873" s="285">
        <f t="shared" si="137"/>
        <v>1</v>
      </c>
      <c r="F873" s="283">
        <f>'COMPOSIÇÃO SINAPI W MENDES'!G2164</f>
        <v>1488.24</v>
      </c>
      <c r="G873" s="284">
        <f t="shared" si="135"/>
        <v>1851.22</v>
      </c>
      <c r="H873" s="284">
        <f t="shared" si="136"/>
        <v>1851.22</v>
      </c>
      <c r="I873" s="297"/>
      <c r="J873" s="80">
        <v>1</v>
      </c>
      <c r="K873" s="232"/>
      <c r="L873" s="33"/>
      <c r="M873" s="36"/>
      <c r="N873" s="36"/>
      <c r="O873" s="36"/>
      <c r="P873" s="49"/>
      <c r="Q873" s="37"/>
      <c r="R873" s="4"/>
      <c r="S873" s="236">
        <v>1</v>
      </c>
      <c r="T873" s="236">
        <v>1489.4</v>
      </c>
      <c r="U873" s="236">
        <v>1876.64</v>
      </c>
      <c r="V873" s="236">
        <v>1876.64</v>
      </c>
    </row>
    <row r="874" spans="1:22" s="52" customFormat="1" outlineLevel="1" x14ac:dyDescent="0.25">
      <c r="A874" s="282" t="s">
        <v>774</v>
      </c>
      <c r="B874" s="280">
        <v>98307</v>
      </c>
      <c r="C874" s="281" t="s">
        <v>182</v>
      </c>
      <c r="D874" s="282" t="s">
        <v>44</v>
      </c>
      <c r="E874" s="285">
        <f t="shared" si="137"/>
        <v>18</v>
      </c>
      <c r="F874" s="283">
        <v>27.38</v>
      </c>
      <c r="G874" s="284">
        <f t="shared" si="135"/>
        <v>34.049999999999997</v>
      </c>
      <c r="H874" s="284">
        <f t="shared" si="136"/>
        <v>612.9</v>
      </c>
      <c r="I874" s="297"/>
      <c r="J874" s="72">
        <v>18</v>
      </c>
      <c r="K874" s="232"/>
      <c r="L874" s="33"/>
      <c r="M874" s="36"/>
      <c r="N874" s="36"/>
      <c r="O874" s="36"/>
      <c r="P874" s="49"/>
      <c r="Q874" s="37"/>
      <c r="R874" s="4"/>
      <c r="S874" s="236">
        <v>18</v>
      </c>
      <c r="T874" s="236">
        <v>27.38</v>
      </c>
      <c r="U874" s="236">
        <v>34.49</v>
      </c>
      <c r="V874" s="236">
        <v>620.82000000000005</v>
      </c>
    </row>
    <row r="875" spans="1:22" s="52" customFormat="1" outlineLevel="1" x14ac:dyDescent="0.25">
      <c r="A875" s="282" t="s">
        <v>775</v>
      </c>
      <c r="B875" s="280">
        <v>100556</v>
      </c>
      <c r="C875" s="281" t="s">
        <v>482</v>
      </c>
      <c r="D875" s="282" t="s">
        <v>44</v>
      </c>
      <c r="E875" s="285">
        <f t="shared" si="137"/>
        <v>5</v>
      </c>
      <c r="F875" s="283">
        <v>27.38</v>
      </c>
      <c r="G875" s="284">
        <f>TRUNC(F875*$J$13,2)</f>
        <v>34.049999999999997</v>
      </c>
      <c r="H875" s="284">
        <f>TRUNC(E875*G875,2)</f>
        <v>170.25</v>
      </c>
      <c r="I875" s="297"/>
      <c r="J875" s="72">
        <v>5</v>
      </c>
      <c r="K875" s="232"/>
      <c r="L875" s="33"/>
      <c r="M875" s="36"/>
      <c r="N875" s="36"/>
      <c r="O875" s="36"/>
      <c r="P875" s="49"/>
      <c r="Q875" s="37"/>
      <c r="R875" s="4"/>
      <c r="S875" s="236">
        <v>5</v>
      </c>
      <c r="T875" s="236">
        <v>27.38</v>
      </c>
      <c r="U875" s="236">
        <v>34.49</v>
      </c>
      <c r="V875" s="236">
        <v>172.45</v>
      </c>
    </row>
    <row r="876" spans="1:22" s="52" customFormat="1" ht="31.2" outlineLevel="1" x14ac:dyDescent="0.25">
      <c r="A876" s="282" t="s">
        <v>776</v>
      </c>
      <c r="B876" s="280">
        <v>100560</v>
      </c>
      <c r="C876" s="281" t="s">
        <v>184</v>
      </c>
      <c r="D876" s="282" t="s">
        <v>44</v>
      </c>
      <c r="E876" s="285">
        <f t="shared" si="137"/>
        <v>3</v>
      </c>
      <c r="F876" s="283">
        <v>80.44</v>
      </c>
      <c r="G876" s="284">
        <f t="shared" si="135"/>
        <v>100.05</v>
      </c>
      <c r="H876" s="284">
        <f t="shared" si="136"/>
        <v>300.14999999999998</v>
      </c>
      <c r="I876" s="297"/>
      <c r="J876" s="80">
        <v>3</v>
      </c>
      <c r="K876" s="232"/>
      <c r="L876" s="33"/>
      <c r="M876" s="36"/>
      <c r="N876" s="36"/>
      <c r="O876" s="36"/>
      <c r="P876" s="49"/>
      <c r="Q876" s="37"/>
      <c r="R876" s="4"/>
      <c r="S876" s="236">
        <v>3</v>
      </c>
      <c r="T876" s="236">
        <v>80.44</v>
      </c>
      <c r="U876" s="236">
        <v>101.35</v>
      </c>
      <c r="V876" s="236">
        <v>304.05</v>
      </c>
    </row>
    <row r="877" spans="1:22" s="52" customFormat="1" outlineLevel="1" x14ac:dyDescent="0.25">
      <c r="A877" s="279" t="s">
        <v>708</v>
      </c>
      <c r="B877" s="279"/>
      <c r="C877" s="294" t="s">
        <v>187</v>
      </c>
      <c r="D877" s="558"/>
      <c r="E877" s="296"/>
      <c r="F877" s="403"/>
      <c r="G877" s="294"/>
      <c r="H877" s="558"/>
      <c r="I877" s="402">
        <f>SUM(H879:H889)</f>
        <v>6906.8899999999994</v>
      </c>
      <c r="J877" s="73"/>
      <c r="K877" s="197"/>
      <c r="L877" s="317">
        <f>SUM(H878:H889)</f>
        <v>6906.8899999999994</v>
      </c>
      <c r="M877" s="2">
        <f>I877-L877</f>
        <v>0</v>
      </c>
      <c r="N877" s="2"/>
      <c r="O877" s="2"/>
      <c r="P877" s="3"/>
      <c r="Q877" s="37"/>
      <c r="R877" s="4"/>
    </row>
    <row r="878" spans="1:22" s="52" customFormat="1" outlineLevel="1" x14ac:dyDescent="0.25">
      <c r="A878" s="282" t="s">
        <v>777</v>
      </c>
      <c r="B878" s="280"/>
      <c r="C878" s="294" t="s">
        <v>189</v>
      </c>
      <c r="D878" s="282"/>
      <c r="E878" s="285"/>
      <c r="F878" s="297"/>
      <c r="G878" s="288"/>
      <c r="H878" s="298"/>
      <c r="I878" s="297"/>
      <c r="J878" s="73"/>
      <c r="K878" s="197"/>
      <c r="L878" s="7"/>
      <c r="M878" s="2"/>
      <c r="N878" s="2"/>
      <c r="O878" s="2"/>
      <c r="P878" s="3"/>
      <c r="Q878" s="37"/>
      <c r="R878" s="4"/>
    </row>
    <row r="879" spans="1:22" s="52" customFormat="1" outlineLevel="1" x14ac:dyDescent="0.25">
      <c r="A879" s="282" t="s">
        <v>778</v>
      </c>
      <c r="B879" s="280">
        <v>90447</v>
      </c>
      <c r="C879" s="281" t="s">
        <v>190</v>
      </c>
      <c r="D879" s="282" t="s">
        <v>55</v>
      </c>
      <c r="E879" s="285">
        <v>8</v>
      </c>
      <c r="F879" s="283">
        <v>4.45</v>
      </c>
      <c r="G879" s="284">
        <f>TRUNC(F879*$J$13,2)</f>
        <v>5.53</v>
      </c>
      <c r="H879" s="284">
        <f>TRUNC(E879*G879,2)</f>
        <v>44.24</v>
      </c>
      <c r="I879" s="297"/>
      <c r="J879" s="80">
        <v>4</v>
      </c>
      <c r="K879" s="233"/>
      <c r="L879" s="34"/>
      <c r="M879" s="35"/>
      <c r="N879" s="35"/>
      <c r="O879" s="35"/>
      <c r="P879" s="40"/>
      <c r="Q879" s="37"/>
      <c r="R879" s="4"/>
      <c r="S879" s="236">
        <v>8</v>
      </c>
      <c r="T879" s="236">
        <v>4.45</v>
      </c>
      <c r="U879" s="236">
        <v>5.6</v>
      </c>
      <c r="V879" s="236">
        <v>44.8</v>
      </c>
    </row>
    <row r="880" spans="1:22" s="52" customFormat="1" outlineLevel="1" x14ac:dyDescent="0.25">
      <c r="A880" s="282" t="s">
        <v>779</v>
      </c>
      <c r="B880" s="280">
        <v>86872</v>
      </c>
      <c r="C880" s="281" t="s">
        <v>483</v>
      </c>
      <c r="D880" s="282" t="s">
        <v>44</v>
      </c>
      <c r="E880" s="285">
        <f t="shared" ref="E880:E884" si="138">TRUNC(J880,2)</f>
        <v>2</v>
      </c>
      <c r="F880" s="283">
        <v>592.52</v>
      </c>
      <c r="G880" s="284">
        <f t="shared" ref="G880:G889" si="139">TRUNC(F880*$J$13,2)</f>
        <v>737.03</v>
      </c>
      <c r="H880" s="284">
        <f t="shared" ref="H880:H889" si="140">TRUNC(E880*G880,2)</f>
        <v>1474.06</v>
      </c>
      <c r="I880" s="297"/>
      <c r="J880" s="80">
        <v>2</v>
      </c>
      <c r="K880" s="233"/>
      <c r="L880" s="34"/>
      <c r="M880" s="43"/>
      <c r="N880" s="43"/>
      <c r="O880" s="43"/>
      <c r="P880" s="44"/>
      <c r="Q880" s="37"/>
      <c r="R880" s="4"/>
      <c r="S880" s="236">
        <v>2</v>
      </c>
      <c r="T880" s="236">
        <v>592.52</v>
      </c>
      <c r="U880" s="236">
        <v>746.57</v>
      </c>
      <c r="V880" s="236">
        <v>1493.14</v>
      </c>
    </row>
    <row r="881" spans="1:22" s="52" customFormat="1" outlineLevel="1" x14ac:dyDescent="0.25">
      <c r="A881" s="282" t="s">
        <v>780</v>
      </c>
      <c r="B881" s="280">
        <v>86914</v>
      </c>
      <c r="C881" s="281" t="s">
        <v>484</v>
      </c>
      <c r="D881" s="282" t="s">
        <v>44</v>
      </c>
      <c r="E881" s="285">
        <f t="shared" si="138"/>
        <v>2</v>
      </c>
      <c r="F881" s="283">
        <v>38.54</v>
      </c>
      <c r="G881" s="284">
        <f t="shared" si="139"/>
        <v>47.93</v>
      </c>
      <c r="H881" s="284">
        <f t="shared" si="140"/>
        <v>95.86</v>
      </c>
      <c r="I881" s="297"/>
      <c r="J881" s="80">
        <v>2</v>
      </c>
      <c r="K881" s="233"/>
      <c r="L881" s="34"/>
      <c r="M881" s="43"/>
      <c r="N881" s="43"/>
      <c r="O881" s="43"/>
      <c r="P881" s="44"/>
      <c r="Q881" s="37"/>
      <c r="R881" s="4"/>
      <c r="S881" s="236">
        <v>2</v>
      </c>
      <c r="T881" s="236">
        <v>38.54</v>
      </c>
      <c r="U881" s="236">
        <v>48.56</v>
      </c>
      <c r="V881" s="236">
        <v>97.12</v>
      </c>
    </row>
    <row r="882" spans="1:22" s="52" customFormat="1" ht="31.2" outlineLevel="1" x14ac:dyDescent="0.25">
      <c r="A882" s="282" t="s">
        <v>781</v>
      </c>
      <c r="B882" s="280">
        <v>94497</v>
      </c>
      <c r="C882" s="281" t="s">
        <v>485</v>
      </c>
      <c r="D882" s="282" t="s">
        <v>44</v>
      </c>
      <c r="E882" s="285">
        <f t="shared" si="138"/>
        <v>1</v>
      </c>
      <c r="F882" s="283">
        <v>79.81</v>
      </c>
      <c r="G882" s="284">
        <f t="shared" si="139"/>
        <v>99.27</v>
      </c>
      <c r="H882" s="284">
        <f t="shared" si="140"/>
        <v>99.27</v>
      </c>
      <c r="I882" s="297"/>
      <c r="J882" s="80">
        <v>1</v>
      </c>
      <c r="K882" s="232"/>
      <c r="L882" s="33"/>
      <c r="M882" s="35"/>
      <c r="N882" s="35"/>
      <c r="O882" s="35"/>
      <c r="P882" s="40"/>
      <c r="Q882" s="37"/>
      <c r="R882" s="4"/>
      <c r="S882" s="236">
        <v>1</v>
      </c>
      <c r="T882" s="236">
        <v>79.81</v>
      </c>
      <c r="U882" s="236">
        <v>100.56</v>
      </c>
      <c r="V882" s="236">
        <v>100.56</v>
      </c>
    </row>
    <row r="883" spans="1:22" s="52" customFormat="1" outlineLevel="1" x14ac:dyDescent="0.25">
      <c r="A883" s="282" t="s">
        <v>782</v>
      </c>
      <c r="B883" s="280">
        <v>89449</v>
      </c>
      <c r="C883" s="281" t="s">
        <v>486</v>
      </c>
      <c r="D883" s="282" t="s">
        <v>55</v>
      </c>
      <c r="E883" s="285">
        <f t="shared" si="138"/>
        <v>55</v>
      </c>
      <c r="F883" s="283">
        <v>12.12</v>
      </c>
      <c r="G883" s="284">
        <f t="shared" si="139"/>
        <v>15.07</v>
      </c>
      <c r="H883" s="284">
        <f t="shared" si="140"/>
        <v>828.85</v>
      </c>
      <c r="I883" s="297"/>
      <c r="J883" s="80">
        <v>55</v>
      </c>
      <c r="K883" s="232"/>
      <c r="L883" s="33"/>
      <c r="M883" s="35"/>
      <c r="N883" s="35"/>
      <c r="O883" s="35"/>
      <c r="P883" s="40"/>
      <c r="Q883" s="37"/>
      <c r="R883" s="4"/>
      <c r="S883" s="236">
        <v>55</v>
      </c>
      <c r="T883" s="236">
        <v>12.12</v>
      </c>
      <c r="U883" s="236">
        <v>15.27</v>
      </c>
      <c r="V883" s="236">
        <v>839.85</v>
      </c>
    </row>
    <row r="884" spans="1:22" s="52" customFormat="1" outlineLevel="1" x14ac:dyDescent="0.25">
      <c r="A884" s="282" t="s">
        <v>783</v>
      </c>
      <c r="B884" s="280">
        <v>89402</v>
      </c>
      <c r="C884" s="281" t="s">
        <v>487</v>
      </c>
      <c r="D884" s="282" t="s">
        <v>55</v>
      </c>
      <c r="E884" s="285">
        <f t="shared" si="138"/>
        <v>6</v>
      </c>
      <c r="F884" s="283">
        <v>6.63</v>
      </c>
      <c r="G884" s="284">
        <f t="shared" si="139"/>
        <v>8.24</v>
      </c>
      <c r="H884" s="284">
        <f t="shared" si="140"/>
        <v>49.44</v>
      </c>
      <c r="I884" s="297"/>
      <c r="J884" s="80">
        <v>6</v>
      </c>
      <c r="K884" s="232"/>
      <c r="L884" s="33"/>
      <c r="M884" s="35"/>
      <c r="N884" s="35"/>
      <c r="O884" s="35"/>
      <c r="P884" s="40"/>
      <c r="Q884" s="37"/>
      <c r="R884" s="4"/>
      <c r="S884" s="236">
        <v>6</v>
      </c>
      <c r="T884" s="236">
        <v>6.63</v>
      </c>
      <c r="U884" s="236">
        <v>8.35</v>
      </c>
      <c r="V884" s="236">
        <v>50.1</v>
      </c>
    </row>
    <row r="885" spans="1:22" s="52" customFormat="1" outlineLevel="1" x14ac:dyDescent="0.25">
      <c r="A885" s="279" t="s">
        <v>784</v>
      </c>
      <c r="B885" s="280"/>
      <c r="C885" s="294" t="s">
        <v>201</v>
      </c>
      <c r="D885" s="282"/>
      <c r="E885" s="285"/>
      <c r="F885" s="283"/>
      <c r="G885" s="284"/>
      <c r="H885" s="284"/>
      <c r="I885" s="297"/>
      <c r="J885" s="80"/>
      <c r="K885" s="232"/>
      <c r="L885" s="33"/>
      <c r="M885" s="35"/>
      <c r="N885" s="35"/>
      <c r="O885" s="35"/>
      <c r="P885" s="40"/>
      <c r="Q885" s="37"/>
      <c r="R885" s="4"/>
      <c r="S885" s="236"/>
      <c r="T885" s="236"/>
      <c r="U885" s="236"/>
      <c r="V885" s="236"/>
    </row>
    <row r="886" spans="1:22" s="52" customFormat="1" outlineLevel="1" x14ac:dyDescent="0.25">
      <c r="A886" s="282" t="s">
        <v>785</v>
      </c>
      <c r="B886" s="280">
        <v>98105</v>
      </c>
      <c r="C886" s="281" t="s">
        <v>488</v>
      </c>
      <c r="D886" s="282" t="s">
        <v>44</v>
      </c>
      <c r="E886" s="285">
        <f>TRUNC(J886,2)</f>
        <v>4</v>
      </c>
      <c r="F886" s="283">
        <v>526.69000000000005</v>
      </c>
      <c r="G886" s="284">
        <f t="shared" si="139"/>
        <v>655.14</v>
      </c>
      <c r="H886" s="284">
        <f t="shared" si="140"/>
        <v>2620.56</v>
      </c>
      <c r="I886" s="297"/>
      <c r="J886" s="80">
        <v>4</v>
      </c>
      <c r="K886" s="232"/>
      <c r="L886" s="33"/>
      <c r="M886" s="35"/>
      <c r="N886" s="35"/>
      <c r="O886" s="35"/>
      <c r="P886" s="40"/>
      <c r="Q886" s="37"/>
      <c r="R886" s="4"/>
      <c r="S886" s="236">
        <v>4</v>
      </c>
      <c r="T886" s="236">
        <v>526.69000000000005</v>
      </c>
      <c r="U886" s="236">
        <v>663.62</v>
      </c>
      <c r="V886" s="236">
        <v>2654.48</v>
      </c>
    </row>
    <row r="887" spans="1:22" s="52" customFormat="1" ht="31.2" outlineLevel="1" x14ac:dyDescent="0.25">
      <c r="A887" s="282" t="s">
        <v>786</v>
      </c>
      <c r="B887" s="280">
        <v>89714</v>
      </c>
      <c r="C887" s="281" t="s">
        <v>653</v>
      </c>
      <c r="D887" s="282" t="s">
        <v>55</v>
      </c>
      <c r="E887" s="285">
        <f>TRUNC(J887,2)</f>
        <v>25</v>
      </c>
      <c r="F887" s="283">
        <v>42.17</v>
      </c>
      <c r="G887" s="284">
        <f t="shared" si="139"/>
        <v>52.45</v>
      </c>
      <c r="H887" s="284">
        <f t="shared" si="140"/>
        <v>1311.25</v>
      </c>
      <c r="I887" s="297"/>
      <c r="J887" s="80">
        <v>25</v>
      </c>
      <c r="K887" s="232"/>
      <c r="L887" s="33"/>
      <c r="M887" s="35"/>
      <c r="N887" s="35"/>
      <c r="O887" s="83"/>
      <c r="P887" s="40"/>
      <c r="Q887" s="37"/>
      <c r="R887" s="4"/>
      <c r="S887" s="236">
        <v>25</v>
      </c>
      <c r="T887" s="236">
        <v>42.17</v>
      </c>
      <c r="U887" s="236">
        <v>53.13</v>
      </c>
      <c r="V887" s="236">
        <v>1328.25</v>
      </c>
    </row>
    <row r="888" spans="1:22" s="52" customFormat="1" ht="31.2" outlineLevel="1" x14ac:dyDescent="0.25">
      <c r="A888" s="282" t="s">
        <v>787</v>
      </c>
      <c r="B888" s="280">
        <v>89712</v>
      </c>
      <c r="C888" s="281" t="s">
        <v>489</v>
      </c>
      <c r="D888" s="282" t="s">
        <v>55</v>
      </c>
      <c r="E888" s="285">
        <f>TRUNC(J888,2)</f>
        <v>12</v>
      </c>
      <c r="F888" s="283">
        <v>21.1</v>
      </c>
      <c r="G888" s="284">
        <f t="shared" si="139"/>
        <v>26.24</v>
      </c>
      <c r="H888" s="284">
        <f t="shared" si="140"/>
        <v>314.88</v>
      </c>
      <c r="I888" s="297"/>
      <c r="J888" s="80">
        <v>12</v>
      </c>
      <c r="K888" s="232"/>
      <c r="L888" s="33"/>
      <c r="M888" s="35"/>
      <c r="N888" s="35"/>
      <c r="O888" s="84"/>
      <c r="P888" s="40"/>
      <c r="Q888" s="37"/>
      <c r="R888" s="4"/>
      <c r="S888" s="236">
        <v>12</v>
      </c>
      <c r="T888" s="236">
        <v>21.1</v>
      </c>
      <c r="U888" s="236">
        <v>26.58</v>
      </c>
      <c r="V888" s="236">
        <v>318.95999999999998</v>
      </c>
    </row>
    <row r="889" spans="1:22" s="52" customFormat="1" ht="31.2" outlineLevel="1" x14ac:dyDescent="0.25">
      <c r="A889" s="282" t="s">
        <v>788</v>
      </c>
      <c r="B889" s="280">
        <v>89733</v>
      </c>
      <c r="C889" s="281" t="s">
        <v>490</v>
      </c>
      <c r="D889" s="282" t="s">
        <v>44</v>
      </c>
      <c r="E889" s="285">
        <f>TRUNC(J889,2)</f>
        <v>4</v>
      </c>
      <c r="F889" s="283">
        <v>13.77</v>
      </c>
      <c r="G889" s="284">
        <f t="shared" si="139"/>
        <v>17.12</v>
      </c>
      <c r="H889" s="284">
        <f t="shared" si="140"/>
        <v>68.48</v>
      </c>
      <c r="I889" s="297"/>
      <c r="J889" s="80">
        <v>4</v>
      </c>
      <c r="K889" s="232"/>
      <c r="L889" s="33"/>
      <c r="M889" s="35"/>
      <c r="N889" s="35"/>
      <c r="O889" s="35"/>
      <c r="P889" s="40"/>
      <c r="Q889" s="37"/>
      <c r="R889" s="4"/>
      <c r="S889" s="236">
        <v>4</v>
      </c>
      <c r="T889" s="236">
        <v>13.77</v>
      </c>
      <c r="U889" s="236">
        <v>17.350000000000001</v>
      </c>
      <c r="V889" s="236">
        <v>69.400000000000006</v>
      </c>
    </row>
    <row r="890" spans="1:22" s="52" customFormat="1" outlineLevel="1" x14ac:dyDescent="0.25">
      <c r="A890" s="279" t="s">
        <v>789</v>
      </c>
      <c r="B890" s="296"/>
      <c r="C890" s="294" t="s">
        <v>212</v>
      </c>
      <c r="D890" s="558"/>
      <c r="E890" s="294"/>
      <c r="F890" s="403"/>
      <c r="G890" s="294"/>
      <c r="H890" s="558"/>
      <c r="I890" s="404">
        <f>SUM(H891:H891)</f>
        <v>9345.2199999999993</v>
      </c>
      <c r="J890" s="80"/>
      <c r="K890" s="232"/>
      <c r="L890" s="322">
        <f>SUM(H891)</f>
        <v>9345.2199999999993</v>
      </c>
      <c r="M890" s="35">
        <f>I890-L890</f>
        <v>0</v>
      </c>
      <c r="N890" s="35"/>
      <c r="O890" s="35"/>
      <c r="P890" s="40"/>
      <c r="Q890" s="37"/>
      <c r="R890" s="4"/>
      <c r="S890" s="236"/>
      <c r="T890" s="236"/>
      <c r="U890" s="236"/>
      <c r="V890" s="236"/>
    </row>
    <row r="891" spans="1:22" s="52" customFormat="1" outlineLevel="1" x14ac:dyDescent="0.25">
      <c r="A891" s="282" t="s">
        <v>790</v>
      </c>
      <c r="B891" s="280">
        <v>96114</v>
      </c>
      <c r="C891" s="289" t="s">
        <v>639</v>
      </c>
      <c r="D891" s="282" t="s">
        <v>24</v>
      </c>
      <c r="E891" s="285">
        <v>152.6</v>
      </c>
      <c r="F891" s="283">
        <f>'COMPOSIÇÃO SINAPI W MENDES'!G5513</f>
        <v>49.239999999999995</v>
      </c>
      <c r="G891" s="284">
        <f>TRUNC(F891*$J$13,2)</f>
        <v>61.24</v>
      </c>
      <c r="H891" s="284">
        <f>TRUNC(E891*G891,2)</f>
        <v>9345.2199999999993</v>
      </c>
      <c r="I891" s="297"/>
      <c r="J891" s="80"/>
      <c r="K891" s="232"/>
      <c r="L891" s="33"/>
      <c r="M891" s="35"/>
      <c r="N891" s="35"/>
      <c r="O891" s="35"/>
      <c r="P891" s="40"/>
      <c r="Q891" s="37"/>
      <c r="R891" s="4"/>
      <c r="S891" s="236">
        <v>152.6</v>
      </c>
      <c r="T891" s="236">
        <v>56.98</v>
      </c>
      <c r="U891" s="236">
        <v>71.790000000000006</v>
      </c>
      <c r="V891" s="236">
        <v>10955.15</v>
      </c>
    </row>
    <row r="892" spans="1:22" s="52" customFormat="1" x14ac:dyDescent="0.25">
      <c r="A892" s="287"/>
      <c r="B892" s="308"/>
      <c r="C892" s="309"/>
      <c r="D892" s="287"/>
      <c r="E892" s="310"/>
      <c r="F892" s="311"/>
      <c r="G892" s="284"/>
      <c r="H892" s="310"/>
      <c r="I892" s="297"/>
      <c r="J892" s="80"/>
      <c r="K892" s="232"/>
      <c r="L892" s="33"/>
      <c r="M892" s="35"/>
      <c r="N892" s="35"/>
      <c r="O892" s="35"/>
      <c r="P892" s="40"/>
      <c r="Q892" s="37"/>
      <c r="R892" s="4"/>
    </row>
    <row r="893" spans="1:22" s="52" customFormat="1" x14ac:dyDescent="0.25">
      <c r="A893" s="550"/>
      <c r="B893" s="551"/>
      <c r="C893" s="554" t="s">
        <v>636</v>
      </c>
      <c r="D893" s="558"/>
      <c r="E893" s="555"/>
      <c r="F893" s="556"/>
      <c r="G893" s="296" t="s">
        <v>19</v>
      </c>
      <c r="H893" s="555"/>
      <c r="I893" s="565">
        <f>SUM(I894)</f>
        <v>20457.649999999998</v>
      </c>
      <c r="J893" s="17"/>
      <c r="K893" s="226"/>
      <c r="L893" s="7"/>
      <c r="M893" s="35"/>
      <c r="N893" s="61"/>
      <c r="O893" s="35"/>
      <c r="P893" s="40"/>
      <c r="Q893" s="37"/>
      <c r="R893" s="4"/>
    </row>
    <row r="894" spans="1:22" s="52" customFormat="1" outlineLevel="1" x14ac:dyDescent="0.25">
      <c r="A894" s="279">
        <v>16</v>
      </c>
      <c r="B894" s="279"/>
      <c r="C894" s="294" t="s">
        <v>636</v>
      </c>
      <c r="D894" s="558"/>
      <c r="E894" s="294"/>
      <c r="F894" s="403"/>
      <c r="G894" s="294"/>
      <c r="H894" s="558"/>
      <c r="I894" s="402">
        <f>SUM(H895:H897)</f>
        <v>20457.649999999998</v>
      </c>
      <c r="J894" s="70"/>
      <c r="K894" s="226"/>
      <c r="L894" s="71" t="s">
        <v>409</v>
      </c>
      <c r="M894" s="2"/>
      <c r="N894" s="2">
        <f>5*2.5</f>
        <v>12.5</v>
      </c>
      <c r="O894" s="2"/>
      <c r="P894" s="3"/>
      <c r="Q894" s="37"/>
      <c r="R894" s="4"/>
    </row>
    <row r="895" spans="1:22" s="52" customFormat="1" outlineLevel="1" x14ac:dyDescent="0.25">
      <c r="A895" s="282" t="s">
        <v>791</v>
      </c>
      <c r="B895" s="280">
        <v>99802</v>
      </c>
      <c r="C895" s="289" t="s">
        <v>637</v>
      </c>
      <c r="D895" s="282" t="s">
        <v>24</v>
      </c>
      <c r="E895" s="285">
        <v>125.37</v>
      </c>
      <c r="F895" s="312">
        <v>0.35</v>
      </c>
      <c r="G895" s="298">
        <f>TRUNC(F895*$J$13,2)</f>
        <v>0.43</v>
      </c>
      <c r="H895" s="298">
        <f>TRUNC(E895*G895,2)</f>
        <v>53.9</v>
      </c>
      <c r="I895" s="297"/>
      <c r="J895" s="85">
        <f>2.5*1.25</f>
        <v>3.125</v>
      </c>
      <c r="K895" s="229"/>
      <c r="L895" s="323">
        <f>SUM(H895:H897)</f>
        <v>20457.649999999998</v>
      </c>
      <c r="M895" s="27">
        <f>I894-L895</f>
        <v>0</v>
      </c>
      <c r="N895" s="27"/>
      <c r="O895" s="27"/>
      <c r="P895" s="28">
        <v>125.37</v>
      </c>
      <c r="Q895" s="37">
        <v>0.35</v>
      </c>
      <c r="R895" s="4">
        <v>0.44</v>
      </c>
      <c r="S895" s="52">
        <v>55.16</v>
      </c>
    </row>
    <row r="896" spans="1:22" s="52" customFormat="1" outlineLevel="1" x14ac:dyDescent="0.25">
      <c r="A896" s="282" t="s">
        <v>792</v>
      </c>
      <c r="B896" s="280">
        <v>99808</v>
      </c>
      <c r="C896" s="289" t="s">
        <v>638</v>
      </c>
      <c r="D896" s="282" t="s">
        <v>24</v>
      </c>
      <c r="E896" s="285">
        <v>217.71</v>
      </c>
      <c r="F896" s="312">
        <v>2.41</v>
      </c>
      <c r="G896" s="298">
        <f t="shared" ref="G896" si="141">TRUNC(F896*$J$13,2)</f>
        <v>2.99</v>
      </c>
      <c r="H896" s="298">
        <f t="shared" ref="H896" si="142">TRUNC(E896*G896,2)</f>
        <v>650.95000000000005</v>
      </c>
      <c r="I896" s="401"/>
      <c r="J896" s="85"/>
      <c r="K896" s="229"/>
      <c r="L896" s="25"/>
      <c r="M896" s="27"/>
      <c r="N896" s="27"/>
      <c r="O896" s="27"/>
      <c r="P896" s="28">
        <v>217.71</v>
      </c>
      <c r="Q896" s="37">
        <v>2.41</v>
      </c>
      <c r="R896" s="4">
        <v>3.03</v>
      </c>
      <c r="S896" s="52">
        <v>659.66</v>
      </c>
    </row>
    <row r="897" spans="1:19" s="52" customFormat="1" outlineLevel="1" x14ac:dyDescent="0.25">
      <c r="A897" s="282" t="s">
        <v>793</v>
      </c>
      <c r="B897" s="280" t="s">
        <v>646</v>
      </c>
      <c r="C897" s="289" t="s">
        <v>647</v>
      </c>
      <c r="D897" s="282" t="s">
        <v>44</v>
      </c>
      <c r="E897" s="285">
        <v>40</v>
      </c>
      <c r="F897" s="312">
        <f>COMPOSIÇÃO!G68</f>
        <v>397</v>
      </c>
      <c r="G897" s="298">
        <f>TRUNC(F897*$J$13,2)</f>
        <v>493.82</v>
      </c>
      <c r="H897" s="298">
        <f>TRUNC(E897*G897,2)</f>
        <v>19752.8</v>
      </c>
      <c r="I897" s="401"/>
      <c r="J897" s="85"/>
      <c r="K897" s="229"/>
      <c r="L897" s="25"/>
      <c r="M897" s="27"/>
      <c r="N897" s="27"/>
      <c r="O897" s="27"/>
      <c r="P897" s="28">
        <v>40</v>
      </c>
      <c r="Q897" s="37">
        <v>397</v>
      </c>
      <c r="R897" s="4">
        <v>500.22</v>
      </c>
      <c r="S897" s="493">
        <v>20008.8</v>
      </c>
    </row>
    <row r="898" spans="1:19" s="52" customFormat="1" x14ac:dyDescent="0.25">
      <c r="A898" s="282"/>
      <c r="B898" s="280"/>
      <c r="C898" s="281"/>
      <c r="D898" s="282"/>
      <c r="E898" s="285"/>
      <c r="F898" s="283"/>
      <c r="G898" s="284"/>
      <c r="H898" s="284"/>
      <c r="I898" s="578"/>
      <c r="J898" s="24"/>
      <c r="K898" s="197"/>
      <c r="L898" s="7"/>
      <c r="M898" s="35"/>
      <c r="N898" s="61"/>
      <c r="O898" s="35"/>
      <c r="P898" s="40"/>
      <c r="Q898" s="37"/>
      <c r="R898" s="4"/>
    </row>
    <row r="899" spans="1:19" s="52" customFormat="1" ht="17.399999999999999" x14ac:dyDescent="0.25">
      <c r="A899" s="666" t="s">
        <v>491</v>
      </c>
      <c r="B899" s="667"/>
      <c r="C899" s="667"/>
      <c r="D899" s="667"/>
      <c r="E899" s="667"/>
      <c r="F899" s="667"/>
      <c r="G899" s="667"/>
      <c r="H899" s="668"/>
      <c r="I899" s="579">
        <f>SUM(I17:I898)/2</f>
        <v>1860101.1</v>
      </c>
      <c r="J899" s="24">
        <f>1700*0.05</f>
        <v>85</v>
      </c>
      <c r="K899" s="240"/>
      <c r="L899" s="7"/>
      <c r="M899" s="35"/>
      <c r="N899" s="61"/>
      <c r="O899" s="35"/>
      <c r="P899" s="40"/>
      <c r="Q899" s="37"/>
      <c r="R899" s="4"/>
    </row>
    <row r="900" spans="1:19" s="23" customFormat="1" x14ac:dyDescent="0.25">
      <c r="A900" s="505"/>
      <c r="B900" s="506"/>
      <c r="C900" s="507"/>
      <c r="D900" s="508"/>
      <c r="E900" s="508"/>
      <c r="F900" s="509"/>
      <c r="G900" s="508"/>
      <c r="H900" s="508"/>
      <c r="I900" s="510"/>
      <c r="J900" s="10"/>
      <c r="K900" s="248"/>
      <c r="L900" s="18"/>
      <c r="M900" s="19"/>
      <c r="N900" s="54"/>
      <c r="O900" s="19"/>
      <c r="P900" s="21"/>
      <c r="Q900" s="19"/>
      <c r="R900" s="22"/>
    </row>
    <row r="901" spans="1:19" s="23" customFormat="1" ht="17.399999999999999" x14ac:dyDescent="0.25">
      <c r="A901" s="659" t="s">
        <v>2773</v>
      </c>
      <c r="B901" s="660"/>
      <c r="C901" s="660"/>
      <c r="D901" s="660"/>
      <c r="E901" s="660"/>
      <c r="F901" s="660"/>
      <c r="G901" s="660"/>
      <c r="H901" s="660"/>
      <c r="I901" s="661"/>
      <c r="J901" s="10">
        <f>0.05*1845698</f>
        <v>92284.900000000009</v>
      </c>
      <c r="K901" s="248"/>
      <c r="L901" s="18"/>
      <c r="M901" s="19"/>
      <c r="N901" s="54"/>
      <c r="O901" s="19"/>
      <c r="P901" s="21"/>
      <c r="Q901" s="19"/>
      <c r="R901" s="22"/>
    </row>
    <row r="902" spans="1:19" s="23" customFormat="1" x14ac:dyDescent="0.25">
      <c r="A902" s="511"/>
      <c r="B902" s="512"/>
      <c r="C902" s="513"/>
      <c r="D902" s="514"/>
      <c r="E902" s="514"/>
      <c r="F902" s="515"/>
      <c r="G902" s="514"/>
      <c r="H902" s="514"/>
      <c r="I902" s="516"/>
      <c r="J902" s="10"/>
      <c r="K902" s="248"/>
      <c r="L902" s="18"/>
      <c r="M902" s="19"/>
      <c r="N902" s="54"/>
      <c r="O902" s="19"/>
      <c r="P902" s="21"/>
      <c r="Q902" s="19"/>
      <c r="R902" s="22"/>
    </row>
    <row r="903" spans="1:19" s="23" customFormat="1" x14ac:dyDescent="0.25">
      <c r="A903" s="314"/>
      <c r="B903" s="314"/>
      <c r="C903" s="329"/>
      <c r="D903" s="313"/>
      <c r="E903" s="313"/>
      <c r="F903" s="315"/>
      <c r="G903" s="313"/>
      <c r="H903" s="313"/>
      <c r="I903" s="315"/>
      <c r="J903" s="10"/>
      <c r="K903" s="248"/>
      <c r="L903" s="18"/>
      <c r="M903" s="19"/>
      <c r="N903" s="54"/>
      <c r="O903" s="19"/>
      <c r="P903" s="21"/>
      <c r="Q903" s="19"/>
      <c r="R903" s="22"/>
    </row>
    <row r="904" spans="1:19" s="23" customFormat="1" hidden="1" x14ac:dyDescent="0.25">
      <c r="A904" s="314"/>
      <c r="B904" s="314"/>
      <c r="C904" s="329"/>
      <c r="D904" s="313"/>
      <c r="E904" s="313"/>
      <c r="F904" s="315"/>
      <c r="G904" s="313"/>
      <c r="H904" s="313"/>
      <c r="I904" s="315"/>
      <c r="J904" s="10">
        <f>I899-I893</f>
        <v>1839643.4500000002</v>
      </c>
      <c r="K904" s="248"/>
      <c r="L904" s="18"/>
      <c r="M904" s="19"/>
      <c r="N904" s="54"/>
      <c r="O904" s="19"/>
      <c r="P904" s="21"/>
      <c r="Q904" s="19"/>
      <c r="R904" s="22"/>
    </row>
    <row r="905" spans="1:19" s="23" customFormat="1" hidden="1" x14ac:dyDescent="0.25">
      <c r="A905" s="314"/>
      <c r="B905" s="314"/>
      <c r="C905" s="329"/>
      <c r="D905" s="313"/>
      <c r="E905" s="313"/>
      <c r="F905" s="315"/>
      <c r="G905" s="313"/>
      <c r="H905" s="313"/>
      <c r="I905" s="405">
        <f>SUM(I18+I32+I42+I48+I54+I60+I64+I75+I103+I118+I137+I140+I144+I153+I157+I160+I166+I169+I174+I185+I213+I227+I256+I259+I263+I271+I275+I279+I283+I286+I290+I302+I328+I342+I368+I371+I375+I383+I386+I391+I396+I401+I403+I412+I437+I444+I467+I475+I471+I483+I486+I490+I493+I497+I501+I513+I537+I548+I578+I582+I586+I593+I596+I598+I601+I606+I615+I637+I649+I661+I665+I672+I676+I678+I681+I685+I695+I724+I737+I750+I753+I757+I759+I767+I776+I783+I786+I792+I797+I801+I807+I809+I820+I864+I877+I890+I894)</f>
        <v>1860101.1</v>
      </c>
      <c r="J905" s="10">
        <f>0.05*J904</f>
        <v>91982.172500000015</v>
      </c>
      <c r="K905" s="248"/>
      <c r="L905" s="18"/>
      <c r="M905" s="19"/>
      <c r="N905" s="54"/>
      <c r="O905" s="19"/>
      <c r="P905" s="21"/>
      <c r="Q905" s="19"/>
      <c r="R905" s="22"/>
    </row>
    <row r="906" spans="1:19" s="23" customFormat="1" hidden="1" x14ac:dyDescent="0.25">
      <c r="A906" s="314"/>
      <c r="B906" s="314"/>
      <c r="C906" s="329"/>
      <c r="D906" s="313"/>
      <c r="E906" s="313"/>
      <c r="F906" s="315"/>
      <c r="G906" s="313"/>
      <c r="H906" s="313"/>
      <c r="I906" s="315"/>
      <c r="J906" s="10"/>
      <c r="K906" s="330">
        <f>J904+J905</f>
        <v>1931625.6225000003</v>
      </c>
      <c r="L906" s="18"/>
      <c r="M906" s="19"/>
      <c r="N906" s="54"/>
      <c r="O906" s="19"/>
      <c r="P906" s="21"/>
      <c r="Q906" s="19"/>
      <c r="R906" s="22"/>
    </row>
    <row r="907" spans="1:19" s="23" customFormat="1" hidden="1" x14ac:dyDescent="0.25">
      <c r="A907" s="314"/>
      <c r="B907" s="314"/>
      <c r="C907" s="329"/>
      <c r="D907" s="313"/>
      <c r="E907" s="313"/>
      <c r="F907" s="315"/>
      <c r="G907" s="313"/>
      <c r="H907" s="313"/>
      <c r="I907" s="315"/>
      <c r="J907" s="10"/>
      <c r="K907" s="248"/>
      <c r="L907" s="18"/>
      <c r="M907" s="19"/>
      <c r="N907" s="54"/>
      <c r="O907" s="19"/>
      <c r="P907" s="21"/>
      <c r="Q907" s="19"/>
      <c r="R907" s="22"/>
    </row>
    <row r="908" spans="1:19" s="23" customFormat="1" hidden="1" x14ac:dyDescent="0.25">
      <c r="A908" s="314"/>
      <c r="B908" s="314"/>
      <c r="C908" s="329"/>
      <c r="D908" s="313"/>
      <c r="E908" s="313"/>
      <c r="F908" s="315"/>
      <c r="G908" s="313"/>
      <c r="H908" s="313"/>
      <c r="I908" s="315"/>
      <c r="J908" s="10"/>
      <c r="K908" s="248"/>
      <c r="L908" s="18"/>
      <c r="M908" s="19"/>
      <c r="N908" s="54"/>
      <c r="O908" s="318"/>
      <c r="P908" s="21"/>
      <c r="Q908" s="19"/>
      <c r="R908" s="22"/>
    </row>
    <row r="909" spans="1:19" s="23" customFormat="1" hidden="1" x14ac:dyDescent="0.3">
      <c r="A909" s="314"/>
      <c r="B909" s="314"/>
      <c r="C909" s="329"/>
      <c r="D909" s="313"/>
      <c r="E909" s="313"/>
      <c r="F909" s="315"/>
      <c r="G909" s="313"/>
      <c r="H909" s="313"/>
      <c r="I909" s="315">
        <v>2033163.95</v>
      </c>
      <c r="J909" s="328">
        <v>1</v>
      </c>
      <c r="K909" s="248"/>
      <c r="L909" s="324">
        <f>SUM(L18+L32+L42+L48+L54+L60+L64+L75+L103+L118+L137+L140+L144+L153+L157+L160+L166+L169+L174+L185+L213+L227+L256+L259+L263+L271+L275+L279+L283+L286+L290+L302+L328+L342+L368+L371+L375+L383+L386+L391+L396+L401+L403+L412+L437+L444+L467+L471+L475+L483+L486+L490+L493+L497+L501+L513+L537+L548+L578+L582+L586+L593+L596+L598+L601+L606+L615+L637+L649+L661+L665+L672+L676+L678+L681+L685+L695+L724+L737+L750+L753+L758+L759+L767+L776+L783+L786+L792+L797+L801+L807+L809+L820+L864+L877+L890+L895)</f>
        <v>1860101.1</v>
      </c>
      <c r="M909" s="19"/>
      <c r="N909" s="54"/>
      <c r="O909" s="504">
        <v>1</v>
      </c>
      <c r="P909" s="21"/>
      <c r="Q909" s="19"/>
      <c r="R909" s="22"/>
    </row>
    <row r="910" spans="1:19" s="23" customFormat="1" hidden="1" x14ac:dyDescent="0.25">
      <c r="A910" s="314"/>
      <c r="B910" s="314"/>
      <c r="C910" s="329"/>
      <c r="D910" s="313"/>
      <c r="E910" s="313"/>
      <c r="F910" s="315"/>
      <c r="G910" s="313"/>
      <c r="H910" s="313"/>
      <c r="I910" s="315">
        <f>I909-I899</f>
        <v>173062.84999999986</v>
      </c>
      <c r="J910" s="328">
        <f>I899/I909</f>
        <v>0.91488003217841829</v>
      </c>
      <c r="K910" s="248"/>
      <c r="L910" s="18"/>
      <c r="M910" s="19"/>
      <c r="N910" s="54"/>
      <c r="O910" s="504">
        <f>I905/I909</f>
        <v>0.91488003217841829</v>
      </c>
      <c r="P910" s="21"/>
      <c r="Q910" s="19"/>
      <c r="R910" s="22"/>
    </row>
    <row r="911" spans="1:19" s="23" customFormat="1" hidden="1" x14ac:dyDescent="0.3">
      <c r="A911" s="314"/>
      <c r="B911" s="314"/>
      <c r="C911" s="329"/>
      <c r="D911" s="313"/>
      <c r="E911" s="313"/>
      <c r="F911" s="315"/>
      <c r="G911" s="313"/>
      <c r="H911" s="313"/>
      <c r="I911" s="315">
        <f>I909-I899</f>
        <v>173062.84999999986</v>
      </c>
      <c r="J911" s="328">
        <f>J909-J910</f>
        <v>8.511996782158171E-2</v>
      </c>
      <c r="K911" s="248"/>
      <c r="L911" s="325">
        <f>L909-I909</f>
        <v>-173062.84999999986</v>
      </c>
      <c r="M911" s="19"/>
      <c r="N911" s="54"/>
      <c r="O911" s="504">
        <f>O909-O910</f>
        <v>8.511996782158171E-2</v>
      </c>
      <c r="P911" s="21"/>
      <c r="Q911" s="19"/>
      <c r="R911" s="22"/>
    </row>
    <row r="912" spans="1:19" s="23" customFormat="1" hidden="1" x14ac:dyDescent="0.25">
      <c r="A912" s="314"/>
      <c r="B912" s="314"/>
      <c r="C912" s="329"/>
      <c r="D912" s="313"/>
      <c r="E912" s="313"/>
      <c r="F912" s="315"/>
      <c r="G912" s="313"/>
      <c r="H912" s="313"/>
      <c r="I912" s="315"/>
      <c r="J912" s="328"/>
      <c r="K912" s="248"/>
      <c r="L912" s="18"/>
      <c r="M912" s="19"/>
      <c r="N912" s="54"/>
      <c r="O912" s="504"/>
      <c r="P912" s="21"/>
      <c r="Q912" s="19"/>
      <c r="R912" s="22"/>
    </row>
    <row r="913" spans="1:18" s="23" customFormat="1" hidden="1" x14ac:dyDescent="0.25">
      <c r="A913" s="314"/>
      <c r="B913" s="314"/>
      <c r="C913" s="329"/>
      <c r="D913" s="313"/>
      <c r="E913" s="313"/>
      <c r="F913" s="315"/>
      <c r="G913" s="313"/>
      <c r="H913" s="313"/>
      <c r="I913" s="315"/>
      <c r="J913" s="10"/>
      <c r="K913" s="248"/>
      <c r="L913" s="317">
        <f>I899-L909</f>
        <v>0</v>
      </c>
      <c r="M913" s="19"/>
      <c r="N913" s="54"/>
      <c r="O913" s="503"/>
      <c r="P913" s="21"/>
      <c r="Q913" s="19"/>
      <c r="R913" s="22"/>
    </row>
    <row r="914" spans="1:18" s="23" customFormat="1" x14ac:dyDescent="0.25">
      <c r="A914" s="314"/>
      <c r="B914" s="314"/>
      <c r="C914" s="329"/>
      <c r="D914" s="313"/>
      <c r="E914" s="313"/>
      <c r="F914" s="315"/>
      <c r="G914" s="313"/>
      <c r="H914" s="313"/>
      <c r="I914" s="315"/>
      <c r="J914" s="10"/>
      <c r="K914" s="248"/>
      <c r="L914" s="18"/>
      <c r="M914" s="19"/>
      <c r="N914" s="54"/>
      <c r="O914" s="503"/>
      <c r="P914" s="21"/>
      <c r="Q914" s="19"/>
      <c r="R914" s="22"/>
    </row>
    <row r="915" spans="1:18" s="23" customFormat="1" x14ac:dyDescent="0.25">
      <c r="A915" s="314"/>
      <c r="B915" s="314"/>
      <c r="C915" s="329"/>
      <c r="D915" s="313"/>
      <c r="E915" s="313"/>
      <c r="F915" s="315"/>
      <c r="G915" s="313"/>
      <c r="H915" s="313"/>
      <c r="I915" s="315"/>
      <c r="J915" s="10"/>
      <c r="K915" s="248"/>
      <c r="L915" s="18"/>
      <c r="M915" s="19"/>
      <c r="N915" s="54"/>
      <c r="O915" s="503"/>
      <c r="P915" s="21"/>
      <c r="Q915" s="19"/>
      <c r="R915" s="22"/>
    </row>
    <row r="916" spans="1:18" s="23" customFormat="1" x14ac:dyDescent="0.25">
      <c r="A916" s="314"/>
      <c r="B916" s="314"/>
      <c r="C916" s="329"/>
      <c r="D916" s="313"/>
      <c r="E916" s="313"/>
      <c r="F916" s="315"/>
      <c r="G916" s="313"/>
      <c r="H916" s="313"/>
      <c r="I916" s="315"/>
      <c r="J916" s="10"/>
      <c r="K916" s="248"/>
      <c r="L916" s="18"/>
      <c r="M916" s="19"/>
      <c r="N916" s="54"/>
      <c r="O916" s="19"/>
      <c r="P916" s="21"/>
      <c r="Q916" s="19"/>
      <c r="R916" s="22"/>
    </row>
    <row r="917" spans="1:18" s="23" customFormat="1" x14ac:dyDescent="0.25">
      <c r="A917" s="314"/>
      <c r="B917" s="314"/>
      <c r="C917" s="329"/>
      <c r="D917" s="313"/>
      <c r="E917" s="313"/>
      <c r="F917" s="315"/>
      <c r="G917" s="313"/>
      <c r="H917" s="313"/>
      <c r="I917" s="315"/>
      <c r="J917" s="10"/>
      <c r="K917" s="248"/>
      <c r="L917" s="18"/>
      <c r="M917" s="19"/>
      <c r="N917" s="54"/>
      <c r="O917" s="19"/>
      <c r="P917" s="21"/>
      <c r="Q917" s="19"/>
      <c r="R917" s="22"/>
    </row>
    <row r="918" spans="1:18" s="23" customFormat="1" x14ac:dyDescent="0.25">
      <c r="A918" s="314"/>
      <c r="B918" s="314"/>
      <c r="C918" s="329"/>
      <c r="D918" s="313"/>
      <c r="E918" s="313"/>
      <c r="F918" s="315"/>
      <c r="G918" s="313"/>
      <c r="H918" s="313"/>
      <c r="I918" s="315"/>
      <c r="J918" s="10"/>
      <c r="K918" s="248"/>
      <c r="L918" s="18"/>
      <c r="M918" s="19"/>
      <c r="N918" s="54"/>
      <c r="O918" s="19"/>
      <c r="P918" s="21"/>
      <c r="Q918" s="19"/>
      <c r="R918" s="22"/>
    </row>
    <row r="919" spans="1:18" s="23" customFormat="1" x14ac:dyDescent="0.25">
      <c r="A919" s="314"/>
      <c r="B919" s="314"/>
      <c r="C919" s="329"/>
      <c r="D919" s="313"/>
      <c r="E919" s="313"/>
      <c r="F919" s="315"/>
      <c r="G919" s="313"/>
      <c r="H919" s="313"/>
      <c r="I919" s="315"/>
      <c r="J919" s="10"/>
      <c r="K919" s="248"/>
      <c r="L919" s="18"/>
      <c r="M919" s="19"/>
      <c r="N919" s="54"/>
      <c r="O919" s="19"/>
      <c r="P919" s="21"/>
      <c r="Q919" s="19"/>
      <c r="R919" s="22"/>
    </row>
    <row r="920" spans="1:18" s="23" customFormat="1" x14ac:dyDescent="0.25">
      <c r="A920" s="314"/>
      <c r="B920" s="314"/>
      <c r="C920" s="329"/>
      <c r="D920" s="313"/>
      <c r="E920" s="313"/>
      <c r="F920" s="315"/>
      <c r="G920" s="313"/>
      <c r="H920" s="313"/>
      <c r="I920" s="315"/>
      <c r="J920" s="10"/>
      <c r="K920" s="248"/>
      <c r="L920" s="18"/>
      <c r="M920" s="19"/>
      <c r="N920" s="54"/>
      <c r="O920" s="19"/>
      <c r="P920" s="21"/>
      <c r="Q920" s="19"/>
      <c r="R920" s="22"/>
    </row>
    <row r="921" spans="1:18" s="23" customFormat="1" x14ac:dyDescent="0.25">
      <c r="A921" s="314"/>
      <c r="B921" s="314"/>
      <c r="C921" s="329"/>
      <c r="D921" s="313"/>
      <c r="E921" s="313"/>
      <c r="F921" s="315"/>
      <c r="G921" s="313"/>
      <c r="H921" s="313"/>
      <c r="I921" s="315"/>
      <c r="J921" s="10"/>
      <c r="K921" s="248"/>
      <c r="L921" s="18"/>
      <c r="M921" s="19"/>
      <c r="N921" s="54"/>
      <c r="O921" s="19"/>
      <c r="P921" s="21"/>
      <c r="Q921" s="19"/>
      <c r="R921" s="22"/>
    </row>
    <row r="922" spans="1:18" s="23" customFormat="1" x14ac:dyDescent="0.25">
      <c r="A922" s="314"/>
      <c r="B922" s="314"/>
      <c r="C922" s="329"/>
      <c r="D922" s="313"/>
      <c r="E922" s="313"/>
      <c r="F922" s="315"/>
      <c r="G922" s="313"/>
      <c r="H922" s="313"/>
      <c r="I922" s="315"/>
      <c r="J922" s="10"/>
      <c r="K922" s="248"/>
      <c r="L922" s="18"/>
      <c r="M922" s="19"/>
      <c r="N922" s="54"/>
      <c r="O922" s="19"/>
      <c r="P922" s="21"/>
      <c r="Q922" s="19"/>
      <c r="R922" s="22"/>
    </row>
    <row r="923" spans="1:18" s="23" customFormat="1" x14ac:dyDescent="0.25">
      <c r="A923" s="314"/>
      <c r="B923" s="314"/>
      <c r="C923" s="329"/>
      <c r="D923" s="313"/>
      <c r="E923" s="313"/>
      <c r="F923" s="315"/>
      <c r="G923" s="313"/>
      <c r="H923" s="313"/>
      <c r="I923" s="315"/>
      <c r="J923" s="10"/>
      <c r="K923" s="248"/>
      <c r="L923" s="18"/>
      <c r="M923" s="19"/>
      <c r="N923" s="54"/>
      <c r="O923" s="19"/>
      <c r="P923" s="21"/>
      <c r="Q923" s="19"/>
      <c r="R923" s="22"/>
    </row>
    <row r="924" spans="1:18" s="23" customFormat="1" x14ac:dyDescent="0.25">
      <c r="A924" s="314"/>
      <c r="B924" s="314"/>
      <c r="C924" s="329"/>
      <c r="D924" s="313"/>
      <c r="E924" s="313"/>
      <c r="F924" s="315"/>
      <c r="G924" s="313"/>
      <c r="H924" s="313"/>
      <c r="I924" s="315"/>
      <c r="J924" s="10"/>
      <c r="K924" s="248"/>
      <c r="L924" s="18"/>
      <c r="M924" s="19"/>
      <c r="N924" s="54"/>
      <c r="O924" s="19"/>
      <c r="P924" s="21"/>
      <c r="Q924" s="19"/>
      <c r="R924" s="22"/>
    </row>
    <row r="925" spans="1:18" s="23" customFormat="1" x14ac:dyDescent="0.25">
      <c r="A925" s="314"/>
      <c r="B925" s="314"/>
      <c r="C925" s="329"/>
      <c r="D925" s="313"/>
      <c r="E925" s="313"/>
      <c r="F925" s="315"/>
      <c r="G925" s="313"/>
      <c r="H925" s="313"/>
      <c r="I925" s="315"/>
      <c r="J925" s="10"/>
      <c r="K925" s="248"/>
      <c r="L925" s="18"/>
      <c r="M925" s="19"/>
      <c r="N925" s="54"/>
      <c r="O925" s="19"/>
      <c r="P925" s="21"/>
      <c r="Q925" s="19"/>
      <c r="R925" s="22"/>
    </row>
    <row r="926" spans="1:18" s="23" customFormat="1" x14ac:dyDescent="0.25">
      <c r="A926" s="314"/>
      <c r="B926" s="314"/>
      <c r="C926" s="329"/>
      <c r="D926" s="313"/>
      <c r="E926" s="313"/>
      <c r="F926" s="315"/>
      <c r="G926" s="313"/>
      <c r="H926" s="313"/>
      <c r="I926" s="315"/>
      <c r="J926" s="10"/>
      <c r="K926" s="248"/>
      <c r="L926" s="18"/>
      <c r="M926" s="19"/>
      <c r="N926" s="54"/>
      <c r="O926" s="19"/>
      <c r="P926" s="21"/>
      <c r="Q926" s="19"/>
      <c r="R926" s="22"/>
    </row>
    <row r="927" spans="1:18" s="23" customFormat="1" x14ac:dyDescent="0.25">
      <c r="A927" s="314"/>
      <c r="B927" s="314"/>
      <c r="C927" s="329"/>
      <c r="D927" s="313"/>
      <c r="E927" s="313"/>
      <c r="F927" s="315"/>
      <c r="G927" s="313"/>
      <c r="H927" s="313"/>
      <c r="I927" s="315"/>
      <c r="J927" s="10"/>
      <c r="K927" s="248"/>
      <c r="L927" s="18"/>
      <c r="M927" s="19"/>
      <c r="N927" s="54"/>
      <c r="O927" s="19"/>
      <c r="P927" s="21"/>
      <c r="Q927" s="19"/>
      <c r="R927" s="22"/>
    </row>
    <row r="928" spans="1:18" s="23" customFormat="1" x14ac:dyDescent="0.25">
      <c r="A928" s="314"/>
      <c r="B928" s="314"/>
      <c r="C928" s="329"/>
      <c r="D928" s="313"/>
      <c r="E928" s="313"/>
      <c r="F928" s="315"/>
      <c r="G928" s="313"/>
      <c r="H928" s="313"/>
      <c r="I928" s="315"/>
      <c r="J928" s="10"/>
      <c r="K928" s="248"/>
      <c r="L928" s="18"/>
      <c r="M928" s="19"/>
      <c r="N928" s="54"/>
      <c r="O928" s="19"/>
      <c r="P928" s="21"/>
      <c r="Q928" s="19"/>
      <c r="R928" s="22"/>
    </row>
    <row r="929" spans="1:18" s="23" customFormat="1" x14ac:dyDescent="0.25">
      <c r="A929" s="314"/>
      <c r="B929" s="314"/>
      <c r="C929" s="329"/>
      <c r="D929" s="313"/>
      <c r="E929" s="313"/>
      <c r="F929" s="315"/>
      <c r="G929" s="313"/>
      <c r="H929" s="313"/>
      <c r="I929" s="315"/>
      <c r="J929" s="10"/>
      <c r="K929" s="248"/>
      <c r="L929" s="18"/>
      <c r="M929" s="19"/>
      <c r="N929" s="54"/>
      <c r="O929" s="19"/>
      <c r="P929" s="21"/>
      <c r="Q929" s="19"/>
      <c r="R929" s="22"/>
    </row>
    <row r="930" spans="1:18" s="23" customFormat="1" x14ac:dyDescent="0.25">
      <c r="A930" s="314"/>
      <c r="B930" s="314"/>
      <c r="C930" s="329"/>
      <c r="D930" s="313"/>
      <c r="E930" s="313"/>
      <c r="F930" s="315"/>
      <c r="G930" s="313"/>
      <c r="H930" s="313"/>
      <c r="I930" s="315"/>
      <c r="J930" s="10"/>
      <c r="K930" s="248"/>
      <c r="L930" s="18"/>
      <c r="M930" s="19"/>
      <c r="N930" s="54"/>
      <c r="O930" s="19"/>
      <c r="P930" s="21"/>
      <c r="Q930" s="19"/>
      <c r="R930" s="22"/>
    </row>
    <row r="931" spans="1:18" s="23" customFormat="1" x14ac:dyDescent="0.25">
      <c r="A931" s="314"/>
      <c r="B931" s="314"/>
      <c r="C931" s="329"/>
      <c r="D931" s="313"/>
      <c r="E931" s="313"/>
      <c r="F931" s="315"/>
      <c r="G931" s="313"/>
      <c r="H931" s="313"/>
      <c r="I931" s="315"/>
      <c r="J931" s="10"/>
      <c r="K931" s="248"/>
      <c r="L931" s="18"/>
      <c r="M931" s="19"/>
      <c r="N931" s="54"/>
      <c r="O931" s="19"/>
      <c r="P931" s="21"/>
      <c r="Q931" s="19"/>
      <c r="R931" s="22"/>
    </row>
    <row r="932" spans="1:18" s="23" customFormat="1" x14ac:dyDescent="0.25">
      <c r="A932" s="314"/>
      <c r="B932" s="314"/>
      <c r="C932" s="329"/>
      <c r="D932" s="313"/>
      <c r="E932" s="313"/>
      <c r="F932" s="315"/>
      <c r="G932" s="313"/>
      <c r="H932" s="313"/>
      <c r="I932" s="315"/>
      <c r="J932" s="10"/>
      <c r="K932" s="248"/>
      <c r="L932" s="18"/>
      <c r="M932" s="19"/>
      <c r="N932" s="54"/>
      <c r="O932" s="19"/>
      <c r="P932" s="21"/>
      <c r="Q932" s="19"/>
      <c r="R932" s="22"/>
    </row>
    <row r="933" spans="1:18" s="23" customFormat="1" x14ac:dyDescent="0.25">
      <c r="A933" s="314"/>
      <c r="B933" s="314"/>
      <c r="C933" s="329"/>
      <c r="D933" s="313"/>
      <c r="E933" s="313"/>
      <c r="F933" s="315"/>
      <c r="G933" s="313"/>
      <c r="H933" s="313"/>
      <c r="I933" s="315"/>
      <c r="J933" s="10"/>
      <c r="K933" s="248"/>
      <c r="L933" s="18"/>
      <c r="M933" s="19"/>
      <c r="N933" s="54"/>
      <c r="O933" s="19"/>
      <c r="P933" s="21"/>
      <c r="Q933" s="19"/>
      <c r="R933" s="22"/>
    </row>
    <row r="934" spans="1:18" s="23" customFormat="1" x14ac:dyDescent="0.25">
      <c r="A934" s="314"/>
      <c r="B934" s="314"/>
      <c r="C934" s="329"/>
      <c r="D934" s="313"/>
      <c r="E934" s="313"/>
      <c r="F934" s="315"/>
      <c r="G934" s="313"/>
      <c r="H934" s="313"/>
      <c r="I934" s="315"/>
      <c r="J934" s="10"/>
      <c r="K934" s="248"/>
      <c r="L934" s="18"/>
      <c r="M934" s="19"/>
      <c r="N934" s="54"/>
      <c r="O934" s="19"/>
      <c r="P934" s="21"/>
      <c r="Q934" s="19"/>
      <c r="R934" s="22"/>
    </row>
    <row r="935" spans="1:18" s="23" customFormat="1" x14ac:dyDescent="0.25">
      <c r="A935" s="314"/>
      <c r="B935" s="314"/>
      <c r="C935" s="329"/>
      <c r="D935" s="313"/>
      <c r="E935" s="313"/>
      <c r="F935" s="315"/>
      <c r="G935" s="313"/>
      <c r="H935" s="313"/>
      <c r="I935" s="315"/>
      <c r="J935" s="10"/>
      <c r="K935" s="248"/>
      <c r="L935" s="18"/>
      <c r="M935" s="19"/>
      <c r="N935" s="54"/>
      <c r="O935" s="19"/>
      <c r="P935" s="21"/>
      <c r="Q935" s="19"/>
      <c r="R935" s="22"/>
    </row>
    <row r="936" spans="1:18" s="23" customFormat="1" x14ac:dyDescent="0.25">
      <c r="A936" s="314"/>
      <c r="B936" s="314"/>
      <c r="C936" s="329"/>
      <c r="D936" s="313"/>
      <c r="E936" s="313"/>
      <c r="F936" s="315"/>
      <c r="G936" s="313"/>
      <c r="H936" s="313"/>
      <c r="I936" s="315"/>
      <c r="J936" s="10"/>
      <c r="K936" s="248"/>
      <c r="L936" s="18"/>
      <c r="M936" s="19"/>
      <c r="N936" s="54"/>
      <c r="O936" s="19"/>
      <c r="P936" s="21"/>
      <c r="Q936" s="19"/>
      <c r="R936" s="22"/>
    </row>
    <row r="937" spans="1:18" s="23" customFormat="1" x14ac:dyDescent="0.25">
      <c r="A937" s="314"/>
      <c r="B937" s="314"/>
      <c r="C937" s="329"/>
      <c r="D937" s="313"/>
      <c r="E937" s="313"/>
      <c r="F937" s="315"/>
      <c r="G937" s="313"/>
      <c r="H937" s="313"/>
      <c r="I937" s="315"/>
      <c r="J937" s="10"/>
      <c r="K937" s="248"/>
      <c r="L937" s="18"/>
      <c r="M937" s="19"/>
      <c r="N937" s="54"/>
      <c r="O937" s="19"/>
      <c r="P937" s="21"/>
      <c r="Q937" s="19"/>
      <c r="R937" s="22"/>
    </row>
    <row r="938" spans="1:18" s="23" customFormat="1" x14ac:dyDescent="0.25">
      <c r="A938" s="314"/>
      <c r="B938" s="314"/>
      <c r="C938" s="329"/>
      <c r="D938" s="313"/>
      <c r="E938" s="313"/>
      <c r="F938" s="315"/>
      <c r="G938" s="313"/>
      <c r="H938" s="313"/>
      <c r="I938" s="315"/>
      <c r="J938" s="10"/>
      <c r="K938" s="248"/>
      <c r="L938" s="18"/>
      <c r="M938" s="19"/>
      <c r="N938" s="54"/>
      <c r="O938" s="19"/>
      <c r="P938" s="21"/>
      <c r="Q938" s="19"/>
      <c r="R938" s="22"/>
    </row>
    <row r="939" spans="1:18" s="23" customFormat="1" x14ac:dyDescent="0.25">
      <c r="A939" s="314"/>
      <c r="B939" s="314"/>
      <c r="C939" s="329"/>
      <c r="D939" s="313"/>
      <c r="E939" s="313"/>
      <c r="F939" s="315"/>
      <c r="G939" s="313"/>
      <c r="H939" s="313"/>
      <c r="I939" s="315"/>
      <c r="J939" s="10"/>
      <c r="K939" s="248"/>
      <c r="L939" s="18"/>
      <c r="M939" s="19"/>
      <c r="N939" s="54"/>
      <c r="O939" s="19"/>
      <c r="P939" s="21"/>
      <c r="Q939" s="19"/>
      <c r="R939" s="22"/>
    </row>
    <row r="940" spans="1:18" s="23" customFormat="1" x14ac:dyDescent="0.25">
      <c r="A940" s="314"/>
      <c r="B940" s="314"/>
      <c r="C940" s="329"/>
      <c r="D940" s="313"/>
      <c r="E940" s="313"/>
      <c r="F940" s="315"/>
      <c r="G940" s="313"/>
      <c r="H940" s="313"/>
      <c r="I940" s="315"/>
      <c r="J940" s="10"/>
      <c r="K940" s="248"/>
      <c r="L940" s="18"/>
      <c r="M940" s="19"/>
      <c r="N940" s="54"/>
      <c r="O940" s="19"/>
      <c r="P940" s="21"/>
      <c r="Q940" s="19"/>
      <c r="R940" s="22"/>
    </row>
    <row r="941" spans="1:18" s="23" customFormat="1" x14ac:dyDescent="0.25">
      <c r="A941" s="314"/>
      <c r="B941" s="314"/>
      <c r="C941" s="329"/>
      <c r="D941" s="313"/>
      <c r="E941" s="313"/>
      <c r="F941" s="315"/>
      <c r="G941" s="313"/>
      <c r="H941" s="313"/>
      <c r="I941" s="315"/>
      <c r="J941" s="10"/>
      <c r="K941" s="248"/>
      <c r="L941" s="18"/>
      <c r="M941" s="19"/>
      <c r="N941" s="54"/>
      <c r="O941" s="19"/>
      <c r="P941" s="21"/>
      <c r="Q941" s="19"/>
      <c r="R941" s="22"/>
    </row>
    <row r="942" spans="1:18" s="23" customFormat="1" x14ac:dyDescent="0.25">
      <c r="A942" s="314"/>
      <c r="B942" s="314"/>
      <c r="C942" s="329"/>
      <c r="D942" s="313"/>
      <c r="E942" s="313"/>
      <c r="F942" s="315"/>
      <c r="G942" s="313"/>
      <c r="H942" s="313"/>
      <c r="I942" s="315"/>
      <c r="J942" s="10"/>
      <c r="K942" s="248"/>
      <c r="L942" s="18"/>
      <c r="M942" s="19"/>
      <c r="N942" s="54"/>
      <c r="O942" s="19"/>
      <c r="P942" s="21"/>
      <c r="Q942" s="19"/>
      <c r="R942" s="22"/>
    </row>
    <row r="943" spans="1:18" s="23" customFormat="1" x14ac:dyDescent="0.25">
      <c r="A943" s="314"/>
      <c r="B943" s="314"/>
      <c r="C943" s="329"/>
      <c r="D943" s="313"/>
      <c r="E943" s="313"/>
      <c r="F943" s="315"/>
      <c r="G943" s="313"/>
      <c r="H943" s="313"/>
      <c r="I943" s="315"/>
      <c r="J943" s="10"/>
      <c r="K943" s="248"/>
      <c r="L943" s="18"/>
      <c r="M943" s="19"/>
      <c r="N943" s="54"/>
      <c r="O943" s="19"/>
      <c r="P943" s="21"/>
      <c r="Q943" s="19"/>
      <c r="R943" s="22"/>
    </row>
    <row r="944" spans="1:18" s="23" customFormat="1" x14ac:dyDescent="0.25">
      <c r="A944" s="314"/>
      <c r="B944" s="314"/>
      <c r="C944" s="329"/>
      <c r="D944" s="313"/>
      <c r="E944" s="313"/>
      <c r="F944" s="315"/>
      <c r="G944" s="313"/>
      <c r="H944" s="313"/>
      <c r="I944" s="315"/>
      <c r="J944" s="10"/>
      <c r="K944" s="248"/>
      <c r="L944" s="18"/>
      <c r="M944" s="19"/>
      <c r="N944" s="54"/>
      <c r="O944" s="19"/>
      <c r="P944" s="21"/>
      <c r="Q944" s="19"/>
      <c r="R944" s="22"/>
    </row>
    <row r="945" spans="1:18" s="23" customFormat="1" x14ac:dyDescent="0.25">
      <c r="A945" s="314"/>
      <c r="B945" s="314"/>
      <c r="C945" s="329"/>
      <c r="D945" s="313"/>
      <c r="E945" s="313"/>
      <c r="F945" s="315"/>
      <c r="G945" s="313"/>
      <c r="H945" s="313"/>
      <c r="I945" s="315"/>
      <c r="J945" s="10"/>
      <c r="K945" s="248"/>
      <c r="L945" s="18"/>
      <c r="M945" s="19"/>
      <c r="N945" s="54"/>
      <c r="O945" s="19"/>
      <c r="P945" s="21"/>
      <c r="Q945" s="19"/>
      <c r="R945" s="22"/>
    </row>
    <row r="946" spans="1:18" s="23" customFormat="1" x14ac:dyDescent="0.25">
      <c r="A946" s="314"/>
      <c r="B946" s="314"/>
      <c r="C946" s="329"/>
      <c r="D946" s="313"/>
      <c r="E946" s="313"/>
      <c r="F946" s="315"/>
      <c r="G946" s="313"/>
      <c r="H946" s="313"/>
      <c r="I946" s="315"/>
      <c r="J946" s="10"/>
      <c r="K946" s="248"/>
      <c r="L946" s="18"/>
      <c r="M946" s="19"/>
      <c r="N946" s="54"/>
      <c r="O946" s="19"/>
      <c r="P946" s="21"/>
      <c r="Q946" s="19"/>
      <c r="R946" s="22"/>
    </row>
    <row r="947" spans="1:18" s="23" customFormat="1" x14ac:dyDescent="0.25">
      <c r="A947" s="314"/>
      <c r="B947" s="314"/>
      <c r="C947" s="329"/>
      <c r="D947" s="313"/>
      <c r="E947" s="313"/>
      <c r="F947" s="315"/>
      <c r="G947" s="313"/>
      <c r="H947" s="313"/>
      <c r="I947" s="315"/>
      <c r="J947" s="10"/>
      <c r="K947" s="248"/>
      <c r="L947" s="18"/>
      <c r="M947" s="19"/>
      <c r="N947" s="54"/>
      <c r="O947" s="19"/>
      <c r="P947" s="21"/>
      <c r="Q947" s="19"/>
      <c r="R947" s="22"/>
    </row>
    <row r="948" spans="1:18" s="23" customFormat="1" x14ac:dyDescent="0.25">
      <c r="A948" s="314"/>
      <c r="B948" s="314"/>
      <c r="C948" s="329"/>
      <c r="D948" s="313"/>
      <c r="E948" s="313"/>
      <c r="F948" s="315"/>
      <c r="G948" s="313"/>
      <c r="H948" s="313"/>
      <c r="I948" s="315"/>
      <c r="J948" s="10"/>
      <c r="K948" s="248"/>
      <c r="L948" s="18"/>
      <c r="M948" s="19"/>
      <c r="N948" s="54"/>
      <c r="O948" s="19"/>
      <c r="P948" s="21"/>
      <c r="Q948" s="19"/>
      <c r="R948" s="22"/>
    </row>
    <row r="949" spans="1:18" s="23" customFormat="1" x14ac:dyDescent="0.25">
      <c r="A949" s="314"/>
      <c r="B949" s="314"/>
      <c r="C949" s="329"/>
      <c r="D949" s="313"/>
      <c r="E949" s="313"/>
      <c r="F949" s="315"/>
      <c r="G949" s="313"/>
      <c r="H949" s="313"/>
      <c r="I949" s="315"/>
      <c r="J949" s="10"/>
      <c r="K949" s="248"/>
      <c r="L949" s="18"/>
      <c r="M949" s="19"/>
      <c r="N949" s="54"/>
      <c r="O949" s="19"/>
      <c r="P949" s="21"/>
      <c r="Q949" s="19"/>
      <c r="R949" s="22"/>
    </row>
    <row r="950" spans="1:18" s="23" customFormat="1" x14ac:dyDescent="0.25">
      <c r="A950" s="314"/>
      <c r="B950" s="314"/>
      <c r="C950" s="329"/>
      <c r="D950" s="313"/>
      <c r="E950" s="313"/>
      <c r="F950" s="315"/>
      <c r="G950" s="313"/>
      <c r="H950" s="313"/>
      <c r="I950" s="315"/>
      <c r="J950" s="10"/>
      <c r="K950" s="248"/>
      <c r="L950" s="18"/>
      <c r="M950" s="19"/>
      <c r="N950" s="54"/>
      <c r="O950" s="19"/>
      <c r="P950" s="21"/>
      <c r="Q950" s="19"/>
      <c r="R950" s="22"/>
    </row>
    <row r="951" spans="1:18" s="23" customFormat="1" x14ac:dyDescent="0.25">
      <c r="A951" s="314"/>
      <c r="B951" s="314"/>
      <c r="C951" s="329"/>
      <c r="D951" s="313"/>
      <c r="E951" s="313"/>
      <c r="F951" s="315"/>
      <c r="G951" s="313"/>
      <c r="H951" s="313"/>
      <c r="I951" s="315"/>
      <c r="J951" s="10"/>
      <c r="K951" s="248"/>
      <c r="L951" s="18"/>
      <c r="M951" s="19"/>
      <c r="N951" s="54"/>
      <c r="O951" s="19"/>
      <c r="P951" s="21"/>
      <c r="Q951" s="19"/>
      <c r="R951" s="22"/>
    </row>
    <row r="952" spans="1:18" s="23" customFormat="1" x14ac:dyDescent="0.25">
      <c r="A952" s="314"/>
      <c r="B952" s="314"/>
      <c r="C952" s="329"/>
      <c r="D952" s="313"/>
      <c r="E952" s="313"/>
      <c r="F952" s="315"/>
      <c r="G952" s="313"/>
      <c r="H952" s="313"/>
      <c r="I952" s="315"/>
      <c r="J952" s="10"/>
      <c r="K952" s="248"/>
      <c r="L952" s="18"/>
      <c r="M952" s="19"/>
      <c r="N952" s="54"/>
      <c r="O952" s="19"/>
      <c r="P952" s="21"/>
      <c r="Q952" s="19"/>
      <c r="R952" s="22"/>
    </row>
    <row r="953" spans="1:18" s="23" customFormat="1" x14ac:dyDescent="0.25">
      <c r="A953" s="314"/>
      <c r="B953" s="314"/>
      <c r="C953" s="329"/>
      <c r="D953" s="313"/>
      <c r="E953" s="313"/>
      <c r="F953" s="315"/>
      <c r="G953" s="313"/>
      <c r="H953" s="313"/>
      <c r="I953" s="315"/>
      <c r="J953" s="10"/>
      <c r="K953" s="248"/>
      <c r="L953" s="18"/>
      <c r="M953" s="19"/>
      <c r="N953" s="54"/>
      <c r="O953" s="19"/>
      <c r="P953" s="21"/>
      <c r="Q953" s="19"/>
      <c r="R953" s="22"/>
    </row>
    <row r="954" spans="1:18" s="23" customFormat="1" x14ac:dyDescent="0.25">
      <c r="A954" s="314"/>
      <c r="B954" s="314"/>
      <c r="C954" s="329"/>
      <c r="D954" s="313"/>
      <c r="E954" s="313"/>
      <c r="F954" s="315"/>
      <c r="G954" s="313"/>
      <c r="H954" s="313"/>
      <c r="I954" s="315"/>
      <c r="J954" s="10"/>
      <c r="K954" s="248"/>
      <c r="L954" s="18"/>
      <c r="M954" s="19"/>
      <c r="N954" s="54"/>
      <c r="O954" s="19"/>
      <c r="P954" s="21"/>
      <c r="Q954" s="19"/>
      <c r="R954" s="22"/>
    </row>
    <row r="955" spans="1:18" s="23" customFormat="1" x14ac:dyDescent="0.25">
      <c r="A955" s="314"/>
      <c r="B955" s="314"/>
      <c r="C955" s="329"/>
      <c r="D955" s="313"/>
      <c r="E955" s="313"/>
      <c r="F955" s="315"/>
      <c r="G955" s="313"/>
      <c r="H955" s="313"/>
      <c r="I955" s="315"/>
      <c r="J955" s="10"/>
      <c r="K955" s="248"/>
      <c r="L955" s="18"/>
      <c r="M955" s="19"/>
      <c r="N955" s="54"/>
      <c r="O955" s="19"/>
      <c r="P955" s="21"/>
      <c r="Q955" s="19"/>
      <c r="R955" s="22"/>
    </row>
    <row r="956" spans="1:18" s="23" customFormat="1" x14ac:dyDescent="0.25">
      <c r="A956" s="314"/>
      <c r="B956" s="314"/>
      <c r="C956" s="329"/>
      <c r="D956" s="313"/>
      <c r="E956" s="313"/>
      <c r="F956" s="315"/>
      <c r="G956" s="313"/>
      <c r="H956" s="313"/>
      <c r="I956" s="315"/>
      <c r="J956" s="10"/>
      <c r="K956" s="248"/>
      <c r="L956" s="18"/>
      <c r="M956" s="19"/>
      <c r="N956" s="54"/>
      <c r="O956" s="19"/>
      <c r="P956" s="21"/>
      <c r="Q956" s="19"/>
      <c r="R956" s="22"/>
    </row>
    <row r="957" spans="1:18" s="23" customFormat="1" x14ac:dyDescent="0.25">
      <c r="A957" s="314"/>
      <c r="B957" s="314"/>
      <c r="C957" s="329"/>
      <c r="D957" s="313"/>
      <c r="E957" s="313"/>
      <c r="F957" s="315"/>
      <c r="G957" s="313"/>
      <c r="H957" s="313"/>
      <c r="I957" s="315"/>
      <c r="J957" s="10"/>
      <c r="K957" s="248"/>
      <c r="L957" s="18"/>
      <c r="M957" s="19"/>
      <c r="N957" s="54"/>
      <c r="O957" s="19"/>
      <c r="P957" s="21"/>
      <c r="Q957" s="19"/>
      <c r="R957" s="22"/>
    </row>
    <row r="958" spans="1:18" s="23" customFormat="1" x14ac:dyDescent="0.25">
      <c r="A958" s="314"/>
      <c r="B958" s="314"/>
      <c r="C958" s="329"/>
      <c r="D958" s="313"/>
      <c r="E958" s="313"/>
      <c r="F958" s="315"/>
      <c r="G958" s="313"/>
      <c r="H958" s="313"/>
      <c r="I958" s="315"/>
      <c r="J958" s="10"/>
      <c r="K958" s="248"/>
      <c r="L958" s="18"/>
      <c r="M958" s="19"/>
      <c r="N958" s="54"/>
      <c r="O958" s="19"/>
      <c r="P958" s="21"/>
      <c r="Q958" s="19"/>
      <c r="R958" s="22"/>
    </row>
    <row r="959" spans="1:18" s="23" customFormat="1" x14ac:dyDescent="0.25">
      <c r="A959" s="314"/>
      <c r="B959" s="314"/>
      <c r="C959" s="329"/>
      <c r="D959" s="313"/>
      <c r="E959" s="313"/>
      <c r="F959" s="315"/>
      <c r="G959" s="313"/>
      <c r="H959" s="313"/>
      <c r="I959" s="315"/>
      <c r="J959" s="10"/>
      <c r="K959" s="248"/>
      <c r="L959" s="18"/>
      <c r="M959" s="19"/>
      <c r="N959" s="54"/>
      <c r="O959" s="19"/>
      <c r="P959" s="21"/>
      <c r="Q959" s="19"/>
      <c r="R959" s="22"/>
    </row>
    <row r="960" spans="1:18" s="23" customFormat="1" x14ac:dyDescent="0.25">
      <c r="A960" s="314"/>
      <c r="B960" s="314"/>
      <c r="C960" s="329"/>
      <c r="D960" s="313"/>
      <c r="E960" s="313"/>
      <c r="F960" s="315"/>
      <c r="G960" s="313"/>
      <c r="H960" s="313"/>
      <c r="I960" s="315"/>
      <c r="J960" s="10"/>
      <c r="K960" s="248"/>
      <c r="L960" s="18"/>
      <c r="M960" s="19"/>
      <c r="N960" s="54"/>
      <c r="O960" s="19"/>
      <c r="P960" s="21"/>
      <c r="Q960" s="19"/>
      <c r="R960" s="22"/>
    </row>
    <row r="961" spans="1:18" s="23" customFormat="1" x14ac:dyDescent="0.25">
      <c r="A961" s="314"/>
      <c r="B961" s="314"/>
      <c r="C961" s="329"/>
      <c r="D961" s="313"/>
      <c r="E961" s="313"/>
      <c r="F961" s="315"/>
      <c r="G961" s="313"/>
      <c r="H961" s="313"/>
      <c r="I961" s="315"/>
      <c r="J961" s="10"/>
      <c r="K961" s="248"/>
      <c r="L961" s="18"/>
      <c r="M961" s="19"/>
      <c r="N961" s="54"/>
      <c r="O961" s="19"/>
      <c r="P961" s="21"/>
      <c r="Q961" s="19"/>
      <c r="R961" s="22"/>
    </row>
    <row r="962" spans="1:18" s="23" customFormat="1" x14ac:dyDescent="0.25">
      <c r="A962" s="314"/>
      <c r="B962" s="314"/>
      <c r="C962" s="329"/>
      <c r="D962" s="313"/>
      <c r="E962" s="313"/>
      <c r="F962" s="315"/>
      <c r="G962" s="313"/>
      <c r="H962" s="313"/>
      <c r="I962" s="315"/>
      <c r="J962" s="10"/>
      <c r="K962" s="248"/>
      <c r="L962" s="18"/>
      <c r="M962" s="19"/>
      <c r="N962" s="54"/>
      <c r="O962" s="19"/>
      <c r="P962" s="21"/>
      <c r="Q962" s="19"/>
      <c r="R962" s="22"/>
    </row>
    <row r="963" spans="1:18" s="23" customFormat="1" x14ac:dyDescent="0.25">
      <c r="A963" s="314"/>
      <c r="B963" s="314"/>
      <c r="C963" s="329"/>
      <c r="D963" s="313"/>
      <c r="E963" s="313"/>
      <c r="F963" s="315"/>
      <c r="G963" s="313"/>
      <c r="H963" s="313"/>
      <c r="I963" s="315"/>
      <c r="J963" s="10"/>
      <c r="K963" s="248"/>
      <c r="L963" s="18"/>
      <c r="M963" s="19"/>
      <c r="N963" s="54"/>
      <c r="O963" s="19"/>
      <c r="P963" s="21"/>
      <c r="Q963" s="19"/>
      <c r="R963" s="22"/>
    </row>
    <row r="964" spans="1:18" s="23" customFormat="1" x14ac:dyDescent="0.25">
      <c r="A964" s="314"/>
      <c r="B964" s="314"/>
      <c r="C964" s="329"/>
      <c r="D964" s="313"/>
      <c r="E964" s="313"/>
      <c r="F964" s="315"/>
      <c r="G964" s="313"/>
      <c r="H964" s="313"/>
      <c r="I964" s="315"/>
      <c r="J964" s="10"/>
      <c r="K964" s="248"/>
      <c r="L964" s="18"/>
      <c r="M964" s="19"/>
      <c r="N964" s="54"/>
      <c r="O964" s="19"/>
      <c r="P964" s="21"/>
      <c r="Q964" s="19"/>
      <c r="R964" s="22"/>
    </row>
    <row r="965" spans="1:18" s="23" customFormat="1" x14ac:dyDescent="0.25">
      <c r="A965" s="314"/>
      <c r="B965" s="314"/>
      <c r="C965" s="329"/>
      <c r="D965" s="313"/>
      <c r="E965" s="313"/>
      <c r="F965" s="315"/>
      <c r="G965" s="313"/>
      <c r="H965" s="313"/>
      <c r="I965" s="315"/>
      <c r="J965" s="10"/>
      <c r="K965" s="248"/>
      <c r="L965" s="18"/>
      <c r="M965" s="19"/>
      <c r="N965" s="54"/>
      <c r="O965" s="19"/>
      <c r="P965" s="21"/>
      <c r="Q965" s="19"/>
      <c r="R965" s="22"/>
    </row>
    <row r="966" spans="1:18" s="23" customFormat="1" x14ac:dyDescent="0.25">
      <c r="A966" s="314"/>
      <c r="B966" s="314"/>
      <c r="C966" s="329"/>
      <c r="D966" s="313"/>
      <c r="E966" s="313"/>
      <c r="F966" s="315"/>
      <c r="G966" s="313"/>
      <c r="H966" s="313"/>
      <c r="I966" s="315"/>
      <c r="J966" s="10"/>
      <c r="K966" s="248"/>
      <c r="L966" s="18"/>
      <c r="M966" s="19"/>
      <c r="N966" s="54"/>
      <c r="O966" s="19"/>
      <c r="P966" s="21"/>
      <c r="Q966" s="19"/>
      <c r="R966" s="22"/>
    </row>
    <row r="967" spans="1:18" s="23" customFormat="1" x14ac:dyDescent="0.25">
      <c r="A967" s="314"/>
      <c r="B967" s="314"/>
      <c r="C967" s="329"/>
      <c r="D967" s="313"/>
      <c r="E967" s="313"/>
      <c r="F967" s="315"/>
      <c r="G967" s="313"/>
      <c r="H967" s="313"/>
      <c r="I967" s="315"/>
      <c r="J967" s="10"/>
      <c r="K967" s="248"/>
      <c r="L967" s="18"/>
      <c r="M967" s="19"/>
      <c r="N967" s="54"/>
      <c r="O967" s="19"/>
      <c r="P967" s="21"/>
      <c r="Q967" s="19"/>
      <c r="R967" s="22"/>
    </row>
    <row r="968" spans="1:18" s="23" customFormat="1" x14ac:dyDescent="0.25">
      <c r="A968" s="314"/>
      <c r="B968" s="314"/>
      <c r="C968" s="329"/>
      <c r="D968" s="313"/>
      <c r="E968" s="313"/>
      <c r="F968" s="315"/>
      <c r="G968" s="313"/>
      <c r="H968" s="313"/>
      <c r="I968" s="315"/>
      <c r="J968" s="10"/>
      <c r="K968" s="248"/>
      <c r="L968" s="18"/>
      <c r="M968" s="19"/>
      <c r="N968" s="54"/>
      <c r="O968" s="19"/>
      <c r="P968" s="21"/>
      <c r="Q968" s="19"/>
      <c r="R968" s="22"/>
    </row>
    <row r="969" spans="1:18" s="23" customFormat="1" x14ac:dyDescent="0.25">
      <c r="A969" s="314"/>
      <c r="B969" s="314"/>
      <c r="C969" s="329"/>
      <c r="D969" s="313"/>
      <c r="E969" s="313"/>
      <c r="F969" s="315"/>
      <c r="G969" s="313"/>
      <c r="H969" s="313"/>
      <c r="I969" s="315"/>
      <c r="J969" s="10"/>
      <c r="K969" s="248"/>
      <c r="L969" s="18"/>
      <c r="M969" s="19"/>
      <c r="N969" s="54"/>
      <c r="O969" s="19"/>
      <c r="P969" s="21"/>
      <c r="Q969" s="19"/>
      <c r="R969" s="22"/>
    </row>
    <row r="970" spans="1:18" s="23" customFormat="1" x14ac:dyDescent="0.25">
      <c r="A970" s="314"/>
      <c r="B970" s="314"/>
      <c r="C970" s="329"/>
      <c r="D970" s="313"/>
      <c r="E970" s="313"/>
      <c r="F970" s="315"/>
      <c r="G970" s="313"/>
      <c r="H970" s="313"/>
      <c r="I970" s="315"/>
      <c r="J970" s="10"/>
      <c r="K970" s="248"/>
      <c r="L970" s="18"/>
      <c r="M970" s="19"/>
      <c r="N970" s="54"/>
      <c r="O970" s="19"/>
      <c r="P970" s="21"/>
      <c r="Q970" s="19"/>
      <c r="R970" s="22"/>
    </row>
    <row r="971" spans="1:18" s="23" customFormat="1" x14ac:dyDescent="0.25">
      <c r="A971" s="314"/>
      <c r="B971" s="314"/>
      <c r="C971" s="329"/>
      <c r="D971" s="313"/>
      <c r="E971" s="313"/>
      <c r="F971" s="315"/>
      <c r="G971" s="313"/>
      <c r="H971" s="313"/>
      <c r="I971" s="315"/>
      <c r="J971" s="10"/>
      <c r="K971" s="248"/>
      <c r="L971" s="18"/>
      <c r="M971" s="19"/>
      <c r="N971" s="54"/>
      <c r="O971" s="19"/>
      <c r="P971" s="21"/>
      <c r="Q971" s="19"/>
      <c r="R971" s="22"/>
    </row>
    <row r="972" spans="1:18" s="23" customFormat="1" x14ac:dyDescent="0.25">
      <c r="A972" s="314"/>
      <c r="B972" s="314"/>
      <c r="C972" s="329"/>
      <c r="D972" s="313"/>
      <c r="E972" s="313"/>
      <c r="F972" s="315"/>
      <c r="G972" s="313"/>
      <c r="H972" s="313"/>
      <c r="I972" s="315"/>
      <c r="J972" s="10"/>
      <c r="K972" s="248"/>
      <c r="L972" s="18"/>
      <c r="M972" s="19"/>
      <c r="N972" s="54"/>
      <c r="O972" s="19"/>
      <c r="P972" s="21"/>
      <c r="Q972" s="19"/>
      <c r="R972" s="22"/>
    </row>
    <row r="973" spans="1:18" s="23" customFormat="1" x14ac:dyDescent="0.25">
      <c r="A973" s="314"/>
      <c r="B973" s="314"/>
      <c r="C973" s="329"/>
      <c r="D973" s="313"/>
      <c r="E973" s="313"/>
      <c r="F973" s="315"/>
      <c r="G973" s="313"/>
      <c r="H973" s="313"/>
      <c r="I973" s="315"/>
      <c r="J973" s="10"/>
      <c r="K973" s="248"/>
      <c r="L973" s="18"/>
      <c r="M973" s="19"/>
      <c r="N973" s="54"/>
      <c r="O973" s="19"/>
      <c r="P973" s="21"/>
      <c r="Q973" s="19"/>
      <c r="R973" s="22"/>
    </row>
    <row r="974" spans="1:18" s="23" customFormat="1" x14ac:dyDescent="0.25">
      <c r="A974" s="314"/>
      <c r="B974" s="314"/>
      <c r="C974" s="329"/>
      <c r="D974" s="313"/>
      <c r="E974" s="313"/>
      <c r="F974" s="315"/>
      <c r="G974" s="313"/>
      <c r="H974" s="313"/>
      <c r="I974" s="315"/>
      <c r="J974" s="10"/>
      <c r="K974" s="248"/>
      <c r="L974" s="18"/>
      <c r="M974" s="19"/>
      <c r="N974" s="54"/>
      <c r="O974" s="19"/>
      <c r="P974" s="21"/>
      <c r="Q974" s="19"/>
      <c r="R974" s="22"/>
    </row>
    <row r="975" spans="1:18" s="23" customFormat="1" x14ac:dyDescent="0.25">
      <c r="A975" s="314"/>
      <c r="B975" s="314"/>
      <c r="C975" s="329"/>
      <c r="D975" s="313"/>
      <c r="E975" s="313"/>
      <c r="F975" s="315"/>
      <c r="G975" s="313"/>
      <c r="H975" s="313"/>
      <c r="I975" s="315"/>
      <c r="J975" s="10"/>
      <c r="K975" s="248"/>
      <c r="L975" s="18"/>
      <c r="M975" s="19"/>
      <c r="N975" s="54"/>
      <c r="O975" s="19"/>
      <c r="P975" s="21"/>
      <c r="Q975" s="19"/>
      <c r="R975" s="22"/>
    </row>
    <row r="976" spans="1:18" s="23" customFormat="1" x14ac:dyDescent="0.25">
      <c r="A976" s="314"/>
      <c r="B976" s="314"/>
      <c r="C976" s="329"/>
      <c r="D976" s="313"/>
      <c r="E976" s="313"/>
      <c r="F976" s="315"/>
      <c r="G976" s="313"/>
      <c r="H976" s="313"/>
      <c r="I976" s="315"/>
      <c r="J976" s="10"/>
      <c r="K976" s="248"/>
      <c r="L976" s="18"/>
      <c r="M976" s="19"/>
      <c r="N976" s="54"/>
      <c r="O976" s="19"/>
      <c r="P976" s="21"/>
      <c r="Q976" s="19"/>
      <c r="R976" s="22"/>
    </row>
    <row r="977" spans="1:18" s="23" customFormat="1" x14ac:dyDescent="0.25">
      <c r="A977" s="314"/>
      <c r="B977" s="314"/>
      <c r="C977" s="329"/>
      <c r="D977" s="313"/>
      <c r="E977" s="313"/>
      <c r="F977" s="315"/>
      <c r="G977" s="313"/>
      <c r="H977" s="313"/>
      <c r="I977" s="315"/>
      <c r="J977" s="10"/>
      <c r="K977" s="248"/>
      <c r="L977" s="18"/>
      <c r="M977" s="19"/>
      <c r="N977" s="54"/>
      <c r="O977" s="19"/>
      <c r="P977" s="21"/>
      <c r="Q977" s="19"/>
      <c r="R977" s="22"/>
    </row>
    <row r="978" spans="1:18" s="23" customFormat="1" x14ac:dyDescent="0.25">
      <c r="A978" s="314"/>
      <c r="B978" s="314"/>
      <c r="C978" s="329"/>
      <c r="D978" s="313"/>
      <c r="E978" s="313"/>
      <c r="F978" s="315"/>
      <c r="G978" s="313"/>
      <c r="H978" s="313"/>
      <c r="I978" s="315"/>
      <c r="J978" s="10"/>
      <c r="K978" s="248"/>
      <c r="L978" s="18"/>
      <c r="M978" s="19"/>
      <c r="N978" s="54"/>
      <c r="O978" s="19"/>
      <c r="P978" s="21"/>
      <c r="Q978" s="19"/>
      <c r="R978" s="22"/>
    </row>
    <row r="979" spans="1:18" s="23" customFormat="1" x14ac:dyDescent="0.25">
      <c r="A979" s="314"/>
      <c r="B979" s="314"/>
      <c r="C979" s="329"/>
      <c r="D979" s="313"/>
      <c r="E979" s="313"/>
      <c r="F979" s="315"/>
      <c r="G979" s="313"/>
      <c r="H979" s="313"/>
      <c r="I979" s="315"/>
      <c r="J979" s="10"/>
      <c r="K979" s="248"/>
      <c r="L979" s="18"/>
      <c r="M979" s="19"/>
      <c r="N979" s="54"/>
      <c r="O979" s="19"/>
      <c r="P979" s="21"/>
      <c r="Q979" s="19"/>
      <c r="R979" s="22"/>
    </row>
    <row r="980" spans="1:18" s="23" customFormat="1" x14ac:dyDescent="0.25">
      <c r="A980" s="314"/>
      <c r="B980" s="314"/>
      <c r="C980" s="329"/>
      <c r="D980" s="313"/>
      <c r="E980" s="313"/>
      <c r="F980" s="315"/>
      <c r="G980" s="313"/>
      <c r="H980" s="313"/>
      <c r="I980" s="315"/>
      <c r="J980" s="10"/>
      <c r="K980" s="248"/>
      <c r="L980" s="18"/>
      <c r="M980" s="19"/>
      <c r="N980" s="54"/>
      <c r="O980" s="19"/>
      <c r="P980" s="21"/>
      <c r="Q980" s="19"/>
      <c r="R980" s="22"/>
    </row>
    <row r="981" spans="1:18" s="23" customFormat="1" x14ac:dyDescent="0.25">
      <c r="A981" s="314"/>
      <c r="B981" s="314"/>
      <c r="C981" s="329"/>
      <c r="D981" s="313"/>
      <c r="E981" s="313"/>
      <c r="F981" s="315"/>
      <c r="G981" s="313"/>
      <c r="H981" s="313"/>
      <c r="I981" s="315"/>
      <c r="J981" s="10"/>
      <c r="K981" s="248"/>
      <c r="L981" s="18"/>
      <c r="M981" s="19"/>
      <c r="N981" s="54"/>
      <c r="O981" s="19"/>
      <c r="P981" s="21"/>
      <c r="Q981" s="19"/>
      <c r="R981" s="22"/>
    </row>
    <row r="982" spans="1:18" s="23" customFormat="1" x14ac:dyDescent="0.25">
      <c r="A982" s="314"/>
      <c r="B982" s="314"/>
      <c r="C982" s="329"/>
      <c r="D982" s="313"/>
      <c r="E982" s="313"/>
      <c r="F982" s="315"/>
      <c r="G982" s="313"/>
      <c r="H982" s="313"/>
      <c r="I982" s="315"/>
      <c r="J982" s="10"/>
      <c r="K982" s="248"/>
      <c r="L982" s="18"/>
      <c r="M982" s="19"/>
      <c r="N982" s="54"/>
      <c r="O982" s="19"/>
      <c r="P982" s="21"/>
      <c r="Q982" s="19"/>
      <c r="R982" s="22"/>
    </row>
    <row r="983" spans="1:18" s="23" customFormat="1" x14ac:dyDescent="0.25">
      <c r="A983" s="314"/>
      <c r="B983" s="314"/>
      <c r="C983" s="329"/>
      <c r="D983" s="313"/>
      <c r="E983" s="313"/>
      <c r="F983" s="315"/>
      <c r="G983" s="313"/>
      <c r="H983" s="313"/>
      <c r="I983" s="315"/>
      <c r="J983" s="10"/>
      <c r="K983" s="248"/>
      <c r="L983" s="18"/>
      <c r="M983" s="19"/>
      <c r="N983" s="54"/>
      <c r="O983" s="19"/>
      <c r="P983" s="21"/>
      <c r="Q983" s="19"/>
      <c r="R983" s="22"/>
    </row>
    <row r="984" spans="1:18" s="23" customFormat="1" x14ac:dyDescent="0.25">
      <c r="A984" s="314"/>
      <c r="B984" s="314"/>
      <c r="C984" s="329"/>
      <c r="D984" s="313"/>
      <c r="E984" s="313"/>
      <c r="F984" s="315"/>
      <c r="G984" s="313"/>
      <c r="H984" s="313"/>
      <c r="I984" s="315"/>
      <c r="J984" s="10"/>
      <c r="K984" s="248"/>
      <c r="L984" s="18"/>
      <c r="M984" s="19"/>
      <c r="N984" s="54"/>
      <c r="O984" s="19"/>
      <c r="P984" s="21"/>
      <c r="Q984" s="19"/>
      <c r="R984" s="22"/>
    </row>
    <row r="985" spans="1:18" s="23" customFormat="1" x14ac:dyDescent="0.25">
      <c r="A985" s="314"/>
      <c r="B985" s="314"/>
      <c r="C985" s="329"/>
      <c r="D985" s="313"/>
      <c r="E985" s="313"/>
      <c r="F985" s="315"/>
      <c r="G985" s="313"/>
      <c r="H985" s="313"/>
      <c r="I985" s="315"/>
      <c r="J985" s="10"/>
      <c r="K985" s="248"/>
      <c r="L985" s="18"/>
      <c r="M985" s="19"/>
      <c r="N985" s="54"/>
      <c r="O985" s="19"/>
      <c r="P985" s="21"/>
      <c r="Q985" s="19"/>
      <c r="R985" s="22"/>
    </row>
    <row r="986" spans="1:18" s="23" customFormat="1" x14ac:dyDescent="0.25">
      <c r="A986" s="314"/>
      <c r="B986" s="314"/>
      <c r="C986" s="329"/>
      <c r="D986" s="313"/>
      <c r="E986" s="313"/>
      <c r="F986" s="315"/>
      <c r="G986" s="313"/>
      <c r="H986" s="313"/>
      <c r="I986" s="315"/>
      <c r="J986" s="10"/>
      <c r="K986" s="248"/>
      <c r="L986" s="18"/>
      <c r="M986" s="19"/>
      <c r="N986" s="54"/>
      <c r="O986" s="19"/>
      <c r="P986" s="21"/>
      <c r="Q986" s="19"/>
      <c r="R986" s="22"/>
    </row>
    <row r="987" spans="1:18" s="23" customFormat="1" x14ac:dyDescent="0.25">
      <c r="A987" s="314"/>
      <c r="B987" s="314"/>
      <c r="C987" s="329"/>
      <c r="D987" s="313"/>
      <c r="E987" s="313"/>
      <c r="F987" s="315"/>
      <c r="G987" s="313"/>
      <c r="H987" s="313"/>
      <c r="I987" s="315"/>
      <c r="J987" s="10"/>
      <c r="K987" s="248"/>
      <c r="L987" s="18"/>
      <c r="M987" s="19"/>
      <c r="N987" s="54"/>
      <c r="O987" s="19"/>
      <c r="P987" s="21"/>
      <c r="Q987" s="19"/>
      <c r="R987" s="22"/>
    </row>
    <row r="988" spans="1:18" s="23" customFormat="1" x14ac:dyDescent="0.25">
      <c r="A988" s="314"/>
      <c r="B988" s="314"/>
      <c r="C988" s="329"/>
      <c r="D988" s="313"/>
      <c r="E988" s="313"/>
      <c r="F988" s="315"/>
      <c r="G988" s="313"/>
      <c r="H988" s="313"/>
      <c r="I988" s="315"/>
      <c r="J988" s="10"/>
      <c r="K988" s="248"/>
      <c r="L988" s="18"/>
      <c r="M988" s="19"/>
      <c r="N988" s="54"/>
      <c r="O988" s="19"/>
      <c r="P988" s="21"/>
      <c r="Q988" s="19"/>
      <c r="R988" s="22"/>
    </row>
    <row r="989" spans="1:18" s="23" customFormat="1" x14ac:dyDescent="0.25">
      <c r="A989" s="314"/>
      <c r="B989" s="314"/>
      <c r="C989" s="329"/>
      <c r="D989" s="313"/>
      <c r="E989" s="313"/>
      <c r="F989" s="315"/>
      <c r="G989" s="313"/>
      <c r="H989" s="313"/>
      <c r="I989" s="315"/>
      <c r="J989" s="10"/>
      <c r="K989" s="248"/>
      <c r="L989" s="18"/>
      <c r="M989" s="19"/>
      <c r="N989" s="54"/>
      <c r="O989" s="19"/>
      <c r="P989" s="21"/>
      <c r="Q989" s="19"/>
      <c r="R989" s="22"/>
    </row>
    <row r="990" spans="1:18" s="23" customFormat="1" x14ac:dyDescent="0.25">
      <c r="A990" s="314"/>
      <c r="B990" s="314"/>
      <c r="C990" s="329"/>
      <c r="D990" s="313"/>
      <c r="E990" s="313"/>
      <c r="F990" s="315"/>
      <c r="G990" s="313"/>
      <c r="H990" s="313"/>
      <c r="I990" s="315"/>
      <c r="J990" s="10"/>
      <c r="K990" s="248"/>
      <c r="L990" s="18"/>
      <c r="M990" s="19"/>
      <c r="N990" s="54"/>
      <c r="O990" s="19"/>
      <c r="P990" s="21"/>
      <c r="Q990" s="19"/>
      <c r="R990" s="22"/>
    </row>
    <row r="991" spans="1:18" s="23" customFormat="1" x14ac:dyDescent="0.25">
      <c r="A991" s="314"/>
      <c r="B991" s="314"/>
      <c r="C991" s="329"/>
      <c r="D991" s="313"/>
      <c r="E991" s="313"/>
      <c r="F991" s="315"/>
      <c r="G991" s="313"/>
      <c r="H991" s="313"/>
      <c r="I991" s="315"/>
      <c r="J991" s="10"/>
      <c r="K991" s="248"/>
      <c r="L991" s="18"/>
      <c r="M991" s="19"/>
      <c r="N991" s="54"/>
      <c r="O991" s="19"/>
      <c r="P991" s="21"/>
      <c r="Q991" s="19"/>
      <c r="R991" s="22"/>
    </row>
    <row r="992" spans="1:18" s="23" customFormat="1" x14ac:dyDescent="0.25">
      <c r="A992" s="314"/>
      <c r="B992" s="314"/>
      <c r="C992" s="329"/>
      <c r="D992" s="313"/>
      <c r="E992" s="313"/>
      <c r="F992" s="315"/>
      <c r="G992" s="313"/>
      <c r="H992" s="313"/>
      <c r="I992" s="315"/>
      <c r="J992" s="10"/>
      <c r="K992" s="248"/>
      <c r="L992" s="18"/>
      <c r="M992" s="19"/>
      <c r="N992" s="54"/>
      <c r="O992" s="19"/>
      <c r="P992" s="21"/>
      <c r="Q992" s="19"/>
      <c r="R992" s="22"/>
    </row>
    <row r="993" spans="1:18" s="23" customFormat="1" x14ac:dyDescent="0.25">
      <c r="A993" s="314"/>
      <c r="B993" s="314"/>
      <c r="C993" s="329"/>
      <c r="D993" s="313"/>
      <c r="E993" s="313"/>
      <c r="F993" s="315"/>
      <c r="G993" s="313"/>
      <c r="H993" s="313"/>
      <c r="I993" s="315"/>
      <c r="J993" s="10"/>
      <c r="K993" s="248"/>
      <c r="L993" s="18"/>
      <c r="M993" s="19"/>
      <c r="N993" s="54"/>
      <c r="O993" s="19"/>
      <c r="P993" s="21"/>
      <c r="Q993" s="19"/>
      <c r="R993" s="22"/>
    </row>
    <row r="994" spans="1:18" s="23" customFormat="1" x14ac:dyDescent="0.25">
      <c r="A994" s="314"/>
      <c r="B994" s="314"/>
      <c r="C994" s="329"/>
      <c r="D994" s="313"/>
      <c r="E994" s="313"/>
      <c r="F994" s="315"/>
      <c r="G994" s="313"/>
      <c r="H994" s="313"/>
      <c r="I994" s="315"/>
      <c r="J994" s="10"/>
      <c r="K994" s="248"/>
      <c r="L994" s="18"/>
      <c r="M994" s="19"/>
      <c r="N994" s="54"/>
      <c r="O994" s="19"/>
      <c r="P994" s="21"/>
      <c r="Q994" s="19"/>
      <c r="R994" s="22"/>
    </row>
    <row r="995" spans="1:18" s="23" customFormat="1" x14ac:dyDescent="0.25">
      <c r="A995" s="314"/>
      <c r="B995" s="314"/>
      <c r="C995" s="329"/>
      <c r="D995" s="313"/>
      <c r="E995" s="313"/>
      <c r="F995" s="315"/>
      <c r="G995" s="313"/>
      <c r="H995" s="313"/>
      <c r="I995" s="315"/>
      <c r="J995" s="10"/>
      <c r="K995" s="248"/>
      <c r="L995" s="18"/>
      <c r="M995" s="19"/>
      <c r="N995" s="54"/>
      <c r="O995" s="19"/>
      <c r="P995" s="21"/>
      <c r="Q995" s="19"/>
      <c r="R995" s="22"/>
    </row>
    <row r="996" spans="1:18" s="23" customFormat="1" x14ac:dyDescent="0.25">
      <c r="A996" s="314"/>
      <c r="B996" s="314"/>
      <c r="C996" s="329"/>
      <c r="D996" s="313"/>
      <c r="E996" s="313"/>
      <c r="F996" s="315"/>
      <c r="G996" s="313"/>
      <c r="H996" s="313"/>
      <c r="I996" s="315"/>
      <c r="J996" s="10"/>
      <c r="K996" s="248"/>
      <c r="L996" s="18"/>
      <c r="M996" s="19"/>
      <c r="N996" s="54"/>
      <c r="O996" s="19"/>
      <c r="P996" s="21"/>
      <c r="Q996" s="19"/>
      <c r="R996" s="22"/>
    </row>
    <row r="997" spans="1:18" s="23" customFormat="1" x14ac:dyDescent="0.25">
      <c r="A997" s="314"/>
      <c r="B997" s="314"/>
      <c r="C997" s="329"/>
      <c r="D997" s="313"/>
      <c r="E997" s="313"/>
      <c r="F997" s="315"/>
      <c r="G997" s="313"/>
      <c r="H997" s="313"/>
      <c r="I997" s="315"/>
      <c r="J997" s="10"/>
      <c r="K997" s="248"/>
      <c r="L997" s="18"/>
      <c r="M997" s="19"/>
      <c r="N997" s="54"/>
      <c r="O997" s="19"/>
      <c r="P997" s="21"/>
      <c r="Q997" s="19"/>
      <c r="R997" s="22"/>
    </row>
    <row r="998" spans="1:18" s="23" customFormat="1" x14ac:dyDescent="0.25">
      <c r="A998" s="314"/>
      <c r="B998" s="314"/>
      <c r="C998" s="329"/>
      <c r="D998" s="313"/>
      <c r="E998" s="313"/>
      <c r="F998" s="315"/>
      <c r="G998" s="313"/>
      <c r="H998" s="313"/>
      <c r="I998" s="315"/>
      <c r="J998" s="10"/>
      <c r="K998" s="248"/>
      <c r="L998" s="18"/>
      <c r="M998" s="19"/>
      <c r="N998" s="54"/>
      <c r="O998" s="19"/>
      <c r="P998" s="21"/>
      <c r="Q998" s="19"/>
      <c r="R998" s="22"/>
    </row>
    <row r="999" spans="1:18" s="23" customFormat="1" x14ac:dyDescent="0.25">
      <c r="A999" s="314"/>
      <c r="B999" s="314"/>
      <c r="C999" s="329"/>
      <c r="D999" s="313"/>
      <c r="E999" s="313"/>
      <c r="F999" s="315"/>
      <c r="G999" s="313"/>
      <c r="H999" s="313"/>
      <c r="I999" s="315"/>
      <c r="J999" s="10"/>
      <c r="K999" s="248"/>
      <c r="L999" s="18"/>
      <c r="M999" s="19"/>
      <c r="N999" s="54"/>
      <c r="O999" s="19"/>
      <c r="P999" s="21"/>
      <c r="Q999" s="19"/>
      <c r="R999" s="22"/>
    </row>
    <row r="1000" spans="1:18" s="23" customFormat="1" x14ac:dyDescent="0.25">
      <c r="A1000" s="314"/>
      <c r="B1000" s="314"/>
      <c r="C1000" s="329"/>
      <c r="D1000" s="313"/>
      <c r="E1000" s="313"/>
      <c r="F1000" s="315"/>
      <c r="G1000" s="313"/>
      <c r="H1000" s="313"/>
      <c r="I1000" s="315"/>
      <c r="J1000" s="10"/>
      <c r="K1000" s="248"/>
      <c r="L1000" s="18"/>
      <c r="M1000" s="19"/>
      <c r="N1000" s="54"/>
      <c r="O1000" s="19"/>
      <c r="P1000" s="21"/>
      <c r="Q1000" s="19"/>
      <c r="R1000" s="22"/>
    </row>
    <row r="1001" spans="1:18" s="23" customFormat="1" x14ac:dyDescent="0.25">
      <c r="A1001" s="314"/>
      <c r="B1001" s="314"/>
      <c r="C1001" s="329"/>
      <c r="D1001" s="313"/>
      <c r="E1001" s="313"/>
      <c r="F1001" s="315"/>
      <c r="G1001" s="313"/>
      <c r="H1001" s="313"/>
      <c r="I1001" s="315"/>
      <c r="J1001" s="10"/>
      <c r="K1001" s="248"/>
      <c r="L1001" s="18"/>
      <c r="M1001" s="19"/>
      <c r="N1001" s="54"/>
      <c r="O1001" s="19"/>
      <c r="P1001" s="21"/>
      <c r="Q1001" s="19"/>
      <c r="R1001" s="22"/>
    </row>
    <row r="1002" spans="1:18" s="23" customFormat="1" x14ac:dyDescent="0.25">
      <c r="A1002" s="314"/>
      <c r="B1002" s="314"/>
      <c r="C1002" s="329"/>
      <c r="D1002" s="313"/>
      <c r="E1002" s="313"/>
      <c r="F1002" s="315"/>
      <c r="G1002" s="313"/>
      <c r="H1002" s="313"/>
      <c r="I1002" s="315"/>
      <c r="J1002" s="10"/>
      <c r="K1002" s="248"/>
      <c r="L1002" s="18"/>
      <c r="M1002" s="19"/>
      <c r="N1002" s="54"/>
      <c r="O1002" s="19"/>
      <c r="P1002" s="21"/>
      <c r="Q1002" s="19"/>
      <c r="R1002" s="22"/>
    </row>
    <row r="1003" spans="1:18" s="23" customFormat="1" x14ac:dyDescent="0.25">
      <c r="A1003" s="314"/>
      <c r="B1003" s="314"/>
      <c r="C1003" s="329"/>
      <c r="D1003" s="313"/>
      <c r="E1003" s="313"/>
      <c r="F1003" s="315"/>
      <c r="G1003" s="313"/>
      <c r="H1003" s="313"/>
      <c r="I1003" s="315"/>
      <c r="J1003" s="10"/>
      <c r="K1003" s="248"/>
      <c r="L1003" s="18"/>
      <c r="M1003" s="19"/>
      <c r="N1003" s="54"/>
      <c r="O1003" s="19"/>
      <c r="P1003" s="21"/>
      <c r="Q1003" s="19"/>
      <c r="R1003" s="22"/>
    </row>
    <row r="1004" spans="1:18" s="23" customFormat="1" x14ac:dyDescent="0.25">
      <c r="A1004" s="314"/>
      <c r="B1004" s="314"/>
      <c r="C1004" s="329"/>
      <c r="D1004" s="313"/>
      <c r="E1004" s="313"/>
      <c r="F1004" s="315"/>
      <c r="G1004" s="313"/>
      <c r="H1004" s="313"/>
      <c r="I1004" s="315"/>
      <c r="J1004" s="10"/>
      <c r="K1004" s="248"/>
      <c r="L1004" s="18"/>
      <c r="M1004" s="19"/>
      <c r="N1004" s="54"/>
      <c r="O1004" s="19"/>
      <c r="P1004" s="21"/>
      <c r="Q1004" s="19"/>
      <c r="R1004" s="22"/>
    </row>
    <row r="1005" spans="1:18" s="23" customFormat="1" x14ac:dyDescent="0.25">
      <c r="A1005" s="314"/>
      <c r="B1005" s="314"/>
      <c r="C1005" s="329"/>
      <c r="D1005" s="313"/>
      <c r="E1005" s="313"/>
      <c r="F1005" s="315"/>
      <c r="G1005" s="313"/>
      <c r="H1005" s="313"/>
      <c r="I1005" s="315"/>
      <c r="J1005" s="10"/>
      <c r="K1005" s="248"/>
      <c r="L1005" s="18"/>
      <c r="M1005" s="19"/>
      <c r="N1005" s="54"/>
      <c r="O1005" s="19"/>
      <c r="P1005" s="21"/>
      <c r="Q1005" s="19"/>
      <c r="R1005" s="22"/>
    </row>
    <row r="1006" spans="1:18" s="23" customFormat="1" x14ac:dyDescent="0.25">
      <c r="A1006" s="314"/>
      <c r="B1006" s="314"/>
      <c r="C1006" s="329"/>
      <c r="D1006" s="313"/>
      <c r="E1006" s="313"/>
      <c r="F1006" s="315"/>
      <c r="G1006" s="313"/>
      <c r="H1006" s="313"/>
      <c r="I1006" s="315"/>
      <c r="J1006" s="10"/>
      <c r="K1006" s="248"/>
      <c r="L1006" s="18"/>
      <c r="M1006" s="19"/>
      <c r="N1006" s="54"/>
      <c r="O1006" s="19"/>
      <c r="P1006" s="21"/>
      <c r="Q1006" s="19"/>
      <c r="R1006" s="22"/>
    </row>
    <row r="1007" spans="1:18" s="23" customFormat="1" x14ac:dyDescent="0.25">
      <c r="A1007" s="314"/>
      <c r="B1007" s="314"/>
      <c r="C1007" s="329"/>
      <c r="D1007" s="313"/>
      <c r="E1007" s="313"/>
      <c r="F1007" s="315"/>
      <c r="G1007" s="313"/>
      <c r="H1007" s="313"/>
      <c r="I1007" s="315"/>
      <c r="J1007" s="10"/>
      <c r="K1007" s="248"/>
      <c r="L1007" s="18"/>
      <c r="M1007" s="19"/>
      <c r="N1007" s="54"/>
      <c r="O1007" s="19"/>
      <c r="P1007" s="21"/>
      <c r="Q1007" s="19"/>
      <c r="R1007" s="22"/>
    </row>
    <row r="1008" spans="1:18" s="23" customFormat="1" x14ac:dyDescent="0.25">
      <c r="A1008" s="314"/>
      <c r="B1008" s="314"/>
      <c r="C1008" s="329"/>
      <c r="D1008" s="313"/>
      <c r="E1008" s="313"/>
      <c r="F1008" s="315"/>
      <c r="G1008" s="313"/>
      <c r="H1008" s="313"/>
      <c r="I1008" s="315"/>
      <c r="J1008" s="10"/>
      <c r="K1008" s="248"/>
      <c r="L1008" s="18"/>
      <c r="M1008" s="19"/>
      <c r="N1008" s="54"/>
      <c r="O1008" s="19"/>
      <c r="P1008" s="21"/>
      <c r="Q1008" s="19"/>
      <c r="R1008" s="22"/>
    </row>
    <row r="1009" spans="1:18" s="23" customFormat="1" x14ac:dyDescent="0.25">
      <c r="A1009" s="314"/>
      <c r="B1009" s="314"/>
      <c r="C1009" s="329"/>
      <c r="D1009" s="313"/>
      <c r="E1009" s="313"/>
      <c r="F1009" s="315"/>
      <c r="G1009" s="313"/>
      <c r="H1009" s="313"/>
      <c r="I1009" s="315"/>
      <c r="J1009" s="10"/>
      <c r="K1009" s="248"/>
      <c r="L1009" s="18"/>
      <c r="M1009" s="19"/>
      <c r="N1009" s="54"/>
      <c r="O1009" s="19"/>
      <c r="P1009" s="21"/>
      <c r="Q1009" s="19"/>
      <c r="R1009" s="22"/>
    </row>
    <row r="1010" spans="1:18" s="23" customFormat="1" x14ac:dyDescent="0.25">
      <c r="A1010" s="314"/>
      <c r="B1010" s="314"/>
      <c r="C1010" s="329"/>
      <c r="D1010" s="313"/>
      <c r="E1010" s="313"/>
      <c r="F1010" s="315"/>
      <c r="G1010" s="313"/>
      <c r="H1010" s="313"/>
      <c r="I1010" s="315"/>
      <c r="J1010" s="10"/>
      <c r="K1010" s="248"/>
      <c r="L1010" s="18"/>
      <c r="M1010" s="19"/>
      <c r="N1010" s="54"/>
      <c r="O1010" s="19"/>
      <c r="P1010" s="21"/>
      <c r="Q1010" s="19"/>
      <c r="R1010" s="22"/>
    </row>
    <row r="1011" spans="1:18" s="23" customFormat="1" x14ac:dyDescent="0.25">
      <c r="A1011" s="314"/>
      <c r="B1011" s="314"/>
      <c r="C1011" s="329"/>
      <c r="D1011" s="313"/>
      <c r="E1011" s="313"/>
      <c r="F1011" s="315"/>
      <c r="G1011" s="313"/>
      <c r="H1011" s="313"/>
      <c r="I1011" s="315"/>
      <c r="J1011" s="10"/>
      <c r="K1011" s="248"/>
      <c r="L1011" s="18"/>
      <c r="M1011" s="19"/>
      <c r="N1011" s="54"/>
      <c r="O1011" s="19"/>
      <c r="P1011" s="21"/>
      <c r="Q1011" s="19"/>
      <c r="R1011" s="22"/>
    </row>
    <row r="1012" spans="1:18" s="23" customFormat="1" x14ac:dyDescent="0.25">
      <c r="A1012" s="314"/>
      <c r="B1012" s="314"/>
      <c r="C1012" s="329"/>
      <c r="D1012" s="313"/>
      <c r="E1012" s="313"/>
      <c r="F1012" s="315"/>
      <c r="G1012" s="313"/>
      <c r="H1012" s="313"/>
      <c r="I1012" s="315"/>
      <c r="J1012" s="10"/>
      <c r="K1012" s="248"/>
      <c r="L1012" s="18"/>
      <c r="M1012" s="19"/>
      <c r="N1012" s="54"/>
      <c r="O1012" s="19"/>
      <c r="P1012" s="21"/>
      <c r="Q1012" s="19"/>
      <c r="R1012" s="22"/>
    </row>
    <row r="1013" spans="1:18" s="23" customFormat="1" x14ac:dyDescent="0.25">
      <c r="A1013" s="314"/>
      <c r="B1013" s="314"/>
      <c r="C1013" s="329"/>
      <c r="D1013" s="313"/>
      <c r="E1013" s="313"/>
      <c r="F1013" s="315"/>
      <c r="G1013" s="313"/>
      <c r="H1013" s="313"/>
      <c r="I1013" s="315"/>
      <c r="J1013" s="10"/>
      <c r="K1013" s="248"/>
      <c r="L1013" s="18"/>
      <c r="M1013" s="19"/>
      <c r="N1013" s="54"/>
      <c r="O1013" s="19"/>
      <c r="P1013" s="21"/>
      <c r="Q1013" s="19"/>
      <c r="R1013" s="22"/>
    </row>
    <row r="1014" spans="1:18" s="23" customFormat="1" x14ac:dyDescent="0.25">
      <c r="A1014" s="314"/>
      <c r="B1014" s="314"/>
      <c r="C1014" s="329"/>
      <c r="D1014" s="313"/>
      <c r="E1014" s="313"/>
      <c r="F1014" s="315"/>
      <c r="G1014" s="313"/>
      <c r="H1014" s="313"/>
      <c r="I1014" s="315"/>
      <c r="J1014" s="10"/>
      <c r="K1014" s="248"/>
      <c r="L1014" s="18"/>
      <c r="M1014" s="19"/>
      <c r="N1014" s="54"/>
      <c r="O1014" s="19"/>
      <c r="P1014" s="21"/>
      <c r="Q1014" s="19"/>
      <c r="R1014" s="22"/>
    </row>
    <row r="1015" spans="1:18" s="23" customFormat="1" x14ac:dyDescent="0.25">
      <c r="A1015" s="314"/>
      <c r="B1015" s="314"/>
      <c r="C1015" s="329"/>
      <c r="D1015" s="313"/>
      <c r="E1015" s="313"/>
      <c r="F1015" s="315"/>
      <c r="G1015" s="313"/>
      <c r="H1015" s="313"/>
      <c r="I1015" s="315"/>
      <c r="J1015" s="10"/>
      <c r="K1015" s="248"/>
      <c r="L1015" s="18"/>
      <c r="M1015" s="19"/>
      <c r="N1015" s="54"/>
      <c r="O1015" s="19"/>
      <c r="P1015" s="21"/>
      <c r="Q1015" s="19"/>
      <c r="R1015" s="22"/>
    </row>
    <row r="1016" spans="1:18" s="23" customFormat="1" x14ac:dyDescent="0.25">
      <c r="A1016" s="314"/>
      <c r="B1016" s="314"/>
      <c r="C1016" s="329"/>
      <c r="D1016" s="313"/>
      <c r="E1016" s="313"/>
      <c r="F1016" s="315"/>
      <c r="G1016" s="313"/>
      <c r="H1016" s="313"/>
      <c r="I1016" s="315"/>
      <c r="J1016" s="10"/>
      <c r="K1016" s="248"/>
      <c r="L1016" s="18"/>
      <c r="M1016" s="19"/>
      <c r="N1016" s="54"/>
      <c r="O1016" s="19"/>
      <c r="P1016" s="21"/>
      <c r="Q1016" s="19"/>
      <c r="R1016" s="22"/>
    </row>
    <row r="1017" spans="1:18" s="23" customFormat="1" x14ac:dyDescent="0.25">
      <c r="A1017" s="314"/>
      <c r="B1017" s="314"/>
      <c r="C1017" s="329"/>
      <c r="D1017" s="313"/>
      <c r="E1017" s="313"/>
      <c r="F1017" s="315"/>
      <c r="G1017" s="313"/>
      <c r="H1017" s="313"/>
      <c r="I1017" s="315"/>
      <c r="J1017" s="10"/>
      <c r="K1017" s="248"/>
      <c r="L1017" s="18"/>
      <c r="M1017" s="19"/>
      <c r="N1017" s="54"/>
      <c r="O1017" s="19"/>
      <c r="P1017" s="21"/>
      <c r="Q1017" s="19"/>
      <c r="R1017" s="22"/>
    </row>
    <row r="1018" spans="1:18" s="23" customFormat="1" x14ac:dyDescent="0.25">
      <c r="A1018" s="314"/>
      <c r="B1018" s="314"/>
      <c r="C1018" s="329"/>
      <c r="D1018" s="313"/>
      <c r="E1018" s="313"/>
      <c r="F1018" s="315"/>
      <c r="G1018" s="313"/>
      <c r="H1018" s="313"/>
      <c r="I1018" s="315"/>
      <c r="J1018" s="10"/>
      <c r="K1018" s="248"/>
      <c r="L1018" s="18"/>
      <c r="M1018" s="19"/>
      <c r="N1018" s="54"/>
      <c r="O1018" s="19"/>
      <c r="P1018" s="21"/>
      <c r="Q1018" s="19"/>
      <c r="R1018" s="22"/>
    </row>
    <row r="1019" spans="1:18" s="23" customFormat="1" x14ac:dyDescent="0.25">
      <c r="A1019" s="314"/>
      <c r="B1019" s="314"/>
      <c r="C1019" s="329"/>
      <c r="D1019" s="313"/>
      <c r="E1019" s="313"/>
      <c r="F1019" s="315"/>
      <c r="G1019" s="313"/>
      <c r="H1019" s="313"/>
      <c r="I1019" s="315"/>
      <c r="J1019" s="10"/>
      <c r="K1019" s="248"/>
      <c r="L1019" s="18"/>
      <c r="M1019" s="19"/>
      <c r="N1019" s="54"/>
      <c r="O1019" s="19"/>
      <c r="P1019" s="21"/>
      <c r="Q1019" s="19"/>
      <c r="R1019" s="22"/>
    </row>
    <row r="1020" spans="1:18" s="23" customFormat="1" x14ac:dyDescent="0.25">
      <c r="A1020" s="314"/>
      <c r="B1020" s="314"/>
      <c r="C1020" s="329"/>
      <c r="D1020" s="313"/>
      <c r="E1020" s="313"/>
      <c r="F1020" s="315"/>
      <c r="G1020" s="313"/>
      <c r="H1020" s="313"/>
      <c r="I1020" s="315"/>
      <c r="J1020" s="10"/>
      <c r="K1020" s="248"/>
      <c r="L1020" s="18"/>
      <c r="M1020" s="19"/>
      <c r="N1020" s="54"/>
      <c r="O1020" s="19"/>
      <c r="P1020" s="21"/>
      <c r="Q1020" s="19"/>
      <c r="R1020" s="22"/>
    </row>
    <row r="1021" spans="1:18" s="23" customFormat="1" x14ac:dyDescent="0.25">
      <c r="A1021" s="314"/>
      <c r="B1021" s="314"/>
      <c r="C1021" s="329"/>
      <c r="D1021" s="313"/>
      <c r="E1021" s="313"/>
      <c r="F1021" s="315"/>
      <c r="G1021" s="313"/>
      <c r="H1021" s="313"/>
      <c r="I1021" s="315"/>
      <c r="J1021" s="10"/>
      <c r="K1021" s="248"/>
      <c r="L1021" s="18"/>
      <c r="M1021" s="19"/>
      <c r="N1021" s="54"/>
      <c r="O1021" s="19"/>
      <c r="P1021" s="21"/>
      <c r="Q1021" s="19"/>
      <c r="R1021" s="22"/>
    </row>
    <row r="1022" spans="1:18" s="23" customFormat="1" x14ac:dyDescent="0.25">
      <c r="A1022" s="314"/>
      <c r="B1022" s="314"/>
      <c r="C1022" s="329"/>
      <c r="D1022" s="313"/>
      <c r="E1022" s="313"/>
      <c r="F1022" s="315"/>
      <c r="G1022" s="313"/>
      <c r="H1022" s="313"/>
      <c r="I1022" s="315"/>
      <c r="J1022" s="10"/>
      <c r="K1022" s="248"/>
      <c r="L1022" s="18"/>
      <c r="M1022" s="19"/>
      <c r="N1022" s="54"/>
      <c r="O1022" s="19"/>
      <c r="P1022" s="21"/>
      <c r="Q1022" s="19"/>
      <c r="R1022" s="22"/>
    </row>
    <row r="1023" spans="1:18" s="23" customFormat="1" x14ac:dyDescent="0.25">
      <c r="A1023" s="314"/>
      <c r="B1023" s="314"/>
      <c r="C1023" s="329"/>
      <c r="D1023" s="313"/>
      <c r="E1023" s="313"/>
      <c r="F1023" s="315"/>
      <c r="G1023" s="313"/>
      <c r="H1023" s="313"/>
      <c r="I1023" s="315"/>
      <c r="J1023" s="10"/>
      <c r="K1023" s="248"/>
      <c r="L1023" s="18"/>
      <c r="M1023" s="19"/>
      <c r="N1023" s="54"/>
      <c r="O1023" s="19"/>
      <c r="P1023" s="21"/>
      <c r="Q1023" s="19"/>
      <c r="R1023" s="22"/>
    </row>
    <row r="1024" spans="1:18" s="23" customFormat="1" x14ac:dyDescent="0.25">
      <c r="A1024" s="314"/>
      <c r="B1024" s="314"/>
      <c r="C1024" s="329"/>
      <c r="D1024" s="313"/>
      <c r="E1024" s="313"/>
      <c r="F1024" s="315"/>
      <c r="G1024" s="313"/>
      <c r="H1024" s="313"/>
      <c r="I1024" s="315"/>
      <c r="J1024" s="10"/>
      <c r="K1024" s="248"/>
      <c r="L1024" s="18"/>
      <c r="M1024" s="19"/>
      <c r="N1024" s="54"/>
      <c r="O1024" s="19"/>
      <c r="P1024" s="21"/>
      <c r="Q1024" s="19"/>
      <c r="R1024" s="22"/>
    </row>
    <row r="1025" spans="1:18" s="23" customFormat="1" x14ac:dyDescent="0.25">
      <c r="A1025" s="314"/>
      <c r="B1025" s="314"/>
      <c r="C1025" s="329"/>
      <c r="D1025" s="313"/>
      <c r="E1025" s="313"/>
      <c r="F1025" s="315"/>
      <c r="G1025" s="313"/>
      <c r="H1025" s="313"/>
      <c r="I1025" s="315"/>
      <c r="J1025" s="10"/>
      <c r="K1025" s="248"/>
      <c r="L1025" s="18"/>
      <c r="M1025" s="19"/>
      <c r="N1025" s="54"/>
      <c r="O1025" s="19"/>
      <c r="P1025" s="21"/>
      <c r="Q1025" s="19"/>
      <c r="R1025" s="22"/>
    </row>
    <row r="1026" spans="1:18" s="23" customFormat="1" x14ac:dyDescent="0.25">
      <c r="A1026" s="314"/>
      <c r="B1026" s="314"/>
      <c r="C1026" s="329"/>
      <c r="D1026" s="313"/>
      <c r="E1026" s="313"/>
      <c r="F1026" s="315"/>
      <c r="G1026" s="313"/>
      <c r="H1026" s="313"/>
      <c r="I1026" s="315"/>
      <c r="J1026" s="10"/>
      <c r="K1026" s="248"/>
      <c r="L1026" s="18"/>
      <c r="M1026" s="19"/>
      <c r="N1026" s="54"/>
      <c r="O1026" s="19"/>
      <c r="P1026" s="21"/>
      <c r="Q1026" s="19"/>
      <c r="R1026" s="22"/>
    </row>
    <row r="1027" spans="1:18" s="23" customFormat="1" x14ac:dyDescent="0.25">
      <c r="A1027" s="314"/>
      <c r="B1027" s="314"/>
      <c r="C1027" s="329"/>
      <c r="D1027" s="313"/>
      <c r="E1027" s="313"/>
      <c r="F1027" s="315"/>
      <c r="G1027" s="313"/>
      <c r="H1027" s="313"/>
      <c r="I1027" s="315"/>
      <c r="J1027" s="10"/>
      <c r="K1027" s="248"/>
      <c r="L1027" s="18"/>
      <c r="M1027" s="19"/>
      <c r="N1027" s="54"/>
      <c r="O1027" s="19"/>
      <c r="P1027" s="21"/>
      <c r="Q1027" s="19"/>
      <c r="R1027" s="22"/>
    </row>
    <row r="1028" spans="1:18" s="23" customFormat="1" x14ac:dyDescent="0.25">
      <c r="A1028" s="314"/>
      <c r="B1028" s="314"/>
      <c r="C1028" s="329"/>
      <c r="D1028" s="313"/>
      <c r="E1028" s="313"/>
      <c r="F1028" s="315"/>
      <c r="G1028" s="313"/>
      <c r="H1028" s="313"/>
      <c r="I1028" s="315"/>
      <c r="J1028" s="10"/>
      <c r="K1028" s="248"/>
      <c r="L1028" s="18"/>
      <c r="M1028" s="19"/>
      <c r="N1028" s="54"/>
      <c r="O1028" s="19"/>
      <c r="P1028" s="21"/>
      <c r="Q1028" s="19"/>
      <c r="R1028" s="22"/>
    </row>
    <row r="1029" spans="1:18" s="23" customFormat="1" x14ac:dyDescent="0.25">
      <c r="A1029" s="314"/>
      <c r="B1029" s="314"/>
      <c r="C1029" s="329"/>
      <c r="D1029" s="313"/>
      <c r="E1029" s="313"/>
      <c r="F1029" s="315"/>
      <c r="G1029" s="313"/>
      <c r="H1029" s="313"/>
      <c r="I1029" s="315"/>
      <c r="J1029" s="10"/>
      <c r="K1029" s="248"/>
      <c r="L1029" s="18"/>
      <c r="M1029" s="19"/>
      <c r="N1029" s="54"/>
      <c r="O1029" s="19"/>
      <c r="P1029" s="21"/>
      <c r="Q1029" s="19"/>
      <c r="R1029" s="22"/>
    </row>
    <row r="1030" spans="1:18" s="23" customFormat="1" x14ac:dyDescent="0.25">
      <c r="A1030" s="314"/>
      <c r="B1030" s="314"/>
      <c r="C1030" s="329"/>
      <c r="D1030" s="313"/>
      <c r="E1030" s="313"/>
      <c r="F1030" s="315"/>
      <c r="G1030" s="313"/>
      <c r="H1030" s="313"/>
      <c r="I1030" s="315"/>
      <c r="J1030" s="10"/>
      <c r="K1030" s="248"/>
      <c r="L1030" s="18"/>
      <c r="M1030" s="19"/>
      <c r="N1030" s="54"/>
      <c r="O1030" s="19"/>
      <c r="P1030" s="21"/>
      <c r="Q1030" s="19"/>
      <c r="R1030" s="22"/>
    </row>
    <row r="1031" spans="1:18" s="23" customFormat="1" x14ac:dyDescent="0.25">
      <c r="A1031" s="314"/>
      <c r="B1031" s="314"/>
      <c r="C1031" s="329"/>
      <c r="D1031" s="313"/>
      <c r="E1031" s="313"/>
      <c r="F1031" s="315"/>
      <c r="G1031" s="313"/>
      <c r="H1031" s="313"/>
      <c r="I1031" s="315"/>
      <c r="J1031" s="10"/>
      <c r="K1031" s="248"/>
      <c r="L1031" s="18"/>
      <c r="M1031" s="19"/>
      <c r="N1031" s="54"/>
      <c r="O1031" s="19"/>
      <c r="P1031" s="21"/>
      <c r="Q1031" s="19"/>
      <c r="R1031" s="22"/>
    </row>
    <row r="1032" spans="1:18" s="23" customFormat="1" x14ac:dyDescent="0.25">
      <c r="A1032" s="314"/>
      <c r="B1032" s="314"/>
      <c r="C1032" s="329"/>
      <c r="D1032" s="313"/>
      <c r="E1032" s="313"/>
      <c r="F1032" s="315"/>
      <c r="G1032" s="313"/>
      <c r="H1032" s="313"/>
      <c r="I1032" s="315"/>
      <c r="J1032" s="10"/>
      <c r="K1032" s="248"/>
      <c r="L1032" s="18"/>
      <c r="M1032" s="19"/>
      <c r="N1032" s="54"/>
      <c r="O1032" s="19"/>
      <c r="P1032" s="21"/>
      <c r="Q1032" s="19"/>
      <c r="R1032" s="22"/>
    </row>
    <row r="1033" spans="1:18" s="23" customFormat="1" x14ac:dyDescent="0.25">
      <c r="A1033" s="314"/>
      <c r="B1033" s="314"/>
      <c r="C1033" s="329"/>
      <c r="D1033" s="313"/>
      <c r="E1033" s="313"/>
      <c r="F1033" s="315"/>
      <c r="G1033" s="313"/>
      <c r="H1033" s="313"/>
      <c r="I1033" s="315"/>
      <c r="J1033" s="10"/>
      <c r="K1033" s="248"/>
      <c r="L1033" s="18"/>
      <c r="M1033" s="19"/>
      <c r="N1033" s="54"/>
      <c r="O1033" s="19"/>
      <c r="P1033" s="21"/>
      <c r="Q1033" s="19"/>
      <c r="R1033" s="22"/>
    </row>
    <row r="1034" spans="1:18" s="23" customFormat="1" x14ac:dyDescent="0.25">
      <c r="A1034" s="314"/>
      <c r="B1034" s="314"/>
      <c r="C1034" s="329"/>
      <c r="D1034" s="313"/>
      <c r="E1034" s="313"/>
      <c r="F1034" s="315"/>
      <c r="G1034" s="313"/>
      <c r="H1034" s="313"/>
      <c r="I1034" s="315"/>
      <c r="J1034" s="10"/>
      <c r="K1034" s="248"/>
      <c r="L1034" s="18"/>
      <c r="M1034" s="19"/>
      <c r="N1034" s="54"/>
      <c r="O1034" s="19"/>
      <c r="P1034" s="21"/>
      <c r="Q1034" s="19"/>
      <c r="R1034" s="22"/>
    </row>
    <row r="1035" spans="1:18" s="23" customFormat="1" x14ac:dyDescent="0.25">
      <c r="A1035" s="314"/>
      <c r="B1035" s="314"/>
      <c r="C1035" s="329"/>
      <c r="D1035" s="313"/>
      <c r="E1035" s="313"/>
      <c r="F1035" s="315"/>
      <c r="G1035" s="313"/>
      <c r="H1035" s="313"/>
      <c r="I1035" s="315"/>
      <c r="J1035" s="10"/>
      <c r="K1035" s="248"/>
      <c r="L1035" s="18"/>
      <c r="M1035" s="19"/>
      <c r="N1035" s="54"/>
      <c r="O1035" s="19"/>
      <c r="P1035" s="21"/>
      <c r="Q1035" s="19"/>
      <c r="R1035" s="22"/>
    </row>
    <row r="1036" spans="1:18" s="23" customFormat="1" x14ac:dyDescent="0.25">
      <c r="A1036" s="314"/>
      <c r="B1036" s="314"/>
      <c r="C1036" s="329"/>
      <c r="D1036" s="313"/>
      <c r="E1036" s="313"/>
      <c r="F1036" s="315"/>
      <c r="G1036" s="313"/>
      <c r="H1036" s="313"/>
      <c r="I1036" s="315"/>
      <c r="J1036" s="10"/>
      <c r="K1036" s="248"/>
      <c r="L1036" s="18"/>
      <c r="M1036" s="19"/>
      <c r="N1036" s="54"/>
      <c r="O1036" s="19"/>
      <c r="P1036" s="21"/>
      <c r="Q1036" s="19"/>
      <c r="R1036" s="22"/>
    </row>
    <row r="1037" spans="1:18" s="23" customFormat="1" x14ac:dyDescent="0.25">
      <c r="A1037" s="314"/>
      <c r="B1037" s="314"/>
      <c r="C1037" s="329"/>
      <c r="D1037" s="313"/>
      <c r="E1037" s="313"/>
      <c r="F1037" s="315"/>
      <c r="G1037" s="313"/>
      <c r="H1037" s="313"/>
      <c r="I1037" s="315"/>
      <c r="J1037" s="10"/>
      <c r="K1037" s="248"/>
      <c r="L1037" s="18"/>
      <c r="M1037" s="19"/>
      <c r="N1037" s="54"/>
      <c r="O1037" s="19"/>
      <c r="P1037" s="21"/>
      <c r="Q1037" s="19"/>
      <c r="R1037" s="22"/>
    </row>
    <row r="1038" spans="1:18" s="23" customFormat="1" x14ac:dyDescent="0.25">
      <c r="A1038" s="314"/>
      <c r="B1038" s="314"/>
      <c r="C1038" s="329"/>
      <c r="D1038" s="313"/>
      <c r="E1038" s="313"/>
      <c r="F1038" s="315"/>
      <c r="G1038" s="313"/>
      <c r="H1038" s="313"/>
      <c r="I1038" s="315"/>
      <c r="J1038" s="10"/>
      <c r="K1038" s="248"/>
      <c r="L1038" s="18"/>
      <c r="M1038" s="19"/>
      <c r="N1038" s="54"/>
      <c r="O1038" s="19"/>
      <c r="P1038" s="21"/>
      <c r="Q1038" s="19"/>
      <c r="R1038" s="22"/>
    </row>
    <row r="1039" spans="1:18" s="23" customFormat="1" x14ac:dyDescent="0.25">
      <c r="A1039" s="314"/>
      <c r="B1039" s="314"/>
      <c r="C1039" s="329"/>
      <c r="D1039" s="313"/>
      <c r="E1039" s="313"/>
      <c r="F1039" s="315"/>
      <c r="G1039" s="313"/>
      <c r="H1039" s="313"/>
      <c r="I1039" s="315"/>
      <c r="J1039" s="10"/>
      <c r="K1039" s="248"/>
      <c r="L1039" s="18"/>
      <c r="M1039" s="19"/>
      <c r="N1039" s="54"/>
      <c r="O1039" s="19"/>
      <c r="P1039" s="21"/>
      <c r="Q1039" s="19"/>
      <c r="R1039" s="22"/>
    </row>
    <row r="1040" spans="1:18" s="23" customFormat="1" x14ac:dyDescent="0.25">
      <c r="A1040" s="314"/>
      <c r="B1040" s="314"/>
      <c r="C1040" s="329"/>
      <c r="D1040" s="313"/>
      <c r="E1040" s="313"/>
      <c r="F1040" s="315"/>
      <c r="G1040" s="313"/>
      <c r="H1040" s="313"/>
      <c r="I1040" s="315"/>
      <c r="J1040" s="10"/>
      <c r="K1040" s="248"/>
      <c r="L1040" s="18"/>
      <c r="M1040" s="19"/>
      <c r="N1040" s="54"/>
      <c r="O1040" s="19"/>
      <c r="P1040" s="21"/>
      <c r="Q1040" s="19"/>
      <c r="R1040" s="22"/>
    </row>
    <row r="1041" spans="1:18" s="23" customFormat="1" x14ac:dyDescent="0.25">
      <c r="A1041" s="314"/>
      <c r="B1041" s="314"/>
      <c r="C1041" s="329"/>
      <c r="D1041" s="313"/>
      <c r="E1041" s="313"/>
      <c r="F1041" s="315"/>
      <c r="G1041" s="313"/>
      <c r="H1041" s="313"/>
      <c r="I1041" s="315"/>
      <c r="J1041" s="10"/>
      <c r="K1041" s="248"/>
      <c r="L1041" s="18"/>
      <c r="M1041" s="19"/>
      <c r="N1041" s="54"/>
      <c r="O1041" s="19"/>
      <c r="P1041" s="21"/>
      <c r="Q1041" s="19"/>
      <c r="R1041" s="22"/>
    </row>
  </sheetData>
  <mergeCells count="7">
    <mergeCell ref="A9:I9"/>
    <mergeCell ref="A901:I901"/>
    <mergeCell ref="A11:C11"/>
    <mergeCell ref="A12:C12"/>
    <mergeCell ref="A13:C13"/>
    <mergeCell ref="G16:H16"/>
    <mergeCell ref="A899:H899"/>
  </mergeCells>
  <printOptions horizontalCentered="1"/>
  <pageMargins left="0.15748031496062992" right="0.23622047244094491" top="0.9055118110236221" bottom="0.74803149606299213" header="0.15748031496062992" footer="0.15748031496062992"/>
  <pageSetup paperSize="9" scale="80" orientation="landscape" r:id="rId1"/>
  <headerFooter alignWithMargins="0">
    <oddHeader>&amp;L&amp;G</oddHeader>
    <oddFooter>&amp;CRazão Social: Construtora W Mendes Ltda
CNPJ: 13.252.128/0001-94 - (65) 3661-3737 / 9 9991-9276 
R: Joaquim Murtinho, n° 940 Centro Sul - CEP: 78020-290    Cidade: Cuiabá - MT.  
&amp;RPágina &amp;P de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Picture.8" shapeId="2049" r:id="rId5">
          <objectPr defaultSize="0" autoPict="0" r:id="rId6">
            <anchor moveWithCells="1" sizeWithCells="1">
              <from>
                <xdr:col>2</xdr:col>
                <xdr:colOff>1973580</xdr:colOff>
                <xdr:row>0</xdr:row>
                <xdr:rowOff>0</xdr:rowOff>
              </from>
              <to>
                <xdr:col>2</xdr:col>
                <xdr:colOff>2598420</xdr:colOff>
                <xdr:row>0</xdr:row>
                <xdr:rowOff>0</xdr:rowOff>
              </to>
            </anchor>
          </objectPr>
        </oleObject>
      </mc:Choice>
      <mc:Fallback>
        <oleObject progId="Word.Picture.8" shapeId="2049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0"/>
  <sheetViews>
    <sheetView view="pageBreakPreview" topLeftCell="A31" zoomScaleNormal="100" zoomScaleSheetLayoutView="100" workbookViewId="0">
      <selection activeCell="A40" sqref="A40:XFD50"/>
    </sheetView>
  </sheetViews>
  <sheetFormatPr defaultColWidth="9.109375" defaultRowHeight="13.2" x14ac:dyDescent="0.25"/>
  <cols>
    <col min="1" max="1" width="5.88671875" style="398" customWidth="1"/>
    <col min="2" max="2" width="80.109375" style="398" customWidth="1"/>
    <col min="3" max="3" width="9.6640625" style="398" customWidth="1"/>
    <col min="4" max="4" width="9.109375" style="114"/>
    <col min="5" max="7" width="0" style="114" hidden="1" customWidth="1"/>
    <col min="8" max="8" width="9.88671875" style="114" hidden="1" customWidth="1"/>
    <col min="9" max="16384" width="9.109375" style="114"/>
  </cols>
  <sheetData>
    <row r="1" spans="1:8" x14ac:dyDescent="0.25">
      <c r="A1" s="670" t="s">
        <v>822</v>
      </c>
      <c r="B1" s="671"/>
      <c r="C1" s="672"/>
    </row>
    <row r="2" spans="1:8" x14ac:dyDescent="0.25">
      <c r="A2" s="673"/>
      <c r="B2" s="674"/>
      <c r="C2" s="675"/>
    </row>
    <row r="3" spans="1:8" ht="15.6" x14ac:dyDescent="0.25">
      <c r="A3" s="676" t="s">
        <v>10</v>
      </c>
      <c r="B3" s="676"/>
      <c r="C3" s="384" t="s">
        <v>494</v>
      </c>
    </row>
    <row r="4" spans="1:8" ht="15.6" x14ac:dyDescent="0.3">
      <c r="A4" s="677" t="s">
        <v>823</v>
      </c>
      <c r="B4" s="677"/>
      <c r="C4" s="385"/>
    </row>
    <row r="5" spans="1:8" ht="31.2" x14ac:dyDescent="0.25">
      <c r="A5" s="386" t="s">
        <v>824</v>
      </c>
      <c r="B5" s="387" t="s">
        <v>2755</v>
      </c>
      <c r="C5" s="388">
        <v>0.03</v>
      </c>
    </row>
    <row r="6" spans="1:8" ht="15.6" x14ac:dyDescent="0.25">
      <c r="A6" s="386"/>
      <c r="B6" s="389" t="s">
        <v>825</v>
      </c>
      <c r="C6" s="388">
        <f>SUM(C5)</f>
        <v>0.03</v>
      </c>
      <c r="G6" s="115">
        <f>1+C5+C10+C12+C11</f>
        <v>1.05</v>
      </c>
      <c r="H6" s="114">
        <f>1+3/100+0.4/100+1.2/100+0.4/100</f>
        <v>1.05</v>
      </c>
    </row>
    <row r="7" spans="1:8" ht="15.6" x14ac:dyDescent="0.25">
      <c r="A7" s="386"/>
      <c r="B7" s="387"/>
      <c r="C7" s="388"/>
      <c r="G7" s="115">
        <f>1+C9</f>
        <v>1.0121</v>
      </c>
      <c r="H7" s="114">
        <f>1+1.21/100</f>
        <v>1.0121</v>
      </c>
    </row>
    <row r="8" spans="1:8" ht="15.6" x14ac:dyDescent="0.25">
      <c r="A8" s="669" t="s">
        <v>826</v>
      </c>
      <c r="B8" s="669"/>
      <c r="C8" s="388"/>
      <c r="G8" s="115">
        <f>1+C13</f>
        <v>1.0652999999999999</v>
      </c>
      <c r="H8" s="114">
        <f>1+6.53/100</f>
        <v>1.0652999999999999</v>
      </c>
    </row>
    <row r="9" spans="1:8" ht="15.6" x14ac:dyDescent="0.25">
      <c r="A9" s="386" t="s">
        <v>827</v>
      </c>
      <c r="B9" s="387" t="s">
        <v>2756</v>
      </c>
      <c r="C9" s="388">
        <v>1.21E-2</v>
      </c>
      <c r="G9" s="115">
        <f>1-C24</f>
        <v>0.91010000000000002</v>
      </c>
      <c r="H9" s="114">
        <f>1-10.15/100</f>
        <v>0.89849999999999997</v>
      </c>
    </row>
    <row r="10" spans="1:8" ht="15.6" x14ac:dyDescent="0.25">
      <c r="A10" s="386" t="s">
        <v>828</v>
      </c>
      <c r="B10" s="387" t="s">
        <v>2757</v>
      </c>
      <c r="C10" s="388">
        <v>4.0000000000000001E-3</v>
      </c>
    </row>
    <row r="11" spans="1:8" ht="15.6" x14ac:dyDescent="0.25">
      <c r="A11" s="386" t="s">
        <v>828</v>
      </c>
      <c r="B11" s="387" t="s">
        <v>2758</v>
      </c>
      <c r="C11" s="388">
        <v>4.0000000000000001E-3</v>
      </c>
      <c r="F11" s="115">
        <f>G6*G7*G8</f>
        <v>1.1320996365</v>
      </c>
      <c r="H11" s="114">
        <f>H6*H7*H8</f>
        <v>1.1320996365</v>
      </c>
    </row>
    <row r="12" spans="1:8" ht="15.6" x14ac:dyDescent="0.25">
      <c r="A12" s="386" t="s">
        <v>829</v>
      </c>
      <c r="B12" s="387" t="s">
        <v>2759</v>
      </c>
      <c r="C12" s="388">
        <v>1.2E-2</v>
      </c>
      <c r="F12" s="115">
        <f>F11/G9</f>
        <v>1.2439288391385561</v>
      </c>
      <c r="H12" s="114">
        <f>H11/H9</f>
        <v>1.2599884657762939</v>
      </c>
    </row>
    <row r="13" spans="1:8" ht="15.6" x14ac:dyDescent="0.25">
      <c r="A13" s="386" t="s">
        <v>830</v>
      </c>
      <c r="B13" s="387" t="s">
        <v>2760</v>
      </c>
      <c r="C13" s="388">
        <v>6.5299999999999997E-2</v>
      </c>
      <c r="F13" s="115">
        <f>F12-1</f>
        <v>0.24392883913855612</v>
      </c>
      <c r="H13" s="114">
        <f>H11/H12</f>
        <v>0.89849999999999997</v>
      </c>
    </row>
    <row r="14" spans="1:8" ht="15.6" x14ac:dyDescent="0.25">
      <c r="A14" s="386"/>
      <c r="B14" s="389" t="s">
        <v>831</v>
      </c>
      <c r="C14" s="388">
        <f>SUM(C9:C13)</f>
        <v>9.74E-2</v>
      </c>
      <c r="H14" s="114">
        <f>H12-1</f>
        <v>0.25998846577629386</v>
      </c>
    </row>
    <row r="15" spans="1:8" ht="15.6" x14ac:dyDescent="0.25">
      <c r="A15" s="386"/>
      <c r="B15" s="390"/>
      <c r="C15" s="388"/>
    </row>
    <row r="16" spans="1:8" ht="15.6" x14ac:dyDescent="0.25">
      <c r="A16" s="669" t="s">
        <v>832</v>
      </c>
      <c r="B16" s="669"/>
      <c r="C16" s="388"/>
    </row>
    <row r="17" spans="1:8" ht="15.6" x14ac:dyDescent="0.25">
      <c r="A17" s="386" t="s">
        <v>833</v>
      </c>
      <c r="B17" s="387" t="s">
        <v>2761</v>
      </c>
      <c r="C17" s="388"/>
    </row>
    <row r="18" spans="1:8" ht="15.6" x14ac:dyDescent="0.25">
      <c r="A18" s="386" t="s">
        <v>834</v>
      </c>
      <c r="B18" s="391" t="s">
        <v>835</v>
      </c>
      <c r="C18" s="388">
        <v>0.4</v>
      </c>
      <c r="F18" s="115">
        <f>1+C5+C11+C10+C12</f>
        <v>1.05</v>
      </c>
    </row>
    <row r="19" spans="1:8" ht="15.6" x14ac:dyDescent="0.25">
      <c r="A19" s="386" t="s">
        <v>836</v>
      </c>
      <c r="B19" s="392" t="s">
        <v>837</v>
      </c>
      <c r="C19" s="388">
        <v>0.05</v>
      </c>
      <c r="F19" s="115">
        <f>1+C9</f>
        <v>1.0121</v>
      </c>
    </row>
    <row r="20" spans="1:8" ht="15.6" x14ac:dyDescent="0.25">
      <c r="A20" s="386" t="s">
        <v>838</v>
      </c>
      <c r="B20" s="393" t="s">
        <v>839</v>
      </c>
      <c r="C20" s="388">
        <f>C19*C18</f>
        <v>2.0000000000000004E-2</v>
      </c>
      <c r="F20" s="115">
        <f>1+C13</f>
        <v>1.0652999999999999</v>
      </c>
    </row>
    <row r="21" spans="1:8" ht="15.6" x14ac:dyDescent="0.25">
      <c r="A21" s="386" t="s">
        <v>840</v>
      </c>
      <c r="B21" s="390" t="s">
        <v>841</v>
      </c>
      <c r="C21" s="394">
        <v>4.4000000000000003E-3</v>
      </c>
      <c r="E21" s="116">
        <v>6.4999999999999997E-3</v>
      </c>
      <c r="F21" s="115">
        <f>1-C24</f>
        <v>0.91010000000000002</v>
      </c>
      <c r="H21" s="115">
        <f>F18*F19*F20</f>
        <v>1.1320996365</v>
      </c>
    </row>
    <row r="22" spans="1:8" ht="15.6" x14ac:dyDescent="0.25">
      <c r="A22" s="386" t="s">
        <v>842</v>
      </c>
      <c r="B22" s="390" t="s">
        <v>843</v>
      </c>
      <c r="C22" s="394">
        <v>2.0500000000000001E-2</v>
      </c>
      <c r="E22" s="116">
        <v>0.03</v>
      </c>
      <c r="H22" s="115">
        <f>H21/F21</f>
        <v>1.2439288391385561</v>
      </c>
    </row>
    <row r="23" spans="1:8" ht="15.6" x14ac:dyDescent="0.25">
      <c r="A23" s="386" t="s">
        <v>844</v>
      </c>
      <c r="B23" s="390" t="s">
        <v>845</v>
      </c>
      <c r="C23" s="394">
        <v>4.4999999999999998E-2</v>
      </c>
      <c r="H23" s="117">
        <f>H22-1</f>
        <v>0.24392883913855612</v>
      </c>
    </row>
    <row r="24" spans="1:8" ht="15.6" x14ac:dyDescent="0.25">
      <c r="A24" s="386"/>
      <c r="B24" s="389" t="s">
        <v>846</v>
      </c>
      <c r="C24" s="388">
        <f>SUM(C20:C23)</f>
        <v>8.9900000000000008E-2</v>
      </c>
    </row>
    <row r="25" spans="1:8" ht="15.6" x14ac:dyDescent="0.3">
      <c r="A25" s="395"/>
      <c r="B25" s="395"/>
      <c r="C25" s="388"/>
    </row>
    <row r="26" spans="1:8" ht="15.6" x14ac:dyDescent="0.25">
      <c r="A26" s="669" t="s">
        <v>847</v>
      </c>
      <c r="B26" s="669"/>
      <c r="C26" s="388">
        <f>H23</f>
        <v>0.24392883913855612</v>
      </c>
    </row>
    <row r="27" spans="1:8" ht="43.5" customHeight="1" x14ac:dyDescent="0.25">
      <c r="A27" s="678" t="s">
        <v>2762</v>
      </c>
      <c r="B27" s="678"/>
      <c r="C27" s="678"/>
    </row>
    <row r="28" spans="1:8" x14ac:dyDescent="0.25">
      <c r="A28" s="678"/>
      <c r="B28" s="678"/>
      <c r="C28" s="678"/>
    </row>
    <row r="29" spans="1:8" x14ac:dyDescent="0.25">
      <c r="A29" s="678"/>
      <c r="B29" s="678"/>
      <c r="C29" s="678"/>
    </row>
    <row r="30" spans="1:8" x14ac:dyDescent="0.25">
      <c r="A30" s="678"/>
      <c r="B30" s="678"/>
      <c r="C30" s="678"/>
    </row>
    <row r="31" spans="1:8" x14ac:dyDescent="0.25">
      <c r="A31" s="678"/>
      <c r="B31" s="678"/>
      <c r="C31" s="678"/>
    </row>
    <row r="32" spans="1:8" x14ac:dyDescent="0.25">
      <c r="A32" s="678"/>
      <c r="B32" s="678"/>
      <c r="C32" s="678"/>
    </row>
    <row r="33" spans="1:3" x14ac:dyDescent="0.25">
      <c r="A33" s="678"/>
      <c r="B33" s="678"/>
      <c r="C33" s="678"/>
    </row>
    <row r="34" spans="1:3" x14ac:dyDescent="0.25">
      <c r="A34" s="678"/>
      <c r="B34" s="678"/>
      <c r="C34" s="678"/>
    </row>
    <row r="35" spans="1:3" x14ac:dyDescent="0.25">
      <c r="A35" s="678"/>
      <c r="B35" s="678"/>
      <c r="C35" s="678"/>
    </row>
    <row r="36" spans="1:3" x14ac:dyDescent="0.25">
      <c r="A36" s="678"/>
      <c r="B36" s="678"/>
      <c r="C36" s="678"/>
    </row>
    <row r="37" spans="1:3" x14ac:dyDescent="0.25">
      <c r="A37" s="678"/>
      <c r="B37" s="678"/>
      <c r="C37" s="678"/>
    </row>
    <row r="38" spans="1:3" ht="21" customHeight="1" x14ac:dyDescent="0.25">
      <c r="A38" s="678"/>
      <c r="B38" s="678"/>
      <c r="C38" s="678"/>
    </row>
    <row r="39" spans="1:3" x14ac:dyDescent="0.25">
      <c r="A39" s="396"/>
      <c r="B39" s="396"/>
      <c r="C39" s="396"/>
    </row>
    <row r="40" spans="1:3" hidden="1" x14ac:dyDescent="0.25">
      <c r="A40" s="396"/>
      <c r="B40" s="396"/>
      <c r="C40" s="396"/>
    </row>
    <row r="41" spans="1:3" hidden="1" x14ac:dyDescent="0.25">
      <c r="A41" s="396"/>
      <c r="B41" s="397" t="s">
        <v>848</v>
      </c>
    </row>
    <row r="42" spans="1:3" hidden="1" x14ac:dyDescent="0.25">
      <c r="A42" s="396"/>
      <c r="B42" s="396"/>
      <c r="C42" s="396"/>
    </row>
    <row r="43" spans="1:3" hidden="1" x14ac:dyDescent="0.25">
      <c r="A43" s="396"/>
      <c r="B43" s="396"/>
      <c r="C43" s="396"/>
    </row>
    <row r="44" spans="1:3" hidden="1" x14ac:dyDescent="0.25">
      <c r="A44" s="396"/>
      <c r="B44" s="396"/>
      <c r="C44" s="396"/>
    </row>
    <row r="45" spans="1:3" hidden="1" x14ac:dyDescent="0.25">
      <c r="A45" s="679" t="str">
        <f>[2]RESUMO!A51</f>
        <v>___________________________________</v>
      </c>
      <c r="B45" s="679"/>
      <c r="C45" s="679"/>
    </row>
    <row r="46" spans="1:3" hidden="1" x14ac:dyDescent="0.25">
      <c r="A46" s="679" t="s">
        <v>850</v>
      </c>
      <c r="B46" s="679"/>
      <c r="C46" s="679"/>
    </row>
    <row r="47" spans="1:3" hidden="1" x14ac:dyDescent="0.25">
      <c r="A47" s="679" t="s">
        <v>849</v>
      </c>
      <c r="B47" s="679"/>
      <c r="C47" s="679"/>
    </row>
    <row r="48" spans="1:3" hidden="1" x14ac:dyDescent="0.25">
      <c r="A48" s="679"/>
      <c r="B48" s="679"/>
      <c r="C48" s="679"/>
    </row>
    <row r="49" spans="1:3" hidden="1" x14ac:dyDescent="0.25">
      <c r="A49" s="396"/>
      <c r="B49" s="396"/>
      <c r="C49" s="396"/>
    </row>
    <row r="50" spans="1:3" hidden="1" x14ac:dyDescent="0.25"/>
  </sheetData>
  <mergeCells count="11">
    <mergeCell ref="A27:C38"/>
    <mergeCell ref="A45:C45"/>
    <mergeCell ref="A46:C46"/>
    <mergeCell ref="A47:C47"/>
    <mergeCell ref="A48:C48"/>
    <mergeCell ref="A26:B26"/>
    <mergeCell ref="A1:C2"/>
    <mergeCell ref="A3:B3"/>
    <mergeCell ref="A4:B4"/>
    <mergeCell ref="A8:B8"/>
    <mergeCell ref="A16:B16"/>
  </mergeCells>
  <printOptions horizontalCentered="1"/>
  <pageMargins left="0.82" right="0.23622047244094491" top="1.299212598425197" bottom="0.74803149606299213" header="0.31496062992125984" footer="0.31496062992125984"/>
  <pageSetup paperSize="9" scale="96" orientation="portrait" horizontalDpi="1200" verticalDpi="1200" r:id="rId1"/>
  <headerFooter>
    <oddHeader>&amp;L&amp;G</oddHeader>
    <oddFooter>&amp;CRazão Social: Construtora W Mendes Ltda
CNPJ: 13.252.128/0001-94 - (65) 3661-3737 / 9 9991-9276 
R: Joaquim Murtinho, n° 940 Centro Sul - CEP: 78020-290    Cidade: Cuiabá - MT.  
&amp;RPágina &amp;P de &amp;N</oddFooter>
  </headerFooter>
  <rowBreaks count="1" manualBreakCount="1">
    <brk id="48" max="2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40AB-9675-4463-8145-81030B7DC73D}">
  <dimension ref="A1:N5529"/>
  <sheetViews>
    <sheetView view="pageBreakPreview" topLeftCell="A5512" zoomScale="91" zoomScaleNormal="100" zoomScaleSheetLayoutView="91" workbookViewId="0">
      <selection activeCell="M5533" sqref="M5533"/>
    </sheetView>
  </sheetViews>
  <sheetFormatPr defaultRowHeight="14.4" x14ac:dyDescent="0.3"/>
  <cols>
    <col min="1" max="1" width="12.5546875" style="631" customWidth="1"/>
    <col min="2" max="2" width="12.33203125" style="631" customWidth="1"/>
    <col min="3" max="3" width="52.77734375" style="632" customWidth="1"/>
    <col min="4" max="4" width="8.88671875" style="631"/>
    <col min="5" max="5" width="10.88671875" style="633" customWidth="1"/>
    <col min="6" max="6" width="10.44140625" style="634" customWidth="1"/>
    <col min="7" max="7" width="11.77734375" style="635" customWidth="1"/>
    <col min="9" max="9" width="9.88671875" bestFit="1" customWidth="1"/>
    <col min="10" max="10" width="13.6640625" customWidth="1"/>
    <col min="11" max="11" width="9.88671875" bestFit="1" customWidth="1"/>
    <col min="12" max="12" width="9.88671875" style="215" bestFit="1" customWidth="1"/>
    <col min="13" max="14" width="13.77734375" style="222" bestFit="1" customWidth="1"/>
  </cols>
  <sheetData>
    <row r="1" spans="1:7" x14ac:dyDescent="0.3">
      <c r="A1" s="585" t="s">
        <v>2</v>
      </c>
      <c r="B1" s="586"/>
      <c r="C1" s="587"/>
      <c r="D1" s="586"/>
      <c r="E1" s="588"/>
      <c r="F1" s="589"/>
      <c r="G1" s="527"/>
    </row>
    <row r="2" spans="1:7" x14ac:dyDescent="0.3">
      <c r="A2" s="585" t="s">
        <v>3</v>
      </c>
      <c r="B2" s="586"/>
      <c r="C2" s="587"/>
      <c r="D2" s="693" t="s">
        <v>4</v>
      </c>
      <c r="E2" s="695"/>
      <c r="F2" s="696" t="s">
        <v>6</v>
      </c>
      <c r="G2" s="697"/>
    </row>
    <row r="3" spans="1:7" x14ac:dyDescent="0.3">
      <c r="A3" s="585" t="s">
        <v>2764</v>
      </c>
      <c r="B3" s="586"/>
      <c r="C3" s="587"/>
      <c r="D3" s="693" t="s">
        <v>5</v>
      </c>
      <c r="E3" s="695"/>
      <c r="F3" s="696" t="s">
        <v>7</v>
      </c>
      <c r="G3" s="697"/>
    </row>
    <row r="4" spans="1:7" x14ac:dyDescent="0.3">
      <c r="A4" s="586"/>
      <c r="B4" s="586"/>
      <c r="C4" s="587"/>
      <c r="D4" s="586"/>
      <c r="E4" s="586" t="s">
        <v>2763</v>
      </c>
      <c r="F4" s="590">
        <f>BDI!C26</f>
        <v>0.24392883913855612</v>
      </c>
      <c r="G4" s="527"/>
    </row>
    <row r="5" spans="1:7" ht="28.8" x14ac:dyDescent="0.3">
      <c r="A5" s="586" t="s">
        <v>8</v>
      </c>
      <c r="B5" s="586" t="s">
        <v>9</v>
      </c>
      <c r="C5" s="587" t="s">
        <v>10</v>
      </c>
      <c r="D5" s="586" t="s">
        <v>11</v>
      </c>
      <c r="E5" s="586" t="s">
        <v>854</v>
      </c>
      <c r="F5" s="591" t="s">
        <v>13</v>
      </c>
      <c r="G5" s="591" t="s">
        <v>855</v>
      </c>
    </row>
    <row r="6" spans="1:7" x14ac:dyDescent="0.3">
      <c r="A6" s="529"/>
      <c r="B6" s="529"/>
      <c r="C6" s="530"/>
      <c r="D6" s="529"/>
      <c r="E6" s="252"/>
      <c r="F6" s="531"/>
      <c r="G6" s="252"/>
    </row>
    <row r="7" spans="1:7" ht="22.8" x14ac:dyDescent="0.3">
      <c r="A7" s="689" t="s">
        <v>856</v>
      </c>
      <c r="B7" s="690"/>
      <c r="C7" s="690"/>
      <c r="D7" s="690"/>
      <c r="E7" s="690"/>
      <c r="F7" s="690"/>
      <c r="G7" s="691"/>
    </row>
    <row r="8" spans="1:7" x14ac:dyDescent="0.3">
      <c r="A8" s="529" t="s">
        <v>20</v>
      </c>
      <c r="B8" s="529" t="s">
        <v>9</v>
      </c>
      <c r="C8" s="530" t="s">
        <v>794</v>
      </c>
      <c r="D8" s="529"/>
      <c r="E8" s="252"/>
      <c r="F8" s="531"/>
      <c r="G8" s="252"/>
    </row>
    <row r="9" spans="1:7" x14ac:dyDescent="0.3">
      <c r="A9" s="529" t="s">
        <v>22</v>
      </c>
      <c r="B9" s="529"/>
      <c r="C9" s="530" t="s">
        <v>670</v>
      </c>
      <c r="D9" s="529"/>
      <c r="E9" s="252"/>
      <c r="F9" s="531"/>
      <c r="G9" s="252"/>
    </row>
    <row r="10" spans="1:7" ht="28.8" x14ac:dyDescent="0.3">
      <c r="A10" s="529" t="s">
        <v>656</v>
      </c>
      <c r="B10" s="529">
        <v>93207</v>
      </c>
      <c r="C10" s="530" t="s">
        <v>23</v>
      </c>
      <c r="D10" s="529" t="s">
        <v>24</v>
      </c>
      <c r="E10" s="252"/>
      <c r="F10" s="531">
        <v>697.89</v>
      </c>
      <c r="G10" s="252">
        <f>TRUNC(E10*F10,2)</f>
        <v>0</v>
      </c>
    </row>
    <row r="11" spans="1:7" ht="43.2" x14ac:dyDescent="0.3">
      <c r="A11" s="524" t="s">
        <v>508</v>
      </c>
      <c r="B11" s="524" t="s">
        <v>857</v>
      </c>
      <c r="C11" s="525" t="s">
        <v>858</v>
      </c>
      <c r="D11" s="524" t="s">
        <v>92</v>
      </c>
      <c r="E11" s="524" t="s">
        <v>859</v>
      </c>
      <c r="F11" s="528" t="s">
        <v>860</v>
      </c>
      <c r="G11" s="252">
        <f t="shared" ref="G11:G427" si="0">TRUNC(E11*F11,2)</f>
        <v>2.57</v>
      </c>
    </row>
    <row r="12" spans="1:7" ht="43.2" x14ac:dyDescent="0.3">
      <c r="A12" s="524" t="s">
        <v>508</v>
      </c>
      <c r="B12" s="524" t="s">
        <v>861</v>
      </c>
      <c r="C12" s="525" t="s">
        <v>862</v>
      </c>
      <c r="D12" s="524" t="s">
        <v>92</v>
      </c>
      <c r="E12" s="524" t="s">
        <v>863</v>
      </c>
      <c r="F12" s="528" t="s">
        <v>864</v>
      </c>
      <c r="G12" s="252">
        <f t="shared" si="0"/>
        <v>1.28</v>
      </c>
    </row>
    <row r="13" spans="1:7" ht="28.8" x14ac:dyDescent="0.3">
      <c r="A13" s="524" t="s">
        <v>508</v>
      </c>
      <c r="B13" s="524" t="s">
        <v>865</v>
      </c>
      <c r="C13" s="525" t="s">
        <v>866</v>
      </c>
      <c r="D13" s="524" t="s">
        <v>397</v>
      </c>
      <c r="E13" s="524" t="s">
        <v>867</v>
      </c>
      <c r="F13" s="528" t="s">
        <v>868</v>
      </c>
      <c r="G13" s="252">
        <f t="shared" si="0"/>
        <v>2.54</v>
      </c>
    </row>
    <row r="14" spans="1:7" ht="28.8" x14ac:dyDescent="0.3">
      <c r="A14" s="524" t="s">
        <v>508</v>
      </c>
      <c r="B14" s="524" t="s">
        <v>869</v>
      </c>
      <c r="C14" s="525" t="s">
        <v>870</v>
      </c>
      <c r="D14" s="524" t="s">
        <v>397</v>
      </c>
      <c r="E14" s="524" t="s">
        <v>867</v>
      </c>
      <c r="F14" s="528" t="s">
        <v>871</v>
      </c>
      <c r="G14" s="252">
        <f t="shared" si="0"/>
        <v>2.46</v>
      </c>
    </row>
    <row r="15" spans="1:7" ht="28.8" x14ac:dyDescent="0.3">
      <c r="A15" s="524" t="s">
        <v>508</v>
      </c>
      <c r="B15" s="524" t="s">
        <v>872</v>
      </c>
      <c r="C15" s="525" t="s">
        <v>873</v>
      </c>
      <c r="D15" s="524" t="s">
        <v>24</v>
      </c>
      <c r="E15" s="524" t="s">
        <v>874</v>
      </c>
      <c r="F15" s="528" t="s">
        <v>875</v>
      </c>
      <c r="G15" s="252">
        <f t="shared" si="0"/>
        <v>48.27</v>
      </c>
    </row>
    <row r="16" spans="1:7" ht="28.8" x14ac:dyDescent="0.3">
      <c r="A16" s="524" t="s">
        <v>522</v>
      </c>
      <c r="B16" s="524" t="s">
        <v>876</v>
      </c>
      <c r="C16" s="525" t="s">
        <v>350</v>
      </c>
      <c r="D16" s="524" t="s">
        <v>397</v>
      </c>
      <c r="E16" s="524" t="s">
        <v>877</v>
      </c>
      <c r="F16" s="528" t="s">
        <v>878</v>
      </c>
      <c r="G16" s="252">
        <f t="shared" si="0"/>
        <v>2.09</v>
      </c>
    </row>
    <row r="17" spans="1:7" ht="43.2" x14ac:dyDescent="0.3">
      <c r="A17" s="524" t="s">
        <v>522</v>
      </c>
      <c r="B17" s="524" t="s">
        <v>879</v>
      </c>
      <c r="C17" s="525" t="s">
        <v>152</v>
      </c>
      <c r="D17" s="524" t="s">
        <v>397</v>
      </c>
      <c r="E17" s="524" t="s">
        <v>867</v>
      </c>
      <c r="F17" s="528" t="s">
        <v>880</v>
      </c>
      <c r="G17" s="252">
        <f t="shared" si="0"/>
        <v>6.88</v>
      </c>
    </row>
    <row r="18" spans="1:7" ht="28.8" x14ac:dyDescent="0.3">
      <c r="A18" s="524" t="s">
        <v>522</v>
      </c>
      <c r="B18" s="524" t="s">
        <v>881</v>
      </c>
      <c r="C18" s="525" t="s">
        <v>882</v>
      </c>
      <c r="D18" s="524" t="s">
        <v>397</v>
      </c>
      <c r="E18" s="524" t="s">
        <v>863</v>
      </c>
      <c r="F18" s="528" t="s">
        <v>883</v>
      </c>
      <c r="G18" s="252">
        <f t="shared" si="0"/>
        <v>13.5</v>
      </c>
    </row>
    <row r="19" spans="1:7" ht="57.6" x14ac:dyDescent="0.3">
      <c r="A19" s="524" t="s">
        <v>522</v>
      </c>
      <c r="B19" s="524" t="s">
        <v>884</v>
      </c>
      <c r="C19" s="525" t="s">
        <v>885</v>
      </c>
      <c r="D19" s="524" t="s">
        <v>397</v>
      </c>
      <c r="E19" s="524" t="s">
        <v>867</v>
      </c>
      <c r="F19" s="528" t="s">
        <v>886</v>
      </c>
      <c r="G19" s="252">
        <f t="shared" si="0"/>
        <v>4.9400000000000004</v>
      </c>
    </row>
    <row r="20" spans="1:7" ht="57.6" x14ac:dyDescent="0.3">
      <c r="A20" s="524" t="s">
        <v>522</v>
      </c>
      <c r="B20" s="524" t="s">
        <v>887</v>
      </c>
      <c r="C20" s="525" t="s">
        <v>888</v>
      </c>
      <c r="D20" s="524" t="s">
        <v>397</v>
      </c>
      <c r="E20" s="524" t="s">
        <v>863</v>
      </c>
      <c r="F20" s="528" t="s">
        <v>889</v>
      </c>
      <c r="G20" s="252">
        <f t="shared" si="0"/>
        <v>6.9</v>
      </c>
    </row>
    <row r="21" spans="1:7" ht="43.2" x14ac:dyDescent="0.3">
      <c r="A21" s="524" t="s">
        <v>522</v>
      </c>
      <c r="B21" s="524" t="s">
        <v>890</v>
      </c>
      <c r="C21" s="525" t="s">
        <v>891</v>
      </c>
      <c r="D21" s="524" t="s">
        <v>24</v>
      </c>
      <c r="E21" s="524" t="s">
        <v>863</v>
      </c>
      <c r="F21" s="528" t="s">
        <v>892</v>
      </c>
      <c r="G21" s="252">
        <f t="shared" si="0"/>
        <v>0.67</v>
      </c>
    </row>
    <row r="22" spans="1:7" ht="43.2" x14ac:dyDescent="0.3">
      <c r="A22" s="524" t="s">
        <v>522</v>
      </c>
      <c r="B22" s="524" t="s">
        <v>893</v>
      </c>
      <c r="C22" s="525" t="s">
        <v>894</v>
      </c>
      <c r="D22" s="524" t="s">
        <v>24</v>
      </c>
      <c r="E22" s="524" t="s">
        <v>895</v>
      </c>
      <c r="F22" s="528" t="s">
        <v>896</v>
      </c>
      <c r="G22" s="252">
        <f t="shared" si="0"/>
        <v>1.47</v>
      </c>
    </row>
    <row r="23" spans="1:7" ht="28.8" x14ac:dyDescent="0.3">
      <c r="A23" s="524" t="s">
        <v>522</v>
      </c>
      <c r="B23" s="524" t="s">
        <v>897</v>
      </c>
      <c r="C23" s="525" t="s">
        <v>898</v>
      </c>
      <c r="D23" s="524" t="s">
        <v>24</v>
      </c>
      <c r="E23" s="524" t="s">
        <v>899</v>
      </c>
      <c r="F23" s="528" t="s">
        <v>900</v>
      </c>
      <c r="G23" s="252">
        <f t="shared" si="0"/>
        <v>40.43</v>
      </c>
    </row>
    <row r="24" spans="1:7" ht="43.2" x14ac:dyDescent="0.3">
      <c r="A24" s="524" t="s">
        <v>522</v>
      </c>
      <c r="B24" s="524" t="s">
        <v>901</v>
      </c>
      <c r="C24" s="525" t="s">
        <v>902</v>
      </c>
      <c r="D24" s="524" t="s">
        <v>24</v>
      </c>
      <c r="E24" s="524" t="s">
        <v>903</v>
      </c>
      <c r="F24" s="528" t="s">
        <v>904</v>
      </c>
      <c r="G24" s="252">
        <f t="shared" si="0"/>
        <v>6.74</v>
      </c>
    </row>
    <row r="25" spans="1:7" ht="43.2" x14ac:dyDescent="0.3">
      <c r="A25" s="524" t="s">
        <v>522</v>
      </c>
      <c r="B25" s="524" t="s">
        <v>905</v>
      </c>
      <c r="C25" s="525" t="s">
        <v>906</v>
      </c>
      <c r="D25" s="524" t="s">
        <v>24</v>
      </c>
      <c r="E25" s="524" t="s">
        <v>907</v>
      </c>
      <c r="F25" s="528" t="s">
        <v>908</v>
      </c>
      <c r="G25" s="252">
        <f t="shared" si="0"/>
        <v>2.44</v>
      </c>
    </row>
    <row r="26" spans="1:7" ht="57.6" x14ac:dyDescent="0.3">
      <c r="A26" s="524" t="s">
        <v>522</v>
      </c>
      <c r="B26" s="524" t="s">
        <v>909</v>
      </c>
      <c r="C26" s="525" t="s">
        <v>910</v>
      </c>
      <c r="D26" s="524" t="s">
        <v>24</v>
      </c>
      <c r="E26" s="524" t="s">
        <v>895</v>
      </c>
      <c r="F26" s="528" t="s">
        <v>911</v>
      </c>
      <c r="G26" s="252">
        <f t="shared" si="0"/>
        <v>4.92</v>
      </c>
    </row>
    <row r="27" spans="1:7" ht="28.8" x14ac:dyDescent="0.3">
      <c r="A27" s="524" t="s">
        <v>522</v>
      </c>
      <c r="B27" s="524" t="s">
        <v>912</v>
      </c>
      <c r="C27" s="525" t="s">
        <v>913</v>
      </c>
      <c r="D27" s="524" t="s">
        <v>397</v>
      </c>
      <c r="E27" s="524" t="s">
        <v>863</v>
      </c>
      <c r="F27" s="528" t="s">
        <v>914</v>
      </c>
      <c r="G27" s="252">
        <f t="shared" si="0"/>
        <v>0.81</v>
      </c>
    </row>
    <row r="28" spans="1:7" ht="28.8" x14ac:dyDescent="0.3">
      <c r="A28" s="524" t="s">
        <v>522</v>
      </c>
      <c r="B28" s="524" t="s">
        <v>915</v>
      </c>
      <c r="C28" s="525" t="s">
        <v>916</v>
      </c>
      <c r="D28" s="524" t="s">
        <v>55</v>
      </c>
      <c r="E28" s="524" t="s">
        <v>917</v>
      </c>
      <c r="F28" s="528" t="s">
        <v>918</v>
      </c>
      <c r="G28" s="252">
        <f t="shared" si="0"/>
        <v>1.89</v>
      </c>
    </row>
    <row r="29" spans="1:7" ht="28.8" x14ac:dyDescent="0.3">
      <c r="A29" s="524" t="s">
        <v>522</v>
      </c>
      <c r="B29" s="524" t="s">
        <v>919</v>
      </c>
      <c r="C29" s="525" t="s">
        <v>196</v>
      </c>
      <c r="D29" s="524" t="s">
        <v>55</v>
      </c>
      <c r="E29" s="524" t="s">
        <v>920</v>
      </c>
      <c r="F29" s="528" t="s">
        <v>921</v>
      </c>
      <c r="G29" s="252">
        <f t="shared" si="0"/>
        <v>2.64</v>
      </c>
    </row>
    <row r="30" spans="1:7" ht="28.8" x14ac:dyDescent="0.3">
      <c r="A30" s="524" t="s">
        <v>522</v>
      </c>
      <c r="B30" s="524" t="s">
        <v>922</v>
      </c>
      <c r="C30" s="525" t="s">
        <v>195</v>
      </c>
      <c r="D30" s="524" t="s">
        <v>55</v>
      </c>
      <c r="E30" s="524" t="s">
        <v>923</v>
      </c>
      <c r="F30" s="528" t="s">
        <v>924</v>
      </c>
      <c r="G30" s="252">
        <f t="shared" si="0"/>
        <v>6.2</v>
      </c>
    </row>
    <row r="31" spans="1:7" ht="43.2" x14ac:dyDescent="0.3">
      <c r="A31" s="524" t="s">
        <v>522</v>
      </c>
      <c r="B31" s="524" t="s">
        <v>925</v>
      </c>
      <c r="C31" s="525" t="s">
        <v>926</v>
      </c>
      <c r="D31" s="524" t="s">
        <v>397</v>
      </c>
      <c r="E31" s="524" t="s">
        <v>927</v>
      </c>
      <c r="F31" s="528" t="s">
        <v>928</v>
      </c>
      <c r="G31" s="252">
        <f t="shared" si="0"/>
        <v>0.59</v>
      </c>
    </row>
    <row r="32" spans="1:7" ht="43.2" x14ac:dyDescent="0.3">
      <c r="A32" s="524" t="s">
        <v>522</v>
      </c>
      <c r="B32" s="524" t="s">
        <v>929</v>
      </c>
      <c r="C32" s="525" t="s">
        <v>930</v>
      </c>
      <c r="D32" s="524" t="s">
        <v>397</v>
      </c>
      <c r="E32" s="524" t="s">
        <v>859</v>
      </c>
      <c r="F32" s="528" t="s">
        <v>931</v>
      </c>
      <c r="G32" s="252">
        <f t="shared" si="0"/>
        <v>0.33</v>
      </c>
    </row>
    <row r="33" spans="1:7" ht="43.2" x14ac:dyDescent="0.3">
      <c r="A33" s="524" t="s">
        <v>522</v>
      </c>
      <c r="B33" s="524" t="s">
        <v>932</v>
      </c>
      <c r="C33" s="525" t="s">
        <v>933</v>
      </c>
      <c r="D33" s="524" t="s">
        <v>397</v>
      </c>
      <c r="E33" s="524" t="s">
        <v>867</v>
      </c>
      <c r="F33" s="528" t="s">
        <v>934</v>
      </c>
      <c r="G33" s="252">
        <f t="shared" si="0"/>
        <v>0.16</v>
      </c>
    </row>
    <row r="34" spans="1:7" ht="43.2" x14ac:dyDescent="0.3">
      <c r="A34" s="524" t="s">
        <v>522</v>
      </c>
      <c r="B34" s="524" t="s">
        <v>935</v>
      </c>
      <c r="C34" s="525" t="s">
        <v>936</v>
      </c>
      <c r="D34" s="524" t="s">
        <v>397</v>
      </c>
      <c r="E34" s="524" t="s">
        <v>859</v>
      </c>
      <c r="F34" s="528" t="s">
        <v>937</v>
      </c>
      <c r="G34" s="252">
        <f t="shared" si="0"/>
        <v>1.65</v>
      </c>
    </row>
    <row r="35" spans="1:7" ht="43.2" x14ac:dyDescent="0.3">
      <c r="A35" s="524" t="s">
        <v>522</v>
      </c>
      <c r="B35" s="524" t="s">
        <v>938</v>
      </c>
      <c r="C35" s="525" t="s">
        <v>939</v>
      </c>
      <c r="D35" s="524" t="s">
        <v>397</v>
      </c>
      <c r="E35" s="524" t="s">
        <v>859</v>
      </c>
      <c r="F35" s="528" t="s">
        <v>940</v>
      </c>
      <c r="G35" s="252">
        <f t="shared" si="0"/>
        <v>0.91</v>
      </c>
    </row>
    <row r="36" spans="1:7" ht="43.2" x14ac:dyDescent="0.3">
      <c r="A36" s="524" t="s">
        <v>522</v>
      </c>
      <c r="B36" s="524" t="s">
        <v>941</v>
      </c>
      <c r="C36" s="525" t="s">
        <v>942</v>
      </c>
      <c r="D36" s="524" t="s">
        <v>397</v>
      </c>
      <c r="E36" s="524" t="s">
        <v>863</v>
      </c>
      <c r="F36" s="528" t="s">
        <v>943</v>
      </c>
      <c r="G36" s="252">
        <f t="shared" si="0"/>
        <v>1.22</v>
      </c>
    </row>
    <row r="37" spans="1:7" ht="43.2" x14ac:dyDescent="0.3">
      <c r="A37" s="524" t="s">
        <v>522</v>
      </c>
      <c r="B37" s="524" t="s">
        <v>944</v>
      </c>
      <c r="C37" s="525" t="s">
        <v>945</v>
      </c>
      <c r="D37" s="524" t="s">
        <v>397</v>
      </c>
      <c r="E37" s="524" t="s">
        <v>946</v>
      </c>
      <c r="F37" s="528" t="s">
        <v>947</v>
      </c>
      <c r="G37" s="252">
        <f t="shared" si="0"/>
        <v>9.4</v>
      </c>
    </row>
    <row r="38" spans="1:7" ht="28.8" x14ac:dyDescent="0.3">
      <c r="A38" s="524" t="s">
        <v>522</v>
      </c>
      <c r="B38" s="524" t="s">
        <v>948</v>
      </c>
      <c r="C38" s="525" t="s">
        <v>190</v>
      </c>
      <c r="D38" s="524" t="s">
        <v>55</v>
      </c>
      <c r="E38" s="524" t="s">
        <v>949</v>
      </c>
      <c r="F38" s="528" t="s">
        <v>950</v>
      </c>
      <c r="G38" s="252">
        <f t="shared" si="0"/>
        <v>0.89</v>
      </c>
    </row>
    <row r="39" spans="1:7" ht="28.8" x14ac:dyDescent="0.3">
      <c r="A39" s="524" t="s">
        <v>522</v>
      </c>
      <c r="B39" s="524" t="s">
        <v>951</v>
      </c>
      <c r="C39" s="525" t="s">
        <v>952</v>
      </c>
      <c r="D39" s="524" t="s">
        <v>55</v>
      </c>
      <c r="E39" s="524" t="s">
        <v>949</v>
      </c>
      <c r="F39" s="528" t="s">
        <v>900</v>
      </c>
      <c r="G39" s="252">
        <f t="shared" si="0"/>
        <v>0.9</v>
      </c>
    </row>
    <row r="40" spans="1:7" ht="43.2" x14ac:dyDescent="0.3">
      <c r="A40" s="524" t="s">
        <v>522</v>
      </c>
      <c r="B40" s="524" t="s">
        <v>953</v>
      </c>
      <c r="C40" s="525" t="s">
        <v>954</v>
      </c>
      <c r="D40" s="524" t="s">
        <v>397</v>
      </c>
      <c r="E40" s="524" t="s">
        <v>863</v>
      </c>
      <c r="F40" s="528" t="s">
        <v>955</v>
      </c>
      <c r="G40" s="252">
        <f t="shared" si="0"/>
        <v>12.49</v>
      </c>
    </row>
    <row r="41" spans="1:7" ht="43.2" x14ac:dyDescent="0.3">
      <c r="A41" s="524" t="s">
        <v>522</v>
      </c>
      <c r="B41" s="524" t="s">
        <v>956</v>
      </c>
      <c r="C41" s="525" t="s">
        <v>957</v>
      </c>
      <c r="D41" s="524" t="s">
        <v>397</v>
      </c>
      <c r="E41" s="524" t="s">
        <v>859</v>
      </c>
      <c r="F41" s="528" t="s">
        <v>958</v>
      </c>
      <c r="G41" s="252">
        <f t="shared" si="0"/>
        <v>20.23</v>
      </c>
    </row>
    <row r="42" spans="1:7" ht="43.2" x14ac:dyDescent="0.3">
      <c r="A42" s="524" t="s">
        <v>522</v>
      </c>
      <c r="B42" s="524" t="s">
        <v>959</v>
      </c>
      <c r="C42" s="525" t="s">
        <v>960</v>
      </c>
      <c r="D42" s="524" t="s">
        <v>55</v>
      </c>
      <c r="E42" s="524" t="s">
        <v>961</v>
      </c>
      <c r="F42" s="528" t="s">
        <v>962</v>
      </c>
      <c r="G42" s="252">
        <f t="shared" si="0"/>
        <v>1.1399999999999999</v>
      </c>
    </row>
    <row r="43" spans="1:7" ht="43.2" x14ac:dyDescent="0.3">
      <c r="A43" s="524" t="s">
        <v>522</v>
      </c>
      <c r="B43" s="524" t="s">
        <v>963</v>
      </c>
      <c r="C43" s="525" t="s">
        <v>964</v>
      </c>
      <c r="D43" s="524" t="s">
        <v>55</v>
      </c>
      <c r="E43" s="524" t="s">
        <v>965</v>
      </c>
      <c r="F43" s="528" t="s">
        <v>966</v>
      </c>
      <c r="G43" s="252">
        <f t="shared" si="0"/>
        <v>1.89</v>
      </c>
    </row>
    <row r="44" spans="1:7" ht="28.8" x14ac:dyDescent="0.3">
      <c r="A44" s="524" t="s">
        <v>522</v>
      </c>
      <c r="B44" s="524" t="s">
        <v>967</v>
      </c>
      <c r="C44" s="525" t="s">
        <v>968</v>
      </c>
      <c r="D44" s="524" t="s">
        <v>24</v>
      </c>
      <c r="E44" s="524" t="s">
        <v>969</v>
      </c>
      <c r="F44" s="528" t="s">
        <v>970</v>
      </c>
      <c r="G44" s="252">
        <f t="shared" si="0"/>
        <v>22.73</v>
      </c>
    </row>
    <row r="45" spans="1:7" ht="28.8" x14ac:dyDescent="0.3">
      <c r="A45" s="524" t="s">
        <v>522</v>
      </c>
      <c r="B45" s="524" t="s">
        <v>971</v>
      </c>
      <c r="C45" s="525" t="s">
        <v>972</v>
      </c>
      <c r="D45" s="524" t="s">
        <v>55</v>
      </c>
      <c r="E45" s="524" t="s">
        <v>961</v>
      </c>
      <c r="F45" s="528" t="s">
        <v>973</v>
      </c>
      <c r="G45" s="252">
        <f t="shared" si="0"/>
        <v>3.34</v>
      </c>
    </row>
    <row r="46" spans="1:7" ht="28.8" x14ac:dyDescent="0.3">
      <c r="A46" s="524" t="s">
        <v>522</v>
      </c>
      <c r="B46" s="524" t="s">
        <v>974</v>
      </c>
      <c r="C46" s="525" t="s">
        <v>975</v>
      </c>
      <c r="D46" s="524" t="s">
        <v>55</v>
      </c>
      <c r="E46" s="524" t="s">
        <v>965</v>
      </c>
      <c r="F46" s="528" t="s">
        <v>976</v>
      </c>
      <c r="G46" s="252">
        <f t="shared" si="0"/>
        <v>12.12</v>
      </c>
    </row>
    <row r="47" spans="1:7" ht="43.2" x14ac:dyDescent="0.3">
      <c r="A47" s="524" t="s">
        <v>522</v>
      </c>
      <c r="B47" s="524" t="s">
        <v>977</v>
      </c>
      <c r="C47" s="525" t="s">
        <v>978</v>
      </c>
      <c r="D47" s="524" t="s">
        <v>397</v>
      </c>
      <c r="E47" s="524" t="s">
        <v>979</v>
      </c>
      <c r="F47" s="528" t="s">
        <v>980</v>
      </c>
      <c r="G47" s="252">
        <f t="shared" si="0"/>
        <v>1.72</v>
      </c>
    </row>
    <row r="48" spans="1:7" ht="28.8" x14ac:dyDescent="0.3">
      <c r="A48" s="524" t="s">
        <v>522</v>
      </c>
      <c r="B48" s="524" t="s">
        <v>981</v>
      </c>
      <c r="C48" s="525" t="s">
        <v>982</v>
      </c>
      <c r="D48" s="524" t="s">
        <v>55</v>
      </c>
      <c r="E48" s="524" t="s">
        <v>983</v>
      </c>
      <c r="F48" s="528" t="s">
        <v>984</v>
      </c>
      <c r="G48" s="252">
        <f t="shared" si="0"/>
        <v>2.67</v>
      </c>
    </row>
    <row r="49" spans="1:7" ht="28.8" x14ac:dyDescent="0.3">
      <c r="A49" s="524" t="s">
        <v>522</v>
      </c>
      <c r="B49" s="524" t="s">
        <v>985</v>
      </c>
      <c r="C49" s="525" t="s">
        <v>986</v>
      </c>
      <c r="D49" s="524" t="s">
        <v>55</v>
      </c>
      <c r="E49" s="524" t="s">
        <v>987</v>
      </c>
      <c r="F49" s="528" t="s">
        <v>988</v>
      </c>
      <c r="G49" s="252">
        <f t="shared" si="0"/>
        <v>9.4700000000000006</v>
      </c>
    </row>
    <row r="50" spans="1:7" ht="28.8" x14ac:dyDescent="0.3">
      <c r="A50" s="524" t="s">
        <v>522</v>
      </c>
      <c r="B50" s="524" t="s">
        <v>989</v>
      </c>
      <c r="C50" s="525" t="s">
        <v>990</v>
      </c>
      <c r="D50" s="524" t="s">
        <v>55</v>
      </c>
      <c r="E50" s="524" t="s">
        <v>991</v>
      </c>
      <c r="F50" s="528" t="s">
        <v>992</v>
      </c>
      <c r="G50" s="252">
        <f t="shared" si="0"/>
        <v>8.94</v>
      </c>
    </row>
    <row r="51" spans="1:7" ht="28.8" x14ac:dyDescent="0.3">
      <c r="A51" s="524" t="s">
        <v>522</v>
      </c>
      <c r="B51" s="524" t="s">
        <v>993</v>
      </c>
      <c r="C51" s="525" t="s">
        <v>994</v>
      </c>
      <c r="D51" s="524" t="s">
        <v>397</v>
      </c>
      <c r="E51" s="524" t="s">
        <v>877</v>
      </c>
      <c r="F51" s="528" t="s">
        <v>928</v>
      </c>
      <c r="G51" s="252">
        <f t="shared" si="0"/>
        <v>1.33</v>
      </c>
    </row>
    <row r="52" spans="1:7" ht="28.8" x14ac:dyDescent="0.3">
      <c r="A52" s="524" t="s">
        <v>522</v>
      </c>
      <c r="B52" s="524" t="s">
        <v>995</v>
      </c>
      <c r="C52" s="525" t="s">
        <v>996</v>
      </c>
      <c r="D52" s="524" t="s">
        <v>397</v>
      </c>
      <c r="E52" s="524" t="s">
        <v>859</v>
      </c>
      <c r="F52" s="528" t="s">
        <v>997</v>
      </c>
      <c r="G52" s="252">
        <f t="shared" si="0"/>
        <v>0.34</v>
      </c>
    </row>
    <row r="53" spans="1:7" ht="28.8" x14ac:dyDescent="0.3">
      <c r="A53" s="524" t="s">
        <v>522</v>
      </c>
      <c r="B53" s="524" t="s">
        <v>998</v>
      </c>
      <c r="C53" s="525" t="s">
        <v>999</v>
      </c>
      <c r="D53" s="524" t="s">
        <v>397</v>
      </c>
      <c r="E53" s="524" t="s">
        <v>927</v>
      </c>
      <c r="F53" s="528" t="s">
        <v>1000</v>
      </c>
      <c r="G53" s="252">
        <f t="shared" si="0"/>
        <v>1.31</v>
      </c>
    </row>
    <row r="54" spans="1:7" ht="28.8" x14ac:dyDescent="0.3">
      <c r="A54" s="524" t="s">
        <v>522</v>
      </c>
      <c r="B54" s="524" t="s">
        <v>1001</v>
      </c>
      <c r="C54" s="525" t="s">
        <v>338</v>
      </c>
      <c r="D54" s="524" t="s">
        <v>397</v>
      </c>
      <c r="E54" s="524" t="s">
        <v>1002</v>
      </c>
      <c r="F54" s="528" t="s">
        <v>1003</v>
      </c>
      <c r="G54" s="252">
        <f t="shared" si="0"/>
        <v>4.1900000000000004</v>
      </c>
    </row>
    <row r="55" spans="1:7" ht="28.8" x14ac:dyDescent="0.3">
      <c r="A55" s="524" t="s">
        <v>522</v>
      </c>
      <c r="B55" s="524" t="s">
        <v>1004</v>
      </c>
      <c r="C55" s="525" t="s">
        <v>1005</v>
      </c>
      <c r="D55" s="524" t="s">
        <v>397</v>
      </c>
      <c r="E55" s="524" t="s">
        <v>1006</v>
      </c>
      <c r="F55" s="528" t="s">
        <v>1007</v>
      </c>
      <c r="G55" s="252">
        <f t="shared" si="0"/>
        <v>3.87</v>
      </c>
    </row>
    <row r="56" spans="1:7" ht="43.2" x14ac:dyDescent="0.3">
      <c r="A56" s="524" t="s">
        <v>522</v>
      </c>
      <c r="B56" s="524" t="s">
        <v>1008</v>
      </c>
      <c r="C56" s="525" t="s">
        <v>1009</v>
      </c>
      <c r="D56" s="524" t="s">
        <v>24</v>
      </c>
      <c r="E56" s="524" t="s">
        <v>1010</v>
      </c>
      <c r="F56" s="528" t="s">
        <v>1011</v>
      </c>
      <c r="G56" s="252">
        <f t="shared" si="0"/>
        <v>14.32</v>
      </c>
    </row>
    <row r="57" spans="1:7" ht="28.8" x14ac:dyDescent="0.3">
      <c r="A57" s="524" t="s">
        <v>522</v>
      </c>
      <c r="B57" s="524" t="s">
        <v>1012</v>
      </c>
      <c r="C57" s="525" t="s">
        <v>335</v>
      </c>
      <c r="D57" s="524" t="s">
        <v>55</v>
      </c>
      <c r="E57" s="524" t="s">
        <v>979</v>
      </c>
      <c r="F57" s="528" t="s">
        <v>1013</v>
      </c>
      <c r="G57" s="252">
        <f t="shared" si="0"/>
        <v>1.98</v>
      </c>
    </row>
    <row r="58" spans="1:7" ht="28.8" x14ac:dyDescent="0.3">
      <c r="A58" s="524" t="s">
        <v>522</v>
      </c>
      <c r="B58" s="524" t="s">
        <v>1014</v>
      </c>
      <c r="C58" s="525" t="s">
        <v>355</v>
      </c>
      <c r="D58" s="524" t="s">
        <v>41</v>
      </c>
      <c r="E58" s="524" t="s">
        <v>1015</v>
      </c>
      <c r="F58" s="528" t="s">
        <v>1016</v>
      </c>
      <c r="G58" s="252">
        <f t="shared" si="0"/>
        <v>1.32</v>
      </c>
    </row>
    <row r="59" spans="1:7" ht="43.2" x14ac:dyDescent="0.3">
      <c r="A59" s="524" t="s">
        <v>522</v>
      </c>
      <c r="B59" s="524" t="s">
        <v>1017</v>
      </c>
      <c r="C59" s="525" t="s">
        <v>1018</v>
      </c>
      <c r="D59" s="524" t="s">
        <v>24</v>
      </c>
      <c r="E59" s="524" t="s">
        <v>1010</v>
      </c>
      <c r="F59" s="528" t="s">
        <v>1019</v>
      </c>
      <c r="G59" s="252">
        <f t="shared" si="0"/>
        <v>48.89</v>
      </c>
    </row>
    <row r="60" spans="1:7" ht="43.2" x14ac:dyDescent="0.3">
      <c r="A60" s="524" t="s">
        <v>522</v>
      </c>
      <c r="B60" s="524" t="s">
        <v>1020</v>
      </c>
      <c r="C60" s="525" t="s">
        <v>1021</v>
      </c>
      <c r="D60" s="524" t="s">
        <v>24</v>
      </c>
      <c r="E60" s="524" t="s">
        <v>1022</v>
      </c>
      <c r="F60" s="528" t="s">
        <v>1023</v>
      </c>
      <c r="G60" s="252">
        <f t="shared" si="0"/>
        <v>16.38</v>
      </c>
    </row>
    <row r="61" spans="1:7" ht="28.8" x14ac:dyDescent="0.3">
      <c r="A61" s="524" t="s">
        <v>522</v>
      </c>
      <c r="B61" s="524" t="s">
        <v>1024</v>
      </c>
      <c r="C61" s="525" t="s">
        <v>1025</v>
      </c>
      <c r="D61" s="524" t="s">
        <v>24</v>
      </c>
      <c r="E61" s="524" t="s">
        <v>1026</v>
      </c>
      <c r="F61" s="528" t="s">
        <v>1027</v>
      </c>
      <c r="G61" s="252">
        <f t="shared" si="0"/>
        <v>0.06</v>
      </c>
    </row>
    <row r="62" spans="1:7" ht="28.8" x14ac:dyDescent="0.3">
      <c r="A62" s="524" t="s">
        <v>522</v>
      </c>
      <c r="B62" s="524" t="s">
        <v>1028</v>
      </c>
      <c r="C62" s="525" t="s">
        <v>1029</v>
      </c>
      <c r="D62" s="524" t="s">
        <v>24</v>
      </c>
      <c r="E62" s="524" t="s">
        <v>1030</v>
      </c>
      <c r="F62" s="528" t="s">
        <v>1031</v>
      </c>
      <c r="G62" s="252">
        <f t="shared" si="0"/>
        <v>27.42</v>
      </c>
    </row>
    <row r="63" spans="1:7" ht="28.8" x14ac:dyDescent="0.3">
      <c r="A63" s="524" t="s">
        <v>522</v>
      </c>
      <c r="B63" s="524" t="s">
        <v>1032</v>
      </c>
      <c r="C63" s="525" t="s">
        <v>1033</v>
      </c>
      <c r="D63" s="524" t="s">
        <v>397</v>
      </c>
      <c r="E63" s="524" t="s">
        <v>1034</v>
      </c>
      <c r="F63" s="528" t="s">
        <v>1035</v>
      </c>
      <c r="G63" s="252">
        <f t="shared" si="0"/>
        <v>4.8899999999999997</v>
      </c>
    </row>
    <row r="64" spans="1:7" ht="28.8" x14ac:dyDescent="0.3">
      <c r="A64" s="524" t="s">
        <v>522</v>
      </c>
      <c r="B64" s="524" t="s">
        <v>1036</v>
      </c>
      <c r="C64" s="525" t="s">
        <v>1037</v>
      </c>
      <c r="D64" s="524" t="s">
        <v>397</v>
      </c>
      <c r="E64" s="524" t="s">
        <v>1006</v>
      </c>
      <c r="F64" s="528" t="s">
        <v>1038</v>
      </c>
      <c r="G64" s="252">
        <f t="shared" si="0"/>
        <v>1.47</v>
      </c>
    </row>
    <row r="65" spans="1:7" ht="28.8" x14ac:dyDescent="0.3">
      <c r="A65" s="524" t="s">
        <v>522</v>
      </c>
      <c r="B65" s="524" t="s">
        <v>1039</v>
      </c>
      <c r="C65" s="525" t="s">
        <v>1040</v>
      </c>
      <c r="D65" s="524" t="s">
        <v>397</v>
      </c>
      <c r="E65" s="524" t="s">
        <v>863</v>
      </c>
      <c r="F65" s="528" t="s">
        <v>1041</v>
      </c>
      <c r="G65" s="252">
        <f t="shared" si="0"/>
        <v>1.73</v>
      </c>
    </row>
    <row r="66" spans="1:7" x14ac:dyDescent="0.3">
      <c r="A66" s="524" t="s">
        <v>522</v>
      </c>
      <c r="B66" s="524" t="s">
        <v>1042</v>
      </c>
      <c r="C66" s="525" t="s">
        <v>418</v>
      </c>
      <c r="D66" s="524" t="s">
        <v>41</v>
      </c>
      <c r="E66" s="524" t="s">
        <v>1043</v>
      </c>
      <c r="F66" s="528" t="s">
        <v>1044</v>
      </c>
      <c r="G66" s="252">
        <f t="shared" si="0"/>
        <v>0.2</v>
      </c>
    </row>
    <row r="67" spans="1:7" ht="43.2" x14ac:dyDescent="0.3">
      <c r="A67" s="524" t="s">
        <v>522</v>
      </c>
      <c r="B67" s="524" t="s">
        <v>1045</v>
      </c>
      <c r="C67" s="525" t="s">
        <v>1046</v>
      </c>
      <c r="D67" s="524" t="s">
        <v>397</v>
      </c>
      <c r="E67" s="524" t="s">
        <v>1047</v>
      </c>
      <c r="F67" s="528" t="s">
        <v>1048</v>
      </c>
      <c r="G67" s="252">
        <f t="shared" si="0"/>
        <v>10.210000000000001</v>
      </c>
    </row>
    <row r="68" spans="1:7" ht="28.8" x14ac:dyDescent="0.3">
      <c r="A68" s="524" t="s">
        <v>522</v>
      </c>
      <c r="B68" s="524" t="s">
        <v>1049</v>
      </c>
      <c r="C68" s="525" t="s">
        <v>1050</v>
      </c>
      <c r="D68" s="524" t="s">
        <v>397</v>
      </c>
      <c r="E68" s="524" t="s">
        <v>927</v>
      </c>
      <c r="F68" s="528" t="s">
        <v>1051</v>
      </c>
      <c r="G68" s="252">
        <f t="shared" si="0"/>
        <v>6.22</v>
      </c>
    </row>
    <row r="69" spans="1:7" ht="28.8" x14ac:dyDescent="0.3">
      <c r="A69" s="524" t="s">
        <v>522</v>
      </c>
      <c r="B69" s="524" t="s">
        <v>1052</v>
      </c>
      <c r="C69" s="525" t="s">
        <v>1053</v>
      </c>
      <c r="D69" s="524" t="s">
        <v>397</v>
      </c>
      <c r="E69" s="524" t="s">
        <v>863</v>
      </c>
      <c r="F69" s="528" t="s">
        <v>1054</v>
      </c>
      <c r="G69" s="252">
        <f t="shared" si="0"/>
        <v>0.56999999999999995</v>
      </c>
    </row>
    <row r="70" spans="1:7" ht="28.8" x14ac:dyDescent="0.3">
      <c r="A70" s="524" t="s">
        <v>522</v>
      </c>
      <c r="B70" s="524" t="s">
        <v>1055</v>
      </c>
      <c r="C70" s="525" t="s">
        <v>1056</v>
      </c>
      <c r="D70" s="524" t="s">
        <v>397</v>
      </c>
      <c r="E70" s="524" t="s">
        <v>863</v>
      </c>
      <c r="F70" s="528" t="s">
        <v>1057</v>
      </c>
      <c r="G70" s="252">
        <f t="shared" si="0"/>
        <v>0.62</v>
      </c>
    </row>
    <row r="71" spans="1:7" ht="28.8" x14ac:dyDescent="0.3">
      <c r="A71" s="524" t="s">
        <v>522</v>
      </c>
      <c r="B71" s="524" t="s">
        <v>1058</v>
      </c>
      <c r="C71" s="525" t="s">
        <v>1059</v>
      </c>
      <c r="D71" s="524" t="s">
        <v>397</v>
      </c>
      <c r="E71" s="524" t="s">
        <v>863</v>
      </c>
      <c r="F71" s="528" t="s">
        <v>1060</v>
      </c>
      <c r="G71" s="252">
        <f t="shared" si="0"/>
        <v>5.03</v>
      </c>
    </row>
    <row r="72" spans="1:7" ht="43.2" x14ac:dyDescent="0.3">
      <c r="A72" s="524" t="s">
        <v>522</v>
      </c>
      <c r="B72" s="524" t="s">
        <v>1061</v>
      </c>
      <c r="C72" s="525" t="s">
        <v>1062</v>
      </c>
      <c r="D72" s="524" t="s">
        <v>397</v>
      </c>
      <c r="E72" s="524" t="s">
        <v>867</v>
      </c>
      <c r="F72" s="528" t="s">
        <v>1063</v>
      </c>
      <c r="G72" s="252">
        <f t="shared" si="0"/>
        <v>6.06</v>
      </c>
    </row>
    <row r="73" spans="1:7" ht="28.8" x14ac:dyDescent="0.3">
      <c r="A73" s="524" t="s">
        <v>522</v>
      </c>
      <c r="B73" s="524" t="s">
        <v>1064</v>
      </c>
      <c r="C73" s="525" t="s">
        <v>1065</v>
      </c>
      <c r="D73" s="524" t="s">
        <v>55</v>
      </c>
      <c r="E73" s="524" t="s">
        <v>1066</v>
      </c>
      <c r="F73" s="528" t="s">
        <v>1067</v>
      </c>
      <c r="G73" s="252">
        <f t="shared" si="0"/>
        <v>4.49</v>
      </c>
    </row>
    <row r="74" spans="1:7" ht="43.2" x14ac:dyDescent="0.3">
      <c r="A74" s="524" t="s">
        <v>522</v>
      </c>
      <c r="B74" s="524" t="s">
        <v>1068</v>
      </c>
      <c r="C74" s="525" t="s">
        <v>1069</v>
      </c>
      <c r="D74" s="524" t="s">
        <v>24</v>
      </c>
      <c r="E74" s="524" t="s">
        <v>1070</v>
      </c>
      <c r="F74" s="528" t="s">
        <v>1071</v>
      </c>
      <c r="G74" s="252">
        <f t="shared" si="0"/>
        <v>20.94</v>
      </c>
    </row>
    <row r="75" spans="1:7" ht="28.8" x14ac:dyDescent="0.3">
      <c r="A75" s="524" t="s">
        <v>522</v>
      </c>
      <c r="B75" s="524" t="s">
        <v>1072</v>
      </c>
      <c r="C75" s="525" t="s">
        <v>1073</v>
      </c>
      <c r="D75" s="524" t="s">
        <v>24</v>
      </c>
      <c r="E75" s="524" t="s">
        <v>1074</v>
      </c>
      <c r="F75" s="528" t="s">
        <v>1075</v>
      </c>
      <c r="G75" s="252">
        <f t="shared" si="0"/>
        <v>24.87</v>
      </c>
    </row>
    <row r="76" spans="1:7" ht="43.2" x14ac:dyDescent="0.3">
      <c r="A76" s="524" t="s">
        <v>522</v>
      </c>
      <c r="B76" s="524" t="s">
        <v>1076</v>
      </c>
      <c r="C76" s="525" t="s">
        <v>1077</v>
      </c>
      <c r="D76" s="524" t="s">
        <v>24</v>
      </c>
      <c r="E76" s="524" t="s">
        <v>1078</v>
      </c>
      <c r="F76" s="528" t="s">
        <v>1079</v>
      </c>
      <c r="G76" s="252">
        <f t="shared" si="0"/>
        <v>9.49</v>
      </c>
    </row>
    <row r="77" spans="1:7" ht="28.8" x14ac:dyDescent="0.3">
      <c r="A77" s="524" t="s">
        <v>522</v>
      </c>
      <c r="B77" s="524" t="s">
        <v>1080</v>
      </c>
      <c r="C77" s="525" t="s">
        <v>1081</v>
      </c>
      <c r="D77" s="524" t="s">
        <v>24</v>
      </c>
      <c r="E77" s="524" t="s">
        <v>1082</v>
      </c>
      <c r="F77" s="528" t="s">
        <v>1083</v>
      </c>
      <c r="G77" s="252">
        <f t="shared" si="0"/>
        <v>11.21</v>
      </c>
    </row>
    <row r="78" spans="1:7" ht="43.2" x14ac:dyDescent="0.3">
      <c r="A78" s="524" t="s">
        <v>522</v>
      </c>
      <c r="B78" s="524" t="s">
        <v>1084</v>
      </c>
      <c r="C78" s="525" t="s">
        <v>1085</v>
      </c>
      <c r="D78" s="524" t="s">
        <v>24</v>
      </c>
      <c r="E78" s="524" t="s">
        <v>1086</v>
      </c>
      <c r="F78" s="528" t="s">
        <v>1087</v>
      </c>
      <c r="G78" s="252">
        <f t="shared" si="0"/>
        <v>39.21</v>
      </c>
    </row>
    <row r="79" spans="1:7" ht="28.8" x14ac:dyDescent="0.3">
      <c r="A79" s="524" t="s">
        <v>522</v>
      </c>
      <c r="B79" s="524" t="s">
        <v>1088</v>
      </c>
      <c r="C79" s="525" t="s">
        <v>1089</v>
      </c>
      <c r="D79" s="524" t="s">
        <v>24</v>
      </c>
      <c r="E79" s="524" t="s">
        <v>1090</v>
      </c>
      <c r="F79" s="528" t="s">
        <v>1091</v>
      </c>
      <c r="G79" s="252">
        <f t="shared" si="0"/>
        <v>39.65</v>
      </c>
    </row>
    <row r="80" spans="1:7" ht="43.2" x14ac:dyDescent="0.3">
      <c r="A80" s="524" t="s">
        <v>522</v>
      </c>
      <c r="B80" s="524" t="s">
        <v>1092</v>
      </c>
      <c r="C80" s="525" t="s">
        <v>1093</v>
      </c>
      <c r="D80" s="524" t="s">
        <v>24</v>
      </c>
      <c r="E80" s="524" t="s">
        <v>1094</v>
      </c>
      <c r="F80" s="528" t="s">
        <v>1095</v>
      </c>
      <c r="G80" s="252">
        <f t="shared" si="0"/>
        <v>17.32</v>
      </c>
    </row>
    <row r="81" spans="1:7" ht="28.8" x14ac:dyDescent="0.3">
      <c r="A81" s="524" t="s">
        <v>522</v>
      </c>
      <c r="B81" s="524" t="s">
        <v>1096</v>
      </c>
      <c r="C81" s="525" t="s">
        <v>1097</v>
      </c>
      <c r="D81" s="524" t="s">
        <v>24</v>
      </c>
      <c r="E81" s="524" t="s">
        <v>1098</v>
      </c>
      <c r="F81" s="528" t="s">
        <v>1099</v>
      </c>
      <c r="G81" s="252">
        <f t="shared" si="0"/>
        <v>17.13</v>
      </c>
    </row>
    <row r="82" spans="1:7" ht="28.8" x14ac:dyDescent="0.3">
      <c r="A82" s="524" t="s">
        <v>522</v>
      </c>
      <c r="B82" s="524" t="s">
        <v>1100</v>
      </c>
      <c r="C82" s="525" t="s">
        <v>1101</v>
      </c>
      <c r="D82" s="524" t="s">
        <v>397</v>
      </c>
      <c r="E82" s="524" t="s">
        <v>867</v>
      </c>
      <c r="F82" s="528" t="s">
        <v>1102</v>
      </c>
      <c r="G82" s="252">
        <f t="shared" si="0"/>
        <v>0.56999999999999995</v>
      </c>
    </row>
    <row r="83" spans="1:7" ht="57.6" x14ac:dyDescent="0.3">
      <c r="A83" s="524" t="s">
        <v>522</v>
      </c>
      <c r="B83" s="524" t="s">
        <v>1103</v>
      </c>
      <c r="C83" s="525" t="s">
        <v>1104</v>
      </c>
      <c r="D83" s="524" t="s">
        <v>24</v>
      </c>
      <c r="E83" s="524" t="s">
        <v>946</v>
      </c>
      <c r="F83" s="528" t="s">
        <v>1105</v>
      </c>
      <c r="G83" s="252">
        <f t="shared" si="0"/>
        <v>67.14</v>
      </c>
    </row>
    <row r="84" spans="1:7" ht="43.2" x14ac:dyDescent="0.3">
      <c r="A84" s="524" t="s">
        <v>522</v>
      </c>
      <c r="B84" s="524" t="s">
        <v>1106</v>
      </c>
      <c r="C84" s="525" t="s">
        <v>1107</v>
      </c>
      <c r="D84" s="524" t="s">
        <v>41</v>
      </c>
      <c r="E84" s="524" t="s">
        <v>1108</v>
      </c>
      <c r="F84" s="528" t="s">
        <v>1109</v>
      </c>
      <c r="G84" s="252">
        <f t="shared" si="0"/>
        <v>15.03</v>
      </c>
    </row>
    <row r="85" spans="1:7" x14ac:dyDescent="0.3">
      <c r="A85" s="680" t="s">
        <v>1152</v>
      </c>
      <c r="B85" s="681"/>
      <c r="C85" s="681"/>
      <c r="D85" s="681"/>
      <c r="E85" s="681"/>
      <c r="F85" s="682"/>
      <c r="G85" s="527">
        <f>SUM(G10:G84)</f>
        <v>697.89</v>
      </c>
    </row>
    <row r="86" spans="1:7" x14ac:dyDescent="0.3">
      <c r="A86" s="683">
        <f>TRUNC(E86*F86,2)</f>
        <v>0</v>
      </c>
      <c r="B86" s="684"/>
      <c r="C86" s="684"/>
      <c r="D86" s="684"/>
      <c r="E86" s="684"/>
      <c r="F86" s="684"/>
      <c r="G86" s="685"/>
    </row>
    <row r="87" spans="1:7" ht="28.8" x14ac:dyDescent="0.3">
      <c r="A87" s="529" t="s">
        <v>657</v>
      </c>
      <c r="B87" s="529">
        <v>93208</v>
      </c>
      <c r="C87" s="530" t="s">
        <v>26</v>
      </c>
      <c r="D87" s="529" t="s">
        <v>24</v>
      </c>
      <c r="E87" s="252"/>
      <c r="F87" s="531">
        <v>530.91</v>
      </c>
      <c r="G87" s="252">
        <f t="shared" si="0"/>
        <v>0</v>
      </c>
    </row>
    <row r="88" spans="1:7" ht="28.8" x14ac:dyDescent="0.3">
      <c r="A88" s="524" t="s">
        <v>508</v>
      </c>
      <c r="B88" s="524" t="s">
        <v>1110</v>
      </c>
      <c r="C88" s="525" t="s">
        <v>1111</v>
      </c>
      <c r="D88" s="524" t="s">
        <v>55</v>
      </c>
      <c r="E88" s="524" t="s">
        <v>1112</v>
      </c>
      <c r="F88" s="528" t="s">
        <v>1113</v>
      </c>
      <c r="G88" s="252">
        <f t="shared" si="0"/>
        <v>17.100000000000001</v>
      </c>
    </row>
    <row r="89" spans="1:7" ht="28.8" x14ac:dyDescent="0.3">
      <c r="A89" s="524" t="s">
        <v>508</v>
      </c>
      <c r="B89" s="524" t="s">
        <v>1114</v>
      </c>
      <c r="C89" s="525" t="s">
        <v>1115</v>
      </c>
      <c r="D89" s="524" t="s">
        <v>55</v>
      </c>
      <c r="E89" s="524" t="s">
        <v>1116</v>
      </c>
      <c r="F89" s="528" t="s">
        <v>1117</v>
      </c>
      <c r="G89" s="252">
        <f t="shared" si="0"/>
        <v>23.26</v>
      </c>
    </row>
    <row r="90" spans="1:7" ht="28.8" x14ac:dyDescent="0.3">
      <c r="A90" s="524" t="s">
        <v>508</v>
      </c>
      <c r="B90" s="524" t="s">
        <v>865</v>
      </c>
      <c r="C90" s="525" t="s">
        <v>866</v>
      </c>
      <c r="D90" s="524" t="s">
        <v>397</v>
      </c>
      <c r="E90" s="524" t="s">
        <v>1118</v>
      </c>
      <c r="F90" s="528" t="s">
        <v>868</v>
      </c>
      <c r="G90" s="252">
        <f t="shared" si="0"/>
        <v>3.32</v>
      </c>
    </row>
    <row r="91" spans="1:7" ht="28.8" x14ac:dyDescent="0.3">
      <c r="A91" s="524" t="s">
        <v>508</v>
      </c>
      <c r="B91" s="524" t="s">
        <v>869</v>
      </c>
      <c r="C91" s="525" t="s">
        <v>870</v>
      </c>
      <c r="D91" s="524" t="s">
        <v>397</v>
      </c>
      <c r="E91" s="524" t="s">
        <v>1118</v>
      </c>
      <c r="F91" s="528" t="s">
        <v>871</v>
      </c>
      <c r="G91" s="252">
        <f t="shared" si="0"/>
        <v>3.21</v>
      </c>
    </row>
    <row r="92" spans="1:7" ht="28.8" x14ac:dyDescent="0.3">
      <c r="A92" s="524" t="s">
        <v>508</v>
      </c>
      <c r="B92" s="524" t="s">
        <v>1119</v>
      </c>
      <c r="C92" s="525" t="s">
        <v>1120</v>
      </c>
      <c r="D92" s="524" t="s">
        <v>397</v>
      </c>
      <c r="E92" s="524" t="s">
        <v>1118</v>
      </c>
      <c r="F92" s="528" t="s">
        <v>1121</v>
      </c>
      <c r="G92" s="252">
        <f t="shared" si="0"/>
        <v>0.22</v>
      </c>
    </row>
    <row r="93" spans="1:7" ht="28.8" x14ac:dyDescent="0.3">
      <c r="A93" s="524" t="s">
        <v>508</v>
      </c>
      <c r="B93" s="524" t="s">
        <v>872</v>
      </c>
      <c r="C93" s="525" t="s">
        <v>873</v>
      </c>
      <c r="D93" s="524" t="s">
        <v>24</v>
      </c>
      <c r="E93" s="524" t="s">
        <v>1122</v>
      </c>
      <c r="F93" s="528" t="s">
        <v>875</v>
      </c>
      <c r="G93" s="252">
        <f t="shared" si="0"/>
        <v>48.58</v>
      </c>
    </row>
    <row r="94" spans="1:7" ht="28.8" x14ac:dyDescent="0.3">
      <c r="A94" s="524" t="s">
        <v>522</v>
      </c>
      <c r="B94" s="524" t="s">
        <v>876</v>
      </c>
      <c r="C94" s="525" t="s">
        <v>350</v>
      </c>
      <c r="D94" s="524" t="s">
        <v>397</v>
      </c>
      <c r="E94" s="524" t="s">
        <v>1123</v>
      </c>
      <c r="F94" s="528" t="s">
        <v>878</v>
      </c>
      <c r="G94" s="252">
        <f t="shared" si="0"/>
        <v>0.6</v>
      </c>
    </row>
    <row r="95" spans="1:7" ht="43.2" x14ac:dyDescent="0.3">
      <c r="A95" s="524" t="s">
        <v>522</v>
      </c>
      <c r="B95" s="524" t="s">
        <v>1124</v>
      </c>
      <c r="C95" s="525" t="s">
        <v>1125</v>
      </c>
      <c r="D95" s="524" t="s">
        <v>397</v>
      </c>
      <c r="E95" s="524" t="s">
        <v>1118</v>
      </c>
      <c r="F95" s="528" t="s">
        <v>1126</v>
      </c>
      <c r="G95" s="252">
        <f t="shared" si="0"/>
        <v>1.92</v>
      </c>
    </row>
    <row r="96" spans="1:7" x14ac:dyDescent="0.3">
      <c r="A96" s="524" t="s">
        <v>522</v>
      </c>
      <c r="B96" s="524" t="s">
        <v>527</v>
      </c>
      <c r="C96" s="525" t="s">
        <v>528</v>
      </c>
      <c r="D96" s="524" t="s">
        <v>32</v>
      </c>
      <c r="E96" s="524" t="s">
        <v>1127</v>
      </c>
      <c r="F96" s="528" t="s">
        <v>530</v>
      </c>
      <c r="G96" s="252">
        <f t="shared" si="0"/>
        <v>17.27</v>
      </c>
    </row>
    <row r="97" spans="1:7" ht="28.8" x14ac:dyDescent="0.3">
      <c r="A97" s="524" t="s">
        <v>522</v>
      </c>
      <c r="B97" s="524" t="s">
        <v>897</v>
      </c>
      <c r="C97" s="525" t="s">
        <v>898</v>
      </c>
      <c r="D97" s="524" t="s">
        <v>24</v>
      </c>
      <c r="E97" s="524" t="s">
        <v>1128</v>
      </c>
      <c r="F97" s="528" t="s">
        <v>900</v>
      </c>
      <c r="G97" s="252">
        <f t="shared" si="0"/>
        <v>33.67</v>
      </c>
    </row>
    <row r="98" spans="1:7" ht="43.2" x14ac:dyDescent="0.3">
      <c r="A98" s="524" t="s">
        <v>522</v>
      </c>
      <c r="B98" s="524" t="s">
        <v>959</v>
      </c>
      <c r="C98" s="525" t="s">
        <v>960</v>
      </c>
      <c r="D98" s="524" t="s">
        <v>55</v>
      </c>
      <c r="E98" s="524" t="s">
        <v>1129</v>
      </c>
      <c r="F98" s="528" t="s">
        <v>962</v>
      </c>
      <c r="G98" s="252">
        <f t="shared" si="0"/>
        <v>0.54</v>
      </c>
    </row>
    <row r="99" spans="1:7" ht="43.2" x14ac:dyDescent="0.3">
      <c r="A99" s="524" t="s">
        <v>522</v>
      </c>
      <c r="B99" s="524" t="s">
        <v>963</v>
      </c>
      <c r="C99" s="525" t="s">
        <v>964</v>
      </c>
      <c r="D99" s="524" t="s">
        <v>55</v>
      </c>
      <c r="E99" s="524" t="s">
        <v>1130</v>
      </c>
      <c r="F99" s="528" t="s">
        <v>966</v>
      </c>
      <c r="G99" s="252">
        <f t="shared" si="0"/>
        <v>0.24</v>
      </c>
    </row>
    <row r="100" spans="1:7" ht="28.8" x14ac:dyDescent="0.3">
      <c r="A100" s="524" t="s">
        <v>522</v>
      </c>
      <c r="B100" s="524" t="s">
        <v>967</v>
      </c>
      <c r="C100" s="525" t="s">
        <v>968</v>
      </c>
      <c r="D100" s="524" t="s">
        <v>24</v>
      </c>
      <c r="E100" s="524" t="s">
        <v>1131</v>
      </c>
      <c r="F100" s="528" t="s">
        <v>970</v>
      </c>
      <c r="G100" s="252">
        <f t="shared" si="0"/>
        <v>44.48</v>
      </c>
    </row>
    <row r="101" spans="1:7" ht="28.8" x14ac:dyDescent="0.3">
      <c r="A101" s="524" t="s">
        <v>522</v>
      </c>
      <c r="B101" s="524" t="s">
        <v>971</v>
      </c>
      <c r="C101" s="525" t="s">
        <v>972</v>
      </c>
      <c r="D101" s="524" t="s">
        <v>55</v>
      </c>
      <c r="E101" s="524" t="s">
        <v>1129</v>
      </c>
      <c r="F101" s="528" t="s">
        <v>973</v>
      </c>
      <c r="G101" s="252">
        <f t="shared" si="0"/>
        <v>1.58</v>
      </c>
    </row>
    <row r="102" spans="1:7" ht="28.8" x14ac:dyDescent="0.3">
      <c r="A102" s="524" t="s">
        <v>522</v>
      </c>
      <c r="B102" s="524" t="s">
        <v>974</v>
      </c>
      <c r="C102" s="525" t="s">
        <v>975</v>
      </c>
      <c r="D102" s="524" t="s">
        <v>55</v>
      </c>
      <c r="E102" s="524" t="s">
        <v>1130</v>
      </c>
      <c r="F102" s="528" t="s">
        <v>976</v>
      </c>
      <c r="G102" s="252">
        <f t="shared" si="0"/>
        <v>1.58</v>
      </c>
    </row>
    <row r="103" spans="1:7" ht="43.2" x14ac:dyDescent="0.3">
      <c r="A103" s="524" t="s">
        <v>522</v>
      </c>
      <c r="B103" s="524" t="s">
        <v>977</v>
      </c>
      <c r="C103" s="525" t="s">
        <v>978</v>
      </c>
      <c r="D103" s="524" t="s">
        <v>397</v>
      </c>
      <c r="E103" s="524" t="s">
        <v>1132</v>
      </c>
      <c r="F103" s="528" t="s">
        <v>980</v>
      </c>
      <c r="G103" s="252">
        <f t="shared" si="0"/>
        <v>0.67</v>
      </c>
    </row>
    <row r="104" spans="1:7" ht="28.8" x14ac:dyDescent="0.3">
      <c r="A104" s="524" t="s">
        <v>522</v>
      </c>
      <c r="B104" s="524" t="s">
        <v>981</v>
      </c>
      <c r="C104" s="525" t="s">
        <v>982</v>
      </c>
      <c r="D104" s="524" t="s">
        <v>55</v>
      </c>
      <c r="E104" s="524" t="s">
        <v>1133</v>
      </c>
      <c r="F104" s="528" t="s">
        <v>984</v>
      </c>
      <c r="G104" s="252">
        <f t="shared" si="0"/>
        <v>1.17</v>
      </c>
    </row>
    <row r="105" spans="1:7" ht="28.8" x14ac:dyDescent="0.3">
      <c r="A105" s="524" t="s">
        <v>522</v>
      </c>
      <c r="B105" s="524" t="s">
        <v>985</v>
      </c>
      <c r="C105" s="525" t="s">
        <v>986</v>
      </c>
      <c r="D105" s="524" t="s">
        <v>55</v>
      </c>
      <c r="E105" s="524" t="s">
        <v>1134</v>
      </c>
      <c r="F105" s="528" t="s">
        <v>988</v>
      </c>
      <c r="G105" s="252">
        <f t="shared" si="0"/>
        <v>1.85</v>
      </c>
    </row>
    <row r="106" spans="1:7" ht="28.8" x14ac:dyDescent="0.3">
      <c r="A106" s="524" t="s">
        <v>522</v>
      </c>
      <c r="B106" s="524" t="s">
        <v>993</v>
      </c>
      <c r="C106" s="525" t="s">
        <v>994</v>
      </c>
      <c r="D106" s="524" t="s">
        <v>397</v>
      </c>
      <c r="E106" s="524" t="s">
        <v>1135</v>
      </c>
      <c r="F106" s="528" t="s">
        <v>928</v>
      </c>
      <c r="G106" s="252">
        <f t="shared" si="0"/>
        <v>0.96</v>
      </c>
    </row>
    <row r="107" spans="1:7" ht="28.8" x14ac:dyDescent="0.3">
      <c r="A107" s="524" t="s">
        <v>522</v>
      </c>
      <c r="B107" s="524" t="s">
        <v>998</v>
      </c>
      <c r="C107" s="525" t="s">
        <v>999</v>
      </c>
      <c r="D107" s="524" t="s">
        <v>397</v>
      </c>
      <c r="E107" s="524" t="s">
        <v>1123</v>
      </c>
      <c r="F107" s="528" t="s">
        <v>1000</v>
      </c>
      <c r="G107" s="252">
        <f t="shared" si="0"/>
        <v>0.85</v>
      </c>
    </row>
    <row r="108" spans="1:7" ht="28.8" x14ac:dyDescent="0.3">
      <c r="A108" s="524" t="s">
        <v>522</v>
      </c>
      <c r="B108" s="524" t="s">
        <v>1136</v>
      </c>
      <c r="C108" s="525" t="s">
        <v>1137</v>
      </c>
      <c r="D108" s="524" t="s">
        <v>397</v>
      </c>
      <c r="E108" s="524" t="s">
        <v>1118</v>
      </c>
      <c r="F108" s="528" t="s">
        <v>1138</v>
      </c>
      <c r="G108" s="252">
        <f t="shared" si="0"/>
        <v>1.04</v>
      </c>
    </row>
    <row r="109" spans="1:7" ht="43.2" x14ac:dyDescent="0.3">
      <c r="A109" s="524" t="s">
        <v>522</v>
      </c>
      <c r="B109" s="524" t="s">
        <v>1008</v>
      </c>
      <c r="C109" s="525" t="s">
        <v>1009</v>
      </c>
      <c r="D109" s="524" t="s">
        <v>24</v>
      </c>
      <c r="E109" s="524" t="s">
        <v>1139</v>
      </c>
      <c r="F109" s="528" t="s">
        <v>1011</v>
      </c>
      <c r="G109" s="252">
        <f t="shared" si="0"/>
        <v>15.14</v>
      </c>
    </row>
    <row r="110" spans="1:7" ht="28.8" x14ac:dyDescent="0.3">
      <c r="A110" s="524" t="s">
        <v>522</v>
      </c>
      <c r="B110" s="524" t="s">
        <v>1014</v>
      </c>
      <c r="C110" s="525" t="s">
        <v>355</v>
      </c>
      <c r="D110" s="524" t="s">
        <v>41</v>
      </c>
      <c r="E110" s="524" t="s">
        <v>1140</v>
      </c>
      <c r="F110" s="528" t="s">
        <v>1016</v>
      </c>
      <c r="G110" s="252">
        <f t="shared" si="0"/>
        <v>1.48</v>
      </c>
    </row>
    <row r="111" spans="1:7" ht="43.2" x14ac:dyDescent="0.3">
      <c r="A111" s="524" t="s">
        <v>522</v>
      </c>
      <c r="B111" s="524" t="s">
        <v>1017</v>
      </c>
      <c r="C111" s="525" t="s">
        <v>1018</v>
      </c>
      <c r="D111" s="524" t="s">
        <v>24</v>
      </c>
      <c r="E111" s="524" t="s">
        <v>1139</v>
      </c>
      <c r="F111" s="528" t="s">
        <v>1019</v>
      </c>
      <c r="G111" s="252">
        <f t="shared" si="0"/>
        <v>51.68</v>
      </c>
    </row>
    <row r="112" spans="1:7" ht="43.2" x14ac:dyDescent="0.3">
      <c r="A112" s="524" t="s">
        <v>522</v>
      </c>
      <c r="B112" s="524" t="s">
        <v>1020</v>
      </c>
      <c r="C112" s="525" t="s">
        <v>1021</v>
      </c>
      <c r="D112" s="524" t="s">
        <v>24</v>
      </c>
      <c r="E112" s="524" t="s">
        <v>1132</v>
      </c>
      <c r="F112" s="528" t="s">
        <v>1023</v>
      </c>
      <c r="G112" s="252">
        <f t="shared" si="0"/>
        <v>42.79</v>
      </c>
    </row>
    <row r="113" spans="1:7" ht="28.8" x14ac:dyDescent="0.3">
      <c r="A113" s="524" t="s">
        <v>522</v>
      </c>
      <c r="B113" s="524" t="s">
        <v>1024</v>
      </c>
      <c r="C113" s="525" t="s">
        <v>1025</v>
      </c>
      <c r="D113" s="524" t="s">
        <v>24</v>
      </c>
      <c r="E113" s="524" t="s">
        <v>1043</v>
      </c>
      <c r="F113" s="528" t="s">
        <v>1027</v>
      </c>
      <c r="G113" s="252">
        <f t="shared" si="0"/>
        <v>7.0000000000000007E-2</v>
      </c>
    </row>
    <row r="114" spans="1:7" ht="28.8" x14ac:dyDescent="0.3">
      <c r="A114" s="524" t="s">
        <v>522</v>
      </c>
      <c r="B114" s="524" t="s">
        <v>1028</v>
      </c>
      <c r="C114" s="525" t="s">
        <v>1029</v>
      </c>
      <c r="D114" s="524" t="s">
        <v>24</v>
      </c>
      <c r="E114" s="524" t="s">
        <v>1139</v>
      </c>
      <c r="F114" s="528" t="s">
        <v>1031</v>
      </c>
      <c r="G114" s="252">
        <f t="shared" si="0"/>
        <v>29.12</v>
      </c>
    </row>
    <row r="115" spans="1:7" ht="28.8" x14ac:dyDescent="0.3">
      <c r="A115" s="524" t="s">
        <v>522</v>
      </c>
      <c r="B115" s="524" t="s">
        <v>1032</v>
      </c>
      <c r="C115" s="525" t="s">
        <v>1033</v>
      </c>
      <c r="D115" s="524" t="s">
        <v>397</v>
      </c>
      <c r="E115" s="524" t="s">
        <v>1123</v>
      </c>
      <c r="F115" s="528" t="s">
        <v>1035</v>
      </c>
      <c r="G115" s="252">
        <f t="shared" si="0"/>
        <v>0.85</v>
      </c>
    </row>
    <row r="116" spans="1:7" ht="28.8" x14ac:dyDescent="0.3">
      <c r="A116" s="524" t="s">
        <v>522</v>
      </c>
      <c r="B116" s="524" t="s">
        <v>1036</v>
      </c>
      <c r="C116" s="525" t="s">
        <v>1037</v>
      </c>
      <c r="D116" s="524" t="s">
        <v>397</v>
      </c>
      <c r="E116" s="524" t="s">
        <v>1118</v>
      </c>
      <c r="F116" s="528" t="s">
        <v>1038</v>
      </c>
      <c r="G116" s="252">
        <f t="shared" si="0"/>
        <v>0.27</v>
      </c>
    </row>
    <row r="117" spans="1:7" x14ac:dyDescent="0.3">
      <c r="A117" s="524" t="s">
        <v>522</v>
      </c>
      <c r="B117" s="524" t="s">
        <v>1042</v>
      </c>
      <c r="C117" s="525" t="s">
        <v>418</v>
      </c>
      <c r="D117" s="524" t="s">
        <v>41</v>
      </c>
      <c r="E117" s="524" t="s">
        <v>1141</v>
      </c>
      <c r="F117" s="528" t="s">
        <v>1044</v>
      </c>
      <c r="G117" s="252">
        <f t="shared" si="0"/>
        <v>0.23</v>
      </c>
    </row>
    <row r="118" spans="1:7" ht="43.2" x14ac:dyDescent="0.3">
      <c r="A118" s="524" t="s">
        <v>522</v>
      </c>
      <c r="B118" s="524" t="s">
        <v>1045</v>
      </c>
      <c r="C118" s="525" t="s">
        <v>1046</v>
      </c>
      <c r="D118" s="524" t="s">
        <v>397</v>
      </c>
      <c r="E118" s="524" t="s">
        <v>1142</v>
      </c>
      <c r="F118" s="528" t="s">
        <v>1048</v>
      </c>
      <c r="G118" s="252">
        <f t="shared" si="0"/>
        <v>8.89</v>
      </c>
    </row>
    <row r="119" spans="1:7" ht="28.8" x14ac:dyDescent="0.3">
      <c r="A119" s="524" t="s">
        <v>522</v>
      </c>
      <c r="B119" s="524" t="s">
        <v>1049</v>
      </c>
      <c r="C119" s="525" t="s">
        <v>1050</v>
      </c>
      <c r="D119" s="524" t="s">
        <v>397</v>
      </c>
      <c r="E119" s="524" t="s">
        <v>1118</v>
      </c>
      <c r="F119" s="528" t="s">
        <v>1051</v>
      </c>
      <c r="G119" s="252">
        <f t="shared" si="0"/>
        <v>2.0299999999999998</v>
      </c>
    </row>
    <row r="120" spans="1:7" ht="28.8" x14ac:dyDescent="0.3">
      <c r="A120" s="524" t="s">
        <v>522</v>
      </c>
      <c r="B120" s="524" t="s">
        <v>1052</v>
      </c>
      <c r="C120" s="525" t="s">
        <v>1053</v>
      </c>
      <c r="D120" s="524" t="s">
        <v>397</v>
      </c>
      <c r="E120" s="524" t="s">
        <v>1118</v>
      </c>
      <c r="F120" s="528" t="s">
        <v>1054</v>
      </c>
      <c r="G120" s="252">
        <f t="shared" si="0"/>
        <v>0.37</v>
      </c>
    </row>
    <row r="121" spans="1:7" ht="43.2" x14ac:dyDescent="0.3">
      <c r="A121" s="524" t="s">
        <v>522</v>
      </c>
      <c r="B121" s="524" t="s">
        <v>1068</v>
      </c>
      <c r="C121" s="525" t="s">
        <v>1069</v>
      </c>
      <c r="D121" s="524" t="s">
        <v>24</v>
      </c>
      <c r="E121" s="524" t="s">
        <v>1143</v>
      </c>
      <c r="F121" s="528" t="s">
        <v>1071</v>
      </c>
      <c r="G121" s="252">
        <f t="shared" si="0"/>
        <v>24.72</v>
      </c>
    </row>
    <row r="122" spans="1:7" ht="28.8" x14ac:dyDescent="0.3">
      <c r="A122" s="524" t="s">
        <v>522</v>
      </c>
      <c r="B122" s="524" t="s">
        <v>1072</v>
      </c>
      <c r="C122" s="525" t="s">
        <v>1073</v>
      </c>
      <c r="D122" s="524" t="s">
        <v>24</v>
      </c>
      <c r="E122" s="524" t="s">
        <v>1144</v>
      </c>
      <c r="F122" s="528" t="s">
        <v>1075</v>
      </c>
      <c r="G122" s="252">
        <f t="shared" si="0"/>
        <v>29.36</v>
      </c>
    </row>
    <row r="123" spans="1:7" ht="43.2" x14ac:dyDescent="0.3">
      <c r="A123" s="524" t="s">
        <v>522</v>
      </c>
      <c r="B123" s="524" t="s">
        <v>1076</v>
      </c>
      <c r="C123" s="525" t="s">
        <v>1077</v>
      </c>
      <c r="D123" s="524" t="s">
        <v>24</v>
      </c>
      <c r="E123" s="524" t="s">
        <v>1145</v>
      </c>
      <c r="F123" s="528" t="s">
        <v>1079</v>
      </c>
      <c r="G123" s="252">
        <f t="shared" si="0"/>
        <v>1.68</v>
      </c>
    </row>
    <row r="124" spans="1:7" ht="28.8" x14ac:dyDescent="0.3">
      <c r="A124" s="524" t="s">
        <v>522</v>
      </c>
      <c r="B124" s="524" t="s">
        <v>1080</v>
      </c>
      <c r="C124" s="525" t="s">
        <v>1081</v>
      </c>
      <c r="D124" s="524" t="s">
        <v>24</v>
      </c>
      <c r="E124" s="524" t="s">
        <v>1146</v>
      </c>
      <c r="F124" s="528" t="s">
        <v>1083</v>
      </c>
      <c r="G124" s="252">
        <f t="shared" si="0"/>
        <v>1.99</v>
      </c>
    </row>
    <row r="125" spans="1:7" ht="43.2" x14ac:dyDescent="0.3">
      <c r="A125" s="524" t="s">
        <v>522</v>
      </c>
      <c r="B125" s="524" t="s">
        <v>1084</v>
      </c>
      <c r="C125" s="525" t="s">
        <v>1085</v>
      </c>
      <c r="D125" s="524" t="s">
        <v>24</v>
      </c>
      <c r="E125" s="524" t="s">
        <v>1147</v>
      </c>
      <c r="F125" s="528" t="s">
        <v>1087</v>
      </c>
      <c r="G125" s="252">
        <f t="shared" si="0"/>
        <v>46.3</v>
      </c>
    </row>
    <row r="126" spans="1:7" ht="28.8" x14ac:dyDescent="0.3">
      <c r="A126" s="524" t="s">
        <v>522</v>
      </c>
      <c r="B126" s="524" t="s">
        <v>1088</v>
      </c>
      <c r="C126" s="525" t="s">
        <v>1089</v>
      </c>
      <c r="D126" s="524" t="s">
        <v>24</v>
      </c>
      <c r="E126" s="524" t="s">
        <v>1148</v>
      </c>
      <c r="F126" s="528" t="s">
        <v>1091</v>
      </c>
      <c r="G126" s="252">
        <f t="shared" si="0"/>
        <v>46.8</v>
      </c>
    </row>
    <row r="127" spans="1:7" ht="43.2" x14ac:dyDescent="0.3">
      <c r="A127" s="524" t="s">
        <v>522</v>
      </c>
      <c r="B127" s="524" t="s">
        <v>1092</v>
      </c>
      <c r="C127" s="525" t="s">
        <v>1093</v>
      </c>
      <c r="D127" s="524" t="s">
        <v>24</v>
      </c>
      <c r="E127" s="524" t="s">
        <v>1149</v>
      </c>
      <c r="F127" s="528" t="s">
        <v>1095</v>
      </c>
      <c r="G127" s="252">
        <f t="shared" ref="G127:G129" si="1">TRUNC(E127*F127,2)</f>
        <v>3.07</v>
      </c>
    </row>
    <row r="128" spans="1:7" ht="28.8" x14ac:dyDescent="0.3">
      <c r="A128" s="524" t="s">
        <v>522</v>
      </c>
      <c r="B128" s="524" t="s">
        <v>1096</v>
      </c>
      <c r="C128" s="525" t="s">
        <v>1097</v>
      </c>
      <c r="D128" s="524" t="s">
        <v>24</v>
      </c>
      <c r="E128" s="524" t="s">
        <v>1150</v>
      </c>
      <c r="F128" s="528" t="s">
        <v>1099</v>
      </c>
      <c r="G128" s="252">
        <f t="shared" si="1"/>
        <v>3.04</v>
      </c>
    </row>
    <row r="129" spans="1:7" ht="43.2" x14ac:dyDescent="0.3">
      <c r="A129" s="524" t="s">
        <v>522</v>
      </c>
      <c r="B129" s="524" t="s">
        <v>1106</v>
      </c>
      <c r="C129" s="525" t="s">
        <v>1107</v>
      </c>
      <c r="D129" s="524" t="s">
        <v>41</v>
      </c>
      <c r="E129" s="524" t="s">
        <v>1151</v>
      </c>
      <c r="F129" s="528" t="s">
        <v>1109</v>
      </c>
      <c r="G129" s="252">
        <f t="shared" si="1"/>
        <v>16.920000000000002</v>
      </c>
    </row>
    <row r="130" spans="1:7" x14ac:dyDescent="0.3">
      <c r="A130" s="680" t="s">
        <v>1152</v>
      </c>
      <c r="B130" s="681"/>
      <c r="C130" s="681"/>
      <c r="D130" s="681"/>
      <c r="E130" s="681"/>
      <c r="F130" s="682"/>
      <c r="G130" s="527">
        <f>SUM(G87:G129)</f>
        <v>530.90999999999985</v>
      </c>
    </row>
    <row r="131" spans="1:7" x14ac:dyDescent="0.3">
      <c r="A131" s="683">
        <f>TRUNC(E131*F131,2)</f>
        <v>0</v>
      </c>
      <c r="B131" s="684"/>
      <c r="C131" s="684"/>
      <c r="D131" s="684"/>
      <c r="E131" s="684"/>
      <c r="F131" s="684"/>
      <c r="G131" s="685"/>
    </row>
    <row r="132" spans="1:7" ht="28.8" x14ac:dyDescent="0.3">
      <c r="A132" s="529" t="s">
        <v>658</v>
      </c>
      <c r="B132" s="529">
        <v>93212</v>
      </c>
      <c r="C132" s="530" t="s">
        <v>27</v>
      </c>
      <c r="D132" s="529" t="s">
        <v>24</v>
      </c>
      <c r="E132" s="252"/>
      <c r="F132" s="531">
        <v>619.29</v>
      </c>
      <c r="G132" s="252">
        <f t="shared" si="0"/>
        <v>0</v>
      </c>
    </row>
    <row r="133" spans="1:7" ht="43.2" x14ac:dyDescent="0.3">
      <c r="A133" s="524" t="s">
        <v>508</v>
      </c>
      <c r="B133" s="524" t="s">
        <v>857</v>
      </c>
      <c r="C133" s="525" t="s">
        <v>858</v>
      </c>
      <c r="D133" s="524" t="s">
        <v>92</v>
      </c>
      <c r="E133" s="524" t="s">
        <v>1153</v>
      </c>
      <c r="F133" s="528" t="s">
        <v>860</v>
      </c>
      <c r="G133" s="252">
        <f t="shared" ref="G133:G196" si="2">TRUNC(E133*F133,2)</f>
        <v>1.54</v>
      </c>
    </row>
    <row r="134" spans="1:7" x14ac:dyDescent="0.3">
      <c r="A134" s="524" t="s">
        <v>508</v>
      </c>
      <c r="B134" s="524" t="s">
        <v>1154</v>
      </c>
      <c r="C134" s="525" t="s">
        <v>1155</v>
      </c>
      <c r="D134" s="524" t="s">
        <v>397</v>
      </c>
      <c r="E134" s="524" t="s">
        <v>1156</v>
      </c>
      <c r="F134" s="528" t="s">
        <v>1157</v>
      </c>
      <c r="G134" s="252">
        <f t="shared" si="2"/>
        <v>0.2</v>
      </c>
    </row>
    <row r="135" spans="1:7" ht="28.8" x14ac:dyDescent="0.3">
      <c r="A135" s="524" t="s">
        <v>508</v>
      </c>
      <c r="B135" s="524" t="s">
        <v>1158</v>
      </c>
      <c r="C135" s="525" t="s">
        <v>1159</v>
      </c>
      <c r="D135" s="524" t="s">
        <v>397</v>
      </c>
      <c r="E135" s="524" t="s">
        <v>1153</v>
      </c>
      <c r="F135" s="528" t="s">
        <v>1160</v>
      </c>
      <c r="G135" s="252">
        <f t="shared" si="2"/>
        <v>0.53</v>
      </c>
    </row>
    <row r="136" spans="1:7" ht="43.2" x14ac:dyDescent="0.3">
      <c r="A136" s="524" t="s">
        <v>508</v>
      </c>
      <c r="B136" s="524" t="s">
        <v>1161</v>
      </c>
      <c r="C136" s="525" t="s">
        <v>1162</v>
      </c>
      <c r="D136" s="524" t="s">
        <v>24</v>
      </c>
      <c r="E136" s="524" t="s">
        <v>1163</v>
      </c>
      <c r="F136" s="528" t="s">
        <v>1164</v>
      </c>
      <c r="G136" s="252">
        <f t="shared" si="2"/>
        <v>6.34</v>
      </c>
    </row>
    <row r="137" spans="1:7" ht="28.8" x14ac:dyDescent="0.3">
      <c r="A137" s="524" t="s">
        <v>508</v>
      </c>
      <c r="B137" s="524" t="s">
        <v>872</v>
      </c>
      <c r="C137" s="525" t="s">
        <v>873</v>
      </c>
      <c r="D137" s="524" t="s">
        <v>24</v>
      </c>
      <c r="E137" s="524" t="s">
        <v>1165</v>
      </c>
      <c r="F137" s="528" t="s">
        <v>875</v>
      </c>
      <c r="G137" s="252">
        <f t="shared" si="2"/>
        <v>47.42</v>
      </c>
    </row>
    <row r="138" spans="1:7" ht="28.8" x14ac:dyDescent="0.3">
      <c r="A138" s="524" t="s">
        <v>508</v>
      </c>
      <c r="B138" s="524" t="s">
        <v>1166</v>
      </c>
      <c r="C138" s="525" t="s">
        <v>1167</v>
      </c>
      <c r="D138" s="524" t="s">
        <v>397</v>
      </c>
      <c r="E138" s="524" t="s">
        <v>1156</v>
      </c>
      <c r="F138" s="528" t="s">
        <v>1168</v>
      </c>
      <c r="G138" s="252">
        <f t="shared" si="2"/>
        <v>8.8699999999999992</v>
      </c>
    </row>
    <row r="139" spans="1:7" ht="28.8" x14ac:dyDescent="0.3">
      <c r="A139" s="524" t="s">
        <v>508</v>
      </c>
      <c r="B139" s="524" t="s">
        <v>1169</v>
      </c>
      <c r="C139" s="525" t="s">
        <v>1170</v>
      </c>
      <c r="D139" s="524" t="s">
        <v>397</v>
      </c>
      <c r="E139" s="524" t="s">
        <v>1153</v>
      </c>
      <c r="F139" s="528" t="s">
        <v>1171</v>
      </c>
      <c r="G139" s="252">
        <f t="shared" si="2"/>
        <v>0.93</v>
      </c>
    </row>
    <row r="140" spans="1:7" ht="28.8" x14ac:dyDescent="0.3">
      <c r="A140" s="524" t="s">
        <v>508</v>
      </c>
      <c r="B140" s="524" t="s">
        <v>1172</v>
      </c>
      <c r="C140" s="525" t="s">
        <v>1173</v>
      </c>
      <c r="D140" s="524" t="s">
        <v>397</v>
      </c>
      <c r="E140" s="524" t="s">
        <v>1156</v>
      </c>
      <c r="F140" s="528" t="s">
        <v>1174</v>
      </c>
      <c r="G140" s="252">
        <f t="shared" si="2"/>
        <v>2.38</v>
      </c>
    </row>
    <row r="141" spans="1:7" ht="28.8" x14ac:dyDescent="0.3">
      <c r="A141" s="524" t="s">
        <v>522</v>
      </c>
      <c r="B141" s="524" t="s">
        <v>876</v>
      </c>
      <c r="C141" s="525" t="s">
        <v>350</v>
      </c>
      <c r="D141" s="524" t="s">
        <v>397</v>
      </c>
      <c r="E141" s="524" t="s">
        <v>1175</v>
      </c>
      <c r="F141" s="528" t="s">
        <v>878</v>
      </c>
      <c r="G141" s="252">
        <f t="shared" si="2"/>
        <v>1.25</v>
      </c>
    </row>
    <row r="142" spans="1:7" ht="43.2" x14ac:dyDescent="0.3">
      <c r="A142" s="524" t="s">
        <v>522</v>
      </c>
      <c r="B142" s="524" t="s">
        <v>1124</v>
      </c>
      <c r="C142" s="525" t="s">
        <v>1125</v>
      </c>
      <c r="D142" s="524" t="s">
        <v>397</v>
      </c>
      <c r="E142" s="524" t="s">
        <v>1156</v>
      </c>
      <c r="F142" s="528" t="s">
        <v>1126</v>
      </c>
      <c r="G142" s="252">
        <f t="shared" si="2"/>
        <v>1.33</v>
      </c>
    </row>
    <row r="143" spans="1:7" ht="28.8" x14ac:dyDescent="0.3">
      <c r="A143" s="524" t="s">
        <v>522</v>
      </c>
      <c r="B143" s="524" t="s">
        <v>881</v>
      </c>
      <c r="C143" s="525" t="s">
        <v>882</v>
      </c>
      <c r="D143" s="524" t="s">
        <v>397</v>
      </c>
      <c r="E143" s="524" t="s">
        <v>1176</v>
      </c>
      <c r="F143" s="528" t="s">
        <v>883</v>
      </c>
      <c r="G143" s="252">
        <f t="shared" si="2"/>
        <v>18.309999999999999</v>
      </c>
    </row>
    <row r="144" spans="1:7" ht="57.6" x14ac:dyDescent="0.3">
      <c r="A144" s="524" t="s">
        <v>522</v>
      </c>
      <c r="B144" s="524" t="s">
        <v>887</v>
      </c>
      <c r="C144" s="525" t="s">
        <v>888</v>
      </c>
      <c r="D144" s="524" t="s">
        <v>397</v>
      </c>
      <c r="E144" s="524" t="s">
        <v>1176</v>
      </c>
      <c r="F144" s="528" t="s">
        <v>889</v>
      </c>
      <c r="G144" s="252">
        <f t="shared" si="2"/>
        <v>9.36</v>
      </c>
    </row>
    <row r="145" spans="1:7" ht="43.2" x14ac:dyDescent="0.3">
      <c r="A145" s="524" t="s">
        <v>522</v>
      </c>
      <c r="B145" s="524" t="s">
        <v>890</v>
      </c>
      <c r="C145" s="525" t="s">
        <v>891</v>
      </c>
      <c r="D145" s="524" t="s">
        <v>24</v>
      </c>
      <c r="E145" s="524" t="s">
        <v>1177</v>
      </c>
      <c r="F145" s="528" t="s">
        <v>892</v>
      </c>
      <c r="G145" s="252">
        <f t="shared" si="2"/>
        <v>3.3</v>
      </c>
    </row>
    <row r="146" spans="1:7" ht="43.2" x14ac:dyDescent="0.3">
      <c r="A146" s="524" t="s">
        <v>522</v>
      </c>
      <c r="B146" s="524" t="s">
        <v>1178</v>
      </c>
      <c r="C146" s="525" t="s">
        <v>1179</v>
      </c>
      <c r="D146" s="524" t="s">
        <v>24</v>
      </c>
      <c r="E146" s="524" t="s">
        <v>1180</v>
      </c>
      <c r="F146" s="528" t="s">
        <v>1181</v>
      </c>
      <c r="G146" s="252">
        <f t="shared" si="2"/>
        <v>6.89</v>
      </c>
    </row>
    <row r="147" spans="1:7" ht="43.2" x14ac:dyDescent="0.3">
      <c r="A147" s="524" t="s">
        <v>522</v>
      </c>
      <c r="B147" s="524" t="s">
        <v>893</v>
      </c>
      <c r="C147" s="525" t="s">
        <v>894</v>
      </c>
      <c r="D147" s="524" t="s">
        <v>24</v>
      </c>
      <c r="E147" s="524" t="s">
        <v>1182</v>
      </c>
      <c r="F147" s="528" t="s">
        <v>896</v>
      </c>
      <c r="G147" s="252">
        <f t="shared" si="2"/>
        <v>5.55</v>
      </c>
    </row>
    <row r="148" spans="1:7" ht="43.2" x14ac:dyDescent="0.3">
      <c r="A148" s="524" t="s">
        <v>522</v>
      </c>
      <c r="B148" s="524" t="s">
        <v>1183</v>
      </c>
      <c r="C148" s="525" t="s">
        <v>1184</v>
      </c>
      <c r="D148" s="524" t="s">
        <v>24</v>
      </c>
      <c r="E148" s="524" t="s">
        <v>1180</v>
      </c>
      <c r="F148" s="528" t="s">
        <v>1185</v>
      </c>
      <c r="G148" s="252">
        <f t="shared" si="2"/>
        <v>1.53</v>
      </c>
    </row>
    <row r="149" spans="1:7" ht="28.8" x14ac:dyDescent="0.3">
      <c r="A149" s="524" t="s">
        <v>522</v>
      </c>
      <c r="B149" s="524" t="s">
        <v>897</v>
      </c>
      <c r="C149" s="525" t="s">
        <v>898</v>
      </c>
      <c r="D149" s="524" t="s">
        <v>24</v>
      </c>
      <c r="E149" s="524" t="s">
        <v>1186</v>
      </c>
      <c r="F149" s="528" t="s">
        <v>900</v>
      </c>
      <c r="G149" s="252">
        <f t="shared" si="2"/>
        <v>21.97</v>
      </c>
    </row>
    <row r="150" spans="1:7" ht="43.2" x14ac:dyDescent="0.3">
      <c r="A150" s="524" t="s">
        <v>522</v>
      </c>
      <c r="B150" s="524" t="s">
        <v>901</v>
      </c>
      <c r="C150" s="525" t="s">
        <v>902</v>
      </c>
      <c r="D150" s="524" t="s">
        <v>24</v>
      </c>
      <c r="E150" s="524" t="s">
        <v>1187</v>
      </c>
      <c r="F150" s="528" t="s">
        <v>904</v>
      </c>
      <c r="G150" s="252">
        <f t="shared" si="2"/>
        <v>30.8</v>
      </c>
    </row>
    <row r="151" spans="1:7" ht="43.2" x14ac:dyDescent="0.3">
      <c r="A151" s="524" t="s">
        <v>522</v>
      </c>
      <c r="B151" s="524" t="s">
        <v>905</v>
      </c>
      <c r="C151" s="525" t="s">
        <v>906</v>
      </c>
      <c r="D151" s="524" t="s">
        <v>24</v>
      </c>
      <c r="E151" s="524" t="s">
        <v>1188</v>
      </c>
      <c r="F151" s="528" t="s">
        <v>908</v>
      </c>
      <c r="G151" s="252">
        <f t="shared" si="2"/>
        <v>14.02</v>
      </c>
    </row>
    <row r="152" spans="1:7" ht="57.6" x14ac:dyDescent="0.3">
      <c r="A152" s="524" t="s">
        <v>522</v>
      </c>
      <c r="B152" s="524" t="s">
        <v>909</v>
      </c>
      <c r="C152" s="525" t="s">
        <v>910</v>
      </c>
      <c r="D152" s="524" t="s">
        <v>24</v>
      </c>
      <c r="E152" s="524" t="s">
        <v>1182</v>
      </c>
      <c r="F152" s="528" t="s">
        <v>911</v>
      </c>
      <c r="G152" s="252">
        <f t="shared" si="2"/>
        <v>18.46</v>
      </c>
    </row>
    <row r="153" spans="1:7" ht="28.8" x14ac:dyDescent="0.3">
      <c r="A153" s="524" t="s">
        <v>522</v>
      </c>
      <c r="B153" s="524" t="s">
        <v>1189</v>
      </c>
      <c r="C153" s="525" t="s">
        <v>1190</v>
      </c>
      <c r="D153" s="524" t="s">
        <v>397</v>
      </c>
      <c r="E153" s="524" t="s">
        <v>1191</v>
      </c>
      <c r="F153" s="528" t="s">
        <v>1192</v>
      </c>
      <c r="G153" s="252">
        <f t="shared" si="2"/>
        <v>0.63</v>
      </c>
    </row>
    <row r="154" spans="1:7" ht="28.8" x14ac:dyDescent="0.3">
      <c r="A154" s="524" t="s">
        <v>522</v>
      </c>
      <c r="B154" s="524" t="s">
        <v>915</v>
      </c>
      <c r="C154" s="525" t="s">
        <v>916</v>
      </c>
      <c r="D154" s="524" t="s">
        <v>55</v>
      </c>
      <c r="E154" s="524" t="s">
        <v>1193</v>
      </c>
      <c r="F154" s="528" t="s">
        <v>918</v>
      </c>
      <c r="G154" s="252">
        <f t="shared" si="2"/>
        <v>2.2200000000000002</v>
      </c>
    </row>
    <row r="155" spans="1:7" ht="28.8" x14ac:dyDescent="0.3">
      <c r="A155" s="524" t="s">
        <v>522</v>
      </c>
      <c r="B155" s="524" t="s">
        <v>919</v>
      </c>
      <c r="C155" s="525" t="s">
        <v>196</v>
      </c>
      <c r="D155" s="524" t="s">
        <v>55</v>
      </c>
      <c r="E155" s="524" t="s">
        <v>1194</v>
      </c>
      <c r="F155" s="528" t="s">
        <v>921</v>
      </c>
      <c r="G155" s="252">
        <f t="shared" si="2"/>
        <v>4.71</v>
      </c>
    </row>
    <row r="156" spans="1:7" ht="28.8" x14ac:dyDescent="0.3">
      <c r="A156" s="524" t="s">
        <v>522</v>
      </c>
      <c r="B156" s="524" t="s">
        <v>922</v>
      </c>
      <c r="C156" s="525" t="s">
        <v>195</v>
      </c>
      <c r="D156" s="524" t="s">
        <v>55</v>
      </c>
      <c r="E156" s="524" t="s">
        <v>1195</v>
      </c>
      <c r="F156" s="528" t="s">
        <v>924</v>
      </c>
      <c r="G156" s="252">
        <f t="shared" si="2"/>
        <v>1.98</v>
      </c>
    </row>
    <row r="157" spans="1:7" ht="43.2" x14ac:dyDescent="0.3">
      <c r="A157" s="524" t="s">
        <v>522</v>
      </c>
      <c r="B157" s="524" t="s">
        <v>925</v>
      </c>
      <c r="C157" s="525" t="s">
        <v>926</v>
      </c>
      <c r="D157" s="524" t="s">
        <v>397</v>
      </c>
      <c r="E157" s="524" t="s">
        <v>1196</v>
      </c>
      <c r="F157" s="528" t="s">
        <v>928</v>
      </c>
      <c r="G157" s="252">
        <f t="shared" si="2"/>
        <v>1.33</v>
      </c>
    </row>
    <row r="158" spans="1:7" ht="43.2" x14ac:dyDescent="0.3">
      <c r="A158" s="524" t="s">
        <v>522</v>
      </c>
      <c r="B158" s="524" t="s">
        <v>932</v>
      </c>
      <c r="C158" s="525" t="s">
        <v>933</v>
      </c>
      <c r="D158" s="524" t="s">
        <v>397</v>
      </c>
      <c r="E158" s="524" t="s">
        <v>1156</v>
      </c>
      <c r="F158" s="528" t="s">
        <v>934</v>
      </c>
      <c r="G158" s="252">
        <f t="shared" si="2"/>
        <v>0.14000000000000001</v>
      </c>
    </row>
    <row r="159" spans="1:7" ht="43.2" x14ac:dyDescent="0.3">
      <c r="A159" s="524" t="s">
        <v>522</v>
      </c>
      <c r="B159" s="524" t="s">
        <v>935</v>
      </c>
      <c r="C159" s="525" t="s">
        <v>936</v>
      </c>
      <c r="D159" s="524" t="s">
        <v>397</v>
      </c>
      <c r="E159" s="524" t="s">
        <v>1176</v>
      </c>
      <c r="F159" s="528" t="s">
        <v>937</v>
      </c>
      <c r="G159" s="252">
        <f t="shared" si="2"/>
        <v>1.49</v>
      </c>
    </row>
    <row r="160" spans="1:7" ht="43.2" x14ac:dyDescent="0.3">
      <c r="A160" s="524" t="s">
        <v>522</v>
      </c>
      <c r="B160" s="524" t="s">
        <v>938</v>
      </c>
      <c r="C160" s="525" t="s">
        <v>939</v>
      </c>
      <c r="D160" s="524" t="s">
        <v>397</v>
      </c>
      <c r="E160" s="524" t="s">
        <v>1156</v>
      </c>
      <c r="F160" s="528" t="s">
        <v>940</v>
      </c>
      <c r="G160" s="252">
        <f t="shared" si="2"/>
        <v>0.27</v>
      </c>
    </row>
    <row r="161" spans="1:7" ht="43.2" x14ac:dyDescent="0.3">
      <c r="A161" s="524" t="s">
        <v>522</v>
      </c>
      <c r="B161" s="524" t="s">
        <v>944</v>
      </c>
      <c r="C161" s="525" t="s">
        <v>945</v>
      </c>
      <c r="D161" s="524" t="s">
        <v>397</v>
      </c>
      <c r="E161" s="524" t="s">
        <v>1196</v>
      </c>
      <c r="F161" s="528" t="s">
        <v>947</v>
      </c>
      <c r="G161" s="252">
        <f t="shared" si="2"/>
        <v>16.97</v>
      </c>
    </row>
    <row r="162" spans="1:7" ht="43.2" x14ac:dyDescent="0.3">
      <c r="A162" s="524" t="s">
        <v>522</v>
      </c>
      <c r="B162" s="524" t="s">
        <v>1197</v>
      </c>
      <c r="C162" s="525" t="s">
        <v>1198</v>
      </c>
      <c r="D162" s="524" t="s">
        <v>397</v>
      </c>
      <c r="E162" s="524" t="s">
        <v>1191</v>
      </c>
      <c r="F162" s="528" t="s">
        <v>864</v>
      </c>
      <c r="G162" s="252">
        <f t="shared" si="2"/>
        <v>2.31</v>
      </c>
    </row>
    <row r="163" spans="1:7" ht="28.8" x14ac:dyDescent="0.3">
      <c r="A163" s="524" t="s">
        <v>522</v>
      </c>
      <c r="B163" s="524" t="s">
        <v>948</v>
      </c>
      <c r="C163" s="525" t="s">
        <v>190</v>
      </c>
      <c r="D163" s="524" t="s">
        <v>55</v>
      </c>
      <c r="E163" s="524" t="s">
        <v>1199</v>
      </c>
      <c r="F163" s="528" t="s">
        <v>950</v>
      </c>
      <c r="G163" s="252">
        <f t="shared" si="2"/>
        <v>0.64</v>
      </c>
    </row>
    <row r="164" spans="1:7" ht="28.8" x14ac:dyDescent="0.3">
      <c r="A164" s="524" t="s">
        <v>522</v>
      </c>
      <c r="B164" s="524" t="s">
        <v>951</v>
      </c>
      <c r="C164" s="525" t="s">
        <v>952</v>
      </c>
      <c r="D164" s="524" t="s">
        <v>55</v>
      </c>
      <c r="E164" s="524" t="s">
        <v>1199</v>
      </c>
      <c r="F164" s="528" t="s">
        <v>900</v>
      </c>
      <c r="G164" s="252">
        <f t="shared" si="2"/>
        <v>0.64</v>
      </c>
    </row>
    <row r="165" spans="1:7" ht="43.2" x14ac:dyDescent="0.3">
      <c r="A165" s="524" t="s">
        <v>522</v>
      </c>
      <c r="B165" s="524" t="s">
        <v>956</v>
      </c>
      <c r="C165" s="525" t="s">
        <v>957</v>
      </c>
      <c r="D165" s="524" t="s">
        <v>397</v>
      </c>
      <c r="E165" s="524" t="s">
        <v>1153</v>
      </c>
      <c r="F165" s="528" t="s">
        <v>958</v>
      </c>
      <c r="G165" s="252">
        <f t="shared" si="2"/>
        <v>12.18</v>
      </c>
    </row>
    <row r="166" spans="1:7" ht="43.2" x14ac:dyDescent="0.3">
      <c r="A166" s="524" t="s">
        <v>522</v>
      </c>
      <c r="B166" s="524" t="s">
        <v>959</v>
      </c>
      <c r="C166" s="525" t="s">
        <v>960</v>
      </c>
      <c r="D166" s="524" t="s">
        <v>55</v>
      </c>
      <c r="E166" s="524" t="s">
        <v>1200</v>
      </c>
      <c r="F166" s="528" t="s">
        <v>962</v>
      </c>
      <c r="G166" s="252">
        <f t="shared" si="2"/>
        <v>0.99</v>
      </c>
    </row>
    <row r="167" spans="1:7" ht="43.2" x14ac:dyDescent="0.3">
      <c r="A167" s="524" t="s">
        <v>522</v>
      </c>
      <c r="B167" s="524" t="s">
        <v>963</v>
      </c>
      <c r="C167" s="525" t="s">
        <v>964</v>
      </c>
      <c r="D167" s="524" t="s">
        <v>55</v>
      </c>
      <c r="E167" s="524" t="s">
        <v>1201</v>
      </c>
      <c r="F167" s="528" t="s">
        <v>966</v>
      </c>
      <c r="G167" s="252">
        <f t="shared" si="2"/>
        <v>0.19</v>
      </c>
    </row>
    <row r="168" spans="1:7" ht="43.2" x14ac:dyDescent="0.3">
      <c r="A168" s="524" t="s">
        <v>522</v>
      </c>
      <c r="B168" s="524" t="s">
        <v>1202</v>
      </c>
      <c r="C168" s="525" t="s">
        <v>1203</v>
      </c>
      <c r="D168" s="524" t="s">
        <v>397</v>
      </c>
      <c r="E168" s="524" t="s">
        <v>1176</v>
      </c>
      <c r="F168" s="528" t="s">
        <v>1204</v>
      </c>
      <c r="G168" s="252">
        <f t="shared" si="2"/>
        <v>2.77</v>
      </c>
    </row>
    <row r="169" spans="1:7" ht="28.8" x14ac:dyDescent="0.3">
      <c r="A169" s="524" t="s">
        <v>522</v>
      </c>
      <c r="B169" s="524" t="s">
        <v>971</v>
      </c>
      <c r="C169" s="525" t="s">
        <v>972</v>
      </c>
      <c r="D169" s="524" t="s">
        <v>55</v>
      </c>
      <c r="E169" s="524" t="s">
        <v>1205</v>
      </c>
      <c r="F169" s="528" t="s">
        <v>973</v>
      </c>
      <c r="G169" s="252">
        <f t="shared" si="2"/>
        <v>2.08</v>
      </c>
    </row>
    <row r="170" spans="1:7" ht="28.8" x14ac:dyDescent="0.3">
      <c r="A170" s="524" t="s">
        <v>522</v>
      </c>
      <c r="B170" s="524" t="s">
        <v>1206</v>
      </c>
      <c r="C170" s="525" t="s">
        <v>1207</v>
      </c>
      <c r="D170" s="524" t="s">
        <v>55</v>
      </c>
      <c r="E170" s="524" t="s">
        <v>1208</v>
      </c>
      <c r="F170" s="528" t="s">
        <v>1209</v>
      </c>
      <c r="G170" s="252">
        <f t="shared" si="2"/>
        <v>0.96</v>
      </c>
    </row>
    <row r="171" spans="1:7" ht="28.8" x14ac:dyDescent="0.3">
      <c r="A171" s="524" t="s">
        <v>522</v>
      </c>
      <c r="B171" s="524" t="s">
        <v>974</v>
      </c>
      <c r="C171" s="525" t="s">
        <v>975</v>
      </c>
      <c r="D171" s="524" t="s">
        <v>55</v>
      </c>
      <c r="E171" s="524" t="s">
        <v>1210</v>
      </c>
      <c r="F171" s="528" t="s">
        <v>976</v>
      </c>
      <c r="G171" s="252">
        <f t="shared" si="2"/>
        <v>1.0900000000000001</v>
      </c>
    </row>
    <row r="172" spans="1:7" ht="28.8" x14ac:dyDescent="0.3">
      <c r="A172" s="524" t="s">
        <v>522</v>
      </c>
      <c r="B172" s="524" t="s">
        <v>1211</v>
      </c>
      <c r="C172" s="525" t="s">
        <v>1212</v>
      </c>
      <c r="D172" s="524" t="s">
        <v>55</v>
      </c>
      <c r="E172" s="524" t="s">
        <v>1213</v>
      </c>
      <c r="F172" s="528" t="s">
        <v>1214</v>
      </c>
      <c r="G172" s="252">
        <f t="shared" si="2"/>
        <v>0.21</v>
      </c>
    </row>
    <row r="173" spans="1:7" ht="28.8" x14ac:dyDescent="0.3">
      <c r="A173" s="524" t="s">
        <v>522</v>
      </c>
      <c r="B173" s="524" t="s">
        <v>1215</v>
      </c>
      <c r="C173" s="525" t="s">
        <v>1216</v>
      </c>
      <c r="D173" s="524" t="s">
        <v>397</v>
      </c>
      <c r="E173" s="524" t="s">
        <v>1153</v>
      </c>
      <c r="F173" s="528" t="s">
        <v>1217</v>
      </c>
      <c r="G173" s="252">
        <f t="shared" si="2"/>
        <v>0.15</v>
      </c>
    </row>
    <row r="174" spans="1:7" ht="28.8" x14ac:dyDescent="0.3">
      <c r="A174" s="524" t="s">
        <v>522</v>
      </c>
      <c r="B174" s="524" t="s">
        <v>1218</v>
      </c>
      <c r="C174" s="525" t="s">
        <v>1219</v>
      </c>
      <c r="D174" s="524" t="s">
        <v>397</v>
      </c>
      <c r="E174" s="524" t="s">
        <v>1153</v>
      </c>
      <c r="F174" s="528" t="s">
        <v>1220</v>
      </c>
      <c r="G174" s="252">
        <f t="shared" si="2"/>
        <v>0.18</v>
      </c>
    </row>
    <row r="175" spans="1:7" ht="43.2" x14ac:dyDescent="0.3">
      <c r="A175" s="524" t="s">
        <v>522</v>
      </c>
      <c r="B175" s="524" t="s">
        <v>1221</v>
      </c>
      <c r="C175" s="525" t="s">
        <v>1222</v>
      </c>
      <c r="D175" s="524" t="s">
        <v>397</v>
      </c>
      <c r="E175" s="524" t="s">
        <v>1156</v>
      </c>
      <c r="F175" s="528" t="s">
        <v>1223</v>
      </c>
      <c r="G175" s="252">
        <f t="shared" si="2"/>
        <v>0.12</v>
      </c>
    </row>
    <row r="176" spans="1:7" ht="43.2" x14ac:dyDescent="0.3">
      <c r="A176" s="524" t="s">
        <v>522</v>
      </c>
      <c r="B176" s="524" t="s">
        <v>977</v>
      </c>
      <c r="C176" s="525" t="s">
        <v>978</v>
      </c>
      <c r="D176" s="524" t="s">
        <v>397</v>
      </c>
      <c r="E176" s="524" t="s">
        <v>1191</v>
      </c>
      <c r="F176" s="528" t="s">
        <v>980</v>
      </c>
      <c r="G176" s="252">
        <f t="shared" si="2"/>
        <v>0.62</v>
      </c>
    </row>
    <row r="177" spans="1:7" ht="28.8" x14ac:dyDescent="0.3">
      <c r="A177" s="524" t="s">
        <v>522</v>
      </c>
      <c r="B177" s="524" t="s">
        <v>981</v>
      </c>
      <c r="C177" s="525" t="s">
        <v>982</v>
      </c>
      <c r="D177" s="524" t="s">
        <v>55</v>
      </c>
      <c r="E177" s="524" t="s">
        <v>1224</v>
      </c>
      <c r="F177" s="528" t="s">
        <v>984</v>
      </c>
      <c r="G177" s="252">
        <f t="shared" si="2"/>
        <v>2.36</v>
      </c>
    </row>
    <row r="178" spans="1:7" ht="28.8" x14ac:dyDescent="0.3">
      <c r="A178" s="524" t="s">
        <v>522</v>
      </c>
      <c r="B178" s="524" t="s">
        <v>985</v>
      </c>
      <c r="C178" s="525" t="s">
        <v>986</v>
      </c>
      <c r="D178" s="524" t="s">
        <v>55</v>
      </c>
      <c r="E178" s="524" t="s">
        <v>1225</v>
      </c>
      <c r="F178" s="528" t="s">
        <v>988</v>
      </c>
      <c r="G178" s="252">
        <f t="shared" si="2"/>
        <v>1.28</v>
      </c>
    </row>
    <row r="179" spans="1:7" ht="28.8" x14ac:dyDescent="0.3">
      <c r="A179" s="524" t="s">
        <v>522</v>
      </c>
      <c r="B179" s="524" t="s">
        <v>989</v>
      </c>
      <c r="C179" s="525" t="s">
        <v>990</v>
      </c>
      <c r="D179" s="524" t="s">
        <v>55</v>
      </c>
      <c r="E179" s="524" t="s">
        <v>1226</v>
      </c>
      <c r="F179" s="528" t="s">
        <v>992</v>
      </c>
      <c r="G179" s="252">
        <f t="shared" si="2"/>
        <v>4.6100000000000003</v>
      </c>
    </row>
    <row r="180" spans="1:7" ht="28.8" x14ac:dyDescent="0.3">
      <c r="A180" s="524" t="s">
        <v>522</v>
      </c>
      <c r="B180" s="524" t="s">
        <v>993</v>
      </c>
      <c r="C180" s="525" t="s">
        <v>994</v>
      </c>
      <c r="D180" s="524" t="s">
        <v>397</v>
      </c>
      <c r="E180" s="524" t="s">
        <v>1227</v>
      </c>
      <c r="F180" s="528" t="s">
        <v>928</v>
      </c>
      <c r="G180" s="252">
        <f t="shared" si="2"/>
        <v>1.07</v>
      </c>
    </row>
    <row r="181" spans="1:7" ht="28.8" x14ac:dyDescent="0.3">
      <c r="A181" s="524" t="s">
        <v>522</v>
      </c>
      <c r="B181" s="524" t="s">
        <v>1228</v>
      </c>
      <c r="C181" s="525" t="s">
        <v>1229</v>
      </c>
      <c r="D181" s="524" t="s">
        <v>397</v>
      </c>
      <c r="E181" s="524" t="s">
        <v>1156</v>
      </c>
      <c r="F181" s="528" t="s">
        <v>1230</v>
      </c>
      <c r="G181" s="252">
        <f t="shared" si="2"/>
        <v>0.44</v>
      </c>
    </row>
    <row r="182" spans="1:7" ht="28.8" x14ac:dyDescent="0.3">
      <c r="A182" s="524" t="s">
        <v>522</v>
      </c>
      <c r="B182" s="524" t="s">
        <v>1231</v>
      </c>
      <c r="C182" s="525" t="s">
        <v>1232</v>
      </c>
      <c r="D182" s="524" t="s">
        <v>397</v>
      </c>
      <c r="E182" s="524" t="s">
        <v>1156</v>
      </c>
      <c r="F182" s="528" t="s">
        <v>1233</v>
      </c>
      <c r="G182" s="252">
        <f t="shared" si="2"/>
        <v>0.6</v>
      </c>
    </row>
    <row r="183" spans="1:7" ht="28.8" x14ac:dyDescent="0.3">
      <c r="A183" s="524" t="s">
        <v>522</v>
      </c>
      <c r="B183" s="524" t="s">
        <v>998</v>
      </c>
      <c r="C183" s="525" t="s">
        <v>999</v>
      </c>
      <c r="D183" s="524" t="s">
        <v>397</v>
      </c>
      <c r="E183" s="524" t="s">
        <v>1153</v>
      </c>
      <c r="F183" s="528" t="s">
        <v>1000</v>
      </c>
      <c r="G183" s="252">
        <f t="shared" si="2"/>
        <v>0.59</v>
      </c>
    </row>
    <row r="184" spans="1:7" ht="43.2" x14ac:dyDescent="0.3">
      <c r="A184" s="524" t="s">
        <v>522</v>
      </c>
      <c r="B184" s="524" t="s">
        <v>1008</v>
      </c>
      <c r="C184" s="525" t="s">
        <v>1009</v>
      </c>
      <c r="D184" s="524" t="s">
        <v>24</v>
      </c>
      <c r="E184" s="524" t="s">
        <v>1234</v>
      </c>
      <c r="F184" s="528" t="s">
        <v>1011</v>
      </c>
      <c r="G184" s="252">
        <f t="shared" si="2"/>
        <v>14.27</v>
      </c>
    </row>
    <row r="185" spans="1:7" ht="28.8" x14ac:dyDescent="0.3">
      <c r="A185" s="524" t="s">
        <v>522</v>
      </c>
      <c r="B185" s="524" t="s">
        <v>1012</v>
      </c>
      <c r="C185" s="525" t="s">
        <v>335</v>
      </c>
      <c r="D185" s="524" t="s">
        <v>55</v>
      </c>
      <c r="E185" s="524" t="s">
        <v>1235</v>
      </c>
      <c r="F185" s="528" t="s">
        <v>1013</v>
      </c>
      <c r="G185" s="252">
        <f t="shared" si="2"/>
        <v>2.68</v>
      </c>
    </row>
    <row r="186" spans="1:7" ht="28.8" x14ac:dyDescent="0.3">
      <c r="A186" s="524" t="s">
        <v>522</v>
      </c>
      <c r="B186" s="524" t="s">
        <v>1014</v>
      </c>
      <c r="C186" s="525" t="s">
        <v>355</v>
      </c>
      <c r="D186" s="524" t="s">
        <v>41</v>
      </c>
      <c r="E186" s="524" t="s">
        <v>1236</v>
      </c>
      <c r="F186" s="528" t="s">
        <v>1016</v>
      </c>
      <c r="G186" s="252">
        <f t="shared" si="2"/>
        <v>1.58</v>
      </c>
    </row>
    <row r="187" spans="1:7" ht="43.2" x14ac:dyDescent="0.3">
      <c r="A187" s="524" t="s">
        <v>522</v>
      </c>
      <c r="B187" s="524" t="s">
        <v>1017</v>
      </c>
      <c r="C187" s="525" t="s">
        <v>1018</v>
      </c>
      <c r="D187" s="524" t="s">
        <v>24</v>
      </c>
      <c r="E187" s="524" t="s">
        <v>1234</v>
      </c>
      <c r="F187" s="528" t="s">
        <v>1019</v>
      </c>
      <c r="G187" s="252">
        <f t="shared" si="2"/>
        <v>48.7</v>
      </c>
    </row>
    <row r="188" spans="1:7" ht="43.2" x14ac:dyDescent="0.3">
      <c r="A188" s="524" t="s">
        <v>522</v>
      </c>
      <c r="B188" s="524" t="s">
        <v>1020</v>
      </c>
      <c r="C188" s="525" t="s">
        <v>1021</v>
      </c>
      <c r="D188" s="524" t="s">
        <v>24</v>
      </c>
      <c r="E188" s="524" t="s">
        <v>1237</v>
      </c>
      <c r="F188" s="528" t="s">
        <v>1023</v>
      </c>
      <c r="G188" s="252">
        <f t="shared" si="2"/>
        <v>51.3</v>
      </c>
    </row>
    <row r="189" spans="1:7" ht="28.8" x14ac:dyDescent="0.3">
      <c r="A189" s="524" t="s">
        <v>522</v>
      </c>
      <c r="B189" s="524" t="s">
        <v>1024</v>
      </c>
      <c r="C189" s="525" t="s">
        <v>1025</v>
      </c>
      <c r="D189" s="524" t="s">
        <v>24</v>
      </c>
      <c r="E189" s="524" t="s">
        <v>1238</v>
      </c>
      <c r="F189" s="528" t="s">
        <v>1027</v>
      </c>
      <c r="G189" s="252">
        <f t="shared" si="2"/>
        <v>7.0000000000000007E-2</v>
      </c>
    </row>
    <row r="190" spans="1:7" ht="28.8" x14ac:dyDescent="0.3">
      <c r="A190" s="524" t="s">
        <v>522</v>
      </c>
      <c r="B190" s="524" t="s">
        <v>1028</v>
      </c>
      <c r="C190" s="525" t="s">
        <v>1029</v>
      </c>
      <c r="D190" s="524" t="s">
        <v>24</v>
      </c>
      <c r="E190" s="524" t="s">
        <v>1239</v>
      </c>
      <c r="F190" s="528" t="s">
        <v>1031</v>
      </c>
      <c r="G190" s="252">
        <f t="shared" si="2"/>
        <v>26.96</v>
      </c>
    </row>
    <row r="191" spans="1:7" ht="28.8" x14ac:dyDescent="0.3">
      <c r="A191" s="524" t="s">
        <v>522</v>
      </c>
      <c r="B191" s="524" t="s">
        <v>1032</v>
      </c>
      <c r="C191" s="525" t="s">
        <v>1033</v>
      </c>
      <c r="D191" s="524" t="s">
        <v>397</v>
      </c>
      <c r="E191" s="524" t="s">
        <v>1156</v>
      </c>
      <c r="F191" s="528" t="s">
        <v>1035</v>
      </c>
      <c r="G191" s="252">
        <f t="shared" si="2"/>
        <v>0.28999999999999998</v>
      </c>
    </row>
    <row r="192" spans="1:7" ht="28.8" x14ac:dyDescent="0.3">
      <c r="A192" s="524" t="s">
        <v>522</v>
      </c>
      <c r="B192" s="524" t="s">
        <v>1036</v>
      </c>
      <c r="C192" s="525" t="s">
        <v>1037</v>
      </c>
      <c r="D192" s="524" t="s">
        <v>397</v>
      </c>
      <c r="E192" s="524" t="s">
        <v>1176</v>
      </c>
      <c r="F192" s="528" t="s">
        <v>1038</v>
      </c>
      <c r="G192" s="252">
        <f t="shared" si="2"/>
        <v>0.56999999999999995</v>
      </c>
    </row>
    <row r="193" spans="1:7" ht="28.8" x14ac:dyDescent="0.3">
      <c r="A193" s="524" t="s">
        <v>522</v>
      </c>
      <c r="B193" s="524" t="s">
        <v>1039</v>
      </c>
      <c r="C193" s="525" t="s">
        <v>1040</v>
      </c>
      <c r="D193" s="524" t="s">
        <v>397</v>
      </c>
      <c r="E193" s="524" t="s">
        <v>1176</v>
      </c>
      <c r="F193" s="528" t="s">
        <v>1041</v>
      </c>
      <c r="G193" s="252">
        <f t="shared" si="2"/>
        <v>2.34</v>
      </c>
    </row>
    <row r="194" spans="1:7" x14ac:dyDescent="0.3">
      <c r="A194" s="524" t="s">
        <v>522</v>
      </c>
      <c r="B194" s="524" t="s">
        <v>1042</v>
      </c>
      <c r="C194" s="525" t="s">
        <v>418</v>
      </c>
      <c r="D194" s="524" t="s">
        <v>41</v>
      </c>
      <c r="E194" s="524" t="s">
        <v>1240</v>
      </c>
      <c r="F194" s="528" t="s">
        <v>1044</v>
      </c>
      <c r="G194" s="252">
        <f t="shared" si="2"/>
        <v>0.24</v>
      </c>
    </row>
    <row r="195" spans="1:7" ht="43.2" x14ac:dyDescent="0.3">
      <c r="A195" s="524" t="s">
        <v>522</v>
      </c>
      <c r="B195" s="524" t="s">
        <v>1045</v>
      </c>
      <c r="C195" s="525" t="s">
        <v>1046</v>
      </c>
      <c r="D195" s="524" t="s">
        <v>397</v>
      </c>
      <c r="E195" s="524" t="s">
        <v>1227</v>
      </c>
      <c r="F195" s="528" t="s">
        <v>1048</v>
      </c>
      <c r="G195" s="252">
        <f t="shared" si="2"/>
        <v>12.29</v>
      </c>
    </row>
    <row r="196" spans="1:7" ht="28.8" x14ac:dyDescent="0.3">
      <c r="A196" s="524" t="s">
        <v>522</v>
      </c>
      <c r="B196" s="524" t="s">
        <v>1058</v>
      </c>
      <c r="C196" s="525" t="s">
        <v>1059</v>
      </c>
      <c r="D196" s="524" t="s">
        <v>397</v>
      </c>
      <c r="E196" s="524" t="s">
        <v>1176</v>
      </c>
      <c r="F196" s="528" t="s">
        <v>1060</v>
      </c>
      <c r="G196" s="252">
        <f t="shared" si="2"/>
        <v>6.81</v>
      </c>
    </row>
    <row r="197" spans="1:7" ht="43.2" x14ac:dyDescent="0.3">
      <c r="A197" s="524" t="s">
        <v>522</v>
      </c>
      <c r="B197" s="524" t="s">
        <v>1061</v>
      </c>
      <c r="C197" s="525" t="s">
        <v>1062</v>
      </c>
      <c r="D197" s="524" t="s">
        <v>397</v>
      </c>
      <c r="E197" s="524" t="s">
        <v>1153</v>
      </c>
      <c r="F197" s="528" t="s">
        <v>1063</v>
      </c>
      <c r="G197" s="252">
        <f t="shared" ref="G197:G208" si="3">TRUNC(E197*F197,2)</f>
        <v>10.94</v>
      </c>
    </row>
    <row r="198" spans="1:7" ht="43.2" x14ac:dyDescent="0.3">
      <c r="A198" s="524" t="s">
        <v>522</v>
      </c>
      <c r="B198" s="524" t="s">
        <v>1068</v>
      </c>
      <c r="C198" s="525" t="s">
        <v>1069</v>
      </c>
      <c r="D198" s="524" t="s">
        <v>24</v>
      </c>
      <c r="E198" s="524" t="s">
        <v>1241</v>
      </c>
      <c r="F198" s="528" t="s">
        <v>1071</v>
      </c>
      <c r="G198" s="252">
        <f t="shared" si="3"/>
        <v>18.36</v>
      </c>
    </row>
    <row r="199" spans="1:7" ht="28.8" x14ac:dyDescent="0.3">
      <c r="A199" s="524" t="s">
        <v>522</v>
      </c>
      <c r="B199" s="524" t="s">
        <v>1072</v>
      </c>
      <c r="C199" s="525" t="s">
        <v>1073</v>
      </c>
      <c r="D199" s="524" t="s">
        <v>24</v>
      </c>
      <c r="E199" s="524" t="s">
        <v>1242</v>
      </c>
      <c r="F199" s="528" t="s">
        <v>1075</v>
      </c>
      <c r="G199" s="252">
        <f t="shared" si="3"/>
        <v>21.8</v>
      </c>
    </row>
    <row r="200" spans="1:7" ht="43.2" x14ac:dyDescent="0.3">
      <c r="A200" s="524" t="s">
        <v>522</v>
      </c>
      <c r="B200" s="524" t="s">
        <v>1076</v>
      </c>
      <c r="C200" s="525" t="s">
        <v>1077</v>
      </c>
      <c r="D200" s="524" t="s">
        <v>24</v>
      </c>
      <c r="E200" s="524" t="s">
        <v>1243</v>
      </c>
      <c r="F200" s="528" t="s">
        <v>1079</v>
      </c>
      <c r="G200" s="252">
        <f t="shared" si="3"/>
        <v>4.9800000000000004</v>
      </c>
    </row>
    <row r="201" spans="1:7" ht="28.8" x14ac:dyDescent="0.3">
      <c r="A201" s="524" t="s">
        <v>522</v>
      </c>
      <c r="B201" s="524" t="s">
        <v>1080</v>
      </c>
      <c r="C201" s="525" t="s">
        <v>1081</v>
      </c>
      <c r="D201" s="524" t="s">
        <v>24</v>
      </c>
      <c r="E201" s="524" t="s">
        <v>1244</v>
      </c>
      <c r="F201" s="528" t="s">
        <v>1083</v>
      </c>
      <c r="G201" s="252">
        <f t="shared" si="3"/>
        <v>5.89</v>
      </c>
    </row>
    <row r="202" spans="1:7" ht="43.2" x14ac:dyDescent="0.3">
      <c r="A202" s="524" t="s">
        <v>522</v>
      </c>
      <c r="B202" s="524" t="s">
        <v>1084</v>
      </c>
      <c r="C202" s="525" t="s">
        <v>1085</v>
      </c>
      <c r="D202" s="524" t="s">
        <v>24</v>
      </c>
      <c r="E202" s="524" t="s">
        <v>1245</v>
      </c>
      <c r="F202" s="528" t="s">
        <v>1087</v>
      </c>
      <c r="G202" s="252">
        <f t="shared" si="3"/>
        <v>34.380000000000003</v>
      </c>
    </row>
    <row r="203" spans="1:7" ht="28.8" x14ac:dyDescent="0.3">
      <c r="A203" s="524" t="s">
        <v>522</v>
      </c>
      <c r="B203" s="524" t="s">
        <v>1088</v>
      </c>
      <c r="C203" s="525" t="s">
        <v>1089</v>
      </c>
      <c r="D203" s="524" t="s">
        <v>24</v>
      </c>
      <c r="E203" s="524" t="s">
        <v>1246</v>
      </c>
      <c r="F203" s="528" t="s">
        <v>1091</v>
      </c>
      <c r="G203" s="252">
        <f t="shared" si="3"/>
        <v>34.76</v>
      </c>
    </row>
    <row r="204" spans="1:7" ht="43.2" x14ac:dyDescent="0.3">
      <c r="A204" s="524" t="s">
        <v>522</v>
      </c>
      <c r="B204" s="524" t="s">
        <v>1092</v>
      </c>
      <c r="C204" s="525" t="s">
        <v>1093</v>
      </c>
      <c r="D204" s="524" t="s">
        <v>24</v>
      </c>
      <c r="E204" s="524" t="s">
        <v>1247</v>
      </c>
      <c r="F204" s="528" t="s">
        <v>1095</v>
      </c>
      <c r="G204" s="252">
        <f t="shared" si="3"/>
        <v>9.09</v>
      </c>
    </row>
    <row r="205" spans="1:7" ht="28.8" x14ac:dyDescent="0.3">
      <c r="A205" s="524" t="s">
        <v>522</v>
      </c>
      <c r="B205" s="524" t="s">
        <v>1096</v>
      </c>
      <c r="C205" s="525" t="s">
        <v>1097</v>
      </c>
      <c r="D205" s="524" t="s">
        <v>24</v>
      </c>
      <c r="E205" s="524" t="s">
        <v>1248</v>
      </c>
      <c r="F205" s="528" t="s">
        <v>1099</v>
      </c>
      <c r="G205" s="252">
        <f t="shared" si="3"/>
        <v>8.99</v>
      </c>
    </row>
    <row r="206" spans="1:7" ht="28.8" x14ac:dyDescent="0.3">
      <c r="A206" s="524" t="s">
        <v>522</v>
      </c>
      <c r="B206" s="524" t="s">
        <v>1249</v>
      </c>
      <c r="C206" s="525" t="s">
        <v>1250</v>
      </c>
      <c r="D206" s="524" t="s">
        <v>24</v>
      </c>
      <c r="E206" s="524" t="s">
        <v>1251</v>
      </c>
      <c r="F206" s="528" t="s">
        <v>1252</v>
      </c>
      <c r="G206" s="252">
        <f t="shared" si="3"/>
        <v>12.08</v>
      </c>
    </row>
    <row r="207" spans="1:7" ht="28.8" x14ac:dyDescent="0.3">
      <c r="A207" s="524" t="s">
        <v>522</v>
      </c>
      <c r="B207" s="524" t="s">
        <v>1253</v>
      </c>
      <c r="C207" s="525" t="s">
        <v>1254</v>
      </c>
      <c r="D207" s="524" t="s">
        <v>397</v>
      </c>
      <c r="E207" s="524" t="s">
        <v>1191</v>
      </c>
      <c r="F207" s="528" t="s">
        <v>1255</v>
      </c>
      <c r="G207" s="252">
        <f t="shared" si="3"/>
        <v>5.13</v>
      </c>
    </row>
    <row r="208" spans="1:7" ht="43.2" x14ac:dyDescent="0.3">
      <c r="A208" s="524" t="s">
        <v>522</v>
      </c>
      <c r="B208" s="524" t="s">
        <v>1106</v>
      </c>
      <c r="C208" s="525" t="s">
        <v>1107</v>
      </c>
      <c r="D208" s="524" t="s">
        <v>41</v>
      </c>
      <c r="E208" s="524" t="s">
        <v>1256</v>
      </c>
      <c r="F208" s="528" t="s">
        <v>1109</v>
      </c>
      <c r="G208" s="252">
        <f t="shared" si="3"/>
        <v>17.989999999999998</v>
      </c>
    </row>
    <row r="209" spans="1:7" x14ac:dyDescent="0.3">
      <c r="A209" s="680" t="s">
        <v>1152</v>
      </c>
      <c r="B209" s="681"/>
      <c r="C209" s="681"/>
      <c r="D209" s="681"/>
      <c r="E209" s="681"/>
      <c r="F209" s="682"/>
      <c r="G209" s="527">
        <f>SUM(G132:G208)</f>
        <v>619.29000000000019</v>
      </c>
    </row>
    <row r="210" spans="1:7" x14ac:dyDescent="0.3">
      <c r="A210" s="683">
        <f>TRUNC(E210*F210,2)</f>
        <v>0</v>
      </c>
      <c r="B210" s="684"/>
      <c r="C210" s="684"/>
      <c r="D210" s="684"/>
      <c r="E210" s="684"/>
      <c r="F210" s="684"/>
      <c r="G210" s="685"/>
    </row>
    <row r="211" spans="1:7" ht="28.8" x14ac:dyDescent="0.3">
      <c r="A211" s="529" t="s">
        <v>659</v>
      </c>
      <c r="B211" s="529">
        <v>93211</v>
      </c>
      <c r="C211" s="530" t="s">
        <v>28</v>
      </c>
      <c r="D211" s="529" t="s">
        <v>24</v>
      </c>
      <c r="E211" s="252"/>
      <c r="F211" s="531">
        <v>382.38</v>
      </c>
      <c r="G211" s="252">
        <f t="shared" ref="G211:G302" si="4">TRUNC(E211*F211,2)</f>
        <v>0</v>
      </c>
    </row>
    <row r="212" spans="1:7" ht="43.2" x14ac:dyDescent="0.3">
      <c r="A212" s="524" t="s">
        <v>508</v>
      </c>
      <c r="B212" s="524" t="s">
        <v>857</v>
      </c>
      <c r="C212" s="525" t="s">
        <v>858</v>
      </c>
      <c r="D212" s="524" t="s">
        <v>92</v>
      </c>
      <c r="E212" s="524" t="s">
        <v>1257</v>
      </c>
      <c r="F212" s="528" t="s">
        <v>860</v>
      </c>
      <c r="G212" s="252">
        <f t="shared" si="4"/>
        <v>1.1299999999999999</v>
      </c>
    </row>
    <row r="213" spans="1:7" ht="28.8" x14ac:dyDescent="0.3">
      <c r="A213" s="524" t="s">
        <v>508</v>
      </c>
      <c r="B213" s="524" t="s">
        <v>1258</v>
      </c>
      <c r="C213" s="525" t="s">
        <v>1259</v>
      </c>
      <c r="D213" s="524" t="s">
        <v>55</v>
      </c>
      <c r="E213" s="524" t="s">
        <v>1260</v>
      </c>
      <c r="F213" s="528" t="s">
        <v>1261</v>
      </c>
      <c r="G213" s="252">
        <f t="shared" si="4"/>
        <v>7.99</v>
      </c>
    </row>
    <row r="214" spans="1:7" ht="28.8" x14ac:dyDescent="0.3">
      <c r="A214" s="524" t="s">
        <v>508</v>
      </c>
      <c r="B214" s="524" t="s">
        <v>865</v>
      </c>
      <c r="C214" s="525" t="s">
        <v>866</v>
      </c>
      <c r="D214" s="524" t="s">
        <v>397</v>
      </c>
      <c r="E214" s="524" t="s">
        <v>1257</v>
      </c>
      <c r="F214" s="528" t="s">
        <v>868</v>
      </c>
      <c r="G214" s="252">
        <f t="shared" si="4"/>
        <v>3.36</v>
      </c>
    </row>
    <row r="215" spans="1:7" ht="28.8" x14ac:dyDescent="0.3">
      <c r="A215" s="524" t="s">
        <v>508</v>
      </c>
      <c r="B215" s="524" t="s">
        <v>869</v>
      </c>
      <c r="C215" s="525" t="s">
        <v>870</v>
      </c>
      <c r="D215" s="524" t="s">
        <v>397</v>
      </c>
      <c r="E215" s="524" t="s">
        <v>1257</v>
      </c>
      <c r="F215" s="528" t="s">
        <v>871</v>
      </c>
      <c r="G215" s="252">
        <f t="shared" si="4"/>
        <v>3.25</v>
      </c>
    </row>
    <row r="216" spans="1:7" ht="28.8" x14ac:dyDescent="0.3">
      <c r="A216" s="524" t="s">
        <v>508</v>
      </c>
      <c r="B216" s="524" t="s">
        <v>872</v>
      </c>
      <c r="C216" s="525" t="s">
        <v>873</v>
      </c>
      <c r="D216" s="524" t="s">
        <v>24</v>
      </c>
      <c r="E216" s="524" t="s">
        <v>1262</v>
      </c>
      <c r="F216" s="528" t="s">
        <v>875</v>
      </c>
      <c r="G216" s="252">
        <f t="shared" si="4"/>
        <v>43.81</v>
      </c>
    </row>
    <row r="217" spans="1:7" ht="28.8" x14ac:dyDescent="0.3">
      <c r="A217" s="524" t="s">
        <v>508</v>
      </c>
      <c r="B217" s="524" t="s">
        <v>1263</v>
      </c>
      <c r="C217" s="525" t="s">
        <v>1264</v>
      </c>
      <c r="D217" s="524" t="s">
        <v>55</v>
      </c>
      <c r="E217" s="524" t="s">
        <v>1265</v>
      </c>
      <c r="F217" s="528" t="s">
        <v>1266</v>
      </c>
      <c r="G217" s="252">
        <f t="shared" si="4"/>
        <v>2.76</v>
      </c>
    </row>
    <row r="218" spans="1:7" ht="28.8" x14ac:dyDescent="0.3">
      <c r="A218" s="524" t="s">
        <v>522</v>
      </c>
      <c r="B218" s="524" t="s">
        <v>876</v>
      </c>
      <c r="C218" s="525" t="s">
        <v>350</v>
      </c>
      <c r="D218" s="524" t="s">
        <v>397</v>
      </c>
      <c r="E218" s="524" t="s">
        <v>1267</v>
      </c>
      <c r="F218" s="528" t="s">
        <v>878</v>
      </c>
      <c r="G218" s="252">
        <f t="shared" si="4"/>
        <v>1.23</v>
      </c>
    </row>
    <row r="219" spans="1:7" ht="43.2" x14ac:dyDescent="0.3">
      <c r="A219" s="524" t="s">
        <v>522</v>
      </c>
      <c r="B219" s="524" t="s">
        <v>1124</v>
      </c>
      <c r="C219" s="525" t="s">
        <v>1125</v>
      </c>
      <c r="D219" s="524" t="s">
        <v>397</v>
      </c>
      <c r="E219" s="524" t="s">
        <v>1257</v>
      </c>
      <c r="F219" s="528" t="s">
        <v>1126</v>
      </c>
      <c r="G219" s="252">
        <f t="shared" si="4"/>
        <v>1.95</v>
      </c>
    </row>
    <row r="220" spans="1:7" ht="57.6" x14ac:dyDescent="0.3">
      <c r="A220" s="524" t="s">
        <v>522</v>
      </c>
      <c r="B220" s="524" t="s">
        <v>884</v>
      </c>
      <c r="C220" s="525" t="s">
        <v>885</v>
      </c>
      <c r="D220" s="524" t="s">
        <v>397</v>
      </c>
      <c r="E220" s="524" t="s">
        <v>1257</v>
      </c>
      <c r="F220" s="528" t="s">
        <v>886</v>
      </c>
      <c r="G220" s="252">
        <f t="shared" si="4"/>
        <v>6.53</v>
      </c>
    </row>
    <row r="221" spans="1:7" ht="57.6" x14ac:dyDescent="0.3">
      <c r="A221" s="524" t="s">
        <v>522</v>
      </c>
      <c r="B221" s="524" t="s">
        <v>887</v>
      </c>
      <c r="C221" s="525" t="s">
        <v>888</v>
      </c>
      <c r="D221" s="524" t="s">
        <v>397</v>
      </c>
      <c r="E221" s="524" t="s">
        <v>1257</v>
      </c>
      <c r="F221" s="528" t="s">
        <v>889</v>
      </c>
      <c r="G221" s="252">
        <f t="shared" si="4"/>
        <v>4.57</v>
      </c>
    </row>
    <row r="222" spans="1:7" ht="43.2" x14ac:dyDescent="0.3">
      <c r="A222" s="524" t="s">
        <v>522</v>
      </c>
      <c r="B222" s="524" t="s">
        <v>1268</v>
      </c>
      <c r="C222" s="525" t="s">
        <v>1269</v>
      </c>
      <c r="D222" s="524" t="s">
        <v>24</v>
      </c>
      <c r="E222" s="524" t="s">
        <v>1270</v>
      </c>
      <c r="F222" s="528" t="s">
        <v>1271</v>
      </c>
      <c r="G222" s="252">
        <f t="shared" si="4"/>
        <v>19.14</v>
      </c>
    </row>
    <row r="223" spans="1:7" ht="43.2" x14ac:dyDescent="0.3">
      <c r="A223" s="524" t="s">
        <v>522</v>
      </c>
      <c r="B223" s="524" t="s">
        <v>893</v>
      </c>
      <c r="C223" s="525" t="s">
        <v>894</v>
      </c>
      <c r="D223" s="524" t="s">
        <v>24</v>
      </c>
      <c r="E223" s="524" t="s">
        <v>1270</v>
      </c>
      <c r="F223" s="528" t="s">
        <v>896</v>
      </c>
      <c r="G223" s="252">
        <f t="shared" si="4"/>
        <v>4.9000000000000004</v>
      </c>
    </row>
    <row r="224" spans="1:7" ht="43.2" x14ac:dyDescent="0.3">
      <c r="A224" s="524" t="s">
        <v>522</v>
      </c>
      <c r="B224" s="524" t="s">
        <v>1272</v>
      </c>
      <c r="C224" s="525" t="s">
        <v>1273</v>
      </c>
      <c r="D224" s="524" t="s">
        <v>24</v>
      </c>
      <c r="E224" s="524" t="s">
        <v>1270</v>
      </c>
      <c r="F224" s="528" t="s">
        <v>1274</v>
      </c>
      <c r="G224" s="252">
        <f t="shared" si="4"/>
        <v>5.58</v>
      </c>
    </row>
    <row r="225" spans="1:7" x14ac:dyDescent="0.3">
      <c r="A225" s="524" t="s">
        <v>522</v>
      </c>
      <c r="B225" s="524" t="s">
        <v>527</v>
      </c>
      <c r="C225" s="525" t="s">
        <v>528</v>
      </c>
      <c r="D225" s="524" t="s">
        <v>32</v>
      </c>
      <c r="E225" s="524" t="s">
        <v>1275</v>
      </c>
      <c r="F225" s="528" t="s">
        <v>530</v>
      </c>
      <c r="G225" s="252">
        <f t="shared" si="4"/>
        <v>18.690000000000001</v>
      </c>
    </row>
    <row r="226" spans="1:7" ht="28.8" x14ac:dyDescent="0.3">
      <c r="A226" s="524" t="s">
        <v>522</v>
      </c>
      <c r="B226" s="524" t="s">
        <v>897</v>
      </c>
      <c r="C226" s="525" t="s">
        <v>898</v>
      </c>
      <c r="D226" s="524" t="s">
        <v>24</v>
      </c>
      <c r="E226" s="524" t="s">
        <v>1276</v>
      </c>
      <c r="F226" s="528" t="s">
        <v>900</v>
      </c>
      <c r="G226" s="252">
        <f t="shared" si="4"/>
        <v>12.21</v>
      </c>
    </row>
    <row r="227" spans="1:7" ht="43.2" x14ac:dyDescent="0.3">
      <c r="A227" s="524" t="s">
        <v>522</v>
      </c>
      <c r="B227" s="524" t="s">
        <v>901</v>
      </c>
      <c r="C227" s="525" t="s">
        <v>902</v>
      </c>
      <c r="D227" s="524" t="s">
        <v>24</v>
      </c>
      <c r="E227" s="524" t="s">
        <v>1270</v>
      </c>
      <c r="F227" s="528" t="s">
        <v>904</v>
      </c>
      <c r="G227" s="252">
        <f t="shared" si="4"/>
        <v>44.75</v>
      </c>
    </row>
    <row r="228" spans="1:7" ht="57.6" x14ac:dyDescent="0.3">
      <c r="A228" s="524" t="s">
        <v>522</v>
      </c>
      <c r="B228" s="524" t="s">
        <v>909</v>
      </c>
      <c r="C228" s="525" t="s">
        <v>910</v>
      </c>
      <c r="D228" s="524" t="s">
        <v>24</v>
      </c>
      <c r="E228" s="524" t="s">
        <v>1270</v>
      </c>
      <c r="F228" s="528" t="s">
        <v>911</v>
      </c>
      <c r="G228" s="252">
        <f t="shared" si="4"/>
        <v>16.32</v>
      </c>
    </row>
    <row r="229" spans="1:7" ht="28.8" x14ac:dyDescent="0.3">
      <c r="A229" s="524" t="s">
        <v>522</v>
      </c>
      <c r="B229" s="524" t="s">
        <v>915</v>
      </c>
      <c r="C229" s="525" t="s">
        <v>916</v>
      </c>
      <c r="D229" s="524" t="s">
        <v>55</v>
      </c>
      <c r="E229" s="524" t="s">
        <v>1277</v>
      </c>
      <c r="F229" s="528" t="s">
        <v>918</v>
      </c>
      <c r="G229" s="252">
        <f t="shared" si="4"/>
        <v>1.1399999999999999</v>
      </c>
    </row>
    <row r="230" spans="1:7" ht="28.8" x14ac:dyDescent="0.3">
      <c r="A230" s="524" t="s">
        <v>522</v>
      </c>
      <c r="B230" s="524" t="s">
        <v>922</v>
      </c>
      <c r="C230" s="525" t="s">
        <v>195</v>
      </c>
      <c r="D230" s="524" t="s">
        <v>55</v>
      </c>
      <c r="E230" s="524" t="s">
        <v>1278</v>
      </c>
      <c r="F230" s="528" t="s">
        <v>924</v>
      </c>
      <c r="G230" s="252">
        <f t="shared" si="4"/>
        <v>5.7</v>
      </c>
    </row>
    <row r="231" spans="1:7" ht="43.2" x14ac:dyDescent="0.3">
      <c r="A231" s="524" t="s">
        <v>522</v>
      </c>
      <c r="B231" s="524" t="s">
        <v>925</v>
      </c>
      <c r="C231" s="525" t="s">
        <v>926</v>
      </c>
      <c r="D231" s="524" t="s">
        <v>397</v>
      </c>
      <c r="E231" s="524" t="s">
        <v>1279</v>
      </c>
      <c r="F231" s="528" t="s">
        <v>928</v>
      </c>
      <c r="G231" s="252">
        <f t="shared" si="4"/>
        <v>0.39</v>
      </c>
    </row>
    <row r="232" spans="1:7" ht="43.2" x14ac:dyDescent="0.3">
      <c r="A232" s="524" t="s">
        <v>522</v>
      </c>
      <c r="B232" s="524" t="s">
        <v>944</v>
      </c>
      <c r="C232" s="525" t="s">
        <v>945</v>
      </c>
      <c r="D232" s="524" t="s">
        <v>397</v>
      </c>
      <c r="E232" s="524" t="s">
        <v>1279</v>
      </c>
      <c r="F232" s="528" t="s">
        <v>947</v>
      </c>
      <c r="G232" s="252">
        <f t="shared" si="4"/>
        <v>4.97</v>
      </c>
    </row>
    <row r="233" spans="1:7" ht="28.8" x14ac:dyDescent="0.3">
      <c r="A233" s="524" t="s">
        <v>522</v>
      </c>
      <c r="B233" s="524" t="s">
        <v>1280</v>
      </c>
      <c r="C233" s="525" t="s">
        <v>127</v>
      </c>
      <c r="D233" s="524" t="s">
        <v>55</v>
      </c>
      <c r="E233" s="524" t="s">
        <v>1281</v>
      </c>
      <c r="F233" s="528" t="s">
        <v>1282</v>
      </c>
      <c r="G233" s="252">
        <f t="shared" si="4"/>
        <v>2.27</v>
      </c>
    </row>
    <row r="234" spans="1:7" ht="28.8" x14ac:dyDescent="0.3">
      <c r="A234" s="524" t="s">
        <v>522</v>
      </c>
      <c r="B234" s="524" t="s">
        <v>1283</v>
      </c>
      <c r="C234" s="525" t="s">
        <v>1284</v>
      </c>
      <c r="D234" s="524" t="s">
        <v>397</v>
      </c>
      <c r="E234" s="524" t="s">
        <v>1285</v>
      </c>
      <c r="F234" s="528" t="s">
        <v>1286</v>
      </c>
      <c r="G234" s="252">
        <f t="shared" si="4"/>
        <v>0.51</v>
      </c>
    </row>
    <row r="235" spans="1:7" ht="28.8" x14ac:dyDescent="0.3">
      <c r="A235" s="524" t="s">
        <v>522</v>
      </c>
      <c r="B235" s="524" t="s">
        <v>1287</v>
      </c>
      <c r="C235" s="525" t="s">
        <v>1288</v>
      </c>
      <c r="D235" s="524" t="s">
        <v>397</v>
      </c>
      <c r="E235" s="524" t="s">
        <v>1257</v>
      </c>
      <c r="F235" s="528" t="s">
        <v>1289</v>
      </c>
      <c r="G235" s="252">
        <f t="shared" si="4"/>
        <v>0.16</v>
      </c>
    </row>
    <row r="236" spans="1:7" ht="28.8" x14ac:dyDescent="0.3">
      <c r="A236" s="524" t="s">
        <v>522</v>
      </c>
      <c r="B236" s="524" t="s">
        <v>951</v>
      </c>
      <c r="C236" s="525" t="s">
        <v>952</v>
      </c>
      <c r="D236" s="524" t="s">
        <v>55</v>
      </c>
      <c r="E236" s="524" t="s">
        <v>1281</v>
      </c>
      <c r="F236" s="528" t="s">
        <v>900</v>
      </c>
      <c r="G236" s="252">
        <f t="shared" si="4"/>
        <v>4.58</v>
      </c>
    </row>
    <row r="237" spans="1:7" ht="43.2" x14ac:dyDescent="0.3">
      <c r="A237" s="524" t="s">
        <v>522</v>
      </c>
      <c r="B237" s="524" t="s">
        <v>956</v>
      </c>
      <c r="C237" s="525" t="s">
        <v>957</v>
      </c>
      <c r="D237" s="524" t="s">
        <v>397</v>
      </c>
      <c r="E237" s="524" t="s">
        <v>1257</v>
      </c>
      <c r="F237" s="528" t="s">
        <v>958</v>
      </c>
      <c r="G237" s="252">
        <f t="shared" si="4"/>
        <v>8.92</v>
      </c>
    </row>
    <row r="238" spans="1:7" ht="43.2" x14ac:dyDescent="0.3">
      <c r="A238" s="524" t="s">
        <v>522</v>
      </c>
      <c r="B238" s="524" t="s">
        <v>959</v>
      </c>
      <c r="C238" s="525" t="s">
        <v>960</v>
      </c>
      <c r="D238" s="524" t="s">
        <v>55</v>
      </c>
      <c r="E238" s="524" t="s">
        <v>1290</v>
      </c>
      <c r="F238" s="528" t="s">
        <v>962</v>
      </c>
      <c r="G238" s="252">
        <f t="shared" si="4"/>
        <v>0.66</v>
      </c>
    </row>
    <row r="239" spans="1:7" ht="28.8" x14ac:dyDescent="0.3">
      <c r="A239" s="524" t="s">
        <v>522</v>
      </c>
      <c r="B239" s="524" t="s">
        <v>1291</v>
      </c>
      <c r="C239" s="525" t="s">
        <v>1292</v>
      </c>
      <c r="D239" s="524" t="s">
        <v>55</v>
      </c>
      <c r="E239" s="524" t="s">
        <v>1290</v>
      </c>
      <c r="F239" s="528" t="s">
        <v>1293</v>
      </c>
      <c r="G239" s="252">
        <f t="shared" si="4"/>
        <v>1.61</v>
      </c>
    </row>
    <row r="240" spans="1:7" ht="28.8" x14ac:dyDescent="0.3">
      <c r="A240" s="524" t="s">
        <v>522</v>
      </c>
      <c r="B240" s="524" t="s">
        <v>1294</v>
      </c>
      <c r="C240" s="525" t="s">
        <v>1295</v>
      </c>
      <c r="D240" s="524" t="s">
        <v>55</v>
      </c>
      <c r="E240" s="524" t="s">
        <v>1281</v>
      </c>
      <c r="F240" s="528" t="s">
        <v>1296</v>
      </c>
      <c r="G240" s="252">
        <f t="shared" si="4"/>
        <v>2.77</v>
      </c>
    </row>
    <row r="241" spans="1:7" ht="28.8" x14ac:dyDescent="0.3">
      <c r="A241" s="524" t="s">
        <v>522</v>
      </c>
      <c r="B241" s="524" t="s">
        <v>981</v>
      </c>
      <c r="C241" s="525" t="s">
        <v>982</v>
      </c>
      <c r="D241" s="524" t="s">
        <v>55</v>
      </c>
      <c r="E241" s="524" t="s">
        <v>1297</v>
      </c>
      <c r="F241" s="528" t="s">
        <v>984</v>
      </c>
      <c r="G241" s="252">
        <f t="shared" si="4"/>
        <v>1.54</v>
      </c>
    </row>
    <row r="242" spans="1:7" ht="28.8" x14ac:dyDescent="0.3">
      <c r="A242" s="524" t="s">
        <v>522</v>
      </c>
      <c r="B242" s="524" t="s">
        <v>985</v>
      </c>
      <c r="C242" s="525" t="s">
        <v>986</v>
      </c>
      <c r="D242" s="524" t="s">
        <v>55</v>
      </c>
      <c r="E242" s="524" t="s">
        <v>1298</v>
      </c>
      <c r="F242" s="528" t="s">
        <v>988</v>
      </c>
      <c r="G242" s="252">
        <f t="shared" si="4"/>
        <v>6.61</v>
      </c>
    </row>
    <row r="243" spans="1:7" ht="28.8" x14ac:dyDescent="0.3">
      <c r="A243" s="524" t="s">
        <v>522</v>
      </c>
      <c r="B243" s="524" t="s">
        <v>1299</v>
      </c>
      <c r="C243" s="525" t="s">
        <v>1300</v>
      </c>
      <c r="D243" s="524" t="s">
        <v>397</v>
      </c>
      <c r="E243" s="524" t="s">
        <v>1257</v>
      </c>
      <c r="F243" s="528" t="s">
        <v>1301</v>
      </c>
      <c r="G243" s="252">
        <f t="shared" si="4"/>
        <v>0.25</v>
      </c>
    </row>
    <row r="244" spans="1:7" ht="28.8" x14ac:dyDescent="0.3">
      <c r="A244" s="524" t="s">
        <v>522</v>
      </c>
      <c r="B244" s="524" t="s">
        <v>1302</v>
      </c>
      <c r="C244" s="525" t="s">
        <v>150</v>
      </c>
      <c r="D244" s="524" t="s">
        <v>397</v>
      </c>
      <c r="E244" s="524" t="s">
        <v>1303</v>
      </c>
      <c r="F244" s="528" t="s">
        <v>1304</v>
      </c>
      <c r="G244" s="252">
        <f t="shared" si="4"/>
        <v>1.04</v>
      </c>
    </row>
    <row r="245" spans="1:7" ht="28.8" x14ac:dyDescent="0.3">
      <c r="A245" s="524" t="s">
        <v>522</v>
      </c>
      <c r="B245" s="524" t="s">
        <v>998</v>
      </c>
      <c r="C245" s="525" t="s">
        <v>999</v>
      </c>
      <c r="D245" s="524" t="s">
        <v>397</v>
      </c>
      <c r="E245" s="524" t="s">
        <v>1257</v>
      </c>
      <c r="F245" s="528" t="s">
        <v>1000</v>
      </c>
      <c r="G245" s="252">
        <f t="shared" si="4"/>
        <v>0.43</v>
      </c>
    </row>
    <row r="246" spans="1:7" ht="28.8" x14ac:dyDescent="0.3">
      <c r="A246" s="524" t="s">
        <v>522</v>
      </c>
      <c r="B246" s="524" t="s">
        <v>1001</v>
      </c>
      <c r="C246" s="525" t="s">
        <v>338</v>
      </c>
      <c r="D246" s="524" t="s">
        <v>397</v>
      </c>
      <c r="E246" s="524" t="s">
        <v>1305</v>
      </c>
      <c r="F246" s="528" t="s">
        <v>1003</v>
      </c>
      <c r="G246" s="252">
        <f t="shared" si="4"/>
        <v>3.47</v>
      </c>
    </row>
    <row r="247" spans="1:7" ht="28.8" x14ac:dyDescent="0.3">
      <c r="A247" s="524" t="s">
        <v>522</v>
      </c>
      <c r="B247" s="524" t="s">
        <v>1004</v>
      </c>
      <c r="C247" s="525" t="s">
        <v>1005</v>
      </c>
      <c r="D247" s="524" t="s">
        <v>397</v>
      </c>
      <c r="E247" s="524" t="s">
        <v>1257</v>
      </c>
      <c r="F247" s="528" t="s">
        <v>1007</v>
      </c>
      <c r="G247" s="252">
        <f t="shared" si="4"/>
        <v>0.73</v>
      </c>
    </row>
    <row r="248" spans="1:7" ht="43.2" x14ac:dyDescent="0.3">
      <c r="A248" s="524" t="s">
        <v>522</v>
      </c>
      <c r="B248" s="524" t="s">
        <v>1008</v>
      </c>
      <c r="C248" s="525" t="s">
        <v>1009</v>
      </c>
      <c r="D248" s="524" t="s">
        <v>24</v>
      </c>
      <c r="E248" s="524" t="s">
        <v>1306</v>
      </c>
      <c r="F248" s="528" t="s">
        <v>1011</v>
      </c>
      <c r="G248" s="252">
        <f t="shared" si="4"/>
        <v>15.12</v>
      </c>
    </row>
    <row r="249" spans="1:7" ht="28.8" x14ac:dyDescent="0.3">
      <c r="A249" s="524" t="s">
        <v>522</v>
      </c>
      <c r="B249" s="524" t="s">
        <v>1014</v>
      </c>
      <c r="C249" s="525" t="s">
        <v>355</v>
      </c>
      <c r="D249" s="524" t="s">
        <v>41</v>
      </c>
      <c r="E249" s="524" t="s">
        <v>1307</v>
      </c>
      <c r="F249" s="528" t="s">
        <v>1016</v>
      </c>
      <c r="G249" s="252">
        <f t="shared" si="4"/>
        <v>1.47</v>
      </c>
    </row>
    <row r="250" spans="1:7" ht="43.2" x14ac:dyDescent="0.3">
      <c r="A250" s="524" t="s">
        <v>522</v>
      </c>
      <c r="B250" s="524" t="s">
        <v>1017</v>
      </c>
      <c r="C250" s="525" t="s">
        <v>1018</v>
      </c>
      <c r="D250" s="524" t="s">
        <v>24</v>
      </c>
      <c r="E250" s="524" t="s">
        <v>1306</v>
      </c>
      <c r="F250" s="528" t="s">
        <v>1019</v>
      </c>
      <c r="G250" s="252">
        <f t="shared" si="4"/>
        <v>51.61</v>
      </c>
    </row>
    <row r="251" spans="1:7" ht="28.8" x14ac:dyDescent="0.3">
      <c r="A251" s="524" t="s">
        <v>522</v>
      </c>
      <c r="B251" s="524" t="s">
        <v>1024</v>
      </c>
      <c r="C251" s="525" t="s">
        <v>1025</v>
      </c>
      <c r="D251" s="524" t="s">
        <v>24</v>
      </c>
      <c r="E251" s="524" t="s">
        <v>1308</v>
      </c>
      <c r="F251" s="528" t="s">
        <v>1027</v>
      </c>
      <c r="G251" s="252">
        <f t="shared" si="4"/>
        <v>7.0000000000000007E-2</v>
      </c>
    </row>
    <row r="252" spans="1:7" ht="28.8" x14ac:dyDescent="0.3">
      <c r="A252" s="524" t="s">
        <v>522</v>
      </c>
      <c r="B252" s="524" t="s">
        <v>1028</v>
      </c>
      <c r="C252" s="525" t="s">
        <v>1029</v>
      </c>
      <c r="D252" s="524" t="s">
        <v>24</v>
      </c>
      <c r="E252" s="524" t="s">
        <v>1309</v>
      </c>
      <c r="F252" s="528" t="s">
        <v>1031</v>
      </c>
      <c r="G252" s="252">
        <f t="shared" si="4"/>
        <v>27.16</v>
      </c>
    </row>
    <row r="253" spans="1:7" x14ac:dyDescent="0.3">
      <c r="A253" s="524" t="s">
        <v>522</v>
      </c>
      <c r="B253" s="524" t="s">
        <v>1042</v>
      </c>
      <c r="C253" s="525" t="s">
        <v>418</v>
      </c>
      <c r="D253" s="524" t="s">
        <v>41</v>
      </c>
      <c r="E253" s="524" t="s">
        <v>1310</v>
      </c>
      <c r="F253" s="528" t="s">
        <v>1044</v>
      </c>
      <c r="G253" s="252">
        <f t="shared" si="4"/>
        <v>0.22</v>
      </c>
    </row>
    <row r="254" spans="1:7" ht="43.2" x14ac:dyDescent="0.3">
      <c r="A254" s="524" t="s">
        <v>522</v>
      </c>
      <c r="B254" s="524" t="s">
        <v>1045</v>
      </c>
      <c r="C254" s="525" t="s">
        <v>1046</v>
      </c>
      <c r="D254" s="524" t="s">
        <v>397</v>
      </c>
      <c r="E254" s="524" t="s">
        <v>1303</v>
      </c>
      <c r="F254" s="528" t="s">
        <v>1048</v>
      </c>
      <c r="G254" s="252">
        <f t="shared" si="4"/>
        <v>13.52</v>
      </c>
    </row>
    <row r="255" spans="1:7" ht="43.2" x14ac:dyDescent="0.3">
      <c r="A255" s="524" t="s">
        <v>522</v>
      </c>
      <c r="B255" s="524" t="s">
        <v>1061</v>
      </c>
      <c r="C255" s="525" t="s">
        <v>1062</v>
      </c>
      <c r="D255" s="524" t="s">
        <v>397</v>
      </c>
      <c r="E255" s="524" t="s">
        <v>1257</v>
      </c>
      <c r="F255" s="528" t="s">
        <v>1063</v>
      </c>
      <c r="G255" s="252">
        <f t="shared" si="4"/>
        <v>8.01</v>
      </c>
    </row>
    <row r="256" spans="1:7" ht="28.8" x14ac:dyDescent="0.3">
      <c r="A256" s="524" t="s">
        <v>522</v>
      </c>
      <c r="B256" s="524" t="s">
        <v>1311</v>
      </c>
      <c r="C256" s="525" t="s">
        <v>1312</v>
      </c>
      <c r="D256" s="524" t="s">
        <v>397</v>
      </c>
      <c r="E256" s="524" t="s">
        <v>1257</v>
      </c>
      <c r="F256" s="528" t="s">
        <v>1313</v>
      </c>
      <c r="G256" s="252">
        <f t="shared" si="4"/>
        <v>2.4300000000000002</v>
      </c>
    </row>
    <row r="257" spans="1:9" ht="43.2" x14ac:dyDescent="0.3">
      <c r="A257" s="524" t="s">
        <v>522</v>
      </c>
      <c r="B257" s="524" t="s">
        <v>1106</v>
      </c>
      <c r="C257" s="525" t="s">
        <v>1107</v>
      </c>
      <c r="D257" s="524" t="s">
        <v>41</v>
      </c>
      <c r="E257" s="524" t="s">
        <v>1314</v>
      </c>
      <c r="F257" s="528" t="s">
        <v>1109</v>
      </c>
      <c r="G257" s="252">
        <f t="shared" si="4"/>
        <v>16.850000000000001</v>
      </c>
    </row>
    <row r="258" spans="1:9" x14ac:dyDescent="0.3">
      <c r="A258" s="680" t="s">
        <v>1152</v>
      </c>
      <c r="B258" s="681"/>
      <c r="C258" s="681"/>
      <c r="D258" s="681"/>
      <c r="E258" s="681"/>
      <c r="F258" s="682"/>
      <c r="G258" s="527">
        <f>SUM(G211:G257)</f>
        <v>382.38000000000005</v>
      </c>
    </row>
    <row r="259" spans="1:9" x14ac:dyDescent="0.3">
      <c r="A259" s="683">
        <f>TRUNC(E259*F259,2)</f>
        <v>0</v>
      </c>
      <c r="B259" s="684"/>
      <c r="C259" s="684"/>
      <c r="D259" s="684"/>
      <c r="E259" s="684"/>
      <c r="F259" s="684"/>
      <c r="G259" s="685"/>
    </row>
    <row r="260" spans="1:9" ht="28.8" x14ac:dyDescent="0.3">
      <c r="A260" s="529" t="s">
        <v>660</v>
      </c>
      <c r="B260" s="529" t="s">
        <v>29</v>
      </c>
      <c r="C260" s="530" t="s">
        <v>30</v>
      </c>
      <c r="D260" s="529" t="s">
        <v>24</v>
      </c>
      <c r="E260" s="252"/>
      <c r="F260" s="531">
        <v>363.71</v>
      </c>
      <c r="G260" s="252">
        <f t="shared" si="4"/>
        <v>0</v>
      </c>
    </row>
    <row r="261" spans="1:9" x14ac:dyDescent="0.3">
      <c r="A261" s="529"/>
      <c r="B261" s="122">
        <v>4813</v>
      </c>
      <c r="C261" s="592" t="s">
        <v>509</v>
      </c>
      <c r="D261" s="593" t="s">
        <v>24</v>
      </c>
      <c r="E261" s="594">
        <v>1.05</v>
      </c>
      <c r="F261" s="595">
        <v>300</v>
      </c>
      <c r="G261" s="252">
        <f t="shared" si="4"/>
        <v>315</v>
      </c>
    </row>
    <row r="262" spans="1:9" ht="26.4" x14ac:dyDescent="0.3">
      <c r="A262" s="529"/>
      <c r="B262" s="596" t="s">
        <v>510</v>
      </c>
      <c r="C262" s="592" t="s">
        <v>511</v>
      </c>
      <c r="D262" s="596" t="s">
        <v>55</v>
      </c>
      <c r="E262" s="597" t="s">
        <v>512</v>
      </c>
      <c r="F262" s="598" t="s">
        <v>513</v>
      </c>
      <c r="G262" s="252">
        <f t="shared" si="4"/>
        <v>25.87</v>
      </c>
    </row>
    <row r="263" spans="1:9" ht="26.4" x14ac:dyDescent="0.3">
      <c r="A263" s="529"/>
      <c r="B263" s="596" t="s">
        <v>514</v>
      </c>
      <c r="C263" s="592" t="s">
        <v>515</v>
      </c>
      <c r="D263" s="596" t="s">
        <v>55</v>
      </c>
      <c r="E263" s="597" t="s">
        <v>516</v>
      </c>
      <c r="F263" s="598" t="s">
        <v>517</v>
      </c>
      <c r="G263" s="252">
        <f t="shared" si="4"/>
        <v>8.4499999999999993</v>
      </c>
    </row>
    <row r="264" spans="1:9" x14ac:dyDescent="0.3">
      <c r="A264" s="529"/>
      <c r="B264" s="596" t="s">
        <v>518</v>
      </c>
      <c r="C264" s="592" t="s">
        <v>519</v>
      </c>
      <c r="D264" s="596" t="s">
        <v>426</v>
      </c>
      <c r="E264" s="597" t="s">
        <v>520</v>
      </c>
      <c r="F264" s="598" t="s">
        <v>521</v>
      </c>
      <c r="G264" s="252">
        <f t="shared" si="4"/>
        <v>0.48</v>
      </c>
    </row>
    <row r="265" spans="1:9" x14ac:dyDescent="0.3">
      <c r="A265" s="529"/>
      <c r="B265" s="596" t="s">
        <v>523</v>
      </c>
      <c r="C265" s="592" t="s">
        <v>524</v>
      </c>
      <c r="D265" s="596" t="s">
        <v>32</v>
      </c>
      <c r="E265" s="597" t="s">
        <v>525</v>
      </c>
      <c r="F265" s="598" t="s">
        <v>526</v>
      </c>
      <c r="G265" s="252">
        <f t="shared" si="4"/>
        <v>3.04</v>
      </c>
      <c r="I265" s="268" t="s">
        <v>526</v>
      </c>
    </row>
    <row r="266" spans="1:9" x14ac:dyDescent="0.3">
      <c r="A266" s="529"/>
      <c r="B266" s="596" t="s">
        <v>527</v>
      </c>
      <c r="C266" s="592" t="s">
        <v>528</v>
      </c>
      <c r="D266" s="596" t="s">
        <v>32</v>
      </c>
      <c r="E266" s="597" t="s">
        <v>529</v>
      </c>
      <c r="F266" s="598" t="s">
        <v>530</v>
      </c>
      <c r="G266" s="252">
        <f t="shared" si="4"/>
        <v>10.8</v>
      </c>
      <c r="I266" s="268" t="s">
        <v>530</v>
      </c>
    </row>
    <row r="267" spans="1:9" ht="26.4" x14ac:dyDescent="0.3">
      <c r="A267" s="529"/>
      <c r="B267" s="596" t="s">
        <v>531</v>
      </c>
      <c r="C267" s="592" t="s">
        <v>532</v>
      </c>
      <c r="D267" s="596" t="s">
        <v>410</v>
      </c>
      <c r="E267" s="597" t="s">
        <v>533</v>
      </c>
      <c r="F267" s="598" t="s">
        <v>534</v>
      </c>
      <c r="G267" s="252">
        <f t="shared" si="4"/>
        <v>7.0000000000000007E-2</v>
      </c>
    </row>
    <row r="268" spans="1:9" x14ac:dyDescent="0.3">
      <c r="A268" s="680" t="s">
        <v>1152</v>
      </c>
      <c r="B268" s="681"/>
      <c r="C268" s="681"/>
      <c r="D268" s="681"/>
      <c r="E268" s="681"/>
      <c r="F268" s="682"/>
      <c r="G268" s="527">
        <f>SUM(G260:G267)</f>
        <v>363.71000000000004</v>
      </c>
    </row>
    <row r="269" spans="1:9" x14ac:dyDescent="0.3">
      <c r="A269" s="683">
        <f>TRUNC(E269*F269,2)</f>
        <v>0</v>
      </c>
      <c r="B269" s="684"/>
      <c r="C269" s="684"/>
      <c r="D269" s="684"/>
      <c r="E269" s="684"/>
      <c r="F269" s="684"/>
      <c r="G269" s="685"/>
    </row>
    <row r="270" spans="1:9" ht="28.8" x14ac:dyDescent="0.3">
      <c r="A270" s="529" t="s">
        <v>661</v>
      </c>
      <c r="B270" s="529">
        <v>95114</v>
      </c>
      <c r="C270" s="530" t="s">
        <v>31</v>
      </c>
      <c r="D270" s="529" t="s">
        <v>32</v>
      </c>
      <c r="E270" s="252"/>
      <c r="F270" s="531">
        <v>1.57</v>
      </c>
      <c r="G270" s="252">
        <f t="shared" si="4"/>
        <v>0</v>
      </c>
    </row>
    <row r="271" spans="1:9" x14ac:dyDescent="0.3">
      <c r="A271" s="524" t="s">
        <v>508</v>
      </c>
      <c r="B271" s="524" t="s">
        <v>1315</v>
      </c>
      <c r="C271" s="525" t="s">
        <v>1316</v>
      </c>
      <c r="D271" s="524" t="s">
        <v>397</v>
      </c>
      <c r="E271" s="524" t="s">
        <v>1317</v>
      </c>
      <c r="F271" s="528" t="s">
        <v>1318</v>
      </c>
      <c r="G271" s="252">
        <f t="shared" si="4"/>
        <v>1.57</v>
      </c>
    </row>
    <row r="272" spans="1:9" x14ac:dyDescent="0.3">
      <c r="A272" s="680" t="s">
        <v>1152</v>
      </c>
      <c r="B272" s="681"/>
      <c r="C272" s="681"/>
      <c r="D272" s="681"/>
      <c r="E272" s="681"/>
      <c r="F272" s="682"/>
      <c r="G272" s="527">
        <f>SUM(G270:G271)</f>
        <v>1.57</v>
      </c>
    </row>
    <row r="273" spans="1:7" x14ac:dyDescent="0.3">
      <c r="A273" s="683">
        <f>TRUNC(E273*F273,2)</f>
        <v>0</v>
      </c>
      <c r="B273" s="684"/>
      <c r="C273" s="684"/>
      <c r="D273" s="684"/>
      <c r="E273" s="684"/>
      <c r="F273" s="684"/>
      <c r="G273" s="685"/>
    </row>
    <row r="274" spans="1:7" ht="28.8" x14ac:dyDescent="0.3">
      <c r="A274" s="529" t="s">
        <v>662</v>
      </c>
      <c r="B274" s="529">
        <v>90777</v>
      </c>
      <c r="C274" s="530" t="s">
        <v>33</v>
      </c>
      <c r="D274" s="529" t="s">
        <v>32</v>
      </c>
      <c r="E274" s="252"/>
      <c r="F274" s="531">
        <v>79.17</v>
      </c>
      <c r="G274" s="252">
        <f t="shared" si="4"/>
        <v>0</v>
      </c>
    </row>
    <row r="275" spans="1:7" x14ac:dyDescent="0.3">
      <c r="A275" s="524" t="s">
        <v>508</v>
      </c>
      <c r="B275" s="524" t="s">
        <v>1319</v>
      </c>
      <c r="C275" s="525" t="s">
        <v>1320</v>
      </c>
      <c r="D275" s="524" t="s">
        <v>32</v>
      </c>
      <c r="E275" s="524" t="s">
        <v>1122</v>
      </c>
      <c r="F275" s="528" t="s">
        <v>1321</v>
      </c>
      <c r="G275" s="252">
        <f t="shared" si="4"/>
        <v>77.39</v>
      </c>
    </row>
    <row r="276" spans="1:7" x14ac:dyDescent="0.3">
      <c r="A276" s="524" t="s">
        <v>508</v>
      </c>
      <c r="B276" s="524" t="s">
        <v>1322</v>
      </c>
      <c r="C276" s="525" t="s">
        <v>1323</v>
      </c>
      <c r="D276" s="524" t="s">
        <v>32</v>
      </c>
      <c r="E276" s="524" t="s">
        <v>1122</v>
      </c>
      <c r="F276" s="528" t="s">
        <v>1324</v>
      </c>
      <c r="G276" s="252">
        <f t="shared" si="4"/>
        <v>0.35</v>
      </c>
    </row>
    <row r="277" spans="1:7" x14ac:dyDescent="0.3">
      <c r="A277" s="524" t="s">
        <v>508</v>
      </c>
      <c r="B277" s="524" t="s">
        <v>1325</v>
      </c>
      <c r="C277" s="525" t="s">
        <v>1326</v>
      </c>
      <c r="D277" s="524" t="s">
        <v>32</v>
      </c>
      <c r="E277" s="524" t="s">
        <v>1122</v>
      </c>
      <c r="F277" s="528" t="s">
        <v>1327</v>
      </c>
      <c r="G277" s="252">
        <f t="shared" si="4"/>
        <v>7.0000000000000007E-2</v>
      </c>
    </row>
    <row r="278" spans="1:7" ht="28.8" x14ac:dyDescent="0.3">
      <c r="A278" s="524" t="s">
        <v>508</v>
      </c>
      <c r="B278" s="524" t="s">
        <v>1328</v>
      </c>
      <c r="C278" s="525" t="s">
        <v>1329</v>
      </c>
      <c r="D278" s="524" t="s">
        <v>32</v>
      </c>
      <c r="E278" s="524" t="s">
        <v>1122</v>
      </c>
      <c r="F278" s="528" t="s">
        <v>1330</v>
      </c>
      <c r="G278" s="252">
        <f t="shared" si="4"/>
        <v>0.01</v>
      </c>
    </row>
    <row r="279" spans="1:7" ht="28.8" x14ac:dyDescent="0.3">
      <c r="A279" s="524" t="s">
        <v>508</v>
      </c>
      <c r="B279" s="524" t="s">
        <v>1331</v>
      </c>
      <c r="C279" s="525" t="s">
        <v>1332</v>
      </c>
      <c r="D279" s="524" t="s">
        <v>32</v>
      </c>
      <c r="E279" s="524" t="s">
        <v>1122</v>
      </c>
      <c r="F279" s="528" t="s">
        <v>1333</v>
      </c>
      <c r="G279" s="252">
        <f t="shared" si="4"/>
        <v>0.56999999999999995</v>
      </c>
    </row>
    <row r="280" spans="1:7" ht="28.8" x14ac:dyDescent="0.3">
      <c r="A280" s="524" t="s">
        <v>522</v>
      </c>
      <c r="B280" s="524" t="s">
        <v>1334</v>
      </c>
      <c r="C280" s="525" t="s">
        <v>1335</v>
      </c>
      <c r="D280" s="524" t="s">
        <v>32</v>
      </c>
      <c r="E280" s="524" t="s">
        <v>1122</v>
      </c>
      <c r="F280" s="528" t="s">
        <v>1336</v>
      </c>
      <c r="G280" s="252">
        <f t="shared" si="4"/>
        <v>0.78</v>
      </c>
    </row>
    <row r="281" spans="1:7" x14ac:dyDescent="0.3">
      <c r="A281" s="680" t="s">
        <v>1152</v>
      </c>
      <c r="B281" s="681"/>
      <c r="C281" s="681"/>
      <c r="D281" s="681"/>
      <c r="E281" s="681"/>
      <c r="F281" s="682"/>
      <c r="G281" s="527">
        <f>SUM(G274:G280)</f>
        <v>79.169999999999987</v>
      </c>
    </row>
    <row r="282" spans="1:7" x14ac:dyDescent="0.3">
      <c r="A282" s="683">
        <f>TRUNC(E282*F282,2)</f>
        <v>0</v>
      </c>
      <c r="B282" s="684"/>
      <c r="C282" s="684"/>
      <c r="D282" s="684"/>
      <c r="E282" s="684"/>
      <c r="F282" s="684"/>
      <c r="G282" s="685"/>
    </row>
    <row r="283" spans="1:7" x14ac:dyDescent="0.3">
      <c r="A283" s="529" t="s">
        <v>663</v>
      </c>
      <c r="B283" s="529">
        <v>90778</v>
      </c>
      <c r="C283" s="530" t="s">
        <v>34</v>
      </c>
      <c r="D283" s="529" t="s">
        <v>32</v>
      </c>
      <c r="E283" s="252"/>
      <c r="F283" s="531">
        <v>89.98</v>
      </c>
      <c r="G283" s="252">
        <f t="shared" si="4"/>
        <v>0</v>
      </c>
    </row>
    <row r="284" spans="1:7" x14ac:dyDescent="0.3">
      <c r="A284" s="524" t="s">
        <v>508</v>
      </c>
      <c r="B284" s="524" t="s">
        <v>1337</v>
      </c>
      <c r="C284" s="525" t="s">
        <v>1338</v>
      </c>
      <c r="D284" s="524" t="s">
        <v>32</v>
      </c>
      <c r="E284" s="524" t="s">
        <v>1122</v>
      </c>
      <c r="F284" s="528" t="s">
        <v>1339</v>
      </c>
      <c r="G284" s="252">
        <f t="shared" si="4"/>
        <v>88.09</v>
      </c>
    </row>
    <row r="285" spans="1:7" x14ac:dyDescent="0.3">
      <c r="A285" s="524" t="s">
        <v>508</v>
      </c>
      <c r="B285" s="524" t="s">
        <v>1322</v>
      </c>
      <c r="C285" s="525" t="s">
        <v>1323</v>
      </c>
      <c r="D285" s="524" t="s">
        <v>32</v>
      </c>
      <c r="E285" s="524" t="s">
        <v>1122</v>
      </c>
      <c r="F285" s="528" t="s">
        <v>1324</v>
      </c>
      <c r="G285" s="252">
        <f t="shared" si="4"/>
        <v>0.35</v>
      </c>
    </row>
    <row r="286" spans="1:7" x14ac:dyDescent="0.3">
      <c r="A286" s="524" t="s">
        <v>508</v>
      </c>
      <c r="B286" s="524" t="s">
        <v>1325</v>
      </c>
      <c r="C286" s="525" t="s">
        <v>1326</v>
      </c>
      <c r="D286" s="524" t="s">
        <v>32</v>
      </c>
      <c r="E286" s="524" t="s">
        <v>1122</v>
      </c>
      <c r="F286" s="528" t="s">
        <v>1327</v>
      </c>
      <c r="G286" s="252">
        <f t="shared" si="4"/>
        <v>7.0000000000000007E-2</v>
      </c>
    </row>
    <row r="287" spans="1:7" ht="28.8" x14ac:dyDescent="0.3">
      <c r="A287" s="524" t="s">
        <v>508</v>
      </c>
      <c r="B287" s="524" t="s">
        <v>1328</v>
      </c>
      <c r="C287" s="525" t="s">
        <v>1329</v>
      </c>
      <c r="D287" s="524" t="s">
        <v>32</v>
      </c>
      <c r="E287" s="524" t="s">
        <v>1122</v>
      </c>
      <c r="F287" s="528" t="s">
        <v>1330</v>
      </c>
      <c r="G287" s="252">
        <f t="shared" si="4"/>
        <v>0.01</v>
      </c>
    </row>
    <row r="288" spans="1:7" ht="28.8" x14ac:dyDescent="0.3">
      <c r="A288" s="524" t="s">
        <v>508</v>
      </c>
      <c r="B288" s="524" t="s">
        <v>1331</v>
      </c>
      <c r="C288" s="525" t="s">
        <v>1332</v>
      </c>
      <c r="D288" s="524" t="s">
        <v>32</v>
      </c>
      <c r="E288" s="524" t="s">
        <v>1122</v>
      </c>
      <c r="F288" s="528" t="s">
        <v>1333</v>
      </c>
      <c r="G288" s="252">
        <f t="shared" si="4"/>
        <v>0.56999999999999995</v>
      </c>
    </row>
    <row r="289" spans="1:10" ht="28.8" x14ac:dyDescent="0.3">
      <c r="A289" s="524" t="s">
        <v>522</v>
      </c>
      <c r="B289" s="524" t="s">
        <v>1340</v>
      </c>
      <c r="C289" s="525" t="s">
        <v>1341</v>
      </c>
      <c r="D289" s="524" t="s">
        <v>32</v>
      </c>
      <c r="E289" s="524" t="s">
        <v>1122</v>
      </c>
      <c r="F289" s="528" t="s">
        <v>1342</v>
      </c>
      <c r="G289" s="252">
        <f t="shared" si="4"/>
        <v>0.89</v>
      </c>
    </row>
    <row r="290" spans="1:10" x14ac:dyDescent="0.3">
      <c r="A290" s="680" t="s">
        <v>1152</v>
      </c>
      <c r="B290" s="681"/>
      <c r="C290" s="681"/>
      <c r="D290" s="681"/>
      <c r="E290" s="681"/>
      <c r="F290" s="682"/>
      <c r="G290" s="527">
        <f>SUM(G283:G289)</f>
        <v>89.97999999999999</v>
      </c>
    </row>
    <row r="291" spans="1:10" x14ac:dyDescent="0.3">
      <c r="A291" s="683">
        <f>TRUNC(E291*F291,2)</f>
        <v>0</v>
      </c>
      <c r="B291" s="684"/>
      <c r="C291" s="684"/>
      <c r="D291" s="684"/>
      <c r="E291" s="684"/>
      <c r="F291" s="684"/>
      <c r="G291" s="685"/>
    </row>
    <row r="292" spans="1:10" x14ac:dyDescent="0.3">
      <c r="A292" s="529" t="s">
        <v>664</v>
      </c>
      <c r="B292" s="529">
        <v>90776</v>
      </c>
      <c r="C292" s="530" t="s">
        <v>35</v>
      </c>
      <c r="D292" s="529" t="s">
        <v>32</v>
      </c>
      <c r="E292" s="252"/>
      <c r="F292" s="531">
        <v>18.829999999999998</v>
      </c>
      <c r="G292" s="252">
        <f t="shared" si="4"/>
        <v>0</v>
      </c>
    </row>
    <row r="293" spans="1:10" x14ac:dyDescent="0.3">
      <c r="A293" s="524" t="s">
        <v>508</v>
      </c>
      <c r="B293" s="524" t="s">
        <v>1343</v>
      </c>
      <c r="C293" s="525" t="s">
        <v>1344</v>
      </c>
      <c r="D293" s="524" t="s">
        <v>32</v>
      </c>
      <c r="E293" s="524" t="s">
        <v>1122</v>
      </c>
      <c r="F293" s="528" t="s">
        <v>1345</v>
      </c>
      <c r="G293" s="252">
        <f t="shared" si="4"/>
        <v>17.13</v>
      </c>
    </row>
    <row r="294" spans="1:10" x14ac:dyDescent="0.3">
      <c r="A294" s="524" t="s">
        <v>508</v>
      </c>
      <c r="B294" s="524" t="s">
        <v>1322</v>
      </c>
      <c r="C294" s="525" t="s">
        <v>1323</v>
      </c>
      <c r="D294" s="524" t="s">
        <v>32</v>
      </c>
      <c r="E294" s="524" t="s">
        <v>1122</v>
      </c>
      <c r="F294" s="528" t="s">
        <v>1324</v>
      </c>
      <c r="G294" s="252">
        <f t="shared" si="4"/>
        <v>0.35</v>
      </c>
    </row>
    <row r="295" spans="1:10" x14ac:dyDescent="0.3">
      <c r="A295" s="524" t="s">
        <v>508</v>
      </c>
      <c r="B295" s="524" t="s">
        <v>1325</v>
      </c>
      <c r="C295" s="525" t="s">
        <v>1326</v>
      </c>
      <c r="D295" s="524" t="s">
        <v>32</v>
      </c>
      <c r="E295" s="524" t="s">
        <v>1122</v>
      </c>
      <c r="F295" s="528" t="s">
        <v>1327</v>
      </c>
      <c r="G295" s="252">
        <f t="shared" si="4"/>
        <v>7.0000000000000007E-2</v>
      </c>
    </row>
    <row r="296" spans="1:10" ht="28.8" x14ac:dyDescent="0.3">
      <c r="A296" s="524" t="s">
        <v>508</v>
      </c>
      <c r="B296" s="524" t="s">
        <v>1346</v>
      </c>
      <c r="C296" s="525" t="s">
        <v>1347</v>
      </c>
      <c r="D296" s="524" t="s">
        <v>32</v>
      </c>
      <c r="E296" s="524" t="s">
        <v>1122</v>
      </c>
      <c r="F296" s="528" t="s">
        <v>1348</v>
      </c>
      <c r="G296" s="252">
        <f t="shared" si="4"/>
        <v>0.08</v>
      </c>
    </row>
    <row r="297" spans="1:10" ht="28.8" x14ac:dyDescent="0.3">
      <c r="A297" s="524" t="s">
        <v>508</v>
      </c>
      <c r="B297" s="524" t="s">
        <v>1349</v>
      </c>
      <c r="C297" s="525" t="s">
        <v>1350</v>
      </c>
      <c r="D297" s="524" t="s">
        <v>32</v>
      </c>
      <c r="E297" s="524" t="s">
        <v>1122</v>
      </c>
      <c r="F297" s="528" t="s">
        <v>1351</v>
      </c>
      <c r="G297" s="252">
        <f t="shared" si="4"/>
        <v>0.95</v>
      </c>
    </row>
    <row r="298" spans="1:10" ht="28.8" x14ac:dyDescent="0.3">
      <c r="A298" s="524" t="s">
        <v>522</v>
      </c>
      <c r="B298" s="524" t="s">
        <v>1352</v>
      </c>
      <c r="C298" s="525" t="s">
        <v>1353</v>
      </c>
      <c r="D298" s="524" t="s">
        <v>32</v>
      </c>
      <c r="E298" s="524" t="s">
        <v>1122</v>
      </c>
      <c r="F298" s="528" t="s">
        <v>1354</v>
      </c>
      <c r="G298" s="252">
        <f t="shared" si="4"/>
        <v>0.25</v>
      </c>
    </row>
    <row r="299" spans="1:10" x14ac:dyDescent="0.3">
      <c r="A299" s="680" t="s">
        <v>1152</v>
      </c>
      <c r="B299" s="681"/>
      <c r="C299" s="681"/>
      <c r="D299" s="681"/>
      <c r="E299" s="681"/>
      <c r="F299" s="682"/>
      <c r="G299" s="527">
        <f>SUM(G292:G298)</f>
        <v>18.829999999999998</v>
      </c>
    </row>
    <row r="300" spans="1:10" x14ac:dyDescent="0.3">
      <c r="A300" s="683">
        <f>TRUNC(E300*F300,2)</f>
        <v>0</v>
      </c>
      <c r="B300" s="684"/>
      <c r="C300" s="684"/>
      <c r="D300" s="684"/>
      <c r="E300" s="684"/>
      <c r="F300" s="684"/>
      <c r="G300" s="685"/>
    </row>
    <row r="301" spans="1:10" ht="28.8" x14ac:dyDescent="0.3">
      <c r="A301" s="529" t="s">
        <v>815</v>
      </c>
      <c r="B301" s="529" t="s">
        <v>802</v>
      </c>
      <c r="C301" s="530" t="s">
        <v>803</v>
      </c>
      <c r="D301" s="529" t="s">
        <v>24</v>
      </c>
      <c r="E301" s="252"/>
      <c r="F301" s="531">
        <v>8.92</v>
      </c>
      <c r="G301" s="252">
        <f t="shared" si="4"/>
        <v>0</v>
      </c>
      <c r="J301">
        <v>8.92</v>
      </c>
    </row>
    <row r="302" spans="1:10" ht="28.8" x14ac:dyDescent="0.3">
      <c r="A302" s="599"/>
      <c r="B302" s="600"/>
      <c r="C302" s="600" t="s">
        <v>800</v>
      </c>
      <c r="D302" s="249" t="s">
        <v>397</v>
      </c>
      <c r="E302" s="601">
        <v>4.2299999999999998E-4</v>
      </c>
      <c r="F302" s="602">
        <v>3446</v>
      </c>
      <c r="G302" s="252">
        <f t="shared" si="4"/>
        <v>1.45</v>
      </c>
    </row>
    <row r="303" spans="1:10" x14ac:dyDescent="0.3">
      <c r="A303" s="599"/>
      <c r="B303" s="600"/>
      <c r="C303" s="600" t="s">
        <v>814</v>
      </c>
      <c r="D303" s="249" t="s">
        <v>580</v>
      </c>
      <c r="E303" s="601">
        <v>0.2</v>
      </c>
      <c r="F303" s="602">
        <v>23</v>
      </c>
      <c r="G303" s="252">
        <f t="shared" ref="G303:G310" si="5">TRUNC(E303*F303,2)</f>
        <v>4.5999999999999996</v>
      </c>
    </row>
    <row r="304" spans="1:10" x14ac:dyDescent="0.3">
      <c r="A304" s="599"/>
      <c r="B304" s="600"/>
      <c r="C304" s="600" t="s">
        <v>801</v>
      </c>
      <c r="D304" s="249" t="s">
        <v>580</v>
      </c>
      <c r="E304" s="601">
        <v>0.2</v>
      </c>
      <c r="F304" s="602">
        <v>14.37</v>
      </c>
      <c r="G304" s="252">
        <f t="shared" si="5"/>
        <v>2.87</v>
      </c>
      <c r="J304" s="269">
        <v>14.31</v>
      </c>
    </row>
    <row r="305" spans="1:7" x14ac:dyDescent="0.3">
      <c r="A305" s="692" t="s">
        <v>1152</v>
      </c>
      <c r="B305" s="692"/>
      <c r="C305" s="692"/>
      <c r="D305" s="692"/>
      <c r="E305" s="692"/>
      <c r="F305" s="692"/>
      <c r="G305" s="527">
        <f>SUM(G301:G304)</f>
        <v>8.92</v>
      </c>
    </row>
    <row r="306" spans="1:7" x14ac:dyDescent="0.3">
      <c r="A306" s="683">
        <f>TRUNC(E306*F306,2)</f>
        <v>0</v>
      </c>
      <c r="B306" s="684"/>
      <c r="C306" s="684"/>
      <c r="D306" s="684"/>
      <c r="E306" s="684"/>
      <c r="F306" s="684"/>
      <c r="G306" s="685"/>
    </row>
    <row r="307" spans="1:7" x14ac:dyDescent="0.3">
      <c r="A307" s="529" t="s">
        <v>20</v>
      </c>
      <c r="B307" s="529"/>
      <c r="C307" s="530" t="s">
        <v>37</v>
      </c>
      <c r="D307" s="529"/>
      <c r="E307" s="252"/>
      <c r="F307" s="531"/>
      <c r="G307" s="252">
        <f t="shared" si="5"/>
        <v>0</v>
      </c>
    </row>
    <row r="308" spans="1:7" x14ac:dyDescent="0.3">
      <c r="A308" s="529" t="s">
        <v>22</v>
      </c>
      <c r="B308" s="529" t="s">
        <v>39</v>
      </c>
      <c r="C308" s="530" t="s">
        <v>40</v>
      </c>
      <c r="D308" s="529" t="s">
        <v>41</v>
      </c>
      <c r="E308" s="252"/>
      <c r="F308" s="531">
        <v>209.74</v>
      </c>
      <c r="G308" s="252">
        <f t="shared" si="5"/>
        <v>0</v>
      </c>
    </row>
    <row r="309" spans="1:7" x14ac:dyDescent="0.3">
      <c r="A309" s="524" t="s">
        <v>522</v>
      </c>
      <c r="B309" s="524" t="s">
        <v>1362</v>
      </c>
      <c r="C309" s="525" t="s">
        <v>1363</v>
      </c>
      <c r="D309" s="524" t="s">
        <v>32</v>
      </c>
      <c r="E309" s="603">
        <v>1.3</v>
      </c>
      <c r="F309" s="528">
        <v>17.64</v>
      </c>
      <c r="G309" s="252">
        <f t="shared" si="5"/>
        <v>22.93</v>
      </c>
    </row>
    <row r="310" spans="1:7" x14ac:dyDescent="0.3">
      <c r="A310" s="524" t="s">
        <v>522</v>
      </c>
      <c r="B310" s="524" t="s">
        <v>1359</v>
      </c>
      <c r="C310" s="525" t="s">
        <v>801</v>
      </c>
      <c r="D310" s="524" t="s">
        <v>32</v>
      </c>
      <c r="E310" s="603">
        <v>13</v>
      </c>
      <c r="F310" s="528">
        <v>14.37</v>
      </c>
      <c r="G310" s="252">
        <f t="shared" si="5"/>
        <v>186.81</v>
      </c>
    </row>
    <row r="311" spans="1:7" x14ac:dyDescent="0.3">
      <c r="A311" s="680" t="s">
        <v>1152</v>
      </c>
      <c r="B311" s="681"/>
      <c r="C311" s="681"/>
      <c r="D311" s="681"/>
      <c r="E311" s="681"/>
      <c r="F311" s="682"/>
      <c r="G311" s="527">
        <f>SUM(G307:G310)</f>
        <v>209.74</v>
      </c>
    </row>
    <row r="312" spans="1:7" x14ac:dyDescent="0.3">
      <c r="A312" s="683">
        <f>TRUNC(E312*F312,2)</f>
        <v>0</v>
      </c>
      <c r="B312" s="684"/>
      <c r="C312" s="684"/>
      <c r="D312" s="684"/>
      <c r="E312" s="684"/>
      <c r="F312" s="684"/>
      <c r="G312" s="685"/>
    </row>
    <row r="313" spans="1:7" ht="28.8" x14ac:dyDescent="0.3">
      <c r="A313" s="529" t="s">
        <v>25</v>
      </c>
      <c r="B313" s="529">
        <v>97633</v>
      </c>
      <c r="C313" s="530" t="s">
        <v>42</v>
      </c>
      <c r="D313" s="529" t="s">
        <v>24</v>
      </c>
      <c r="E313" s="252"/>
      <c r="F313" s="531">
        <v>14.85</v>
      </c>
      <c r="G313" s="252">
        <f t="shared" si="0"/>
        <v>0</v>
      </c>
    </row>
    <row r="314" spans="1:7" x14ac:dyDescent="0.3">
      <c r="A314" s="524" t="s">
        <v>522</v>
      </c>
      <c r="B314" s="524" t="s">
        <v>1355</v>
      </c>
      <c r="C314" s="525" t="s">
        <v>1356</v>
      </c>
      <c r="D314" s="524" t="s">
        <v>32</v>
      </c>
      <c r="E314" s="524" t="s">
        <v>1357</v>
      </c>
      <c r="F314" s="528" t="s">
        <v>1358</v>
      </c>
      <c r="G314" s="252">
        <f t="shared" si="0"/>
        <v>4.5199999999999996</v>
      </c>
    </row>
    <row r="315" spans="1:7" x14ac:dyDescent="0.3">
      <c r="A315" s="524" t="s">
        <v>522</v>
      </c>
      <c r="B315" s="524" t="s">
        <v>1359</v>
      </c>
      <c r="C315" s="525" t="s">
        <v>801</v>
      </c>
      <c r="D315" s="524" t="s">
        <v>32</v>
      </c>
      <c r="E315" s="524" t="s">
        <v>1360</v>
      </c>
      <c r="F315" s="528" t="s">
        <v>1361</v>
      </c>
      <c r="G315" s="252">
        <f t="shared" si="0"/>
        <v>10.33</v>
      </c>
    </row>
    <row r="316" spans="1:7" x14ac:dyDescent="0.3">
      <c r="A316" s="680" t="s">
        <v>1152</v>
      </c>
      <c r="B316" s="681"/>
      <c r="C316" s="681"/>
      <c r="D316" s="681"/>
      <c r="E316" s="681"/>
      <c r="F316" s="682"/>
      <c r="G316" s="527">
        <f>SUM(G312:G315)</f>
        <v>14.85</v>
      </c>
    </row>
    <row r="317" spans="1:7" x14ac:dyDescent="0.3">
      <c r="A317" s="683">
        <f>TRUNC(E317*F317,2)</f>
        <v>0</v>
      </c>
      <c r="B317" s="684"/>
      <c r="C317" s="684"/>
      <c r="D317" s="684"/>
      <c r="E317" s="684"/>
      <c r="F317" s="684"/>
      <c r="G317" s="685"/>
    </row>
    <row r="318" spans="1:7" x14ac:dyDescent="0.3">
      <c r="A318" s="529" t="s">
        <v>56</v>
      </c>
      <c r="B318" s="529">
        <v>97644</v>
      </c>
      <c r="C318" s="530" t="s">
        <v>43</v>
      </c>
      <c r="D318" s="529" t="s">
        <v>44</v>
      </c>
      <c r="E318" s="252"/>
      <c r="F318" s="531">
        <v>6.04</v>
      </c>
      <c r="G318" s="252">
        <f t="shared" si="0"/>
        <v>0</v>
      </c>
    </row>
    <row r="319" spans="1:7" x14ac:dyDescent="0.3">
      <c r="A319" s="524" t="s">
        <v>522</v>
      </c>
      <c r="B319" s="524" t="s">
        <v>1362</v>
      </c>
      <c r="C319" s="525" t="s">
        <v>1363</v>
      </c>
      <c r="D319" s="524" t="s">
        <v>32</v>
      </c>
      <c r="E319" s="524" t="s">
        <v>1364</v>
      </c>
      <c r="F319" s="528" t="s">
        <v>1365</v>
      </c>
      <c r="G319" s="252">
        <f t="shared" si="0"/>
        <v>2.33</v>
      </c>
    </row>
    <row r="320" spans="1:7" x14ac:dyDescent="0.3">
      <c r="A320" s="524" t="s">
        <v>522</v>
      </c>
      <c r="B320" s="524" t="s">
        <v>1359</v>
      </c>
      <c r="C320" s="525" t="s">
        <v>801</v>
      </c>
      <c r="D320" s="524" t="s">
        <v>32</v>
      </c>
      <c r="E320" s="524" t="s">
        <v>1366</v>
      </c>
      <c r="F320" s="528" t="s">
        <v>1361</v>
      </c>
      <c r="G320" s="252">
        <f t="shared" si="0"/>
        <v>3.71</v>
      </c>
    </row>
    <row r="321" spans="1:7" x14ac:dyDescent="0.3">
      <c r="A321" s="680" t="s">
        <v>1152</v>
      </c>
      <c r="B321" s="681"/>
      <c r="C321" s="681"/>
      <c r="D321" s="681"/>
      <c r="E321" s="681"/>
      <c r="F321" s="682"/>
      <c r="G321" s="527">
        <f>SUM(G317:G320)</f>
        <v>6.04</v>
      </c>
    </row>
    <row r="322" spans="1:7" x14ac:dyDescent="0.3">
      <c r="A322" s="683">
        <f>TRUNC(E322*F322,2)</f>
        <v>0</v>
      </c>
      <c r="B322" s="684"/>
      <c r="C322" s="684"/>
      <c r="D322" s="684"/>
      <c r="E322" s="684"/>
      <c r="F322" s="684"/>
      <c r="G322" s="685"/>
    </row>
    <row r="323" spans="1:7" x14ac:dyDescent="0.3">
      <c r="A323" s="529" t="s">
        <v>216</v>
      </c>
      <c r="B323" s="529">
        <v>97663</v>
      </c>
      <c r="C323" s="530" t="s">
        <v>45</v>
      </c>
      <c r="D323" s="529" t="s">
        <v>44</v>
      </c>
      <c r="E323" s="252"/>
      <c r="F323" s="531">
        <v>8.07</v>
      </c>
      <c r="G323" s="252">
        <f t="shared" si="0"/>
        <v>0</v>
      </c>
    </row>
    <row r="324" spans="1:7" x14ac:dyDescent="0.3">
      <c r="A324" s="524" t="s">
        <v>522</v>
      </c>
      <c r="B324" s="524" t="s">
        <v>1367</v>
      </c>
      <c r="C324" s="525" t="s">
        <v>1368</v>
      </c>
      <c r="D324" s="524" t="s">
        <v>32</v>
      </c>
      <c r="E324" s="524" t="s">
        <v>1369</v>
      </c>
      <c r="F324" s="528" t="s">
        <v>1370</v>
      </c>
      <c r="G324" s="252">
        <f t="shared" si="0"/>
        <v>3.12</v>
      </c>
    </row>
    <row r="325" spans="1:7" x14ac:dyDescent="0.3">
      <c r="A325" s="524" t="s">
        <v>522</v>
      </c>
      <c r="B325" s="524" t="s">
        <v>1359</v>
      </c>
      <c r="C325" s="525" t="s">
        <v>801</v>
      </c>
      <c r="D325" s="524" t="s">
        <v>32</v>
      </c>
      <c r="E325" s="524" t="s">
        <v>1371</v>
      </c>
      <c r="F325" s="528" t="s">
        <v>1361</v>
      </c>
      <c r="G325" s="252">
        <f t="shared" si="0"/>
        <v>4.95</v>
      </c>
    </row>
    <row r="326" spans="1:7" x14ac:dyDescent="0.3">
      <c r="A326" s="680" t="s">
        <v>1152</v>
      </c>
      <c r="B326" s="681"/>
      <c r="C326" s="681"/>
      <c r="D326" s="681"/>
      <c r="E326" s="681"/>
      <c r="F326" s="682"/>
      <c r="G326" s="527">
        <f>SUM(G322:G325)</f>
        <v>8.07</v>
      </c>
    </row>
    <row r="327" spans="1:7" x14ac:dyDescent="0.3">
      <c r="A327" s="683">
        <f>TRUNC(E327*F327,2)</f>
        <v>0</v>
      </c>
      <c r="B327" s="684"/>
      <c r="C327" s="684"/>
      <c r="D327" s="684"/>
      <c r="E327" s="684"/>
      <c r="F327" s="684"/>
      <c r="G327" s="685"/>
    </row>
    <row r="328" spans="1:7" ht="28.8" x14ac:dyDescent="0.3">
      <c r="A328" s="529" t="s">
        <v>217</v>
      </c>
      <c r="B328" s="529">
        <v>97666</v>
      </c>
      <c r="C328" s="530" t="s">
        <v>46</v>
      </c>
      <c r="D328" s="529" t="s">
        <v>44</v>
      </c>
      <c r="E328" s="252"/>
      <c r="F328" s="531">
        <v>5.88</v>
      </c>
      <c r="G328" s="252">
        <f t="shared" si="0"/>
        <v>0</v>
      </c>
    </row>
    <row r="329" spans="1:7" x14ac:dyDescent="0.3">
      <c r="A329" s="524" t="s">
        <v>522</v>
      </c>
      <c r="B329" s="524" t="s">
        <v>1367</v>
      </c>
      <c r="C329" s="525" t="s">
        <v>1368</v>
      </c>
      <c r="D329" s="524" t="s">
        <v>32</v>
      </c>
      <c r="E329" s="524" t="s">
        <v>1372</v>
      </c>
      <c r="F329" s="528" t="s">
        <v>1370</v>
      </c>
      <c r="G329" s="252">
        <f t="shared" si="0"/>
        <v>2.27</v>
      </c>
    </row>
    <row r="330" spans="1:7" x14ac:dyDescent="0.3">
      <c r="A330" s="524" t="s">
        <v>522</v>
      </c>
      <c r="B330" s="524" t="s">
        <v>1359</v>
      </c>
      <c r="C330" s="525" t="s">
        <v>801</v>
      </c>
      <c r="D330" s="524" t="s">
        <v>32</v>
      </c>
      <c r="E330" s="524" t="s">
        <v>1373</v>
      </c>
      <c r="F330" s="528" t="s">
        <v>1361</v>
      </c>
      <c r="G330" s="252">
        <f t="shared" si="0"/>
        <v>3.61</v>
      </c>
    </row>
    <row r="331" spans="1:7" x14ac:dyDescent="0.3">
      <c r="A331" s="680" t="s">
        <v>1152</v>
      </c>
      <c r="B331" s="681"/>
      <c r="C331" s="681"/>
      <c r="D331" s="681"/>
      <c r="E331" s="681"/>
      <c r="F331" s="682"/>
      <c r="G331" s="527">
        <f>SUM(G327:G330)</f>
        <v>5.88</v>
      </c>
    </row>
    <row r="332" spans="1:7" x14ac:dyDescent="0.3">
      <c r="A332" s="683">
        <f>TRUNC(E332*F332,2)</f>
        <v>0</v>
      </c>
      <c r="B332" s="684"/>
      <c r="C332" s="684"/>
      <c r="D332" s="684"/>
      <c r="E332" s="684"/>
      <c r="F332" s="684"/>
      <c r="G332" s="685"/>
    </row>
    <row r="333" spans="1:7" ht="28.8" x14ac:dyDescent="0.3">
      <c r="A333" s="529" t="s">
        <v>218</v>
      </c>
      <c r="B333" s="529">
        <v>97622</v>
      </c>
      <c r="C333" s="530" t="s">
        <v>47</v>
      </c>
      <c r="D333" s="529" t="s">
        <v>41</v>
      </c>
      <c r="E333" s="252"/>
      <c r="F333" s="531">
        <v>37.39</v>
      </c>
      <c r="G333" s="252">
        <f t="shared" si="0"/>
        <v>0</v>
      </c>
    </row>
    <row r="334" spans="1:7" x14ac:dyDescent="0.3">
      <c r="A334" s="524" t="s">
        <v>522</v>
      </c>
      <c r="B334" s="524" t="s">
        <v>1362</v>
      </c>
      <c r="C334" s="525" t="s">
        <v>1363</v>
      </c>
      <c r="D334" s="524" t="s">
        <v>32</v>
      </c>
      <c r="E334" s="524" t="s">
        <v>1374</v>
      </c>
      <c r="F334" s="528" t="s">
        <v>1365</v>
      </c>
      <c r="G334" s="252">
        <f t="shared" si="0"/>
        <v>3.99</v>
      </c>
    </row>
    <row r="335" spans="1:7" x14ac:dyDescent="0.3">
      <c r="A335" s="524" t="s">
        <v>522</v>
      </c>
      <c r="B335" s="524" t="s">
        <v>1359</v>
      </c>
      <c r="C335" s="525" t="s">
        <v>801</v>
      </c>
      <c r="D335" s="524" t="s">
        <v>32</v>
      </c>
      <c r="E335" s="524" t="s">
        <v>1375</v>
      </c>
      <c r="F335" s="528" t="s">
        <v>1361</v>
      </c>
      <c r="G335" s="252">
        <f t="shared" si="0"/>
        <v>33.4</v>
      </c>
    </row>
    <row r="336" spans="1:7" x14ac:dyDescent="0.3">
      <c r="A336" s="680" t="s">
        <v>1152</v>
      </c>
      <c r="B336" s="681"/>
      <c r="C336" s="681"/>
      <c r="D336" s="681"/>
      <c r="E336" s="681"/>
      <c r="F336" s="682"/>
      <c r="G336" s="527">
        <f>SUM(G332:G335)</f>
        <v>37.39</v>
      </c>
    </row>
    <row r="337" spans="1:7" x14ac:dyDescent="0.3">
      <c r="A337" s="683">
        <f>TRUNC(E337*F337,2)</f>
        <v>0</v>
      </c>
      <c r="B337" s="684"/>
      <c r="C337" s="684"/>
      <c r="D337" s="684"/>
      <c r="E337" s="684"/>
      <c r="F337" s="684"/>
      <c r="G337" s="685"/>
    </row>
    <row r="338" spans="1:7" x14ac:dyDescent="0.3">
      <c r="A338" s="529" t="s">
        <v>219</v>
      </c>
      <c r="B338" s="529" t="s">
        <v>795</v>
      </c>
      <c r="C338" s="530" t="s">
        <v>796</v>
      </c>
      <c r="D338" s="529" t="s">
        <v>24</v>
      </c>
      <c r="E338" s="252"/>
      <c r="F338" s="531">
        <v>22.59</v>
      </c>
      <c r="G338" s="252">
        <f t="shared" si="0"/>
        <v>0</v>
      </c>
    </row>
    <row r="339" spans="1:7" x14ac:dyDescent="0.3">
      <c r="A339" s="524" t="s">
        <v>522</v>
      </c>
      <c r="B339" s="524" t="s">
        <v>1362</v>
      </c>
      <c r="C339" s="525" t="s">
        <v>1363</v>
      </c>
      <c r="D339" s="524" t="s">
        <v>32</v>
      </c>
      <c r="E339" s="604">
        <v>0.14000000000000001</v>
      </c>
      <c r="F339" s="528" t="s">
        <v>1365</v>
      </c>
      <c r="G339" s="252">
        <f t="shared" si="0"/>
        <v>2.48</v>
      </c>
    </row>
    <row r="340" spans="1:7" x14ac:dyDescent="0.3">
      <c r="A340" s="524" t="s">
        <v>522</v>
      </c>
      <c r="B340" s="524" t="s">
        <v>1359</v>
      </c>
      <c r="C340" s="525" t="s">
        <v>801</v>
      </c>
      <c r="D340" s="524" t="s">
        <v>32</v>
      </c>
      <c r="E340" s="604">
        <v>1.4</v>
      </c>
      <c r="F340" s="528" t="s">
        <v>1361</v>
      </c>
      <c r="G340" s="252">
        <f t="shared" si="0"/>
        <v>20.11</v>
      </c>
    </row>
    <row r="341" spans="1:7" x14ac:dyDescent="0.3">
      <c r="A341" s="680" t="s">
        <v>1152</v>
      </c>
      <c r="B341" s="681"/>
      <c r="C341" s="681"/>
      <c r="D341" s="681"/>
      <c r="E341" s="681"/>
      <c r="F341" s="682"/>
      <c r="G341" s="527">
        <f>SUM(G338:G340)</f>
        <v>22.59</v>
      </c>
    </row>
    <row r="342" spans="1:7" x14ac:dyDescent="0.3">
      <c r="A342" s="683">
        <f>TRUNC(E342*F342,2)</f>
        <v>0</v>
      </c>
      <c r="B342" s="684"/>
      <c r="C342" s="684"/>
      <c r="D342" s="684"/>
      <c r="E342" s="684"/>
      <c r="F342" s="684"/>
      <c r="G342" s="685"/>
    </row>
    <row r="343" spans="1:7" x14ac:dyDescent="0.3">
      <c r="A343" s="529" t="s">
        <v>220</v>
      </c>
      <c r="B343" s="529" t="s">
        <v>48</v>
      </c>
      <c r="C343" s="530" t="s">
        <v>49</v>
      </c>
      <c r="D343" s="529" t="s">
        <v>24</v>
      </c>
      <c r="E343" s="252"/>
      <c r="F343" s="531">
        <v>16.2</v>
      </c>
      <c r="G343" s="252">
        <f t="shared" si="0"/>
        <v>0</v>
      </c>
    </row>
    <row r="344" spans="1:7" x14ac:dyDescent="0.3">
      <c r="A344" s="524" t="s">
        <v>522</v>
      </c>
      <c r="B344" s="524" t="s">
        <v>1362</v>
      </c>
      <c r="C344" s="525" t="s">
        <v>1363</v>
      </c>
      <c r="D344" s="524" t="s">
        <v>32</v>
      </c>
      <c r="E344" s="605">
        <v>0.5</v>
      </c>
      <c r="F344" s="528" t="s">
        <v>1365</v>
      </c>
      <c r="G344" s="252">
        <f t="shared" si="0"/>
        <v>8.8800000000000008</v>
      </c>
    </row>
    <row r="345" spans="1:7" x14ac:dyDescent="0.3">
      <c r="A345" s="524" t="s">
        <v>522</v>
      </c>
      <c r="B345" s="524" t="s">
        <v>1359</v>
      </c>
      <c r="C345" s="525" t="s">
        <v>801</v>
      </c>
      <c r="D345" s="524" t="s">
        <v>32</v>
      </c>
      <c r="E345" s="605">
        <v>0.51</v>
      </c>
      <c r="F345" s="528" t="s">
        <v>1361</v>
      </c>
      <c r="G345" s="252">
        <f t="shared" si="0"/>
        <v>7.32</v>
      </c>
    </row>
    <row r="346" spans="1:7" x14ac:dyDescent="0.3">
      <c r="A346" s="680" t="s">
        <v>1152</v>
      </c>
      <c r="B346" s="681"/>
      <c r="C346" s="681"/>
      <c r="D346" s="681"/>
      <c r="E346" s="681"/>
      <c r="F346" s="682"/>
      <c r="G346" s="527">
        <f>SUM(G343:G345)</f>
        <v>16.200000000000003</v>
      </c>
    </row>
    <row r="347" spans="1:7" x14ac:dyDescent="0.3">
      <c r="A347" s="683">
        <f>TRUNC(E347*F347,2)</f>
        <v>0</v>
      </c>
      <c r="B347" s="684"/>
      <c r="C347" s="684"/>
      <c r="D347" s="684"/>
      <c r="E347" s="684"/>
      <c r="F347" s="684"/>
      <c r="G347" s="685"/>
    </row>
    <row r="348" spans="1:7" x14ac:dyDescent="0.3">
      <c r="A348" s="529" t="s">
        <v>797</v>
      </c>
      <c r="B348" s="529">
        <v>72178</v>
      </c>
      <c r="C348" s="530" t="s">
        <v>50</v>
      </c>
      <c r="D348" s="529" t="s">
        <v>24</v>
      </c>
      <c r="E348" s="252"/>
      <c r="F348" s="531">
        <v>22.6</v>
      </c>
      <c r="G348" s="252">
        <f t="shared" si="0"/>
        <v>0</v>
      </c>
    </row>
    <row r="349" spans="1:7" x14ac:dyDescent="0.3">
      <c r="A349" s="524" t="s">
        <v>522</v>
      </c>
      <c r="B349" s="524" t="s">
        <v>1376</v>
      </c>
      <c r="C349" s="525" t="s">
        <v>1377</v>
      </c>
      <c r="D349" s="524" t="s">
        <v>32</v>
      </c>
      <c r="E349" s="524" t="s">
        <v>1378</v>
      </c>
      <c r="F349" s="526" t="s">
        <v>1379</v>
      </c>
      <c r="G349" s="252">
        <f t="shared" si="0"/>
        <v>22.6</v>
      </c>
    </row>
    <row r="350" spans="1:7" x14ac:dyDescent="0.3">
      <c r="A350" s="680" t="s">
        <v>1152</v>
      </c>
      <c r="B350" s="681"/>
      <c r="C350" s="681"/>
      <c r="D350" s="681"/>
      <c r="E350" s="681"/>
      <c r="F350" s="682"/>
      <c r="G350" s="527">
        <f>SUM(G347:G349)</f>
        <v>22.6</v>
      </c>
    </row>
    <row r="351" spans="1:7" x14ac:dyDescent="0.3">
      <c r="A351" s="683">
        <f>TRUNC(E351*F351,2)</f>
        <v>0</v>
      </c>
      <c r="B351" s="684"/>
      <c r="C351" s="684"/>
      <c r="D351" s="684"/>
      <c r="E351" s="684"/>
      <c r="F351" s="684"/>
      <c r="G351" s="685"/>
    </row>
    <row r="352" spans="1:7" x14ac:dyDescent="0.3">
      <c r="A352" s="529" t="s">
        <v>60</v>
      </c>
      <c r="B352" s="529"/>
      <c r="C352" s="530" t="s">
        <v>51</v>
      </c>
      <c r="D352" s="529"/>
      <c r="E352" s="252"/>
      <c r="F352" s="531"/>
      <c r="G352" s="252">
        <f t="shared" si="0"/>
        <v>0</v>
      </c>
    </row>
    <row r="353" spans="1:11" x14ac:dyDescent="0.3">
      <c r="A353" s="529" t="s">
        <v>64</v>
      </c>
      <c r="B353" s="529"/>
      <c r="C353" s="530" t="s">
        <v>52</v>
      </c>
      <c r="D353" s="529"/>
      <c r="E353" s="252"/>
      <c r="F353" s="531"/>
      <c r="G353" s="252">
        <f t="shared" si="0"/>
        <v>0</v>
      </c>
    </row>
    <row r="354" spans="1:11" ht="57.6" x14ac:dyDescent="0.3">
      <c r="A354" s="529" t="s">
        <v>69</v>
      </c>
      <c r="B354" s="529">
        <v>90843</v>
      </c>
      <c r="C354" s="530" t="s">
        <v>53</v>
      </c>
      <c r="D354" s="529" t="s">
        <v>44</v>
      </c>
      <c r="E354" s="252"/>
      <c r="F354" s="531">
        <v>640</v>
      </c>
      <c r="G354" s="252">
        <f t="shared" si="0"/>
        <v>0</v>
      </c>
    </row>
    <row r="355" spans="1:11" ht="28.8" x14ac:dyDescent="0.3">
      <c r="A355" s="524" t="s">
        <v>522</v>
      </c>
      <c r="B355" s="524" t="s">
        <v>1380</v>
      </c>
      <c r="C355" s="525" t="s">
        <v>1381</v>
      </c>
      <c r="D355" s="524" t="s">
        <v>397</v>
      </c>
      <c r="E355" s="524" t="s">
        <v>1122</v>
      </c>
      <c r="F355" s="526">
        <v>200</v>
      </c>
      <c r="G355" s="252">
        <f t="shared" si="0"/>
        <v>200</v>
      </c>
      <c r="J355" t="s">
        <v>1382</v>
      </c>
      <c r="K355">
        <v>242.43</v>
      </c>
    </row>
    <row r="356" spans="1:11" ht="43.2" x14ac:dyDescent="0.3">
      <c r="A356" s="524" t="s">
        <v>522</v>
      </c>
      <c r="B356" s="524" t="s">
        <v>956</v>
      </c>
      <c r="C356" s="525" t="s">
        <v>957</v>
      </c>
      <c r="D356" s="524" t="s">
        <v>397</v>
      </c>
      <c r="E356" s="524" t="s">
        <v>1122</v>
      </c>
      <c r="F356" s="526">
        <v>300</v>
      </c>
      <c r="G356" s="252">
        <f t="shared" si="0"/>
        <v>300</v>
      </c>
      <c r="J356" t="s">
        <v>958</v>
      </c>
      <c r="K356">
        <v>350.15</v>
      </c>
    </row>
    <row r="357" spans="1:11" ht="43.2" x14ac:dyDescent="0.3">
      <c r="A357" s="524" t="s">
        <v>522</v>
      </c>
      <c r="B357" s="524" t="s">
        <v>1383</v>
      </c>
      <c r="C357" s="525" t="s">
        <v>1384</v>
      </c>
      <c r="D357" s="524" t="s">
        <v>397</v>
      </c>
      <c r="E357" s="524" t="s">
        <v>1122</v>
      </c>
      <c r="F357" s="526">
        <v>90</v>
      </c>
      <c r="G357" s="252">
        <f t="shared" si="0"/>
        <v>90</v>
      </c>
      <c r="J357" t="s">
        <v>1385</v>
      </c>
      <c r="K357">
        <v>93.41</v>
      </c>
    </row>
    <row r="358" spans="1:11" ht="28.8" x14ac:dyDescent="0.3">
      <c r="A358" s="524" t="s">
        <v>522</v>
      </c>
      <c r="B358" s="524" t="s">
        <v>1386</v>
      </c>
      <c r="C358" s="525" t="s">
        <v>1387</v>
      </c>
      <c r="D358" s="524" t="s">
        <v>55</v>
      </c>
      <c r="E358" s="524" t="s">
        <v>1388</v>
      </c>
      <c r="F358" s="526">
        <v>5</v>
      </c>
      <c r="G358" s="252">
        <f t="shared" si="0"/>
        <v>50</v>
      </c>
      <c r="J358" t="s">
        <v>1389</v>
      </c>
      <c r="K358">
        <v>56.7</v>
      </c>
    </row>
    <row r="359" spans="1:11" x14ac:dyDescent="0.3">
      <c r="A359" s="680" t="s">
        <v>1152</v>
      </c>
      <c r="B359" s="681"/>
      <c r="C359" s="681"/>
      <c r="D359" s="681"/>
      <c r="E359" s="681"/>
      <c r="F359" s="682"/>
      <c r="G359" s="527">
        <f>SUM(G352:G358)</f>
        <v>640</v>
      </c>
    </row>
    <row r="360" spans="1:11" x14ac:dyDescent="0.3">
      <c r="A360" s="683">
        <f>TRUNC(E360*F360,2)</f>
        <v>0</v>
      </c>
      <c r="B360" s="684"/>
      <c r="C360" s="684"/>
      <c r="D360" s="684"/>
      <c r="E360" s="684"/>
      <c r="F360" s="684"/>
      <c r="G360" s="685"/>
    </row>
    <row r="361" spans="1:11" ht="28.8" x14ac:dyDescent="0.3">
      <c r="A361" s="529" t="s">
        <v>72</v>
      </c>
      <c r="B361" s="529">
        <v>97622</v>
      </c>
      <c r="C361" s="530" t="s">
        <v>47</v>
      </c>
      <c r="D361" s="529" t="s">
        <v>41</v>
      </c>
      <c r="E361" s="252"/>
      <c r="F361" s="531">
        <v>37.39</v>
      </c>
      <c r="G361" s="252">
        <f t="shared" si="0"/>
        <v>0</v>
      </c>
    </row>
    <row r="362" spans="1:11" x14ac:dyDescent="0.3">
      <c r="A362" s="524" t="s">
        <v>522</v>
      </c>
      <c r="B362" s="524" t="s">
        <v>1362</v>
      </c>
      <c r="C362" s="525" t="s">
        <v>1363</v>
      </c>
      <c r="D362" s="524" t="s">
        <v>32</v>
      </c>
      <c r="E362" s="524" t="s">
        <v>1374</v>
      </c>
      <c r="F362" s="528" t="s">
        <v>1365</v>
      </c>
      <c r="G362" s="252">
        <f t="shared" ref="G362:G363" si="6">TRUNC(E362*F362,2)</f>
        <v>3.99</v>
      </c>
    </row>
    <row r="363" spans="1:11" x14ac:dyDescent="0.3">
      <c r="A363" s="524" t="s">
        <v>522</v>
      </c>
      <c r="B363" s="524" t="s">
        <v>1359</v>
      </c>
      <c r="C363" s="525" t="s">
        <v>801</v>
      </c>
      <c r="D363" s="524" t="s">
        <v>32</v>
      </c>
      <c r="E363" s="524" t="s">
        <v>1375</v>
      </c>
      <c r="F363" s="528" t="s">
        <v>1361</v>
      </c>
      <c r="G363" s="252">
        <f t="shared" si="6"/>
        <v>33.4</v>
      </c>
    </row>
    <row r="364" spans="1:11" x14ac:dyDescent="0.3">
      <c r="A364" s="680" t="s">
        <v>1152</v>
      </c>
      <c r="B364" s="681"/>
      <c r="C364" s="681"/>
      <c r="D364" s="681"/>
      <c r="E364" s="681"/>
      <c r="F364" s="682"/>
      <c r="G364" s="527">
        <f>SUM(G361:G363)</f>
        <v>37.39</v>
      </c>
    </row>
    <row r="365" spans="1:11" x14ac:dyDescent="0.3">
      <c r="A365" s="683">
        <f>TRUNC(E365*F365,2)</f>
        <v>0</v>
      </c>
      <c r="B365" s="684"/>
      <c r="C365" s="684"/>
      <c r="D365" s="684"/>
      <c r="E365" s="684"/>
      <c r="F365" s="684"/>
      <c r="G365" s="685"/>
    </row>
    <row r="366" spans="1:11" x14ac:dyDescent="0.3">
      <c r="A366" s="529" t="s">
        <v>671</v>
      </c>
      <c r="B366" s="529">
        <v>93184</v>
      </c>
      <c r="C366" s="530" t="s">
        <v>54</v>
      </c>
      <c r="D366" s="529" t="s">
        <v>55</v>
      </c>
      <c r="E366" s="252"/>
      <c r="F366" s="531">
        <v>16.78</v>
      </c>
      <c r="G366" s="252">
        <f t="shared" si="0"/>
        <v>0</v>
      </c>
    </row>
    <row r="367" spans="1:11" ht="28.8" x14ac:dyDescent="0.3">
      <c r="A367" s="524" t="s">
        <v>508</v>
      </c>
      <c r="B367" s="524" t="s">
        <v>1390</v>
      </c>
      <c r="C367" s="525" t="s">
        <v>1391</v>
      </c>
      <c r="D367" s="524" t="s">
        <v>1392</v>
      </c>
      <c r="E367" s="524" t="s">
        <v>1393</v>
      </c>
      <c r="F367" s="526" t="s">
        <v>1394</v>
      </c>
      <c r="G367" s="252">
        <f t="shared" si="0"/>
        <v>0.02</v>
      </c>
    </row>
    <row r="368" spans="1:11" ht="28.8" x14ac:dyDescent="0.3">
      <c r="A368" s="524" t="s">
        <v>508</v>
      </c>
      <c r="B368" s="524" t="s">
        <v>1395</v>
      </c>
      <c r="C368" s="525" t="s">
        <v>1396</v>
      </c>
      <c r="D368" s="524" t="s">
        <v>397</v>
      </c>
      <c r="E368" s="524" t="s">
        <v>1397</v>
      </c>
      <c r="F368" s="526" t="s">
        <v>1398</v>
      </c>
      <c r="G368" s="252">
        <f t="shared" si="0"/>
        <v>0.78</v>
      </c>
    </row>
    <row r="369" spans="1:12" ht="43.2" x14ac:dyDescent="0.3">
      <c r="A369" s="524" t="s">
        <v>522</v>
      </c>
      <c r="B369" s="524" t="s">
        <v>1399</v>
      </c>
      <c r="C369" s="525" t="s">
        <v>1400</v>
      </c>
      <c r="D369" s="524" t="s">
        <v>41</v>
      </c>
      <c r="E369" s="524" t="s">
        <v>1401</v>
      </c>
      <c r="F369" s="526" t="s">
        <v>1402</v>
      </c>
      <c r="G369" s="252">
        <f t="shared" si="0"/>
        <v>0.63</v>
      </c>
    </row>
    <row r="370" spans="1:12" x14ac:dyDescent="0.3">
      <c r="A370" s="524" t="s">
        <v>522</v>
      </c>
      <c r="B370" s="524" t="s">
        <v>1362</v>
      </c>
      <c r="C370" s="525" t="s">
        <v>1363</v>
      </c>
      <c r="D370" s="524" t="s">
        <v>32</v>
      </c>
      <c r="E370" s="524" t="s">
        <v>1403</v>
      </c>
      <c r="F370" s="526" t="s">
        <v>1365</v>
      </c>
      <c r="G370" s="252">
        <f t="shared" si="0"/>
        <v>1.66</v>
      </c>
    </row>
    <row r="371" spans="1:12" x14ac:dyDescent="0.3">
      <c r="A371" s="524" t="s">
        <v>522</v>
      </c>
      <c r="B371" s="524" t="s">
        <v>1359</v>
      </c>
      <c r="C371" s="525" t="s">
        <v>801</v>
      </c>
      <c r="D371" s="524" t="s">
        <v>32</v>
      </c>
      <c r="E371" s="524" t="s">
        <v>1404</v>
      </c>
      <c r="F371" s="526" t="s">
        <v>1361</v>
      </c>
      <c r="G371" s="252">
        <f t="shared" si="0"/>
        <v>1.53</v>
      </c>
    </row>
    <row r="372" spans="1:12" ht="28.8" x14ac:dyDescent="0.3">
      <c r="A372" s="524" t="s">
        <v>522</v>
      </c>
      <c r="B372" s="524" t="s">
        <v>1405</v>
      </c>
      <c r="C372" s="525" t="s">
        <v>1406</v>
      </c>
      <c r="D372" s="524" t="s">
        <v>24</v>
      </c>
      <c r="E372" s="524" t="s">
        <v>1407</v>
      </c>
      <c r="F372" s="526" t="s">
        <v>1408</v>
      </c>
      <c r="G372" s="252">
        <f t="shared" si="0"/>
        <v>6.24</v>
      </c>
    </row>
    <row r="373" spans="1:12" ht="28.8" x14ac:dyDescent="0.3">
      <c r="A373" s="524" t="s">
        <v>522</v>
      </c>
      <c r="B373" s="524" t="s">
        <v>1409</v>
      </c>
      <c r="C373" s="525" t="s">
        <v>1410</v>
      </c>
      <c r="D373" s="524" t="s">
        <v>426</v>
      </c>
      <c r="E373" s="524" t="s">
        <v>1411</v>
      </c>
      <c r="F373" s="526" t="s">
        <v>1412</v>
      </c>
      <c r="G373" s="252">
        <f t="shared" si="0"/>
        <v>2.29</v>
      </c>
    </row>
    <row r="374" spans="1:12" ht="28.8" x14ac:dyDescent="0.3">
      <c r="A374" s="524" t="s">
        <v>522</v>
      </c>
      <c r="B374" s="524" t="s">
        <v>1413</v>
      </c>
      <c r="C374" s="525" t="s">
        <v>1414</v>
      </c>
      <c r="D374" s="524" t="s">
        <v>41</v>
      </c>
      <c r="E374" s="524" t="s">
        <v>1415</v>
      </c>
      <c r="F374" s="526" t="s">
        <v>1416</v>
      </c>
      <c r="G374" s="252">
        <f t="shared" si="0"/>
        <v>3.63</v>
      </c>
    </row>
    <row r="375" spans="1:12" x14ac:dyDescent="0.3">
      <c r="A375" s="680" t="s">
        <v>1152</v>
      </c>
      <c r="B375" s="681"/>
      <c r="C375" s="681"/>
      <c r="D375" s="681"/>
      <c r="E375" s="681"/>
      <c r="F375" s="682"/>
      <c r="G375" s="527">
        <f>SUM(G366:G374)</f>
        <v>16.779999999999998</v>
      </c>
    </row>
    <row r="376" spans="1:12" x14ac:dyDescent="0.3">
      <c r="A376" s="683">
        <f>TRUNC(E376*F376,2)</f>
        <v>0</v>
      </c>
      <c r="B376" s="684"/>
      <c r="C376" s="684"/>
      <c r="D376" s="684"/>
      <c r="E376" s="684"/>
      <c r="F376" s="684"/>
      <c r="G376" s="685"/>
    </row>
    <row r="377" spans="1:12" ht="28.8" x14ac:dyDescent="0.3">
      <c r="A377" s="529" t="s">
        <v>672</v>
      </c>
      <c r="B377" s="529">
        <v>91338</v>
      </c>
      <c r="C377" s="530" t="s">
        <v>57</v>
      </c>
      <c r="D377" s="529" t="s">
        <v>24</v>
      </c>
      <c r="E377" s="252"/>
      <c r="F377" s="531">
        <v>871.17</v>
      </c>
      <c r="G377" s="252">
        <f t="shared" si="0"/>
        <v>0</v>
      </c>
    </row>
    <row r="378" spans="1:12" ht="28.8" x14ac:dyDescent="0.3">
      <c r="A378" s="524" t="s">
        <v>508</v>
      </c>
      <c r="B378" s="524" t="s">
        <v>1417</v>
      </c>
      <c r="C378" s="525" t="s">
        <v>1418</v>
      </c>
      <c r="D378" s="524" t="s">
        <v>1419</v>
      </c>
      <c r="E378" s="606">
        <v>0.8</v>
      </c>
      <c r="F378" s="526">
        <v>20</v>
      </c>
      <c r="G378" s="252">
        <f t="shared" si="0"/>
        <v>16</v>
      </c>
      <c r="J378" s="215" t="s">
        <v>1420</v>
      </c>
      <c r="K378" s="215" t="s">
        <v>1421</v>
      </c>
      <c r="L378" s="215">
        <v>21.33</v>
      </c>
    </row>
    <row r="379" spans="1:12" ht="28.8" x14ac:dyDescent="0.3">
      <c r="A379" s="524" t="s">
        <v>508</v>
      </c>
      <c r="B379" s="524" t="s">
        <v>1422</v>
      </c>
      <c r="C379" s="525" t="s">
        <v>1423</v>
      </c>
      <c r="D379" s="524" t="s">
        <v>24</v>
      </c>
      <c r="E379" s="606">
        <v>1</v>
      </c>
      <c r="F379" s="526">
        <v>800</v>
      </c>
      <c r="G379" s="252">
        <f t="shared" si="0"/>
        <v>800</v>
      </c>
      <c r="J379" s="215" t="s">
        <v>1122</v>
      </c>
      <c r="K379" s="215" t="s">
        <v>1424</v>
      </c>
      <c r="L379" s="215">
        <v>890.3</v>
      </c>
    </row>
    <row r="380" spans="1:12" ht="28.8" x14ac:dyDescent="0.3">
      <c r="A380" s="524" t="s">
        <v>508</v>
      </c>
      <c r="B380" s="524" t="s">
        <v>1425</v>
      </c>
      <c r="C380" s="525" t="s">
        <v>1426</v>
      </c>
      <c r="D380" s="524" t="s">
        <v>397</v>
      </c>
      <c r="E380" s="606">
        <v>4</v>
      </c>
      <c r="F380" s="526" t="s">
        <v>1428</v>
      </c>
      <c r="G380" s="252">
        <f t="shared" si="0"/>
        <v>2.2000000000000002</v>
      </c>
      <c r="J380" s="215" t="s">
        <v>1427</v>
      </c>
      <c r="K380" s="215" t="s">
        <v>1428</v>
      </c>
      <c r="L380" s="215">
        <v>2.64</v>
      </c>
    </row>
    <row r="381" spans="1:12" ht="28.8" x14ac:dyDescent="0.3">
      <c r="A381" s="524" t="s">
        <v>508</v>
      </c>
      <c r="B381" s="524" t="s">
        <v>1429</v>
      </c>
      <c r="C381" s="525" t="s">
        <v>1430</v>
      </c>
      <c r="D381" s="524" t="s">
        <v>55</v>
      </c>
      <c r="E381" s="606">
        <v>6.5</v>
      </c>
      <c r="F381" s="526">
        <v>7</v>
      </c>
      <c r="G381" s="252">
        <f t="shared" si="0"/>
        <v>45.5</v>
      </c>
      <c r="J381" s="215" t="s">
        <v>1431</v>
      </c>
      <c r="K381" s="215" t="s">
        <v>1432</v>
      </c>
      <c r="L381" s="215">
        <v>51.99</v>
      </c>
    </row>
    <row r="382" spans="1:12" x14ac:dyDescent="0.3">
      <c r="A382" s="524" t="s">
        <v>522</v>
      </c>
      <c r="B382" s="524" t="s">
        <v>1362</v>
      </c>
      <c r="C382" s="525" t="s">
        <v>1363</v>
      </c>
      <c r="D382" s="524" t="s">
        <v>32</v>
      </c>
      <c r="E382" s="606">
        <v>0.3</v>
      </c>
      <c r="F382" s="526" t="s">
        <v>1365</v>
      </c>
      <c r="G382" s="252">
        <f t="shared" si="0"/>
        <v>5.32</v>
      </c>
      <c r="J382" s="215" t="s">
        <v>1433</v>
      </c>
      <c r="K382" s="215" t="s">
        <v>1365</v>
      </c>
      <c r="L382" s="215">
        <v>6.32</v>
      </c>
    </row>
    <row r="383" spans="1:12" x14ac:dyDescent="0.3">
      <c r="A383" s="524" t="s">
        <v>522</v>
      </c>
      <c r="B383" s="524" t="s">
        <v>1359</v>
      </c>
      <c r="C383" s="525" t="s">
        <v>801</v>
      </c>
      <c r="D383" s="524" t="s">
        <v>32</v>
      </c>
      <c r="E383" s="606">
        <v>0.15</v>
      </c>
      <c r="F383" s="526" t="s">
        <v>1361</v>
      </c>
      <c r="G383" s="252">
        <f t="shared" si="0"/>
        <v>2.15</v>
      </c>
      <c r="J383" s="215" t="s">
        <v>1434</v>
      </c>
      <c r="K383" s="215" t="s">
        <v>1361</v>
      </c>
      <c r="L383" s="215">
        <v>2.5499999999999998</v>
      </c>
    </row>
    <row r="384" spans="1:12" x14ac:dyDescent="0.3">
      <c r="A384" s="680" t="s">
        <v>1152</v>
      </c>
      <c r="B384" s="681"/>
      <c r="C384" s="681"/>
      <c r="D384" s="681"/>
      <c r="E384" s="681"/>
      <c r="F384" s="682"/>
      <c r="G384" s="527">
        <f>SUM(G377:G383)</f>
        <v>871.17000000000007</v>
      </c>
    </row>
    <row r="385" spans="1:12" x14ac:dyDescent="0.3">
      <c r="A385" s="683">
        <f>TRUNC(E385*F385,2)</f>
        <v>0</v>
      </c>
      <c r="B385" s="684"/>
      <c r="C385" s="684"/>
      <c r="D385" s="684"/>
      <c r="E385" s="684"/>
      <c r="F385" s="684"/>
      <c r="G385" s="685"/>
    </row>
    <row r="386" spans="1:12" x14ac:dyDescent="0.3">
      <c r="A386" s="529" t="s">
        <v>74</v>
      </c>
      <c r="B386" s="529"/>
      <c r="C386" s="530" t="s">
        <v>61</v>
      </c>
      <c r="D386" s="529"/>
      <c r="E386" s="252"/>
      <c r="F386" s="531"/>
      <c r="G386" s="252">
        <f t="shared" si="0"/>
        <v>0</v>
      </c>
    </row>
    <row r="387" spans="1:12" x14ac:dyDescent="0.3">
      <c r="A387" s="529" t="s">
        <v>77</v>
      </c>
      <c r="B387" s="529">
        <v>72897</v>
      </c>
      <c r="C387" s="530" t="s">
        <v>62</v>
      </c>
      <c r="D387" s="529" t="s">
        <v>41</v>
      </c>
      <c r="E387" s="252"/>
      <c r="F387" s="531">
        <v>17.23</v>
      </c>
      <c r="G387" s="252">
        <f t="shared" si="0"/>
        <v>0</v>
      </c>
    </row>
    <row r="388" spans="1:12" ht="43.2" x14ac:dyDescent="0.3">
      <c r="A388" s="524" t="s">
        <v>522</v>
      </c>
      <c r="B388" s="524" t="s">
        <v>1435</v>
      </c>
      <c r="C388" s="525" t="s">
        <v>1436</v>
      </c>
      <c r="D388" s="524" t="s">
        <v>1437</v>
      </c>
      <c r="E388" s="524" t="s">
        <v>1438</v>
      </c>
      <c r="F388" s="526" t="s">
        <v>1440</v>
      </c>
      <c r="G388" s="252">
        <f t="shared" si="0"/>
        <v>7.18</v>
      </c>
    </row>
    <row r="389" spans="1:12" x14ac:dyDescent="0.3">
      <c r="A389" s="524" t="s">
        <v>522</v>
      </c>
      <c r="B389" s="524" t="s">
        <v>1359</v>
      </c>
      <c r="C389" s="525" t="s">
        <v>801</v>
      </c>
      <c r="D389" s="524" t="s">
        <v>32</v>
      </c>
      <c r="E389" s="524" t="s">
        <v>1439</v>
      </c>
      <c r="F389" s="526" t="s">
        <v>1361</v>
      </c>
      <c r="G389" s="252">
        <f t="shared" si="0"/>
        <v>10.050000000000001</v>
      </c>
    </row>
    <row r="390" spans="1:12" x14ac:dyDescent="0.3">
      <c r="A390" s="680" t="s">
        <v>1152</v>
      </c>
      <c r="B390" s="681"/>
      <c r="C390" s="681"/>
      <c r="D390" s="681"/>
      <c r="E390" s="681"/>
      <c r="F390" s="682"/>
      <c r="G390" s="527">
        <f>SUM(G386:G389)</f>
        <v>17.23</v>
      </c>
    </row>
    <row r="391" spans="1:12" x14ac:dyDescent="0.3">
      <c r="A391" s="683">
        <f>TRUNC(E391*F391,2)</f>
        <v>0</v>
      </c>
      <c r="B391" s="684"/>
      <c r="C391" s="684"/>
      <c r="D391" s="684"/>
      <c r="E391" s="684"/>
      <c r="F391" s="684"/>
      <c r="G391" s="685"/>
    </row>
    <row r="392" spans="1:12" ht="28.8" x14ac:dyDescent="0.3">
      <c r="A392" s="529" t="s">
        <v>83</v>
      </c>
      <c r="B392" s="529">
        <v>97622</v>
      </c>
      <c r="C392" s="530" t="s">
        <v>63</v>
      </c>
      <c r="D392" s="529" t="s">
        <v>41</v>
      </c>
      <c r="E392" s="252"/>
      <c r="F392" s="531">
        <v>37.39</v>
      </c>
      <c r="G392" s="252">
        <f t="shared" si="0"/>
        <v>0</v>
      </c>
    </row>
    <row r="393" spans="1:12" x14ac:dyDescent="0.3">
      <c r="A393" s="524" t="s">
        <v>522</v>
      </c>
      <c r="B393" s="524" t="s">
        <v>1362</v>
      </c>
      <c r="C393" s="525" t="s">
        <v>1363</v>
      </c>
      <c r="D393" s="524" t="s">
        <v>32</v>
      </c>
      <c r="E393" s="524" t="s">
        <v>1374</v>
      </c>
      <c r="F393" s="528" t="s">
        <v>1365</v>
      </c>
      <c r="G393" s="252">
        <f t="shared" ref="G393:G394" si="7">TRUNC(E393*F393,2)</f>
        <v>3.99</v>
      </c>
    </row>
    <row r="394" spans="1:12" x14ac:dyDescent="0.3">
      <c r="A394" s="524" t="s">
        <v>522</v>
      </c>
      <c r="B394" s="524" t="s">
        <v>1359</v>
      </c>
      <c r="C394" s="525" t="s">
        <v>801</v>
      </c>
      <c r="D394" s="524" t="s">
        <v>32</v>
      </c>
      <c r="E394" s="524" t="s">
        <v>1375</v>
      </c>
      <c r="F394" s="528" t="s">
        <v>1361</v>
      </c>
      <c r="G394" s="252">
        <f t="shared" si="7"/>
        <v>33.4</v>
      </c>
    </row>
    <row r="395" spans="1:12" x14ac:dyDescent="0.3">
      <c r="A395" s="680" t="s">
        <v>1152</v>
      </c>
      <c r="B395" s="681"/>
      <c r="C395" s="681"/>
      <c r="D395" s="681"/>
      <c r="E395" s="681"/>
      <c r="F395" s="682"/>
      <c r="G395" s="527">
        <f>SUM(G392:G394)</f>
        <v>37.39</v>
      </c>
    </row>
    <row r="396" spans="1:12" x14ac:dyDescent="0.3">
      <c r="A396" s="683">
        <f>TRUNC(E396*F396,2)</f>
        <v>0</v>
      </c>
      <c r="B396" s="684"/>
      <c r="C396" s="684"/>
      <c r="D396" s="684"/>
      <c r="E396" s="684"/>
      <c r="F396" s="684"/>
      <c r="G396" s="685"/>
    </row>
    <row r="397" spans="1:12" ht="43.2" x14ac:dyDescent="0.3">
      <c r="A397" s="529" t="s">
        <v>322</v>
      </c>
      <c r="B397" s="529">
        <v>87266</v>
      </c>
      <c r="C397" s="530" t="s">
        <v>65</v>
      </c>
      <c r="D397" s="529" t="s">
        <v>24</v>
      </c>
      <c r="E397" s="252"/>
      <c r="F397" s="531">
        <v>32.79</v>
      </c>
      <c r="G397" s="252">
        <f t="shared" si="0"/>
        <v>0</v>
      </c>
    </row>
    <row r="398" spans="1:12" ht="28.8" x14ac:dyDescent="0.3">
      <c r="A398" s="524" t="s">
        <v>508</v>
      </c>
      <c r="B398" s="524" t="s">
        <v>1441</v>
      </c>
      <c r="C398" s="525" t="s">
        <v>1442</v>
      </c>
      <c r="D398" s="524" t="s">
        <v>24</v>
      </c>
      <c r="E398" s="606">
        <v>1</v>
      </c>
      <c r="F398" s="526">
        <v>14</v>
      </c>
      <c r="G398" s="252">
        <f t="shared" si="0"/>
        <v>14</v>
      </c>
      <c r="J398" s="215">
        <v>1</v>
      </c>
      <c r="K398" s="215">
        <v>16.510000000000002</v>
      </c>
      <c r="L398" s="215">
        <v>16.510000000000002</v>
      </c>
    </row>
    <row r="399" spans="1:12" x14ac:dyDescent="0.3">
      <c r="A399" s="524" t="s">
        <v>508</v>
      </c>
      <c r="B399" s="524" t="s">
        <v>1444</v>
      </c>
      <c r="C399" s="525" t="s">
        <v>1445</v>
      </c>
      <c r="D399" s="524" t="s">
        <v>426</v>
      </c>
      <c r="E399" s="606">
        <v>4</v>
      </c>
      <c r="F399" s="526" t="s">
        <v>1447</v>
      </c>
      <c r="G399" s="252">
        <f t="shared" si="0"/>
        <v>2.6</v>
      </c>
      <c r="J399" s="215">
        <v>4</v>
      </c>
      <c r="K399" s="215" t="s">
        <v>1447</v>
      </c>
      <c r="L399" s="215">
        <v>2.6</v>
      </c>
    </row>
    <row r="400" spans="1:12" x14ac:dyDescent="0.3">
      <c r="A400" s="524" t="s">
        <v>508</v>
      </c>
      <c r="B400" s="524" t="s">
        <v>1448</v>
      </c>
      <c r="C400" s="525" t="s">
        <v>1449</v>
      </c>
      <c r="D400" s="524" t="s">
        <v>426</v>
      </c>
      <c r="E400" s="524" t="s">
        <v>1450</v>
      </c>
      <c r="F400" s="526" t="s">
        <v>1451</v>
      </c>
      <c r="G400" s="252">
        <f t="shared" si="0"/>
        <v>1.6</v>
      </c>
      <c r="J400" s="215" t="s">
        <v>1450</v>
      </c>
      <c r="K400" s="215" t="s">
        <v>1451</v>
      </c>
      <c r="L400" s="215">
        <v>1.6</v>
      </c>
    </row>
    <row r="401" spans="1:12" x14ac:dyDescent="0.3">
      <c r="A401" s="524" t="s">
        <v>522</v>
      </c>
      <c r="B401" s="524" t="s">
        <v>1355</v>
      </c>
      <c r="C401" s="525" t="s">
        <v>1356</v>
      </c>
      <c r="D401" s="524" t="s">
        <v>32</v>
      </c>
      <c r="E401" s="606">
        <v>0.5</v>
      </c>
      <c r="F401" s="526" t="s">
        <v>1358</v>
      </c>
      <c r="G401" s="252">
        <f t="shared" si="0"/>
        <v>8.85</v>
      </c>
      <c r="J401" s="215" t="s">
        <v>1452</v>
      </c>
      <c r="K401" s="215" t="s">
        <v>1358</v>
      </c>
      <c r="L401" s="215">
        <v>14.16</v>
      </c>
    </row>
    <row r="402" spans="1:12" x14ac:dyDescent="0.3">
      <c r="A402" s="524" t="s">
        <v>522</v>
      </c>
      <c r="B402" s="524" t="s">
        <v>1359</v>
      </c>
      <c r="C402" s="525" t="s">
        <v>801</v>
      </c>
      <c r="D402" s="524" t="s">
        <v>32</v>
      </c>
      <c r="E402" s="606">
        <v>0.4</v>
      </c>
      <c r="F402" s="526" t="s">
        <v>1361</v>
      </c>
      <c r="G402" s="252">
        <f t="shared" si="0"/>
        <v>5.74</v>
      </c>
      <c r="J402" s="215" t="s">
        <v>1450</v>
      </c>
      <c r="K402" s="215" t="s">
        <v>1361</v>
      </c>
      <c r="L402" s="215">
        <v>6.03</v>
      </c>
    </row>
    <row r="403" spans="1:12" x14ac:dyDescent="0.3">
      <c r="A403" s="680" t="s">
        <v>1152</v>
      </c>
      <c r="B403" s="681"/>
      <c r="C403" s="681"/>
      <c r="D403" s="681"/>
      <c r="E403" s="681"/>
      <c r="F403" s="682"/>
      <c r="G403" s="527">
        <f>SUM(G397:G402)</f>
        <v>32.790000000000006</v>
      </c>
    </row>
    <row r="404" spans="1:12" x14ac:dyDescent="0.3">
      <c r="A404" s="683">
        <f>TRUNC(E404*F404,2)</f>
        <v>0</v>
      </c>
      <c r="B404" s="684"/>
      <c r="C404" s="684"/>
      <c r="D404" s="684"/>
      <c r="E404" s="684"/>
      <c r="F404" s="684"/>
      <c r="G404" s="685"/>
    </row>
    <row r="405" spans="1:12" ht="43.2" x14ac:dyDescent="0.3">
      <c r="A405" s="529" t="s">
        <v>323</v>
      </c>
      <c r="B405" s="529">
        <v>87477</v>
      </c>
      <c r="C405" s="530" t="s">
        <v>70</v>
      </c>
      <c r="D405" s="529" t="s">
        <v>24</v>
      </c>
      <c r="E405" s="252"/>
      <c r="F405" s="531">
        <v>40.9</v>
      </c>
      <c r="G405" s="252">
        <f t="shared" si="0"/>
        <v>0</v>
      </c>
    </row>
    <row r="406" spans="1:12" ht="28.8" x14ac:dyDescent="0.3">
      <c r="A406" s="524" t="s">
        <v>508</v>
      </c>
      <c r="B406" s="524" t="s">
        <v>1453</v>
      </c>
      <c r="C406" s="525" t="s">
        <v>1454</v>
      </c>
      <c r="D406" s="524" t="s">
        <v>55</v>
      </c>
      <c r="E406" s="524" t="s">
        <v>1450</v>
      </c>
      <c r="F406" s="526" t="s">
        <v>1455</v>
      </c>
      <c r="G406" s="252">
        <f t="shared" si="0"/>
        <v>0.86</v>
      </c>
    </row>
    <row r="407" spans="1:12" x14ac:dyDescent="0.3">
      <c r="A407" s="524" t="s">
        <v>508</v>
      </c>
      <c r="B407" s="524" t="s">
        <v>1456</v>
      </c>
      <c r="C407" s="525" t="s">
        <v>1457</v>
      </c>
      <c r="D407" s="524" t="s">
        <v>1458</v>
      </c>
      <c r="E407" s="524" t="s">
        <v>1393</v>
      </c>
      <c r="F407" s="526" t="s">
        <v>1459</v>
      </c>
      <c r="G407" s="252">
        <f t="shared" si="0"/>
        <v>0.17</v>
      </c>
    </row>
    <row r="408" spans="1:12" ht="28.8" x14ac:dyDescent="0.3">
      <c r="A408" s="524" t="s">
        <v>508</v>
      </c>
      <c r="B408" s="524" t="s">
        <v>1460</v>
      </c>
      <c r="C408" s="525" t="s">
        <v>1461</v>
      </c>
      <c r="D408" s="524" t="s">
        <v>397</v>
      </c>
      <c r="E408" s="524" t="s">
        <v>1462</v>
      </c>
      <c r="F408" s="526" t="s">
        <v>1463</v>
      </c>
      <c r="G408" s="252">
        <f t="shared" si="0"/>
        <v>24.29</v>
      </c>
    </row>
    <row r="409" spans="1:12" ht="43.2" x14ac:dyDescent="0.3">
      <c r="A409" s="524" t="s">
        <v>522</v>
      </c>
      <c r="B409" s="524" t="s">
        <v>1464</v>
      </c>
      <c r="C409" s="525" t="s">
        <v>1465</v>
      </c>
      <c r="D409" s="524" t="s">
        <v>41</v>
      </c>
      <c r="E409" s="524" t="s">
        <v>1466</v>
      </c>
      <c r="F409" s="526" t="s">
        <v>1467</v>
      </c>
      <c r="G409" s="252">
        <f t="shared" si="0"/>
        <v>3.62</v>
      </c>
    </row>
    <row r="410" spans="1:12" x14ac:dyDescent="0.3">
      <c r="A410" s="524" t="s">
        <v>522</v>
      </c>
      <c r="B410" s="524" t="s">
        <v>1362</v>
      </c>
      <c r="C410" s="525" t="s">
        <v>1363</v>
      </c>
      <c r="D410" s="524" t="s">
        <v>32</v>
      </c>
      <c r="E410" s="524" t="s">
        <v>1468</v>
      </c>
      <c r="F410" s="526" t="s">
        <v>1365</v>
      </c>
      <c r="G410" s="252">
        <f t="shared" si="0"/>
        <v>8.52</v>
      </c>
    </row>
    <row r="411" spans="1:12" x14ac:dyDescent="0.3">
      <c r="A411" s="524" t="s">
        <v>522</v>
      </c>
      <c r="B411" s="524" t="s">
        <v>1359</v>
      </c>
      <c r="C411" s="525" t="s">
        <v>801</v>
      </c>
      <c r="D411" s="524" t="s">
        <v>32</v>
      </c>
      <c r="E411" s="524" t="s">
        <v>1469</v>
      </c>
      <c r="F411" s="526" t="s">
        <v>1361</v>
      </c>
      <c r="G411" s="252">
        <f t="shared" si="0"/>
        <v>3.44</v>
      </c>
    </row>
    <row r="412" spans="1:12" x14ac:dyDescent="0.3">
      <c r="A412" s="680" t="s">
        <v>1152</v>
      </c>
      <c r="B412" s="681"/>
      <c r="C412" s="681"/>
      <c r="D412" s="681"/>
      <c r="E412" s="681"/>
      <c r="F412" s="682"/>
      <c r="G412" s="527">
        <f>SUM(G406:G411)</f>
        <v>40.9</v>
      </c>
    </row>
    <row r="413" spans="1:12" x14ac:dyDescent="0.3">
      <c r="A413" s="683">
        <f>TRUNC(E413*F413,2)</f>
        <v>0</v>
      </c>
      <c r="B413" s="684"/>
      <c r="C413" s="684"/>
      <c r="D413" s="684"/>
      <c r="E413" s="684"/>
      <c r="F413" s="684"/>
      <c r="G413" s="685"/>
    </row>
    <row r="414" spans="1:12" ht="43.2" x14ac:dyDescent="0.3">
      <c r="A414" s="529" t="s">
        <v>674</v>
      </c>
      <c r="B414" s="529">
        <v>90408</v>
      </c>
      <c r="C414" s="530" t="s">
        <v>73</v>
      </c>
      <c r="D414" s="529" t="s">
        <v>24</v>
      </c>
      <c r="E414" s="252"/>
      <c r="F414" s="531">
        <v>22.64</v>
      </c>
      <c r="G414" s="252">
        <f t="shared" si="0"/>
        <v>0</v>
      </c>
    </row>
    <row r="415" spans="1:12" ht="43.2" x14ac:dyDescent="0.3">
      <c r="A415" s="524" t="s">
        <v>522</v>
      </c>
      <c r="B415" s="524" t="s">
        <v>1464</v>
      </c>
      <c r="C415" s="525" t="s">
        <v>1465</v>
      </c>
      <c r="D415" s="524" t="s">
        <v>41</v>
      </c>
      <c r="E415" s="524" t="s">
        <v>1470</v>
      </c>
      <c r="F415" s="526" t="s">
        <v>1467</v>
      </c>
      <c r="G415" s="252">
        <f t="shared" si="0"/>
        <v>7.43</v>
      </c>
    </row>
    <row r="416" spans="1:12" x14ac:dyDescent="0.3">
      <c r="A416" s="524" t="s">
        <v>522</v>
      </c>
      <c r="B416" s="524" t="s">
        <v>1362</v>
      </c>
      <c r="C416" s="525" t="s">
        <v>1363</v>
      </c>
      <c r="D416" s="524" t="s">
        <v>32</v>
      </c>
      <c r="E416" s="524" t="s">
        <v>1471</v>
      </c>
      <c r="F416" s="526" t="s">
        <v>1365</v>
      </c>
      <c r="G416" s="252">
        <f t="shared" si="0"/>
        <v>11.72</v>
      </c>
    </row>
    <row r="417" spans="1:7" x14ac:dyDescent="0.3">
      <c r="A417" s="524" t="s">
        <v>522</v>
      </c>
      <c r="B417" s="524" t="s">
        <v>1359</v>
      </c>
      <c r="C417" s="525" t="s">
        <v>801</v>
      </c>
      <c r="D417" s="524" t="s">
        <v>32</v>
      </c>
      <c r="E417" s="524" t="s">
        <v>1472</v>
      </c>
      <c r="F417" s="526" t="s">
        <v>1361</v>
      </c>
      <c r="G417" s="252">
        <f t="shared" si="0"/>
        <v>3.49</v>
      </c>
    </row>
    <row r="418" spans="1:7" x14ac:dyDescent="0.3">
      <c r="A418" s="680" t="s">
        <v>1152</v>
      </c>
      <c r="B418" s="681"/>
      <c r="C418" s="681"/>
      <c r="D418" s="681"/>
      <c r="E418" s="681"/>
      <c r="F418" s="682"/>
      <c r="G418" s="527">
        <f>SUM(G414:G417)</f>
        <v>22.64</v>
      </c>
    </row>
    <row r="419" spans="1:7" x14ac:dyDescent="0.3">
      <c r="A419" s="683">
        <f>TRUNC(E419*F419,2)</f>
        <v>0</v>
      </c>
      <c r="B419" s="684"/>
      <c r="C419" s="684"/>
      <c r="D419" s="684"/>
      <c r="E419" s="684"/>
      <c r="F419" s="684"/>
      <c r="G419" s="685"/>
    </row>
    <row r="420" spans="1:7" x14ac:dyDescent="0.3">
      <c r="A420" s="529" t="s">
        <v>85</v>
      </c>
      <c r="B420" s="529"/>
      <c r="C420" s="530" t="s">
        <v>75</v>
      </c>
      <c r="D420" s="529"/>
      <c r="E420" s="252"/>
      <c r="F420" s="531"/>
      <c r="G420" s="252">
        <f t="shared" si="0"/>
        <v>0</v>
      </c>
    </row>
    <row r="421" spans="1:7" ht="28.8" x14ac:dyDescent="0.3">
      <c r="A421" s="529" t="s">
        <v>87</v>
      </c>
      <c r="B421" s="529">
        <v>97628</v>
      </c>
      <c r="C421" s="530" t="s">
        <v>76</v>
      </c>
      <c r="D421" s="529" t="s">
        <v>41</v>
      </c>
      <c r="E421" s="252"/>
      <c r="F421" s="531">
        <v>184.82</v>
      </c>
      <c r="G421" s="252">
        <f t="shared" si="0"/>
        <v>0</v>
      </c>
    </row>
    <row r="422" spans="1:7" x14ac:dyDescent="0.3">
      <c r="A422" s="524" t="s">
        <v>522</v>
      </c>
      <c r="B422" s="524" t="s">
        <v>1362</v>
      </c>
      <c r="C422" s="525" t="s">
        <v>1363</v>
      </c>
      <c r="D422" s="524" t="s">
        <v>32</v>
      </c>
      <c r="E422" s="524" t="s">
        <v>1473</v>
      </c>
      <c r="F422" s="526" t="s">
        <v>1365</v>
      </c>
      <c r="G422" s="252">
        <f t="shared" si="0"/>
        <v>19.739999999999998</v>
      </c>
    </row>
    <row r="423" spans="1:7" x14ac:dyDescent="0.3">
      <c r="A423" s="524" t="s">
        <v>522</v>
      </c>
      <c r="B423" s="524" t="s">
        <v>1359</v>
      </c>
      <c r="C423" s="525" t="s">
        <v>801</v>
      </c>
      <c r="D423" s="524" t="s">
        <v>32</v>
      </c>
      <c r="E423" s="524" t="s">
        <v>1474</v>
      </c>
      <c r="F423" s="526" t="s">
        <v>1361</v>
      </c>
      <c r="G423" s="252">
        <f t="shared" si="0"/>
        <v>165.08</v>
      </c>
    </row>
    <row r="424" spans="1:7" x14ac:dyDescent="0.3">
      <c r="A424" s="680" t="s">
        <v>1152</v>
      </c>
      <c r="B424" s="681"/>
      <c r="C424" s="681"/>
      <c r="D424" s="681"/>
      <c r="E424" s="681"/>
      <c r="F424" s="682"/>
      <c r="G424" s="527">
        <f>SUM(G420:G423)</f>
        <v>184.82000000000002</v>
      </c>
    </row>
    <row r="425" spans="1:7" x14ac:dyDescent="0.3">
      <c r="A425" s="683">
        <f>TRUNC(E425*F425,2)</f>
        <v>0</v>
      </c>
      <c r="B425" s="684"/>
      <c r="C425" s="684"/>
      <c r="D425" s="684"/>
      <c r="E425" s="684"/>
      <c r="F425" s="684"/>
      <c r="G425" s="685"/>
    </row>
    <row r="426" spans="1:7" ht="43.2" x14ac:dyDescent="0.3">
      <c r="A426" s="529" t="s">
        <v>90</v>
      </c>
      <c r="B426" s="529">
        <v>94993</v>
      </c>
      <c r="C426" s="530" t="s">
        <v>78</v>
      </c>
      <c r="D426" s="529" t="s">
        <v>24</v>
      </c>
      <c r="E426" s="252"/>
      <c r="F426" s="531">
        <v>62.94</v>
      </c>
      <c r="G426" s="252">
        <f t="shared" si="0"/>
        <v>0</v>
      </c>
    </row>
    <row r="427" spans="1:7" x14ac:dyDescent="0.3">
      <c r="A427" s="524" t="s">
        <v>508</v>
      </c>
      <c r="B427" s="524" t="s">
        <v>1475</v>
      </c>
      <c r="C427" s="525" t="s">
        <v>1476</v>
      </c>
      <c r="D427" s="524" t="s">
        <v>24</v>
      </c>
      <c r="E427" s="524" t="s">
        <v>1477</v>
      </c>
      <c r="F427" s="526" t="s">
        <v>1478</v>
      </c>
      <c r="G427" s="252">
        <f t="shared" si="0"/>
        <v>1.03</v>
      </c>
    </row>
    <row r="428" spans="1:7" ht="28.8" x14ac:dyDescent="0.3">
      <c r="A428" s="524" t="s">
        <v>508</v>
      </c>
      <c r="B428" s="524" t="s">
        <v>1479</v>
      </c>
      <c r="C428" s="525" t="s">
        <v>1480</v>
      </c>
      <c r="D428" s="524" t="s">
        <v>55</v>
      </c>
      <c r="E428" s="524" t="s">
        <v>1481</v>
      </c>
      <c r="F428" s="526" t="s">
        <v>1482</v>
      </c>
      <c r="G428" s="252">
        <f t="shared" ref="G428:G433" si="8">TRUNC(E428*F428,2)</f>
        <v>0.9</v>
      </c>
    </row>
    <row r="429" spans="1:7" ht="28.8" x14ac:dyDescent="0.3">
      <c r="A429" s="524" t="s">
        <v>508</v>
      </c>
      <c r="B429" s="524" t="s">
        <v>1483</v>
      </c>
      <c r="C429" s="525" t="s">
        <v>1484</v>
      </c>
      <c r="D429" s="524" t="s">
        <v>24</v>
      </c>
      <c r="E429" s="524" t="s">
        <v>1485</v>
      </c>
      <c r="F429" s="526" t="s">
        <v>1486</v>
      </c>
      <c r="G429" s="252">
        <f t="shared" si="8"/>
        <v>26.02</v>
      </c>
    </row>
    <row r="430" spans="1:7" ht="28.8" x14ac:dyDescent="0.3">
      <c r="A430" s="524" t="s">
        <v>508</v>
      </c>
      <c r="B430" s="524" t="s">
        <v>1487</v>
      </c>
      <c r="C430" s="525" t="s">
        <v>1488</v>
      </c>
      <c r="D430" s="524" t="s">
        <v>41</v>
      </c>
      <c r="E430" s="524" t="s">
        <v>1489</v>
      </c>
      <c r="F430" s="526" t="s">
        <v>1490</v>
      </c>
      <c r="G430" s="252">
        <f t="shared" si="8"/>
        <v>26.87</v>
      </c>
    </row>
    <row r="431" spans="1:7" x14ac:dyDescent="0.3">
      <c r="A431" s="524" t="s">
        <v>522</v>
      </c>
      <c r="B431" s="524" t="s">
        <v>527</v>
      </c>
      <c r="C431" s="525" t="s">
        <v>528</v>
      </c>
      <c r="D431" s="524" t="s">
        <v>32</v>
      </c>
      <c r="E431" s="524" t="s">
        <v>1491</v>
      </c>
      <c r="F431" s="526" t="s">
        <v>530</v>
      </c>
      <c r="G431" s="252">
        <f t="shared" si="8"/>
        <v>2.38</v>
      </c>
    </row>
    <row r="432" spans="1:7" x14ac:dyDescent="0.3">
      <c r="A432" s="524" t="s">
        <v>522</v>
      </c>
      <c r="B432" s="524" t="s">
        <v>1362</v>
      </c>
      <c r="C432" s="525" t="s">
        <v>1363</v>
      </c>
      <c r="D432" s="524" t="s">
        <v>32</v>
      </c>
      <c r="E432" s="524" t="s">
        <v>1492</v>
      </c>
      <c r="F432" s="526" t="s">
        <v>1365</v>
      </c>
      <c r="G432" s="252">
        <f t="shared" si="8"/>
        <v>2.1</v>
      </c>
    </row>
    <row r="433" spans="1:7" x14ac:dyDescent="0.3">
      <c r="A433" s="524" t="s">
        <v>522</v>
      </c>
      <c r="B433" s="524" t="s">
        <v>1359</v>
      </c>
      <c r="C433" s="525" t="s">
        <v>801</v>
      </c>
      <c r="D433" s="524" t="s">
        <v>32</v>
      </c>
      <c r="E433" s="524" t="s">
        <v>1493</v>
      </c>
      <c r="F433" s="526" t="s">
        <v>1361</v>
      </c>
      <c r="G433" s="252">
        <f t="shared" si="8"/>
        <v>3.64</v>
      </c>
    </row>
    <row r="434" spans="1:7" x14ac:dyDescent="0.3">
      <c r="A434" s="680" t="s">
        <v>1152</v>
      </c>
      <c r="B434" s="681"/>
      <c r="C434" s="681"/>
      <c r="D434" s="681"/>
      <c r="E434" s="681"/>
      <c r="F434" s="682"/>
      <c r="G434" s="527">
        <f>SUM(G426:G433)</f>
        <v>62.940000000000005</v>
      </c>
    </row>
    <row r="435" spans="1:7" x14ac:dyDescent="0.3">
      <c r="A435" s="683">
        <f>TRUNC(E435*F435,2)</f>
        <v>0</v>
      </c>
      <c r="B435" s="684"/>
      <c r="C435" s="684"/>
      <c r="D435" s="684"/>
      <c r="E435" s="684"/>
      <c r="F435" s="684"/>
      <c r="G435" s="685"/>
    </row>
    <row r="436" spans="1:7" ht="28.8" x14ac:dyDescent="0.3">
      <c r="A436" s="529" t="s">
        <v>93</v>
      </c>
      <c r="B436" s="529">
        <v>90914</v>
      </c>
      <c r="C436" s="530" t="s">
        <v>81</v>
      </c>
      <c r="D436" s="529" t="s">
        <v>24</v>
      </c>
      <c r="E436" s="252"/>
      <c r="F436" s="531">
        <v>149.05000000000001</v>
      </c>
      <c r="G436" s="252">
        <f t="shared" ref="G436:G827" si="9">TRUNC(E436*F436,2)</f>
        <v>0</v>
      </c>
    </row>
    <row r="437" spans="1:7" ht="28.8" x14ac:dyDescent="0.3">
      <c r="A437" s="524" t="s">
        <v>508</v>
      </c>
      <c r="B437" s="524" t="s">
        <v>1494</v>
      </c>
      <c r="C437" s="525" t="s">
        <v>1495</v>
      </c>
      <c r="D437" s="524" t="s">
        <v>24</v>
      </c>
      <c r="E437" s="524" t="s">
        <v>1496</v>
      </c>
      <c r="F437" s="526" t="s">
        <v>1497</v>
      </c>
      <c r="G437" s="252">
        <f t="shared" si="9"/>
        <v>11.11</v>
      </c>
    </row>
    <row r="438" spans="1:7" x14ac:dyDescent="0.3">
      <c r="A438" s="524" t="s">
        <v>508</v>
      </c>
      <c r="B438" s="524" t="s">
        <v>1498</v>
      </c>
      <c r="C438" s="525" t="s">
        <v>1499</v>
      </c>
      <c r="D438" s="524" t="s">
        <v>24</v>
      </c>
      <c r="E438" s="524" t="s">
        <v>1500</v>
      </c>
      <c r="F438" s="526" t="s">
        <v>1501</v>
      </c>
      <c r="G438" s="252">
        <f t="shared" si="9"/>
        <v>5.98</v>
      </c>
    </row>
    <row r="439" spans="1:7" x14ac:dyDescent="0.3">
      <c r="A439" s="524" t="s">
        <v>522</v>
      </c>
      <c r="B439" s="524" t="s">
        <v>1502</v>
      </c>
      <c r="C439" s="525" t="s">
        <v>1503</v>
      </c>
      <c r="D439" s="524" t="s">
        <v>41</v>
      </c>
      <c r="E439" s="524" t="s">
        <v>1504</v>
      </c>
      <c r="F439" s="526" t="s">
        <v>1505</v>
      </c>
      <c r="G439" s="252">
        <f t="shared" si="9"/>
        <v>115.15</v>
      </c>
    </row>
    <row r="440" spans="1:7" x14ac:dyDescent="0.3">
      <c r="A440" s="524" t="s">
        <v>522</v>
      </c>
      <c r="B440" s="524" t="s">
        <v>1362</v>
      </c>
      <c r="C440" s="525" t="s">
        <v>1363</v>
      </c>
      <c r="D440" s="524" t="s">
        <v>32</v>
      </c>
      <c r="E440" s="524" t="s">
        <v>1506</v>
      </c>
      <c r="F440" s="526" t="s">
        <v>1365</v>
      </c>
      <c r="G440" s="252">
        <f t="shared" si="9"/>
        <v>11.97</v>
      </c>
    </row>
    <row r="441" spans="1:7" x14ac:dyDescent="0.3">
      <c r="A441" s="524" t="s">
        <v>522</v>
      </c>
      <c r="B441" s="524" t="s">
        <v>1359</v>
      </c>
      <c r="C441" s="525" t="s">
        <v>801</v>
      </c>
      <c r="D441" s="524" t="s">
        <v>32</v>
      </c>
      <c r="E441" s="524" t="s">
        <v>1507</v>
      </c>
      <c r="F441" s="526" t="s">
        <v>1361</v>
      </c>
      <c r="G441" s="252">
        <f t="shared" si="9"/>
        <v>4.84</v>
      </c>
    </row>
    <row r="442" spans="1:7" x14ac:dyDescent="0.3">
      <c r="A442" s="680" t="s">
        <v>1152</v>
      </c>
      <c r="B442" s="681"/>
      <c r="C442" s="681"/>
      <c r="D442" s="681"/>
      <c r="E442" s="681"/>
      <c r="F442" s="682"/>
      <c r="G442" s="527">
        <f>SUM(G436:G441)</f>
        <v>149.05000000000001</v>
      </c>
    </row>
    <row r="443" spans="1:7" x14ac:dyDescent="0.3">
      <c r="A443" s="683">
        <f>TRUNC(E443*F443,2)</f>
        <v>0</v>
      </c>
      <c r="B443" s="684"/>
      <c r="C443" s="684"/>
      <c r="D443" s="684"/>
      <c r="E443" s="684"/>
      <c r="F443" s="684"/>
      <c r="G443" s="685"/>
    </row>
    <row r="444" spans="1:7" ht="28.8" x14ac:dyDescent="0.3">
      <c r="A444" s="529" t="s">
        <v>226</v>
      </c>
      <c r="B444" s="529">
        <v>84191</v>
      </c>
      <c r="C444" s="530" t="s">
        <v>82</v>
      </c>
      <c r="D444" s="529" t="s">
        <v>24</v>
      </c>
      <c r="E444" s="252"/>
      <c r="F444" s="531">
        <v>91.93</v>
      </c>
      <c r="G444" s="252">
        <f t="shared" si="9"/>
        <v>0</v>
      </c>
    </row>
    <row r="445" spans="1:7" ht="28.8" x14ac:dyDescent="0.3">
      <c r="A445" s="524" t="s">
        <v>508</v>
      </c>
      <c r="B445" s="524" t="s">
        <v>1508</v>
      </c>
      <c r="C445" s="525" t="s">
        <v>1509</v>
      </c>
      <c r="D445" s="524" t="s">
        <v>55</v>
      </c>
      <c r="E445" s="524" t="s">
        <v>1122</v>
      </c>
      <c r="F445" s="526" t="s">
        <v>1510</v>
      </c>
      <c r="G445" s="252">
        <f t="shared" si="9"/>
        <v>0.88</v>
      </c>
    </row>
    <row r="446" spans="1:7" ht="28.8" x14ac:dyDescent="0.3">
      <c r="A446" s="524" t="s">
        <v>508</v>
      </c>
      <c r="B446" s="524" t="s">
        <v>1511</v>
      </c>
      <c r="C446" s="525" t="s">
        <v>1512</v>
      </c>
      <c r="D446" s="524" t="s">
        <v>24</v>
      </c>
      <c r="E446" s="524" t="s">
        <v>1122</v>
      </c>
      <c r="F446" s="526">
        <v>70</v>
      </c>
      <c r="G446" s="252">
        <f t="shared" si="9"/>
        <v>70</v>
      </c>
    </row>
    <row r="447" spans="1:7" ht="28.8" x14ac:dyDescent="0.3">
      <c r="A447" s="524" t="s">
        <v>522</v>
      </c>
      <c r="B447" s="524" t="s">
        <v>1513</v>
      </c>
      <c r="C447" s="525" t="s">
        <v>1514</v>
      </c>
      <c r="D447" s="524" t="s">
        <v>41</v>
      </c>
      <c r="E447" s="524" t="s">
        <v>1515</v>
      </c>
      <c r="F447" s="526" t="s">
        <v>1516</v>
      </c>
      <c r="G447" s="252">
        <f t="shared" si="9"/>
        <v>9.3000000000000007</v>
      </c>
    </row>
    <row r="448" spans="1:7" x14ac:dyDescent="0.3">
      <c r="A448" s="524" t="s">
        <v>522</v>
      </c>
      <c r="B448" s="524" t="s">
        <v>1362</v>
      </c>
      <c r="C448" s="525" t="s">
        <v>1363</v>
      </c>
      <c r="D448" s="524" t="s">
        <v>32</v>
      </c>
      <c r="E448" s="606">
        <v>0.5</v>
      </c>
      <c r="F448" s="526" t="s">
        <v>1365</v>
      </c>
      <c r="G448" s="252">
        <f t="shared" si="9"/>
        <v>8.8800000000000008</v>
      </c>
    </row>
    <row r="449" spans="1:7" x14ac:dyDescent="0.3">
      <c r="A449" s="524" t="s">
        <v>522</v>
      </c>
      <c r="B449" s="524" t="s">
        <v>1359</v>
      </c>
      <c r="C449" s="525" t="s">
        <v>801</v>
      </c>
      <c r="D449" s="524" t="s">
        <v>32</v>
      </c>
      <c r="E449" s="606">
        <v>0.2</v>
      </c>
      <c r="F449" s="526" t="s">
        <v>1361</v>
      </c>
      <c r="G449" s="252">
        <f t="shared" si="9"/>
        <v>2.87</v>
      </c>
    </row>
    <row r="450" spans="1:7" x14ac:dyDescent="0.3">
      <c r="A450" s="680" t="s">
        <v>1152</v>
      </c>
      <c r="B450" s="681"/>
      <c r="C450" s="681"/>
      <c r="D450" s="681"/>
      <c r="E450" s="681"/>
      <c r="F450" s="682"/>
      <c r="G450" s="527">
        <f>SUM(G444:G449)</f>
        <v>91.929999999999993</v>
      </c>
    </row>
    <row r="451" spans="1:7" x14ac:dyDescent="0.3">
      <c r="A451" s="683">
        <f>TRUNC(E451*F451,2)</f>
        <v>0</v>
      </c>
      <c r="B451" s="684"/>
      <c r="C451" s="684"/>
      <c r="D451" s="684"/>
      <c r="E451" s="684"/>
      <c r="F451" s="684"/>
      <c r="G451" s="685"/>
    </row>
    <row r="452" spans="1:7" ht="43.2" x14ac:dyDescent="0.3">
      <c r="A452" s="529" t="s">
        <v>394</v>
      </c>
      <c r="B452" s="529">
        <v>87262</v>
      </c>
      <c r="C452" s="530" t="s">
        <v>84</v>
      </c>
      <c r="D452" s="529" t="s">
        <v>24</v>
      </c>
      <c r="E452" s="252"/>
      <c r="F452" s="531">
        <v>82.17</v>
      </c>
      <c r="G452" s="252">
        <f t="shared" si="9"/>
        <v>0</v>
      </c>
    </row>
    <row r="453" spans="1:7" x14ac:dyDescent="0.3">
      <c r="A453" s="524" t="s">
        <v>508</v>
      </c>
      <c r="B453" s="524" t="s">
        <v>1448</v>
      </c>
      <c r="C453" s="525" t="s">
        <v>1449</v>
      </c>
      <c r="D453" s="524" t="s">
        <v>426</v>
      </c>
      <c r="E453" s="524" t="s">
        <v>1559</v>
      </c>
      <c r="F453" s="526" t="s">
        <v>1451</v>
      </c>
      <c r="G453" s="252">
        <f t="shared" si="9"/>
        <v>0.53</v>
      </c>
    </row>
    <row r="454" spans="1:7" x14ac:dyDescent="0.3">
      <c r="A454" s="524" t="s">
        <v>508</v>
      </c>
      <c r="B454" s="524" t="s">
        <v>1560</v>
      </c>
      <c r="C454" s="525" t="s">
        <v>1561</v>
      </c>
      <c r="D454" s="524" t="s">
        <v>426</v>
      </c>
      <c r="E454" s="606">
        <v>8</v>
      </c>
      <c r="F454" s="526" t="s">
        <v>1563</v>
      </c>
      <c r="G454" s="252">
        <f t="shared" si="9"/>
        <v>15.92</v>
      </c>
    </row>
    <row r="455" spans="1:7" x14ac:dyDescent="0.3">
      <c r="A455" s="524" t="s">
        <v>508</v>
      </c>
      <c r="B455" s="524" t="s">
        <v>1564</v>
      </c>
      <c r="C455" s="525" t="s">
        <v>1565</v>
      </c>
      <c r="D455" s="524" t="s">
        <v>24</v>
      </c>
      <c r="E455" s="606" t="s">
        <v>1566</v>
      </c>
      <c r="F455" s="526">
        <v>50</v>
      </c>
      <c r="G455" s="252">
        <f t="shared" si="9"/>
        <v>54</v>
      </c>
    </row>
    <row r="456" spans="1:7" x14ac:dyDescent="0.3">
      <c r="A456" s="524" t="s">
        <v>522</v>
      </c>
      <c r="B456" s="524" t="s">
        <v>1355</v>
      </c>
      <c r="C456" s="525" t="s">
        <v>1356</v>
      </c>
      <c r="D456" s="524" t="s">
        <v>32</v>
      </c>
      <c r="E456" s="606">
        <v>0.5</v>
      </c>
      <c r="F456" s="526" t="s">
        <v>1358</v>
      </c>
      <c r="G456" s="252">
        <f t="shared" si="9"/>
        <v>8.85</v>
      </c>
    </row>
    <row r="457" spans="1:7" x14ac:dyDescent="0.3">
      <c r="A457" s="524" t="s">
        <v>522</v>
      </c>
      <c r="B457" s="524" t="s">
        <v>1359</v>
      </c>
      <c r="C457" s="525" t="s">
        <v>801</v>
      </c>
      <c r="D457" s="524" t="s">
        <v>32</v>
      </c>
      <c r="E457" s="606">
        <v>0.2</v>
      </c>
      <c r="F457" s="526" t="s">
        <v>1361</v>
      </c>
      <c r="G457" s="252">
        <f t="shared" si="9"/>
        <v>2.87</v>
      </c>
    </row>
    <row r="458" spans="1:7" x14ac:dyDescent="0.3">
      <c r="A458" s="680" t="s">
        <v>1152</v>
      </c>
      <c r="B458" s="681"/>
      <c r="C458" s="681"/>
      <c r="D458" s="681"/>
      <c r="E458" s="681"/>
      <c r="F458" s="682"/>
      <c r="G458" s="527">
        <f>SUM(G452:G457)</f>
        <v>82.17</v>
      </c>
    </row>
    <row r="459" spans="1:7" x14ac:dyDescent="0.3">
      <c r="A459" s="683">
        <f>TRUNC(E459*F459,2)</f>
        <v>0</v>
      </c>
      <c r="B459" s="684"/>
      <c r="C459" s="684"/>
      <c r="D459" s="684"/>
      <c r="E459" s="684"/>
      <c r="F459" s="684"/>
      <c r="G459" s="685"/>
    </row>
    <row r="460" spans="1:7" x14ac:dyDescent="0.3">
      <c r="A460" s="529" t="s">
        <v>95</v>
      </c>
      <c r="B460" s="529"/>
      <c r="C460" s="530" t="s">
        <v>86</v>
      </c>
      <c r="D460" s="529"/>
      <c r="E460" s="252"/>
      <c r="F460" s="531"/>
      <c r="G460" s="252">
        <f t="shared" si="9"/>
        <v>0</v>
      </c>
    </row>
    <row r="461" spans="1:7" x14ac:dyDescent="0.3">
      <c r="A461" s="529" t="s">
        <v>97</v>
      </c>
      <c r="B461" s="529">
        <v>72117</v>
      </c>
      <c r="C461" s="530" t="s">
        <v>88</v>
      </c>
      <c r="D461" s="529" t="s">
        <v>24</v>
      </c>
      <c r="E461" s="252"/>
      <c r="F461" s="531">
        <v>159.13</v>
      </c>
      <c r="G461" s="252">
        <f t="shared" si="9"/>
        <v>0</v>
      </c>
    </row>
    <row r="462" spans="1:7" x14ac:dyDescent="0.3">
      <c r="A462" s="524" t="s">
        <v>508</v>
      </c>
      <c r="B462" s="524" t="s">
        <v>1549</v>
      </c>
      <c r="C462" s="525" t="s">
        <v>1550</v>
      </c>
      <c r="D462" s="524" t="s">
        <v>24</v>
      </c>
      <c r="E462" s="524" t="s">
        <v>1122</v>
      </c>
      <c r="F462" s="526" t="s">
        <v>1551</v>
      </c>
      <c r="G462" s="252">
        <f t="shared" si="9"/>
        <v>131.59</v>
      </c>
    </row>
    <row r="463" spans="1:7" x14ac:dyDescent="0.3">
      <c r="A463" s="524" t="s">
        <v>508</v>
      </c>
      <c r="B463" s="524" t="s">
        <v>1552</v>
      </c>
      <c r="C463" s="525" t="s">
        <v>1553</v>
      </c>
      <c r="D463" s="524" t="s">
        <v>426</v>
      </c>
      <c r="E463" s="524" t="s">
        <v>1554</v>
      </c>
      <c r="F463" s="526" t="s">
        <v>1555</v>
      </c>
      <c r="G463" s="252">
        <f t="shared" si="9"/>
        <v>13.37</v>
      </c>
    </row>
    <row r="464" spans="1:7" x14ac:dyDescent="0.3">
      <c r="A464" s="524" t="s">
        <v>522</v>
      </c>
      <c r="B464" s="524" t="s">
        <v>1359</v>
      </c>
      <c r="C464" s="525" t="s">
        <v>801</v>
      </c>
      <c r="D464" s="524" t="s">
        <v>32</v>
      </c>
      <c r="E464" s="524" t="s">
        <v>1481</v>
      </c>
      <c r="F464" s="526" t="s">
        <v>1361</v>
      </c>
      <c r="G464" s="252">
        <f t="shared" si="9"/>
        <v>6.46</v>
      </c>
    </row>
    <row r="465" spans="1:7" x14ac:dyDescent="0.3">
      <c r="A465" s="524" t="s">
        <v>522</v>
      </c>
      <c r="B465" s="524" t="s">
        <v>1556</v>
      </c>
      <c r="C465" s="525" t="s">
        <v>1557</v>
      </c>
      <c r="D465" s="524" t="s">
        <v>32</v>
      </c>
      <c r="E465" s="524" t="s">
        <v>1481</v>
      </c>
      <c r="F465" s="526" t="s">
        <v>1558</v>
      </c>
      <c r="G465" s="252">
        <f t="shared" si="9"/>
        <v>7.71</v>
      </c>
    </row>
    <row r="466" spans="1:7" x14ac:dyDescent="0.3">
      <c r="A466" s="680" t="s">
        <v>1152</v>
      </c>
      <c r="B466" s="681"/>
      <c r="C466" s="681"/>
      <c r="D466" s="681"/>
      <c r="E466" s="681"/>
      <c r="F466" s="682"/>
      <c r="G466" s="527">
        <f>SUM(G460:G465)</f>
        <v>159.13000000000002</v>
      </c>
    </row>
    <row r="467" spans="1:7" x14ac:dyDescent="0.3">
      <c r="A467" s="683">
        <f>TRUNC(E467*F467,2)</f>
        <v>0</v>
      </c>
      <c r="B467" s="684"/>
      <c r="C467" s="684"/>
      <c r="D467" s="684"/>
      <c r="E467" s="684"/>
      <c r="F467" s="684"/>
      <c r="G467" s="685"/>
    </row>
    <row r="468" spans="1:7" x14ac:dyDescent="0.3">
      <c r="A468" s="529" t="s">
        <v>100</v>
      </c>
      <c r="B468" s="529">
        <v>84886</v>
      </c>
      <c r="C468" s="530" t="s">
        <v>91</v>
      </c>
      <c r="D468" s="529" t="s">
        <v>92</v>
      </c>
      <c r="E468" s="252"/>
      <c r="F468" s="531">
        <v>1114.46</v>
      </c>
      <c r="G468" s="252">
        <f t="shared" si="9"/>
        <v>0</v>
      </c>
    </row>
    <row r="469" spans="1:7" x14ac:dyDescent="0.3">
      <c r="A469" s="524" t="s">
        <v>508</v>
      </c>
      <c r="B469" s="524" t="s">
        <v>1568</v>
      </c>
      <c r="C469" s="525" t="s">
        <v>1569</v>
      </c>
      <c r="D469" s="524" t="s">
        <v>397</v>
      </c>
      <c r="E469" s="524" t="s">
        <v>1122</v>
      </c>
      <c r="F469" s="526">
        <v>1097.3</v>
      </c>
      <c r="G469" s="252">
        <f t="shared" si="9"/>
        <v>1097.3</v>
      </c>
    </row>
    <row r="470" spans="1:7" x14ac:dyDescent="0.3">
      <c r="A470" s="524" t="s">
        <v>522</v>
      </c>
      <c r="B470" s="524" t="s">
        <v>1359</v>
      </c>
      <c r="C470" s="525" t="s">
        <v>801</v>
      </c>
      <c r="D470" s="524" t="s">
        <v>32</v>
      </c>
      <c r="E470" s="524" t="s">
        <v>1518</v>
      </c>
      <c r="F470" s="526" t="s">
        <v>1361</v>
      </c>
      <c r="G470" s="252">
        <f t="shared" si="9"/>
        <v>4.3099999999999996</v>
      </c>
    </row>
    <row r="471" spans="1:7" x14ac:dyDescent="0.3">
      <c r="A471" s="524" t="s">
        <v>522</v>
      </c>
      <c r="B471" s="524" t="s">
        <v>1556</v>
      </c>
      <c r="C471" s="525" t="s">
        <v>1557</v>
      </c>
      <c r="D471" s="524" t="s">
        <v>32</v>
      </c>
      <c r="E471" s="524" t="s">
        <v>1570</v>
      </c>
      <c r="F471" s="526" t="s">
        <v>1558</v>
      </c>
      <c r="G471" s="252">
        <f t="shared" si="9"/>
        <v>12.85</v>
      </c>
    </row>
    <row r="472" spans="1:7" x14ac:dyDescent="0.3">
      <c r="A472" s="680" t="s">
        <v>1152</v>
      </c>
      <c r="B472" s="681"/>
      <c r="C472" s="681"/>
      <c r="D472" s="681"/>
      <c r="E472" s="681"/>
      <c r="F472" s="682"/>
      <c r="G472" s="527">
        <f>SUM(G468:G471)</f>
        <v>1114.4599999999998</v>
      </c>
    </row>
    <row r="473" spans="1:7" x14ac:dyDescent="0.3">
      <c r="A473" s="683">
        <f>TRUNC(E473*F473,2)</f>
        <v>0</v>
      </c>
      <c r="B473" s="684"/>
      <c r="C473" s="684"/>
      <c r="D473" s="684"/>
      <c r="E473" s="684"/>
      <c r="F473" s="684"/>
      <c r="G473" s="685"/>
    </row>
    <row r="474" spans="1:7" ht="43.2" x14ac:dyDescent="0.3">
      <c r="A474" s="529" t="s">
        <v>103</v>
      </c>
      <c r="B474" s="529">
        <v>84885</v>
      </c>
      <c r="C474" s="530" t="s">
        <v>94</v>
      </c>
      <c r="D474" s="529" t="s">
        <v>44</v>
      </c>
      <c r="E474" s="252"/>
      <c r="F474" s="531">
        <v>612.76</v>
      </c>
      <c r="G474" s="252">
        <f t="shared" si="9"/>
        <v>0</v>
      </c>
    </row>
    <row r="475" spans="1:7" ht="43.2" x14ac:dyDescent="0.3">
      <c r="A475" s="524" t="s">
        <v>508</v>
      </c>
      <c r="B475" s="524" t="s">
        <v>1571</v>
      </c>
      <c r="C475" s="525" t="s">
        <v>1572</v>
      </c>
      <c r="D475" s="524" t="s">
        <v>92</v>
      </c>
      <c r="E475" s="524" t="s">
        <v>1122</v>
      </c>
      <c r="F475" s="526" t="s">
        <v>1573</v>
      </c>
      <c r="G475" s="252">
        <f t="shared" si="9"/>
        <v>376.14</v>
      </c>
    </row>
    <row r="476" spans="1:7" x14ac:dyDescent="0.3">
      <c r="A476" s="524" t="s">
        <v>522</v>
      </c>
      <c r="B476" s="524" t="s">
        <v>523</v>
      </c>
      <c r="C476" s="525" t="s">
        <v>524</v>
      </c>
      <c r="D476" s="524" t="s">
        <v>32</v>
      </c>
      <c r="E476" s="524" t="s">
        <v>1574</v>
      </c>
      <c r="F476" s="526" t="s">
        <v>526</v>
      </c>
      <c r="G476" s="252">
        <f t="shared" si="9"/>
        <v>64.11</v>
      </c>
    </row>
    <row r="477" spans="1:7" x14ac:dyDescent="0.3">
      <c r="A477" s="524" t="s">
        <v>522</v>
      </c>
      <c r="B477" s="524" t="s">
        <v>1376</v>
      </c>
      <c r="C477" s="525" t="s">
        <v>1377</v>
      </c>
      <c r="D477" s="524" t="s">
        <v>32</v>
      </c>
      <c r="E477" s="524" t="s">
        <v>1575</v>
      </c>
      <c r="F477" s="526" t="s">
        <v>1379</v>
      </c>
      <c r="G477" s="252">
        <f t="shared" si="9"/>
        <v>114.92</v>
      </c>
    </row>
    <row r="478" spans="1:7" x14ac:dyDescent="0.3">
      <c r="A478" s="524" t="s">
        <v>522</v>
      </c>
      <c r="B478" s="524" t="s">
        <v>1556</v>
      </c>
      <c r="C478" s="525" t="s">
        <v>1557</v>
      </c>
      <c r="D478" s="524" t="s">
        <v>32</v>
      </c>
      <c r="E478" s="524" t="s">
        <v>1576</v>
      </c>
      <c r="F478" s="526" t="s">
        <v>1558</v>
      </c>
      <c r="G478" s="252">
        <f t="shared" si="9"/>
        <v>57.59</v>
      </c>
    </row>
    <row r="479" spans="1:7" x14ac:dyDescent="0.3">
      <c r="A479" s="680" t="s">
        <v>1152</v>
      </c>
      <c r="B479" s="681"/>
      <c r="C479" s="681"/>
      <c r="D479" s="681"/>
      <c r="E479" s="681"/>
      <c r="F479" s="682"/>
      <c r="G479" s="527">
        <f>SUM(G475:G478)</f>
        <v>612.76</v>
      </c>
    </row>
    <row r="480" spans="1:7" x14ac:dyDescent="0.3">
      <c r="A480" s="683">
        <f>TRUNC(E480*F480,2)</f>
        <v>0</v>
      </c>
      <c r="B480" s="684"/>
      <c r="C480" s="684"/>
      <c r="D480" s="684"/>
      <c r="E480" s="684"/>
      <c r="F480" s="684"/>
      <c r="G480" s="685"/>
    </row>
    <row r="481" spans="1:7" x14ac:dyDescent="0.3">
      <c r="A481" s="529" t="s">
        <v>116</v>
      </c>
      <c r="B481" s="529"/>
      <c r="C481" s="530" t="s">
        <v>96</v>
      </c>
      <c r="D481" s="529"/>
      <c r="E481" s="252"/>
      <c r="F481" s="531"/>
      <c r="G481" s="252">
        <f t="shared" si="9"/>
        <v>0</v>
      </c>
    </row>
    <row r="482" spans="1:7" ht="28.8" x14ac:dyDescent="0.3">
      <c r="A482" s="529" t="s">
        <v>118</v>
      </c>
      <c r="B482" s="529">
        <v>88423</v>
      </c>
      <c r="C482" s="530" t="s">
        <v>98</v>
      </c>
      <c r="D482" s="529" t="s">
        <v>24</v>
      </c>
      <c r="E482" s="252"/>
      <c r="F482" s="531">
        <v>13.45</v>
      </c>
      <c r="G482" s="252">
        <f t="shared" si="9"/>
        <v>0</v>
      </c>
    </row>
    <row r="483" spans="1:7" x14ac:dyDescent="0.3">
      <c r="A483" s="524" t="s">
        <v>508</v>
      </c>
      <c r="B483" s="524" t="s">
        <v>1577</v>
      </c>
      <c r="C483" s="525" t="s">
        <v>1578</v>
      </c>
      <c r="D483" s="524" t="s">
        <v>426</v>
      </c>
      <c r="E483" s="606">
        <v>1.9</v>
      </c>
      <c r="F483" s="526">
        <v>5</v>
      </c>
      <c r="G483" s="252">
        <f t="shared" si="9"/>
        <v>9.5</v>
      </c>
    </row>
    <row r="484" spans="1:7" x14ac:dyDescent="0.3">
      <c r="A484" s="524" t="s">
        <v>522</v>
      </c>
      <c r="B484" s="524" t="s">
        <v>1579</v>
      </c>
      <c r="C484" s="525" t="s">
        <v>1580</v>
      </c>
      <c r="D484" s="524" t="s">
        <v>32</v>
      </c>
      <c r="E484" s="524" t="s">
        <v>1581</v>
      </c>
      <c r="F484" s="526" t="s">
        <v>1582</v>
      </c>
      <c r="G484" s="252">
        <f t="shared" si="9"/>
        <v>3.32</v>
      </c>
    </row>
    <row r="485" spans="1:7" x14ac:dyDescent="0.3">
      <c r="A485" s="524" t="s">
        <v>522</v>
      </c>
      <c r="B485" s="524" t="s">
        <v>1359</v>
      </c>
      <c r="C485" s="525" t="s">
        <v>801</v>
      </c>
      <c r="D485" s="524" t="s">
        <v>32</v>
      </c>
      <c r="E485" s="524" t="s">
        <v>1583</v>
      </c>
      <c r="F485" s="526" t="s">
        <v>1361</v>
      </c>
      <c r="G485" s="252">
        <f t="shared" si="9"/>
        <v>0.63</v>
      </c>
    </row>
    <row r="486" spans="1:7" x14ac:dyDescent="0.3">
      <c r="A486" s="680" t="s">
        <v>1152</v>
      </c>
      <c r="B486" s="681"/>
      <c r="C486" s="681"/>
      <c r="D486" s="681"/>
      <c r="E486" s="681"/>
      <c r="F486" s="682"/>
      <c r="G486" s="527">
        <f>SUM(G482:G485)</f>
        <v>13.450000000000001</v>
      </c>
    </row>
    <row r="487" spans="1:7" x14ac:dyDescent="0.3">
      <c r="A487" s="683">
        <f>TRUNC(E487*F487,2)</f>
        <v>0</v>
      </c>
      <c r="B487" s="684"/>
      <c r="C487" s="684"/>
      <c r="D487" s="684"/>
      <c r="E487" s="684"/>
      <c r="F487" s="684"/>
      <c r="G487" s="685"/>
    </row>
    <row r="488" spans="1:7" x14ac:dyDescent="0.3">
      <c r="A488" s="529" t="s">
        <v>120</v>
      </c>
      <c r="B488" s="529">
        <v>88496</v>
      </c>
      <c r="C488" s="530" t="s">
        <v>101</v>
      </c>
      <c r="D488" s="529" t="s">
        <v>24</v>
      </c>
      <c r="E488" s="252"/>
      <c r="F488" s="531">
        <v>10.51</v>
      </c>
      <c r="G488" s="252">
        <f t="shared" si="9"/>
        <v>0</v>
      </c>
    </row>
    <row r="489" spans="1:7" x14ac:dyDescent="0.3">
      <c r="A489" s="524" t="s">
        <v>508</v>
      </c>
      <c r="B489" s="524" t="s">
        <v>1584</v>
      </c>
      <c r="C489" s="525" t="s">
        <v>1585</v>
      </c>
      <c r="D489" s="524" t="s">
        <v>397</v>
      </c>
      <c r="E489" s="524" t="s">
        <v>1586</v>
      </c>
      <c r="F489" s="526" t="s">
        <v>1447</v>
      </c>
      <c r="G489" s="252">
        <f t="shared" si="9"/>
        <v>0.06</v>
      </c>
    </row>
    <row r="490" spans="1:7" x14ac:dyDescent="0.3">
      <c r="A490" s="524" t="s">
        <v>508</v>
      </c>
      <c r="B490" s="524" t="s">
        <v>1587</v>
      </c>
      <c r="C490" s="525" t="s">
        <v>1588</v>
      </c>
      <c r="D490" s="524" t="s">
        <v>1589</v>
      </c>
      <c r="E490" s="607">
        <v>4.8000000000000001E-2</v>
      </c>
      <c r="F490" s="526">
        <v>40</v>
      </c>
      <c r="G490" s="252">
        <f t="shared" si="9"/>
        <v>1.92</v>
      </c>
    </row>
    <row r="491" spans="1:7" x14ac:dyDescent="0.3">
      <c r="A491" s="524" t="s">
        <v>522</v>
      </c>
      <c r="B491" s="524" t="s">
        <v>1579</v>
      </c>
      <c r="C491" s="525" t="s">
        <v>1580</v>
      </c>
      <c r="D491" s="524" t="s">
        <v>32</v>
      </c>
      <c r="E491" s="607">
        <v>0.3</v>
      </c>
      <c r="F491" s="526" t="s">
        <v>1582</v>
      </c>
      <c r="G491" s="252">
        <f t="shared" si="9"/>
        <v>5.66</v>
      </c>
    </row>
    <row r="492" spans="1:7" x14ac:dyDescent="0.3">
      <c r="A492" s="524" t="s">
        <v>522</v>
      </c>
      <c r="B492" s="524" t="s">
        <v>1359</v>
      </c>
      <c r="C492" s="525" t="s">
        <v>801</v>
      </c>
      <c r="D492" s="524" t="s">
        <v>32</v>
      </c>
      <c r="E492" s="607">
        <v>0.2</v>
      </c>
      <c r="F492" s="526" t="s">
        <v>1361</v>
      </c>
      <c r="G492" s="252">
        <f t="shared" si="9"/>
        <v>2.87</v>
      </c>
    </row>
    <row r="493" spans="1:7" x14ac:dyDescent="0.3">
      <c r="A493" s="680" t="s">
        <v>1152</v>
      </c>
      <c r="B493" s="681"/>
      <c r="C493" s="681"/>
      <c r="D493" s="681"/>
      <c r="E493" s="681"/>
      <c r="F493" s="682"/>
      <c r="G493" s="527">
        <f>SUM(G489:G492)</f>
        <v>10.510000000000002</v>
      </c>
    </row>
    <row r="494" spans="1:7" x14ac:dyDescent="0.3">
      <c r="A494" s="683">
        <f>TRUNC(E494*F494,2)</f>
        <v>0</v>
      </c>
      <c r="B494" s="684"/>
      <c r="C494" s="684"/>
      <c r="D494" s="684"/>
      <c r="E494" s="684"/>
      <c r="F494" s="684"/>
      <c r="G494" s="685"/>
    </row>
    <row r="495" spans="1:7" ht="28.8" x14ac:dyDescent="0.3">
      <c r="A495" s="529" t="s">
        <v>122</v>
      </c>
      <c r="B495" s="529">
        <v>88488</v>
      </c>
      <c r="C495" s="530" t="s">
        <v>104</v>
      </c>
      <c r="D495" s="529" t="s">
        <v>24</v>
      </c>
      <c r="E495" s="252"/>
      <c r="F495" s="531">
        <v>8.42</v>
      </c>
      <c r="G495" s="252">
        <f t="shared" si="9"/>
        <v>0</v>
      </c>
    </row>
    <row r="496" spans="1:7" x14ac:dyDescent="0.3">
      <c r="A496" s="524" t="s">
        <v>508</v>
      </c>
      <c r="B496" s="524" t="s">
        <v>1592</v>
      </c>
      <c r="C496" s="525" t="s">
        <v>1593</v>
      </c>
      <c r="D496" s="524" t="s">
        <v>1392</v>
      </c>
      <c r="E496" s="606">
        <v>0.3</v>
      </c>
      <c r="F496" s="526">
        <v>18</v>
      </c>
      <c r="G496" s="252">
        <f t="shared" si="9"/>
        <v>5.4</v>
      </c>
    </row>
    <row r="497" spans="1:12" x14ac:dyDescent="0.3">
      <c r="A497" s="524" t="s">
        <v>522</v>
      </c>
      <c r="B497" s="524" t="s">
        <v>1579</v>
      </c>
      <c r="C497" s="525" t="s">
        <v>1580</v>
      </c>
      <c r="D497" s="524" t="s">
        <v>32</v>
      </c>
      <c r="E497" s="606">
        <v>0.1</v>
      </c>
      <c r="F497" s="526" t="s">
        <v>1582</v>
      </c>
      <c r="G497" s="252">
        <f t="shared" si="9"/>
        <v>1.88</v>
      </c>
    </row>
    <row r="498" spans="1:12" x14ac:dyDescent="0.3">
      <c r="A498" s="524" t="s">
        <v>522</v>
      </c>
      <c r="B498" s="524" t="s">
        <v>1359</v>
      </c>
      <c r="C498" s="525" t="s">
        <v>801</v>
      </c>
      <c r="D498" s="524" t="s">
        <v>32</v>
      </c>
      <c r="E498" s="607">
        <v>0.08</v>
      </c>
      <c r="F498" s="526" t="s">
        <v>1361</v>
      </c>
      <c r="G498" s="252">
        <f t="shared" si="9"/>
        <v>1.1399999999999999</v>
      </c>
    </row>
    <row r="499" spans="1:12" x14ac:dyDescent="0.3">
      <c r="A499" s="680" t="s">
        <v>1152</v>
      </c>
      <c r="B499" s="681"/>
      <c r="C499" s="681"/>
      <c r="D499" s="681"/>
      <c r="E499" s="681"/>
      <c r="F499" s="682"/>
      <c r="G499" s="527">
        <f>SUM(G495:G498)</f>
        <v>8.42</v>
      </c>
    </row>
    <row r="500" spans="1:12" x14ac:dyDescent="0.3">
      <c r="A500" s="683">
        <f>TRUNC(E500*F500,2)</f>
        <v>0</v>
      </c>
      <c r="B500" s="684"/>
      <c r="C500" s="684"/>
      <c r="D500" s="684"/>
      <c r="E500" s="684"/>
      <c r="F500" s="684"/>
      <c r="G500" s="685"/>
    </row>
    <row r="501" spans="1:12" ht="28.8" x14ac:dyDescent="0.3">
      <c r="A501" s="529" t="s">
        <v>124</v>
      </c>
      <c r="B501" s="529">
        <v>88497</v>
      </c>
      <c r="C501" s="530" t="s">
        <v>106</v>
      </c>
      <c r="D501" s="529" t="s">
        <v>24</v>
      </c>
      <c r="E501" s="252"/>
      <c r="F501" s="531">
        <v>9.74</v>
      </c>
      <c r="G501" s="252">
        <f t="shared" si="9"/>
        <v>0</v>
      </c>
    </row>
    <row r="502" spans="1:12" x14ac:dyDescent="0.3">
      <c r="A502" s="524" t="s">
        <v>508</v>
      </c>
      <c r="B502" s="524" t="s">
        <v>1584</v>
      </c>
      <c r="C502" s="525" t="s">
        <v>1585</v>
      </c>
      <c r="D502" s="524" t="s">
        <v>397</v>
      </c>
      <c r="E502" s="524" t="s">
        <v>1586</v>
      </c>
      <c r="F502" s="526" t="s">
        <v>1447</v>
      </c>
      <c r="G502" s="252">
        <f t="shared" si="9"/>
        <v>0.06</v>
      </c>
    </row>
    <row r="503" spans="1:12" x14ac:dyDescent="0.3">
      <c r="A503" s="524" t="s">
        <v>508</v>
      </c>
      <c r="B503" s="524" t="s">
        <v>1587</v>
      </c>
      <c r="C503" s="525" t="s">
        <v>1588</v>
      </c>
      <c r="D503" s="524" t="s">
        <v>1589</v>
      </c>
      <c r="E503" s="524" t="s">
        <v>1590</v>
      </c>
      <c r="F503" s="526">
        <v>50</v>
      </c>
      <c r="G503" s="252">
        <f t="shared" si="9"/>
        <v>2.44</v>
      </c>
    </row>
    <row r="504" spans="1:12" x14ac:dyDescent="0.3">
      <c r="A504" s="524" t="s">
        <v>522</v>
      </c>
      <c r="B504" s="524" t="s">
        <v>1579</v>
      </c>
      <c r="C504" s="525" t="s">
        <v>1580</v>
      </c>
      <c r="D504" s="524" t="s">
        <v>32</v>
      </c>
      <c r="E504" s="607">
        <v>0.3</v>
      </c>
      <c r="F504" s="526" t="s">
        <v>1582</v>
      </c>
      <c r="G504" s="252">
        <f t="shared" si="9"/>
        <v>5.66</v>
      </c>
    </row>
    <row r="505" spans="1:12" x14ac:dyDescent="0.3">
      <c r="A505" s="524" t="s">
        <v>522</v>
      </c>
      <c r="B505" s="524" t="s">
        <v>1359</v>
      </c>
      <c r="C505" s="525" t="s">
        <v>801</v>
      </c>
      <c r="D505" s="524" t="s">
        <v>32</v>
      </c>
      <c r="E505" s="607">
        <v>0.11</v>
      </c>
      <c r="F505" s="526" t="s">
        <v>1361</v>
      </c>
      <c r="G505" s="252">
        <f t="shared" si="9"/>
        <v>1.58</v>
      </c>
    </row>
    <row r="506" spans="1:12" x14ac:dyDescent="0.3">
      <c r="A506" s="680" t="s">
        <v>1152</v>
      </c>
      <c r="B506" s="681"/>
      <c r="C506" s="681"/>
      <c r="D506" s="681"/>
      <c r="E506" s="681"/>
      <c r="F506" s="682"/>
      <c r="G506" s="527">
        <f>SUM(G502:G505)</f>
        <v>9.74</v>
      </c>
    </row>
    <row r="507" spans="1:12" x14ac:dyDescent="0.3">
      <c r="A507" s="683">
        <f>TRUNC(E507*F507,2)</f>
        <v>0</v>
      </c>
      <c r="B507" s="684"/>
      <c r="C507" s="684"/>
      <c r="D507" s="684"/>
      <c r="E507" s="684"/>
      <c r="F507" s="684"/>
      <c r="G507" s="685"/>
    </row>
    <row r="508" spans="1:12" ht="28.8" x14ac:dyDescent="0.3">
      <c r="A508" s="529" t="s">
        <v>126</v>
      </c>
      <c r="B508" s="529">
        <v>88489</v>
      </c>
      <c r="C508" s="530" t="s">
        <v>108</v>
      </c>
      <c r="D508" s="529" t="s">
        <v>24</v>
      </c>
      <c r="E508" s="252"/>
      <c r="F508" s="531">
        <v>8.14</v>
      </c>
      <c r="G508" s="252">
        <f t="shared" si="9"/>
        <v>0</v>
      </c>
    </row>
    <row r="509" spans="1:12" x14ac:dyDescent="0.3">
      <c r="A509" s="524" t="s">
        <v>508</v>
      </c>
      <c r="B509" s="524" t="s">
        <v>1592</v>
      </c>
      <c r="C509" s="525" t="s">
        <v>1593</v>
      </c>
      <c r="D509" s="524" t="s">
        <v>1392</v>
      </c>
      <c r="E509" s="606">
        <v>0.3</v>
      </c>
      <c r="F509" s="526">
        <v>18</v>
      </c>
      <c r="G509" s="252">
        <f t="shared" si="9"/>
        <v>5.4</v>
      </c>
      <c r="J509" s="215" t="s">
        <v>1594</v>
      </c>
      <c r="K509" s="215">
        <v>18</v>
      </c>
      <c r="L509" s="215">
        <v>5.94</v>
      </c>
    </row>
    <row r="510" spans="1:12" x14ac:dyDescent="0.3">
      <c r="A510" s="524" t="s">
        <v>522</v>
      </c>
      <c r="B510" s="524" t="s">
        <v>1579</v>
      </c>
      <c r="C510" s="525" t="s">
        <v>1580</v>
      </c>
      <c r="D510" s="524" t="s">
        <v>32</v>
      </c>
      <c r="E510" s="606">
        <v>0.1</v>
      </c>
      <c r="F510" s="526" t="s">
        <v>1582</v>
      </c>
      <c r="G510" s="252">
        <f t="shared" si="9"/>
        <v>1.88</v>
      </c>
      <c r="J510" s="215">
        <v>0.15</v>
      </c>
      <c r="K510" s="215" t="s">
        <v>1582</v>
      </c>
      <c r="L510" s="215">
        <v>2.83</v>
      </c>
    </row>
    <row r="511" spans="1:12" x14ac:dyDescent="0.3">
      <c r="A511" s="524" t="s">
        <v>522</v>
      </c>
      <c r="B511" s="524" t="s">
        <v>1359</v>
      </c>
      <c r="C511" s="525" t="s">
        <v>801</v>
      </c>
      <c r="D511" s="524" t="s">
        <v>32</v>
      </c>
      <c r="E511" s="524">
        <v>0.06</v>
      </c>
      <c r="F511" s="526" t="s">
        <v>1361</v>
      </c>
      <c r="G511" s="252">
        <f t="shared" si="9"/>
        <v>0.86</v>
      </c>
      <c r="J511" s="215" t="s">
        <v>1595</v>
      </c>
      <c r="K511" s="215" t="s">
        <v>1361</v>
      </c>
      <c r="L511" s="215">
        <v>0.99</v>
      </c>
    </row>
    <row r="512" spans="1:12" x14ac:dyDescent="0.3">
      <c r="A512" s="680" t="s">
        <v>1152</v>
      </c>
      <c r="B512" s="681"/>
      <c r="C512" s="681"/>
      <c r="D512" s="681"/>
      <c r="E512" s="681"/>
      <c r="F512" s="682"/>
      <c r="G512" s="527">
        <f>SUM(G508:G511)</f>
        <v>8.14</v>
      </c>
    </row>
    <row r="513" spans="1:7" x14ac:dyDescent="0.3">
      <c r="A513" s="683">
        <f>TRUNC(E513*F513,2)</f>
        <v>0</v>
      </c>
      <c r="B513" s="684"/>
      <c r="C513" s="684"/>
      <c r="D513" s="684"/>
      <c r="E513" s="684"/>
      <c r="F513" s="684"/>
      <c r="G513" s="685"/>
    </row>
    <row r="514" spans="1:7" x14ac:dyDescent="0.3">
      <c r="A514" s="529" t="s">
        <v>129</v>
      </c>
      <c r="B514" s="529" t="s">
        <v>109</v>
      </c>
      <c r="C514" s="530" t="s">
        <v>110</v>
      </c>
      <c r="D514" s="529" t="s">
        <v>24</v>
      </c>
      <c r="E514" s="252"/>
      <c r="F514" s="531">
        <v>12.4</v>
      </c>
      <c r="G514" s="252">
        <f t="shared" si="9"/>
        <v>0</v>
      </c>
    </row>
    <row r="515" spans="1:7" x14ac:dyDescent="0.3">
      <c r="A515" s="524" t="s">
        <v>508</v>
      </c>
      <c r="B515" s="524" t="s">
        <v>1584</v>
      </c>
      <c r="C515" s="525" t="s">
        <v>1585</v>
      </c>
      <c r="D515" s="524" t="s">
        <v>397</v>
      </c>
      <c r="E515" s="524" t="s">
        <v>1596</v>
      </c>
      <c r="F515" s="526" t="s">
        <v>1447</v>
      </c>
      <c r="G515" s="252">
        <f t="shared" si="9"/>
        <v>0.26</v>
      </c>
    </row>
    <row r="516" spans="1:7" x14ac:dyDescent="0.3">
      <c r="A516" s="524" t="s">
        <v>508</v>
      </c>
      <c r="B516" s="524" t="s">
        <v>1597</v>
      </c>
      <c r="C516" s="525" t="s">
        <v>1598</v>
      </c>
      <c r="D516" s="524" t="s">
        <v>1392</v>
      </c>
      <c r="E516" s="524" t="s">
        <v>1599</v>
      </c>
      <c r="F516" s="526" t="s">
        <v>1600</v>
      </c>
      <c r="G516" s="252">
        <f t="shared" si="9"/>
        <v>0.49</v>
      </c>
    </row>
    <row r="517" spans="1:7" x14ac:dyDescent="0.3">
      <c r="A517" s="524" t="s">
        <v>508</v>
      </c>
      <c r="B517" s="524" t="s">
        <v>1601</v>
      </c>
      <c r="C517" s="525" t="s">
        <v>1602</v>
      </c>
      <c r="D517" s="524" t="s">
        <v>1392</v>
      </c>
      <c r="E517" s="524" t="s">
        <v>1603</v>
      </c>
      <c r="F517" s="526" t="s">
        <v>911</v>
      </c>
      <c r="G517" s="252">
        <f t="shared" si="9"/>
        <v>3.84</v>
      </c>
    </row>
    <row r="518" spans="1:7" x14ac:dyDescent="0.3">
      <c r="A518" s="524" t="s">
        <v>522</v>
      </c>
      <c r="B518" s="524" t="s">
        <v>1579</v>
      </c>
      <c r="C518" s="525" t="s">
        <v>1580</v>
      </c>
      <c r="D518" s="524" t="s">
        <v>32</v>
      </c>
      <c r="E518" s="607">
        <v>0.3</v>
      </c>
      <c r="F518" s="526" t="s">
        <v>1582</v>
      </c>
      <c r="G518" s="252">
        <f t="shared" si="9"/>
        <v>5.66</v>
      </c>
    </row>
    <row r="519" spans="1:7" x14ac:dyDescent="0.3">
      <c r="A519" s="524" t="s">
        <v>522</v>
      </c>
      <c r="B519" s="524" t="s">
        <v>1359</v>
      </c>
      <c r="C519" s="525" t="s">
        <v>801</v>
      </c>
      <c r="D519" s="524" t="s">
        <v>32</v>
      </c>
      <c r="E519" s="607">
        <v>0.15</v>
      </c>
      <c r="F519" s="526" t="s">
        <v>1361</v>
      </c>
      <c r="G519" s="252">
        <f t="shared" si="9"/>
        <v>2.15</v>
      </c>
    </row>
    <row r="520" spans="1:7" x14ac:dyDescent="0.3">
      <c r="A520" s="680" t="s">
        <v>1152</v>
      </c>
      <c r="B520" s="681"/>
      <c r="C520" s="681"/>
      <c r="D520" s="681"/>
      <c r="E520" s="681"/>
      <c r="F520" s="682"/>
      <c r="G520" s="527">
        <f>SUM(G514:G519)</f>
        <v>12.4</v>
      </c>
    </row>
    <row r="521" spans="1:7" x14ac:dyDescent="0.3">
      <c r="A521" s="683">
        <f>TRUNC(E521*F521,2)</f>
        <v>0</v>
      </c>
      <c r="B521" s="684"/>
      <c r="C521" s="684"/>
      <c r="D521" s="684"/>
      <c r="E521" s="684"/>
      <c r="F521" s="684"/>
      <c r="G521" s="685"/>
    </row>
    <row r="522" spans="1:7" ht="28.8" x14ac:dyDescent="0.3">
      <c r="A522" s="529" t="s">
        <v>131</v>
      </c>
      <c r="B522" s="529">
        <v>88489</v>
      </c>
      <c r="C522" s="530" t="s">
        <v>111</v>
      </c>
      <c r="D522" s="529" t="s">
        <v>24</v>
      </c>
      <c r="E522" s="252"/>
      <c r="F522" s="531">
        <v>8.14</v>
      </c>
      <c r="G522" s="252">
        <f t="shared" si="9"/>
        <v>0</v>
      </c>
    </row>
    <row r="523" spans="1:7" x14ac:dyDescent="0.3">
      <c r="A523" s="524" t="s">
        <v>508</v>
      </c>
      <c r="B523" s="524" t="s">
        <v>1592</v>
      </c>
      <c r="C523" s="525" t="s">
        <v>1593</v>
      </c>
      <c r="D523" s="524" t="s">
        <v>1392</v>
      </c>
      <c r="E523" s="606">
        <v>0.3</v>
      </c>
      <c r="F523" s="526">
        <v>18</v>
      </c>
      <c r="G523" s="252">
        <f t="shared" ref="G523:G525" si="10">TRUNC(E523*F523,2)</f>
        <v>5.4</v>
      </c>
    </row>
    <row r="524" spans="1:7" x14ac:dyDescent="0.3">
      <c r="A524" s="524" t="s">
        <v>522</v>
      </c>
      <c r="B524" s="524" t="s">
        <v>1579</v>
      </c>
      <c r="C524" s="525" t="s">
        <v>1580</v>
      </c>
      <c r="D524" s="524" t="s">
        <v>32</v>
      </c>
      <c r="E524" s="606">
        <v>0.1</v>
      </c>
      <c r="F524" s="526" t="s">
        <v>1582</v>
      </c>
      <c r="G524" s="252">
        <f t="shared" si="10"/>
        <v>1.88</v>
      </c>
    </row>
    <row r="525" spans="1:7" x14ac:dyDescent="0.3">
      <c r="A525" s="524" t="s">
        <v>522</v>
      </c>
      <c r="B525" s="524" t="s">
        <v>1359</v>
      </c>
      <c r="C525" s="525" t="s">
        <v>801</v>
      </c>
      <c r="D525" s="524" t="s">
        <v>32</v>
      </c>
      <c r="E525" s="524">
        <v>0.06</v>
      </c>
      <c r="F525" s="526" t="s">
        <v>1361</v>
      </c>
      <c r="G525" s="252">
        <f t="shared" si="10"/>
        <v>0.86</v>
      </c>
    </row>
    <row r="526" spans="1:7" x14ac:dyDescent="0.3">
      <c r="A526" s="680" t="s">
        <v>1152</v>
      </c>
      <c r="B526" s="681"/>
      <c r="C526" s="681"/>
      <c r="D526" s="681"/>
      <c r="E526" s="681"/>
      <c r="F526" s="682"/>
      <c r="G526" s="527">
        <f>SUM(G522:G525)</f>
        <v>8.14</v>
      </c>
    </row>
    <row r="527" spans="1:7" x14ac:dyDescent="0.3">
      <c r="A527" s="683">
        <f>TRUNC(E527*F527,2)</f>
        <v>0</v>
      </c>
      <c r="B527" s="684"/>
      <c r="C527" s="684"/>
      <c r="D527" s="684"/>
      <c r="E527" s="684"/>
      <c r="F527" s="684"/>
      <c r="G527" s="685"/>
    </row>
    <row r="528" spans="1:7" ht="28.8" x14ac:dyDescent="0.3">
      <c r="A528" s="529" t="s">
        <v>133</v>
      </c>
      <c r="B528" s="529">
        <v>100725</v>
      </c>
      <c r="C528" s="530" t="s">
        <v>804</v>
      </c>
      <c r="D528" s="529" t="s">
        <v>24</v>
      </c>
      <c r="E528" s="252"/>
      <c r="F528" s="531">
        <v>16.12</v>
      </c>
      <c r="G528" s="252">
        <f t="shared" si="9"/>
        <v>0</v>
      </c>
    </row>
    <row r="529" spans="1:7" x14ac:dyDescent="0.3">
      <c r="A529" s="524" t="s">
        <v>508</v>
      </c>
      <c r="B529" s="524" t="s">
        <v>1597</v>
      </c>
      <c r="C529" s="525" t="s">
        <v>1598</v>
      </c>
      <c r="D529" s="524" t="s">
        <v>1392</v>
      </c>
      <c r="E529" s="524" t="s">
        <v>1604</v>
      </c>
      <c r="F529" s="528" t="s">
        <v>1600</v>
      </c>
      <c r="G529" s="252">
        <f t="shared" si="9"/>
        <v>0.77</v>
      </c>
    </row>
    <row r="530" spans="1:7" x14ac:dyDescent="0.3">
      <c r="A530" s="524" t="s">
        <v>508</v>
      </c>
      <c r="B530" s="524" t="s">
        <v>1605</v>
      </c>
      <c r="C530" s="525" t="s">
        <v>1606</v>
      </c>
      <c r="D530" s="524" t="s">
        <v>1392</v>
      </c>
      <c r="E530" s="524" t="s">
        <v>1607</v>
      </c>
      <c r="F530" s="528" t="s">
        <v>1615</v>
      </c>
      <c r="G530" s="252">
        <f t="shared" si="9"/>
        <v>5.16</v>
      </c>
    </row>
    <row r="531" spans="1:7" x14ac:dyDescent="0.3">
      <c r="A531" s="524" t="s">
        <v>522</v>
      </c>
      <c r="B531" s="524" t="s">
        <v>1579</v>
      </c>
      <c r="C531" s="525" t="s">
        <v>1580</v>
      </c>
      <c r="D531" s="524" t="s">
        <v>32</v>
      </c>
      <c r="E531" s="524" t="s">
        <v>1608</v>
      </c>
      <c r="F531" s="528" t="s">
        <v>1582</v>
      </c>
      <c r="G531" s="252">
        <f t="shared" si="9"/>
        <v>9.94</v>
      </c>
    </row>
    <row r="532" spans="1:7" ht="43.2" x14ac:dyDescent="0.3">
      <c r="A532" s="524" t="s">
        <v>522</v>
      </c>
      <c r="B532" s="524" t="s">
        <v>1609</v>
      </c>
      <c r="C532" s="525" t="s">
        <v>1610</v>
      </c>
      <c r="D532" s="524" t="s">
        <v>1437</v>
      </c>
      <c r="E532" s="524" t="s">
        <v>1611</v>
      </c>
      <c r="F532" s="528" t="s">
        <v>1616</v>
      </c>
      <c r="G532" s="252">
        <f t="shared" si="9"/>
        <v>0.05</v>
      </c>
    </row>
    <row r="533" spans="1:7" ht="43.2" x14ac:dyDescent="0.3">
      <c r="A533" s="524" t="s">
        <v>522</v>
      </c>
      <c r="B533" s="524" t="s">
        <v>1612</v>
      </c>
      <c r="C533" s="525" t="s">
        <v>1613</v>
      </c>
      <c r="D533" s="524" t="s">
        <v>410</v>
      </c>
      <c r="E533" s="524" t="s">
        <v>1614</v>
      </c>
      <c r="F533" s="528" t="s">
        <v>1617</v>
      </c>
      <c r="G533" s="252">
        <f t="shared" si="9"/>
        <v>0.2</v>
      </c>
    </row>
    <row r="534" spans="1:7" x14ac:dyDescent="0.3">
      <c r="A534" s="680" t="s">
        <v>1152</v>
      </c>
      <c r="B534" s="681"/>
      <c r="C534" s="681"/>
      <c r="D534" s="681"/>
      <c r="E534" s="681"/>
      <c r="F534" s="682"/>
      <c r="G534" s="527">
        <f>SUM(G528:G533)</f>
        <v>16.12</v>
      </c>
    </row>
    <row r="535" spans="1:7" x14ac:dyDescent="0.3">
      <c r="A535" s="683">
        <f>TRUNC(E535*F535,2)</f>
        <v>0</v>
      </c>
      <c r="B535" s="684"/>
      <c r="C535" s="684"/>
      <c r="D535" s="684"/>
      <c r="E535" s="684"/>
      <c r="F535" s="684"/>
      <c r="G535" s="685"/>
    </row>
    <row r="536" spans="1:7" ht="28.8" x14ac:dyDescent="0.3">
      <c r="A536" s="529" t="s">
        <v>136</v>
      </c>
      <c r="B536" s="529">
        <v>100727</v>
      </c>
      <c r="C536" s="530" t="s">
        <v>805</v>
      </c>
      <c r="D536" s="529" t="s">
        <v>24</v>
      </c>
      <c r="E536" s="252"/>
      <c r="F536" s="531">
        <v>11.97</v>
      </c>
      <c r="G536" s="252">
        <f t="shared" si="9"/>
        <v>0</v>
      </c>
    </row>
    <row r="537" spans="1:7" x14ac:dyDescent="0.3">
      <c r="A537" s="524" t="s">
        <v>508</v>
      </c>
      <c r="B537" s="524" t="s">
        <v>1618</v>
      </c>
      <c r="C537" s="525" t="s">
        <v>1619</v>
      </c>
      <c r="D537" s="524" t="s">
        <v>1392</v>
      </c>
      <c r="E537" s="524" t="s">
        <v>1620</v>
      </c>
      <c r="F537" s="528" t="s">
        <v>1621</v>
      </c>
      <c r="G537" s="252">
        <f t="shared" si="9"/>
        <v>1.08</v>
      </c>
    </row>
    <row r="538" spans="1:7" x14ac:dyDescent="0.3">
      <c r="A538" s="524" t="s">
        <v>508</v>
      </c>
      <c r="B538" s="524" t="s">
        <v>1622</v>
      </c>
      <c r="C538" s="525" t="s">
        <v>1623</v>
      </c>
      <c r="D538" s="524" t="s">
        <v>1624</v>
      </c>
      <c r="E538" s="524" t="s">
        <v>1625</v>
      </c>
      <c r="F538" s="528" t="s">
        <v>1626</v>
      </c>
      <c r="G538" s="252">
        <f t="shared" si="9"/>
        <v>9.6199999999999992</v>
      </c>
    </row>
    <row r="539" spans="1:7" x14ac:dyDescent="0.3">
      <c r="A539" s="524" t="s">
        <v>522</v>
      </c>
      <c r="B539" s="524" t="s">
        <v>1627</v>
      </c>
      <c r="C539" s="525" t="s">
        <v>1628</v>
      </c>
      <c r="D539" s="524" t="s">
        <v>32</v>
      </c>
      <c r="E539" s="524" t="s">
        <v>1629</v>
      </c>
      <c r="F539" s="528" t="s">
        <v>1630</v>
      </c>
      <c r="G539" s="252">
        <f t="shared" si="9"/>
        <v>1.25</v>
      </c>
    </row>
    <row r="540" spans="1:7" ht="43.2" x14ac:dyDescent="0.3">
      <c r="A540" s="524" t="s">
        <v>522</v>
      </c>
      <c r="B540" s="524" t="s">
        <v>1612</v>
      </c>
      <c r="C540" s="525" t="s">
        <v>1613</v>
      </c>
      <c r="D540" s="524" t="s">
        <v>410</v>
      </c>
      <c r="E540" s="524" t="s">
        <v>1631</v>
      </c>
      <c r="F540" s="528" t="s">
        <v>1617</v>
      </c>
      <c r="G540" s="252">
        <f t="shared" si="9"/>
        <v>0.02</v>
      </c>
    </row>
    <row r="541" spans="1:7" x14ac:dyDescent="0.3">
      <c r="A541" s="680" t="s">
        <v>1152</v>
      </c>
      <c r="B541" s="681"/>
      <c r="C541" s="681"/>
      <c r="D541" s="681"/>
      <c r="E541" s="681"/>
      <c r="F541" s="682"/>
      <c r="G541" s="527">
        <f>SUM(G535:G540)</f>
        <v>11.969999999999999</v>
      </c>
    </row>
    <row r="542" spans="1:7" x14ac:dyDescent="0.3">
      <c r="A542" s="683">
        <f>TRUNC(E542*F542,2)</f>
        <v>0</v>
      </c>
      <c r="B542" s="684"/>
      <c r="C542" s="684"/>
      <c r="D542" s="684"/>
      <c r="E542" s="684"/>
      <c r="F542" s="684"/>
      <c r="G542" s="685"/>
    </row>
    <row r="543" spans="1:7" x14ac:dyDescent="0.3">
      <c r="A543" s="529" t="s">
        <v>138</v>
      </c>
      <c r="B543" s="529">
        <v>84665</v>
      </c>
      <c r="C543" s="530" t="s">
        <v>114</v>
      </c>
      <c r="D543" s="529" t="s">
        <v>24</v>
      </c>
      <c r="E543" s="252"/>
      <c r="F543" s="531">
        <v>16.66</v>
      </c>
      <c r="G543" s="252">
        <f t="shared" si="9"/>
        <v>0</v>
      </c>
    </row>
    <row r="544" spans="1:7" ht="28.8" x14ac:dyDescent="0.3">
      <c r="A544" s="524" t="s">
        <v>508</v>
      </c>
      <c r="B544" s="524" t="s">
        <v>1632</v>
      </c>
      <c r="C544" s="525" t="s">
        <v>1633</v>
      </c>
      <c r="D544" s="524" t="s">
        <v>1392</v>
      </c>
      <c r="E544" s="524" t="s">
        <v>1634</v>
      </c>
      <c r="F544" s="528" t="s">
        <v>1635</v>
      </c>
      <c r="G544" s="252">
        <f t="shared" si="9"/>
        <v>2.48</v>
      </c>
    </row>
    <row r="545" spans="1:7" x14ac:dyDescent="0.3">
      <c r="A545" s="524" t="s">
        <v>522</v>
      </c>
      <c r="B545" s="524" t="s">
        <v>1579</v>
      </c>
      <c r="C545" s="525" t="s">
        <v>1580</v>
      </c>
      <c r="D545" s="524" t="s">
        <v>32</v>
      </c>
      <c r="E545" s="524" t="s">
        <v>1636</v>
      </c>
      <c r="F545" s="528" t="s">
        <v>1582</v>
      </c>
      <c r="G545" s="252">
        <f t="shared" si="9"/>
        <v>9.44</v>
      </c>
    </row>
    <row r="546" spans="1:7" x14ac:dyDescent="0.3">
      <c r="A546" s="524" t="s">
        <v>522</v>
      </c>
      <c r="B546" s="524" t="s">
        <v>1359</v>
      </c>
      <c r="C546" s="525" t="s">
        <v>801</v>
      </c>
      <c r="D546" s="524" t="s">
        <v>32</v>
      </c>
      <c r="E546" s="524" t="s">
        <v>1594</v>
      </c>
      <c r="F546" s="528" t="s">
        <v>1361</v>
      </c>
      <c r="G546" s="252">
        <f t="shared" si="9"/>
        <v>4.74</v>
      </c>
    </row>
    <row r="547" spans="1:7" x14ac:dyDescent="0.3">
      <c r="A547" s="680" t="s">
        <v>1152</v>
      </c>
      <c r="B547" s="681"/>
      <c r="C547" s="681"/>
      <c r="D547" s="681"/>
      <c r="E547" s="681"/>
      <c r="F547" s="682"/>
      <c r="G547" s="527">
        <f>SUM(G543:G546)</f>
        <v>16.66</v>
      </c>
    </row>
    <row r="548" spans="1:7" x14ac:dyDescent="0.3">
      <c r="A548" s="683">
        <f>TRUNC(E548*F548,2)</f>
        <v>0</v>
      </c>
      <c r="B548" s="684"/>
      <c r="C548" s="684"/>
      <c r="D548" s="684"/>
      <c r="E548" s="684"/>
      <c r="F548" s="684"/>
      <c r="G548" s="685"/>
    </row>
    <row r="549" spans="1:7" x14ac:dyDescent="0.3">
      <c r="A549" s="529" t="s">
        <v>160</v>
      </c>
      <c r="B549" s="529"/>
      <c r="C549" s="530" t="s">
        <v>117</v>
      </c>
      <c r="D549" s="529"/>
      <c r="E549" s="252"/>
      <c r="F549" s="531"/>
      <c r="G549" s="252">
        <f t="shared" si="9"/>
        <v>0</v>
      </c>
    </row>
    <row r="550" spans="1:7" ht="28.8" x14ac:dyDescent="0.3">
      <c r="A550" s="529" t="s">
        <v>162</v>
      </c>
      <c r="B550" s="529">
        <v>91932</v>
      </c>
      <c r="C550" s="530" t="s">
        <v>119</v>
      </c>
      <c r="D550" s="529" t="s">
        <v>55</v>
      </c>
      <c r="E550" s="252"/>
      <c r="F550" s="531">
        <v>9.9499999999999993</v>
      </c>
      <c r="G550" s="252">
        <f t="shared" si="9"/>
        <v>0</v>
      </c>
    </row>
    <row r="551" spans="1:7" ht="28.8" x14ac:dyDescent="0.3">
      <c r="A551" s="524" t="s">
        <v>508</v>
      </c>
      <c r="B551" s="524" t="s">
        <v>1637</v>
      </c>
      <c r="C551" s="525" t="s">
        <v>1638</v>
      </c>
      <c r="D551" s="524" t="s">
        <v>55</v>
      </c>
      <c r="E551" s="524" t="s">
        <v>1639</v>
      </c>
      <c r="F551" s="528" t="s">
        <v>1640</v>
      </c>
      <c r="G551" s="252">
        <f t="shared" si="9"/>
        <v>7.41</v>
      </c>
    </row>
    <row r="552" spans="1:7" x14ac:dyDescent="0.3">
      <c r="A552" s="524" t="s">
        <v>508</v>
      </c>
      <c r="B552" s="524" t="s">
        <v>1641</v>
      </c>
      <c r="C552" s="525" t="s">
        <v>1642</v>
      </c>
      <c r="D552" s="524" t="s">
        <v>397</v>
      </c>
      <c r="E552" s="524" t="s">
        <v>1643</v>
      </c>
      <c r="F552" s="528" t="s">
        <v>1644</v>
      </c>
      <c r="G552" s="252">
        <f t="shared" si="9"/>
        <v>0.03</v>
      </c>
    </row>
    <row r="553" spans="1:7" x14ac:dyDescent="0.3">
      <c r="A553" s="524" t="s">
        <v>522</v>
      </c>
      <c r="B553" s="524" t="s">
        <v>611</v>
      </c>
      <c r="C553" s="525" t="s">
        <v>546</v>
      </c>
      <c r="D553" s="524" t="s">
        <v>32</v>
      </c>
      <c r="E553" s="524" t="s">
        <v>1645</v>
      </c>
      <c r="F553" s="528" t="s">
        <v>1646</v>
      </c>
      <c r="G553" s="252">
        <f t="shared" si="9"/>
        <v>1.1000000000000001</v>
      </c>
    </row>
    <row r="554" spans="1:7" x14ac:dyDescent="0.3">
      <c r="A554" s="524" t="s">
        <v>522</v>
      </c>
      <c r="B554" s="524" t="s">
        <v>610</v>
      </c>
      <c r="C554" s="525" t="s">
        <v>543</v>
      </c>
      <c r="D554" s="524" t="s">
        <v>32</v>
      </c>
      <c r="E554" s="524" t="s">
        <v>1645</v>
      </c>
      <c r="F554" s="528" t="s">
        <v>1647</v>
      </c>
      <c r="G554" s="252">
        <f t="shared" si="9"/>
        <v>1.41</v>
      </c>
    </row>
    <row r="555" spans="1:7" x14ac:dyDescent="0.3">
      <c r="A555" s="680" t="s">
        <v>1152</v>
      </c>
      <c r="B555" s="681"/>
      <c r="C555" s="681"/>
      <c r="D555" s="681"/>
      <c r="E555" s="681"/>
      <c r="F555" s="682"/>
      <c r="G555" s="527">
        <f>SUM(G551:G554)</f>
        <v>9.9500000000000011</v>
      </c>
    </row>
    <row r="556" spans="1:7" x14ac:dyDescent="0.3">
      <c r="A556" s="683">
        <f>TRUNC(E556*F556,2)</f>
        <v>0</v>
      </c>
      <c r="B556" s="684"/>
      <c r="C556" s="684"/>
      <c r="D556" s="684"/>
      <c r="E556" s="684"/>
      <c r="F556" s="684"/>
      <c r="G556" s="685"/>
    </row>
    <row r="557" spans="1:7" ht="28.8" x14ac:dyDescent="0.3">
      <c r="A557" s="529" t="s">
        <v>163</v>
      </c>
      <c r="B557" s="529">
        <v>91930</v>
      </c>
      <c r="C557" s="530" t="s">
        <v>121</v>
      </c>
      <c r="D557" s="529" t="s">
        <v>55</v>
      </c>
      <c r="E557" s="252"/>
      <c r="F557" s="531">
        <v>5.5</v>
      </c>
      <c r="G557" s="252">
        <f t="shared" si="9"/>
        <v>0</v>
      </c>
    </row>
    <row r="558" spans="1:7" ht="28.8" x14ac:dyDescent="0.3">
      <c r="A558" s="524" t="s">
        <v>508</v>
      </c>
      <c r="B558" s="524" t="s">
        <v>1648</v>
      </c>
      <c r="C558" s="525" t="s">
        <v>1649</v>
      </c>
      <c r="D558" s="524" t="s">
        <v>55</v>
      </c>
      <c r="E558" s="606">
        <v>1.036</v>
      </c>
      <c r="F558" s="528" t="s">
        <v>1650</v>
      </c>
      <c r="G558" s="252">
        <f t="shared" si="9"/>
        <v>3.78</v>
      </c>
    </row>
    <row r="559" spans="1:7" x14ac:dyDescent="0.3">
      <c r="A559" s="524" t="s">
        <v>508</v>
      </c>
      <c r="B559" s="524" t="s">
        <v>1641</v>
      </c>
      <c r="C559" s="525" t="s">
        <v>1642</v>
      </c>
      <c r="D559" s="524" t="s">
        <v>397</v>
      </c>
      <c r="E559" s="524" t="s">
        <v>1643</v>
      </c>
      <c r="F559" s="528" t="s">
        <v>1644</v>
      </c>
      <c r="G559" s="252">
        <f t="shared" si="9"/>
        <v>0.03</v>
      </c>
    </row>
    <row r="560" spans="1:7" x14ac:dyDescent="0.3">
      <c r="A560" s="524" t="s">
        <v>522</v>
      </c>
      <c r="B560" s="524" t="s">
        <v>611</v>
      </c>
      <c r="C560" s="525" t="s">
        <v>546</v>
      </c>
      <c r="D560" s="524" t="s">
        <v>32</v>
      </c>
      <c r="E560" s="524" t="s">
        <v>1651</v>
      </c>
      <c r="F560" s="528" t="s">
        <v>1646</v>
      </c>
      <c r="G560" s="252">
        <f t="shared" si="9"/>
        <v>0.74</v>
      </c>
    </row>
    <row r="561" spans="1:7" x14ac:dyDescent="0.3">
      <c r="A561" s="524" t="s">
        <v>522</v>
      </c>
      <c r="B561" s="524" t="s">
        <v>610</v>
      </c>
      <c r="C561" s="525" t="s">
        <v>543</v>
      </c>
      <c r="D561" s="524" t="s">
        <v>32</v>
      </c>
      <c r="E561" s="524" t="s">
        <v>1651</v>
      </c>
      <c r="F561" s="528" t="s">
        <v>1647</v>
      </c>
      <c r="G561" s="252">
        <f t="shared" si="9"/>
        <v>0.95</v>
      </c>
    </row>
    <row r="562" spans="1:7" x14ac:dyDescent="0.3">
      <c r="A562" s="680" t="s">
        <v>1152</v>
      </c>
      <c r="B562" s="681"/>
      <c r="C562" s="681"/>
      <c r="D562" s="681"/>
      <c r="E562" s="681"/>
      <c r="F562" s="682"/>
      <c r="G562" s="527">
        <f>SUM(G557:G561)</f>
        <v>5.5</v>
      </c>
    </row>
    <row r="563" spans="1:7" x14ac:dyDescent="0.3">
      <c r="A563" s="683">
        <f>TRUNC(E563*F563,2)</f>
        <v>0</v>
      </c>
      <c r="B563" s="684"/>
      <c r="C563" s="684"/>
      <c r="D563" s="684"/>
      <c r="E563" s="684"/>
      <c r="F563" s="684"/>
      <c r="G563" s="685"/>
    </row>
    <row r="564" spans="1:7" ht="28.8" x14ac:dyDescent="0.3">
      <c r="A564" s="529" t="s">
        <v>164</v>
      </c>
      <c r="B564" s="529">
        <v>91928</v>
      </c>
      <c r="C564" s="530" t="s">
        <v>123</v>
      </c>
      <c r="D564" s="529" t="s">
        <v>55</v>
      </c>
      <c r="E564" s="252"/>
      <c r="F564" s="531">
        <v>4.42</v>
      </c>
      <c r="G564" s="252">
        <f t="shared" si="9"/>
        <v>0</v>
      </c>
    </row>
    <row r="565" spans="1:7" ht="28.8" x14ac:dyDescent="0.3">
      <c r="A565" s="524" t="s">
        <v>508</v>
      </c>
      <c r="B565" s="524" t="s">
        <v>1652</v>
      </c>
      <c r="C565" s="525" t="s">
        <v>1653</v>
      </c>
      <c r="D565" s="524" t="s">
        <v>55</v>
      </c>
      <c r="E565" s="524" t="s">
        <v>1639</v>
      </c>
      <c r="F565" s="528" t="s">
        <v>1654</v>
      </c>
      <c r="G565" s="252">
        <f t="shared" si="9"/>
        <v>3.09</v>
      </c>
    </row>
    <row r="566" spans="1:7" x14ac:dyDescent="0.3">
      <c r="A566" s="524" t="s">
        <v>508</v>
      </c>
      <c r="B566" s="524" t="s">
        <v>1641</v>
      </c>
      <c r="C566" s="525" t="s">
        <v>1642</v>
      </c>
      <c r="D566" s="524" t="s">
        <v>397</v>
      </c>
      <c r="E566" s="524" t="s">
        <v>1643</v>
      </c>
      <c r="F566" s="528" t="s">
        <v>1644</v>
      </c>
      <c r="G566" s="252">
        <f t="shared" si="9"/>
        <v>0.03</v>
      </c>
    </row>
    <row r="567" spans="1:7" x14ac:dyDescent="0.3">
      <c r="A567" s="524" t="s">
        <v>522</v>
      </c>
      <c r="B567" s="524" t="s">
        <v>611</v>
      </c>
      <c r="C567" s="525" t="s">
        <v>546</v>
      </c>
      <c r="D567" s="524" t="s">
        <v>32</v>
      </c>
      <c r="E567" s="524" t="s">
        <v>1599</v>
      </c>
      <c r="F567" s="528" t="s">
        <v>1646</v>
      </c>
      <c r="G567" s="252">
        <f t="shared" si="9"/>
        <v>0.56999999999999995</v>
      </c>
    </row>
    <row r="568" spans="1:7" x14ac:dyDescent="0.3">
      <c r="A568" s="524" t="s">
        <v>522</v>
      </c>
      <c r="B568" s="524" t="s">
        <v>610</v>
      </c>
      <c r="C568" s="525" t="s">
        <v>543</v>
      </c>
      <c r="D568" s="524" t="s">
        <v>32</v>
      </c>
      <c r="E568" s="524" t="s">
        <v>1599</v>
      </c>
      <c r="F568" s="528" t="s">
        <v>1647</v>
      </c>
      <c r="G568" s="252">
        <f t="shared" si="9"/>
        <v>0.73</v>
      </c>
    </row>
    <row r="569" spans="1:7" x14ac:dyDescent="0.3">
      <c r="A569" s="680" t="s">
        <v>1152</v>
      </c>
      <c r="B569" s="681"/>
      <c r="C569" s="681"/>
      <c r="D569" s="681"/>
      <c r="E569" s="681"/>
      <c r="F569" s="682"/>
      <c r="G569" s="527">
        <f>SUM(G565:G568)</f>
        <v>4.42</v>
      </c>
    </row>
    <row r="570" spans="1:7" x14ac:dyDescent="0.3">
      <c r="A570" s="683">
        <f>TRUNC(E570*F570,2)</f>
        <v>0</v>
      </c>
      <c r="B570" s="684"/>
      <c r="C570" s="684"/>
      <c r="D570" s="684"/>
      <c r="E570" s="684"/>
      <c r="F570" s="684"/>
      <c r="G570" s="685"/>
    </row>
    <row r="571" spans="1:7" ht="28.8" x14ac:dyDescent="0.3">
      <c r="A571" s="529" t="s">
        <v>165</v>
      </c>
      <c r="B571" s="529">
        <v>91927</v>
      </c>
      <c r="C571" s="530" t="s">
        <v>125</v>
      </c>
      <c r="D571" s="529" t="s">
        <v>55</v>
      </c>
      <c r="E571" s="252"/>
      <c r="F571" s="531">
        <v>3</v>
      </c>
      <c r="G571" s="252">
        <f t="shared" si="9"/>
        <v>0</v>
      </c>
    </row>
    <row r="572" spans="1:7" ht="43.2" x14ac:dyDescent="0.3">
      <c r="A572" s="524" t="s">
        <v>508</v>
      </c>
      <c r="B572" s="524" t="s">
        <v>1655</v>
      </c>
      <c r="C572" s="525" t="s">
        <v>1656</v>
      </c>
      <c r="D572" s="524" t="s">
        <v>55</v>
      </c>
      <c r="E572" s="606">
        <v>1</v>
      </c>
      <c r="F572" s="528">
        <v>2</v>
      </c>
      <c r="G572" s="252">
        <f t="shared" si="9"/>
        <v>2</v>
      </c>
    </row>
    <row r="573" spans="1:7" x14ac:dyDescent="0.3">
      <c r="A573" s="524" t="s">
        <v>508</v>
      </c>
      <c r="B573" s="524" t="s">
        <v>1641</v>
      </c>
      <c r="C573" s="525" t="s">
        <v>1642</v>
      </c>
      <c r="D573" s="524" t="s">
        <v>397</v>
      </c>
      <c r="E573" s="524" t="s">
        <v>1643</v>
      </c>
      <c r="F573" s="528" t="s">
        <v>1644</v>
      </c>
      <c r="G573" s="252">
        <f t="shared" si="9"/>
        <v>0.03</v>
      </c>
    </row>
    <row r="574" spans="1:7" x14ac:dyDescent="0.3">
      <c r="A574" s="524" t="s">
        <v>522</v>
      </c>
      <c r="B574" s="524" t="s">
        <v>611</v>
      </c>
      <c r="C574" s="525" t="s">
        <v>546</v>
      </c>
      <c r="D574" s="524" t="s">
        <v>32</v>
      </c>
      <c r="E574" s="524" t="s">
        <v>1657</v>
      </c>
      <c r="F574" s="528" t="s">
        <v>1646</v>
      </c>
      <c r="G574" s="252">
        <f t="shared" si="9"/>
        <v>0.42</v>
      </c>
    </row>
    <row r="575" spans="1:7" x14ac:dyDescent="0.3">
      <c r="A575" s="524" t="s">
        <v>522</v>
      </c>
      <c r="B575" s="524" t="s">
        <v>610</v>
      </c>
      <c r="C575" s="525" t="s">
        <v>543</v>
      </c>
      <c r="D575" s="524" t="s">
        <v>32</v>
      </c>
      <c r="E575" s="524" t="s">
        <v>1657</v>
      </c>
      <c r="F575" s="528" t="s">
        <v>1647</v>
      </c>
      <c r="G575" s="252">
        <f t="shared" si="9"/>
        <v>0.55000000000000004</v>
      </c>
    </row>
    <row r="576" spans="1:7" x14ac:dyDescent="0.3">
      <c r="A576" s="680" t="s">
        <v>1152</v>
      </c>
      <c r="B576" s="681"/>
      <c r="C576" s="681"/>
      <c r="D576" s="681"/>
      <c r="E576" s="681"/>
      <c r="F576" s="682"/>
      <c r="G576" s="527">
        <f>SUM(G572:G575)</f>
        <v>3</v>
      </c>
    </row>
    <row r="577" spans="1:7" x14ac:dyDescent="0.3">
      <c r="A577" s="683">
        <f>TRUNC(E577*F577,2)</f>
        <v>0</v>
      </c>
      <c r="B577" s="684"/>
      <c r="C577" s="684"/>
      <c r="D577" s="684"/>
      <c r="E577" s="684"/>
      <c r="F577" s="684"/>
      <c r="G577" s="685"/>
    </row>
    <row r="578" spans="1:7" ht="28.8" x14ac:dyDescent="0.3">
      <c r="A578" s="529" t="s">
        <v>166</v>
      </c>
      <c r="B578" s="529">
        <v>90447</v>
      </c>
      <c r="C578" s="530" t="s">
        <v>127</v>
      </c>
      <c r="D578" s="529" t="s">
        <v>55</v>
      </c>
      <c r="E578" s="252"/>
      <c r="F578" s="531">
        <v>4.45</v>
      </c>
      <c r="G578" s="252">
        <f t="shared" si="9"/>
        <v>0</v>
      </c>
    </row>
    <row r="579" spans="1:7" x14ac:dyDescent="0.3">
      <c r="A579" s="524" t="s">
        <v>522</v>
      </c>
      <c r="B579" s="524" t="s">
        <v>611</v>
      </c>
      <c r="C579" s="525" t="s">
        <v>546</v>
      </c>
      <c r="D579" s="524" t="s">
        <v>32</v>
      </c>
      <c r="E579" s="524" t="s">
        <v>1658</v>
      </c>
      <c r="F579" s="528" t="s">
        <v>1646</v>
      </c>
      <c r="G579" s="252">
        <f t="shared" si="9"/>
        <v>0.48</v>
      </c>
    </row>
    <row r="580" spans="1:7" x14ac:dyDescent="0.3">
      <c r="A580" s="524" t="s">
        <v>522</v>
      </c>
      <c r="B580" s="524" t="s">
        <v>610</v>
      </c>
      <c r="C580" s="525" t="s">
        <v>543</v>
      </c>
      <c r="D580" s="524" t="s">
        <v>32</v>
      </c>
      <c r="E580" s="524" t="s">
        <v>1659</v>
      </c>
      <c r="F580" s="528" t="s">
        <v>1647</v>
      </c>
      <c r="G580" s="252">
        <f t="shared" si="9"/>
        <v>3.97</v>
      </c>
    </row>
    <row r="581" spans="1:7" x14ac:dyDescent="0.3">
      <c r="A581" s="680" t="s">
        <v>1152</v>
      </c>
      <c r="B581" s="681"/>
      <c r="C581" s="681"/>
      <c r="D581" s="681"/>
      <c r="E581" s="681"/>
      <c r="F581" s="682"/>
      <c r="G581" s="527">
        <f>SUM(G577:G580)</f>
        <v>4.45</v>
      </c>
    </row>
    <row r="582" spans="1:7" x14ac:dyDescent="0.3">
      <c r="A582" s="683">
        <f>TRUNC(E582*F582,2)</f>
        <v>0</v>
      </c>
      <c r="B582" s="684"/>
      <c r="C582" s="684"/>
      <c r="D582" s="684"/>
      <c r="E582" s="684"/>
      <c r="F582" s="684"/>
      <c r="G582" s="685"/>
    </row>
    <row r="583" spans="1:7" ht="28.8" x14ac:dyDescent="0.3">
      <c r="A583" s="529" t="s">
        <v>167</v>
      </c>
      <c r="B583" s="529">
        <v>91836</v>
      </c>
      <c r="C583" s="530" t="s">
        <v>130</v>
      </c>
      <c r="D583" s="529" t="s">
        <v>55</v>
      </c>
      <c r="E583" s="252"/>
      <c r="F583" s="531">
        <v>7.55</v>
      </c>
      <c r="G583" s="252">
        <f t="shared" si="9"/>
        <v>0</v>
      </c>
    </row>
    <row r="584" spans="1:7" x14ac:dyDescent="0.3">
      <c r="A584" s="524" t="s">
        <v>508</v>
      </c>
      <c r="B584" s="524" t="s">
        <v>1660</v>
      </c>
      <c r="C584" s="525" t="s">
        <v>1661</v>
      </c>
      <c r="D584" s="524" t="s">
        <v>55</v>
      </c>
      <c r="E584" s="524" t="s">
        <v>1662</v>
      </c>
      <c r="F584" s="528" t="s">
        <v>1663</v>
      </c>
      <c r="G584" s="252">
        <f t="shared" si="9"/>
        <v>2.46</v>
      </c>
    </row>
    <row r="585" spans="1:7" x14ac:dyDescent="0.3">
      <c r="A585" s="524" t="s">
        <v>522</v>
      </c>
      <c r="B585" s="524" t="s">
        <v>611</v>
      </c>
      <c r="C585" s="525" t="s">
        <v>546</v>
      </c>
      <c r="D585" s="524" t="s">
        <v>32</v>
      </c>
      <c r="E585" s="524" t="s">
        <v>1664</v>
      </c>
      <c r="F585" s="528" t="s">
        <v>1646</v>
      </c>
      <c r="G585" s="252">
        <f t="shared" si="9"/>
        <v>1.28</v>
      </c>
    </row>
    <row r="586" spans="1:7" x14ac:dyDescent="0.3">
      <c r="A586" s="524" t="s">
        <v>522</v>
      </c>
      <c r="B586" s="524" t="s">
        <v>610</v>
      </c>
      <c r="C586" s="525" t="s">
        <v>543</v>
      </c>
      <c r="D586" s="524" t="s">
        <v>32</v>
      </c>
      <c r="E586" s="524" t="s">
        <v>1664</v>
      </c>
      <c r="F586" s="528" t="s">
        <v>1647</v>
      </c>
      <c r="G586" s="252">
        <f t="shared" si="9"/>
        <v>1.65</v>
      </c>
    </row>
    <row r="587" spans="1:7" ht="43.2" x14ac:dyDescent="0.3">
      <c r="A587" s="524" t="s">
        <v>522</v>
      </c>
      <c r="B587" s="524" t="s">
        <v>959</v>
      </c>
      <c r="C587" s="525" t="s">
        <v>960</v>
      </c>
      <c r="D587" s="524" t="s">
        <v>55</v>
      </c>
      <c r="E587" s="524" t="s">
        <v>1122</v>
      </c>
      <c r="F587" s="528" t="s">
        <v>962</v>
      </c>
      <c r="G587" s="252">
        <f t="shared" si="9"/>
        <v>2.16</v>
      </c>
    </row>
    <row r="588" spans="1:7" x14ac:dyDescent="0.3">
      <c r="A588" s="680" t="s">
        <v>1152</v>
      </c>
      <c r="B588" s="681"/>
      <c r="C588" s="681"/>
      <c r="D588" s="681"/>
      <c r="E588" s="681"/>
      <c r="F588" s="682"/>
      <c r="G588" s="527">
        <f>SUM(G584:G587)</f>
        <v>7.5500000000000007</v>
      </c>
    </row>
    <row r="589" spans="1:7" x14ac:dyDescent="0.3">
      <c r="A589" s="683">
        <f>TRUNC(E589*F589,2)</f>
        <v>0</v>
      </c>
      <c r="B589" s="684"/>
      <c r="C589" s="684"/>
      <c r="D589" s="684"/>
      <c r="E589" s="684"/>
      <c r="F589" s="684"/>
      <c r="G589" s="685"/>
    </row>
    <row r="590" spans="1:7" ht="28.8" x14ac:dyDescent="0.3">
      <c r="A590" s="529" t="s">
        <v>169</v>
      </c>
      <c r="B590" s="529">
        <v>91869</v>
      </c>
      <c r="C590" s="530" t="s">
        <v>132</v>
      </c>
      <c r="D590" s="529" t="s">
        <v>55</v>
      </c>
      <c r="E590" s="252"/>
      <c r="F590" s="531">
        <v>10.32</v>
      </c>
      <c r="G590" s="252">
        <f t="shared" si="9"/>
        <v>0</v>
      </c>
    </row>
    <row r="591" spans="1:7" x14ac:dyDescent="0.3">
      <c r="A591" s="524" t="s">
        <v>508</v>
      </c>
      <c r="B591" s="524" t="s">
        <v>1665</v>
      </c>
      <c r="C591" s="525" t="s">
        <v>1666</v>
      </c>
      <c r="D591" s="524" t="s">
        <v>55</v>
      </c>
      <c r="E591" s="524" t="s">
        <v>1667</v>
      </c>
      <c r="F591" s="528" t="s">
        <v>1668</v>
      </c>
      <c r="G591" s="252">
        <f t="shared" si="9"/>
        <v>5.26</v>
      </c>
    </row>
    <row r="592" spans="1:7" ht="28.8" x14ac:dyDescent="0.3">
      <c r="A592" s="524" t="s">
        <v>508</v>
      </c>
      <c r="B592" s="524" t="s">
        <v>1669</v>
      </c>
      <c r="C592" s="525" t="s">
        <v>1670</v>
      </c>
      <c r="D592" s="524" t="s">
        <v>426</v>
      </c>
      <c r="E592" s="524" t="s">
        <v>1671</v>
      </c>
      <c r="F592" s="528" t="s">
        <v>1672</v>
      </c>
      <c r="G592" s="252">
        <f t="shared" si="9"/>
        <v>0.03</v>
      </c>
    </row>
    <row r="593" spans="1:7" x14ac:dyDescent="0.3">
      <c r="A593" s="524" t="s">
        <v>522</v>
      </c>
      <c r="B593" s="524" t="s">
        <v>611</v>
      </c>
      <c r="C593" s="525" t="s">
        <v>546</v>
      </c>
      <c r="D593" s="524" t="s">
        <v>32</v>
      </c>
      <c r="E593" s="524" t="s">
        <v>1673</v>
      </c>
      <c r="F593" s="528" t="s">
        <v>1646</v>
      </c>
      <c r="G593" s="252">
        <f t="shared" si="9"/>
        <v>2.2000000000000002</v>
      </c>
    </row>
    <row r="594" spans="1:7" x14ac:dyDescent="0.3">
      <c r="A594" s="524" t="s">
        <v>522</v>
      </c>
      <c r="B594" s="524" t="s">
        <v>610</v>
      </c>
      <c r="C594" s="525" t="s">
        <v>543</v>
      </c>
      <c r="D594" s="524" t="s">
        <v>32</v>
      </c>
      <c r="E594" s="524" t="s">
        <v>1673</v>
      </c>
      <c r="F594" s="528" t="s">
        <v>1647</v>
      </c>
      <c r="G594" s="252">
        <f t="shared" si="9"/>
        <v>2.83</v>
      </c>
    </row>
    <row r="595" spans="1:7" x14ac:dyDescent="0.3">
      <c r="A595" s="680" t="s">
        <v>1152</v>
      </c>
      <c r="B595" s="681"/>
      <c r="C595" s="681"/>
      <c r="D595" s="681"/>
      <c r="E595" s="681"/>
      <c r="F595" s="682"/>
      <c r="G595" s="527">
        <f>SUM(G591:G594)</f>
        <v>10.32</v>
      </c>
    </row>
    <row r="596" spans="1:7" x14ac:dyDescent="0.3">
      <c r="A596" s="683">
        <f>TRUNC(E596*F596,2)</f>
        <v>0</v>
      </c>
      <c r="B596" s="684"/>
      <c r="C596" s="684"/>
      <c r="D596" s="684"/>
      <c r="E596" s="684"/>
      <c r="F596" s="684"/>
      <c r="G596" s="685"/>
    </row>
    <row r="597" spans="1:7" x14ac:dyDescent="0.3">
      <c r="A597" s="529" t="s">
        <v>171</v>
      </c>
      <c r="B597" s="529">
        <v>91990</v>
      </c>
      <c r="C597" s="530" t="s">
        <v>134</v>
      </c>
      <c r="D597" s="529" t="s">
        <v>44</v>
      </c>
      <c r="E597" s="252"/>
      <c r="F597" s="531">
        <v>20.73</v>
      </c>
      <c r="G597" s="252">
        <f t="shared" si="9"/>
        <v>0</v>
      </c>
    </row>
    <row r="598" spans="1:7" x14ac:dyDescent="0.3">
      <c r="A598" s="524" t="s">
        <v>508</v>
      </c>
      <c r="B598" s="524" t="s">
        <v>1674</v>
      </c>
      <c r="C598" s="525" t="s">
        <v>1675</v>
      </c>
      <c r="D598" s="524" t="s">
        <v>397</v>
      </c>
      <c r="E598" s="524" t="s">
        <v>1122</v>
      </c>
      <c r="F598" s="528" t="s">
        <v>1676</v>
      </c>
      <c r="G598" s="252">
        <f t="shared" si="9"/>
        <v>4.5199999999999996</v>
      </c>
    </row>
    <row r="599" spans="1:7" x14ac:dyDescent="0.3">
      <c r="A599" s="524" t="s">
        <v>522</v>
      </c>
      <c r="B599" s="524" t="s">
        <v>611</v>
      </c>
      <c r="C599" s="525" t="s">
        <v>546</v>
      </c>
      <c r="D599" s="524" t="s">
        <v>32</v>
      </c>
      <c r="E599" s="524" t="s">
        <v>1677</v>
      </c>
      <c r="F599" s="528" t="s">
        <v>1646</v>
      </c>
      <c r="G599" s="252">
        <f t="shared" si="9"/>
        <v>7.1</v>
      </c>
    </row>
    <row r="600" spans="1:7" x14ac:dyDescent="0.3">
      <c r="A600" s="524" t="s">
        <v>522</v>
      </c>
      <c r="B600" s="524" t="s">
        <v>610</v>
      </c>
      <c r="C600" s="525" t="s">
        <v>543</v>
      </c>
      <c r="D600" s="524" t="s">
        <v>32</v>
      </c>
      <c r="E600" s="524" t="s">
        <v>1677</v>
      </c>
      <c r="F600" s="528" t="s">
        <v>1647</v>
      </c>
      <c r="G600" s="252">
        <f t="shared" si="9"/>
        <v>9.11</v>
      </c>
    </row>
    <row r="601" spans="1:7" x14ac:dyDescent="0.3">
      <c r="A601" s="680" t="s">
        <v>1152</v>
      </c>
      <c r="B601" s="681"/>
      <c r="C601" s="681"/>
      <c r="D601" s="681"/>
      <c r="E601" s="681"/>
      <c r="F601" s="682"/>
      <c r="G601" s="527">
        <f>SUM(G597:G600)</f>
        <v>20.729999999999997</v>
      </c>
    </row>
    <row r="602" spans="1:7" x14ac:dyDescent="0.3">
      <c r="A602" s="683">
        <f>TRUNC(E602*F602,2)</f>
        <v>0</v>
      </c>
      <c r="B602" s="684"/>
      <c r="C602" s="684"/>
      <c r="D602" s="684"/>
      <c r="E602" s="684"/>
      <c r="F602" s="684"/>
      <c r="G602" s="685"/>
    </row>
    <row r="603" spans="1:7" x14ac:dyDescent="0.3">
      <c r="A603" s="529" t="s">
        <v>173</v>
      </c>
      <c r="B603" s="529">
        <v>91991</v>
      </c>
      <c r="C603" s="530" t="s">
        <v>137</v>
      </c>
      <c r="D603" s="529" t="s">
        <v>44</v>
      </c>
      <c r="E603" s="252"/>
      <c r="F603" s="531">
        <v>21.99</v>
      </c>
      <c r="G603" s="252">
        <f t="shared" si="9"/>
        <v>0</v>
      </c>
    </row>
    <row r="604" spans="1:7" x14ac:dyDescent="0.3">
      <c r="A604" s="524" t="s">
        <v>508</v>
      </c>
      <c r="B604" s="524" t="s">
        <v>1678</v>
      </c>
      <c r="C604" s="525" t="s">
        <v>1679</v>
      </c>
      <c r="D604" s="524" t="s">
        <v>397</v>
      </c>
      <c r="E604" s="524" t="s">
        <v>1122</v>
      </c>
      <c r="F604" s="528" t="s">
        <v>1680</v>
      </c>
      <c r="G604" s="252">
        <f t="shared" si="9"/>
        <v>5.78</v>
      </c>
    </row>
    <row r="605" spans="1:7" x14ac:dyDescent="0.3">
      <c r="A605" s="524" t="s">
        <v>522</v>
      </c>
      <c r="B605" s="524" t="s">
        <v>611</v>
      </c>
      <c r="C605" s="525" t="s">
        <v>546</v>
      </c>
      <c r="D605" s="524" t="s">
        <v>32</v>
      </c>
      <c r="E605" s="524" t="s">
        <v>1677</v>
      </c>
      <c r="F605" s="528" t="s">
        <v>1646</v>
      </c>
      <c r="G605" s="252">
        <f t="shared" si="9"/>
        <v>7.1</v>
      </c>
    </row>
    <row r="606" spans="1:7" x14ac:dyDescent="0.3">
      <c r="A606" s="524" t="s">
        <v>522</v>
      </c>
      <c r="B606" s="524" t="s">
        <v>610</v>
      </c>
      <c r="C606" s="525" t="s">
        <v>543</v>
      </c>
      <c r="D606" s="524" t="s">
        <v>32</v>
      </c>
      <c r="E606" s="524" t="s">
        <v>1677</v>
      </c>
      <c r="F606" s="528" t="s">
        <v>1647</v>
      </c>
      <c r="G606" s="252">
        <f t="shared" si="9"/>
        <v>9.11</v>
      </c>
    </row>
    <row r="607" spans="1:7" x14ac:dyDescent="0.3">
      <c r="A607" s="680" t="s">
        <v>1152</v>
      </c>
      <c r="B607" s="681"/>
      <c r="C607" s="681"/>
      <c r="D607" s="681"/>
      <c r="E607" s="681"/>
      <c r="F607" s="682"/>
      <c r="G607" s="527">
        <f>SUM(G603:G606)</f>
        <v>21.99</v>
      </c>
    </row>
    <row r="608" spans="1:7" x14ac:dyDescent="0.3">
      <c r="A608" s="683">
        <f>TRUNC(E608*F608,2)</f>
        <v>0</v>
      </c>
      <c r="B608" s="684"/>
      <c r="C608" s="684"/>
      <c r="D608" s="684"/>
      <c r="E608" s="684"/>
      <c r="F608" s="684"/>
      <c r="G608" s="685"/>
    </row>
    <row r="609" spans="1:7" ht="28.8" x14ac:dyDescent="0.3">
      <c r="A609" s="529" t="s">
        <v>175</v>
      </c>
      <c r="B609" s="529">
        <v>91953</v>
      </c>
      <c r="C609" s="530" t="s">
        <v>139</v>
      </c>
      <c r="D609" s="529" t="s">
        <v>44</v>
      </c>
      <c r="E609" s="252"/>
      <c r="F609" s="531">
        <v>16.14</v>
      </c>
      <c r="G609" s="252">
        <f t="shared" si="9"/>
        <v>0</v>
      </c>
    </row>
    <row r="610" spans="1:7" ht="28.8" x14ac:dyDescent="0.3">
      <c r="A610" s="524" t="s">
        <v>522</v>
      </c>
      <c r="B610" s="524" t="s">
        <v>1885</v>
      </c>
      <c r="C610" s="525" t="s">
        <v>1886</v>
      </c>
      <c r="D610" s="524" t="s">
        <v>397</v>
      </c>
      <c r="E610" s="524" t="s">
        <v>1122</v>
      </c>
      <c r="F610" s="528" t="s">
        <v>1887</v>
      </c>
      <c r="G610" s="252">
        <f t="shared" si="9"/>
        <v>4.82</v>
      </c>
    </row>
    <row r="611" spans="1:7" ht="28.8" x14ac:dyDescent="0.3">
      <c r="A611" s="524" t="s">
        <v>522</v>
      </c>
      <c r="B611" s="524" t="s">
        <v>1888</v>
      </c>
      <c r="C611" s="525" t="s">
        <v>1889</v>
      </c>
      <c r="D611" s="524" t="s">
        <v>397</v>
      </c>
      <c r="E611" s="524" t="s">
        <v>1122</v>
      </c>
      <c r="F611" s="528" t="s">
        <v>1890</v>
      </c>
      <c r="G611" s="252">
        <f t="shared" si="9"/>
        <v>11.32</v>
      </c>
    </row>
    <row r="612" spans="1:7" x14ac:dyDescent="0.3">
      <c r="A612" s="680" t="s">
        <v>1152</v>
      </c>
      <c r="B612" s="681"/>
      <c r="C612" s="681"/>
      <c r="D612" s="681"/>
      <c r="E612" s="681"/>
      <c r="F612" s="682"/>
      <c r="G612" s="252">
        <f>SUM(G609:G611)</f>
        <v>16.14</v>
      </c>
    </row>
    <row r="613" spans="1:7" x14ac:dyDescent="0.3">
      <c r="A613" s="683">
        <f>TRUNC(E613*F613,2)</f>
        <v>0</v>
      </c>
      <c r="B613" s="684"/>
      <c r="C613" s="684"/>
      <c r="D613" s="684"/>
      <c r="E613" s="684"/>
      <c r="F613" s="684"/>
      <c r="G613" s="685"/>
    </row>
    <row r="614" spans="1:7" ht="28.8" x14ac:dyDescent="0.3">
      <c r="A614" s="529" t="s">
        <v>177</v>
      </c>
      <c r="B614" s="529">
        <v>91959</v>
      </c>
      <c r="C614" s="530" t="s">
        <v>140</v>
      </c>
      <c r="D614" s="529" t="s">
        <v>44</v>
      </c>
      <c r="E614" s="252"/>
      <c r="F614" s="531">
        <v>25.5</v>
      </c>
      <c r="G614" s="252">
        <f t="shared" si="9"/>
        <v>0</v>
      </c>
    </row>
    <row r="615" spans="1:7" ht="28.8" x14ac:dyDescent="0.3">
      <c r="A615" s="524" t="s">
        <v>522</v>
      </c>
      <c r="B615" s="524" t="s">
        <v>1885</v>
      </c>
      <c r="C615" s="525" t="s">
        <v>1886</v>
      </c>
      <c r="D615" s="524" t="s">
        <v>397</v>
      </c>
      <c r="E615" s="524" t="s">
        <v>1122</v>
      </c>
      <c r="F615" s="528" t="s">
        <v>1887</v>
      </c>
      <c r="G615" s="252">
        <f t="shared" si="9"/>
        <v>4.82</v>
      </c>
    </row>
    <row r="616" spans="1:7" ht="28.8" x14ac:dyDescent="0.3">
      <c r="A616" s="524" t="s">
        <v>522</v>
      </c>
      <c r="B616" s="524" t="s">
        <v>1891</v>
      </c>
      <c r="C616" s="525" t="s">
        <v>1892</v>
      </c>
      <c r="D616" s="524" t="s">
        <v>397</v>
      </c>
      <c r="E616" s="524" t="s">
        <v>1122</v>
      </c>
      <c r="F616" s="528" t="s">
        <v>1893</v>
      </c>
      <c r="G616" s="252">
        <f t="shared" si="9"/>
        <v>20.68</v>
      </c>
    </row>
    <row r="617" spans="1:7" x14ac:dyDescent="0.3">
      <c r="A617" s="680" t="s">
        <v>1152</v>
      </c>
      <c r="B617" s="681"/>
      <c r="C617" s="681"/>
      <c r="D617" s="681"/>
      <c r="E617" s="681"/>
      <c r="F617" s="682"/>
      <c r="G617" s="252">
        <f>SUM(G614:G616)</f>
        <v>25.5</v>
      </c>
    </row>
    <row r="618" spans="1:7" x14ac:dyDescent="0.3">
      <c r="A618" s="683">
        <f>TRUNC(E618*F618,2)</f>
        <v>0</v>
      </c>
      <c r="B618" s="684"/>
      <c r="C618" s="684"/>
      <c r="D618" s="684"/>
      <c r="E618" s="684"/>
      <c r="F618" s="684"/>
      <c r="G618" s="685"/>
    </row>
    <row r="619" spans="1:7" ht="28.8" x14ac:dyDescent="0.3">
      <c r="A619" s="529" t="s">
        <v>675</v>
      </c>
      <c r="B619" s="529">
        <v>93653</v>
      </c>
      <c r="C619" s="530" t="s">
        <v>141</v>
      </c>
      <c r="D619" s="529" t="s">
        <v>44</v>
      </c>
      <c r="E619" s="252"/>
      <c r="F619" s="531">
        <v>9.3699999999999992</v>
      </c>
      <c r="G619" s="252">
        <f t="shared" si="9"/>
        <v>0</v>
      </c>
    </row>
    <row r="620" spans="1:7" ht="28.8" x14ac:dyDescent="0.3">
      <c r="A620" s="524" t="s">
        <v>508</v>
      </c>
      <c r="B620" s="524" t="s">
        <v>1894</v>
      </c>
      <c r="C620" s="525" t="s">
        <v>1895</v>
      </c>
      <c r="D620" s="524" t="s">
        <v>397</v>
      </c>
      <c r="E620" s="524" t="s">
        <v>1122</v>
      </c>
      <c r="F620" s="528" t="s">
        <v>1896</v>
      </c>
      <c r="G620" s="252">
        <f t="shared" si="9"/>
        <v>0.69</v>
      </c>
    </row>
    <row r="621" spans="1:7" x14ac:dyDescent="0.3">
      <c r="A621" s="524" t="s">
        <v>508</v>
      </c>
      <c r="B621" s="524" t="s">
        <v>1897</v>
      </c>
      <c r="C621" s="525" t="s">
        <v>1898</v>
      </c>
      <c r="D621" s="524" t="s">
        <v>397</v>
      </c>
      <c r="E621" s="524" t="s">
        <v>1122</v>
      </c>
      <c r="F621" s="528" t="s">
        <v>1899</v>
      </c>
      <c r="G621" s="252">
        <f t="shared" si="9"/>
        <v>7.54</v>
      </c>
    </row>
    <row r="622" spans="1:7" x14ac:dyDescent="0.3">
      <c r="A622" s="524" t="s">
        <v>522</v>
      </c>
      <c r="B622" s="524" t="s">
        <v>611</v>
      </c>
      <c r="C622" s="525" t="s">
        <v>546</v>
      </c>
      <c r="D622" s="524" t="s">
        <v>32</v>
      </c>
      <c r="E622" s="524" t="s">
        <v>1900</v>
      </c>
      <c r="F622" s="528" t="s">
        <v>1646</v>
      </c>
      <c r="G622" s="252">
        <f t="shared" si="9"/>
        <v>0.5</v>
      </c>
    </row>
    <row r="623" spans="1:7" x14ac:dyDescent="0.3">
      <c r="A623" s="524" t="s">
        <v>522</v>
      </c>
      <c r="B623" s="524" t="s">
        <v>610</v>
      </c>
      <c r="C623" s="525" t="s">
        <v>543</v>
      </c>
      <c r="D623" s="524" t="s">
        <v>32</v>
      </c>
      <c r="E623" s="524" t="s">
        <v>1900</v>
      </c>
      <c r="F623" s="528" t="s">
        <v>1647</v>
      </c>
      <c r="G623" s="252">
        <f t="shared" si="9"/>
        <v>0.64</v>
      </c>
    </row>
    <row r="624" spans="1:7" x14ac:dyDescent="0.3">
      <c r="A624" s="680" t="s">
        <v>1152</v>
      </c>
      <c r="B624" s="681"/>
      <c r="C624" s="681"/>
      <c r="D624" s="681"/>
      <c r="E624" s="681"/>
      <c r="F624" s="682"/>
      <c r="G624" s="252">
        <f>SUM(G619:G623)</f>
        <v>9.370000000000001</v>
      </c>
    </row>
    <row r="625" spans="1:7" x14ac:dyDescent="0.3">
      <c r="A625" s="683">
        <f>TRUNC(E625*F625,2)</f>
        <v>0</v>
      </c>
      <c r="B625" s="684"/>
      <c r="C625" s="684"/>
      <c r="D625" s="684"/>
      <c r="E625" s="684"/>
      <c r="F625" s="684"/>
      <c r="G625" s="685"/>
    </row>
    <row r="626" spans="1:7" ht="28.8" x14ac:dyDescent="0.3">
      <c r="A626" s="529" t="s">
        <v>676</v>
      </c>
      <c r="B626" s="529">
        <v>93655</v>
      </c>
      <c r="C626" s="530" t="s">
        <v>142</v>
      </c>
      <c r="D626" s="529" t="s">
        <v>44</v>
      </c>
      <c r="E626" s="252"/>
      <c r="F626" s="531">
        <v>10.59</v>
      </c>
      <c r="G626" s="252">
        <f t="shared" si="9"/>
        <v>0</v>
      </c>
    </row>
    <row r="627" spans="1:7" ht="28.8" x14ac:dyDescent="0.3">
      <c r="A627" s="524" t="s">
        <v>508</v>
      </c>
      <c r="B627" s="524" t="s">
        <v>1901</v>
      </c>
      <c r="C627" s="525" t="s">
        <v>1902</v>
      </c>
      <c r="D627" s="524" t="s">
        <v>397</v>
      </c>
      <c r="E627" s="524" t="s">
        <v>1122</v>
      </c>
      <c r="F627" s="528" t="s">
        <v>1903</v>
      </c>
      <c r="G627" s="252">
        <f t="shared" si="9"/>
        <v>0.9</v>
      </c>
    </row>
    <row r="628" spans="1:7" x14ac:dyDescent="0.3">
      <c r="A628" s="524" t="s">
        <v>508</v>
      </c>
      <c r="B628" s="524" t="s">
        <v>1897</v>
      </c>
      <c r="C628" s="525" t="s">
        <v>1898</v>
      </c>
      <c r="D628" s="524" t="s">
        <v>397</v>
      </c>
      <c r="E628" s="524" t="s">
        <v>1122</v>
      </c>
      <c r="F628" s="528" t="s">
        <v>1899</v>
      </c>
      <c r="G628" s="252">
        <f t="shared" si="9"/>
        <v>7.54</v>
      </c>
    </row>
    <row r="629" spans="1:7" x14ac:dyDescent="0.3">
      <c r="A629" s="524" t="s">
        <v>522</v>
      </c>
      <c r="B629" s="524" t="s">
        <v>611</v>
      </c>
      <c r="C629" s="525" t="s">
        <v>546</v>
      </c>
      <c r="D629" s="524" t="s">
        <v>32</v>
      </c>
      <c r="E629" s="524" t="s">
        <v>1904</v>
      </c>
      <c r="F629" s="528" t="s">
        <v>1646</v>
      </c>
      <c r="G629" s="252">
        <f t="shared" si="9"/>
        <v>0.94</v>
      </c>
    </row>
    <row r="630" spans="1:7" x14ac:dyDescent="0.3">
      <c r="A630" s="524" t="s">
        <v>522</v>
      </c>
      <c r="B630" s="524" t="s">
        <v>610</v>
      </c>
      <c r="C630" s="525" t="s">
        <v>543</v>
      </c>
      <c r="D630" s="524" t="s">
        <v>32</v>
      </c>
      <c r="E630" s="524" t="s">
        <v>1904</v>
      </c>
      <c r="F630" s="528" t="s">
        <v>1647</v>
      </c>
      <c r="G630" s="252">
        <f t="shared" si="9"/>
        <v>1.21</v>
      </c>
    </row>
    <row r="631" spans="1:7" x14ac:dyDescent="0.3">
      <c r="A631" s="680" t="s">
        <v>1152</v>
      </c>
      <c r="B631" s="681"/>
      <c r="C631" s="681"/>
      <c r="D631" s="681"/>
      <c r="E631" s="681"/>
      <c r="F631" s="682"/>
      <c r="G631" s="252">
        <f>SUM(G626:G630)</f>
        <v>10.59</v>
      </c>
    </row>
    <row r="632" spans="1:7" x14ac:dyDescent="0.3">
      <c r="A632" s="683">
        <f>TRUNC(E632*F632,2)</f>
        <v>0</v>
      </c>
      <c r="B632" s="684"/>
      <c r="C632" s="684"/>
      <c r="D632" s="684"/>
      <c r="E632" s="684"/>
      <c r="F632" s="684"/>
      <c r="G632" s="685"/>
    </row>
    <row r="633" spans="1:7" ht="28.8" x14ac:dyDescent="0.3">
      <c r="A633" s="529" t="s">
        <v>311</v>
      </c>
      <c r="B633" s="529">
        <v>93657</v>
      </c>
      <c r="C633" s="530" t="s">
        <v>143</v>
      </c>
      <c r="D633" s="529" t="s">
        <v>44</v>
      </c>
      <c r="E633" s="252"/>
      <c r="F633" s="531">
        <v>11.59</v>
      </c>
      <c r="G633" s="252">
        <f t="shared" si="9"/>
        <v>0</v>
      </c>
    </row>
    <row r="634" spans="1:7" ht="28.8" x14ac:dyDescent="0.3">
      <c r="A634" s="524" t="s">
        <v>508</v>
      </c>
      <c r="B634" s="524" t="s">
        <v>1905</v>
      </c>
      <c r="C634" s="525" t="s">
        <v>1906</v>
      </c>
      <c r="D634" s="524" t="s">
        <v>397</v>
      </c>
      <c r="E634" s="524" t="s">
        <v>1122</v>
      </c>
      <c r="F634" s="528" t="s">
        <v>1907</v>
      </c>
      <c r="G634" s="252">
        <f t="shared" si="9"/>
        <v>1.08</v>
      </c>
    </row>
    <row r="635" spans="1:7" x14ac:dyDescent="0.3">
      <c r="A635" s="524" t="s">
        <v>508</v>
      </c>
      <c r="B635" s="524" t="s">
        <v>1897</v>
      </c>
      <c r="C635" s="525" t="s">
        <v>1898</v>
      </c>
      <c r="D635" s="524" t="s">
        <v>397</v>
      </c>
      <c r="E635" s="524" t="s">
        <v>1122</v>
      </c>
      <c r="F635" s="528" t="s">
        <v>1899</v>
      </c>
      <c r="G635" s="252">
        <f t="shared" si="9"/>
        <v>7.54</v>
      </c>
    </row>
    <row r="636" spans="1:7" x14ac:dyDescent="0.3">
      <c r="A636" s="524" t="s">
        <v>522</v>
      </c>
      <c r="B636" s="524" t="s">
        <v>611</v>
      </c>
      <c r="C636" s="525" t="s">
        <v>546</v>
      </c>
      <c r="D636" s="524" t="s">
        <v>32</v>
      </c>
      <c r="E636" s="524" t="s">
        <v>1908</v>
      </c>
      <c r="F636" s="528" t="s">
        <v>1646</v>
      </c>
      <c r="G636" s="252">
        <f t="shared" si="9"/>
        <v>1.3</v>
      </c>
    </row>
    <row r="637" spans="1:7" x14ac:dyDescent="0.3">
      <c r="A637" s="524" t="s">
        <v>522</v>
      </c>
      <c r="B637" s="524" t="s">
        <v>610</v>
      </c>
      <c r="C637" s="525" t="s">
        <v>543</v>
      </c>
      <c r="D637" s="524" t="s">
        <v>32</v>
      </c>
      <c r="E637" s="524" t="s">
        <v>1908</v>
      </c>
      <c r="F637" s="528" t="s">
        <v>1647</v>
      </c>
      <c r="G637" s="252">
        <f t="shared" si="9"/>
        <v>1.67</v>
      </c>
    </row>
    <row r="638" spans="1:7" x14ac:dyDescent="0.3">
      <c r="A638" s="680" t="s">
        <v>1152</v>
      </c>
      <c r="B638" s="681"/>
      <c r="C638" s="681"/>
      <c r="D638" s="681"/>
      <c r="E638" s="681"/>
      <c r="F638" s="682"/>
      <c r="G638" s="252">
        <f>SUM(G633:G637)</f>
        <v>11.590000000000002</v>
      </c>
    </row>
    <row r="639" spans="1:7" x14ac:dyDescent="0.3">
      <c r="A639" s="683">
        <f>TRUNC(E639*F639,2)</f>
        <v>0</v>
      </c>
      <c r="B639" s="684"/>
      <c r="C639" s="684"/>
      <c r="D639" s="684"/>
      <c r="E639" s="684"/>
      <c r="F639" s="684"/>
      <c r="G639" s="685"/>
    </row>
    <row r="640" spans="1:7" ht="28.8" x14ac:dyDescent="0.3">
      <c r="A640" s="529" t="s">
        <v>181</v>
      </c>
      <c r="B640" s="529">
        <v>93660</v>
      </c>
      <c r="C640" s="530" t="s">
        <v>144</v>
      </c>
      <c r="D640" s="529" t="s">
        <v>44</v>
      </c>
      <c r="E640" s="252"/>
      <c r="F640" s="531">
        <v>46.9</v>
      </c>
      <c r="G640" s="252">
        <f t="shared" si="9"/>
        <v>0</v>
      </c>
    </row>
    <row r="641" spans="1:7" ht="28.8" x14ac:dyDescent="0.3">
      <c r="A641" s="524" t="s">
        <v>508</v>
      </c>
      <c r="B641" s="524" t="s">
        <v>1894</v>
      </c>
      <c r="C641" s="525" t="s">
        <v>1895</v>
      </c>
      <c r="D641" s="524" t="s">
        <v>397</v>
      </c>
      <c r="E641" s="524" t="s">
        <v>1523</v>
      </c>
      <c r="F641" s="528" t="s">
        <v>1896</v>
      </c>
      <c r="G641" s="252">
        <f t="shared" si="9"/>
        <v>1.38</v>
      </c>
    </row>
    <row r="642" spans="1:7" x14ac:dyDescent="0.3">
      <c r="A642" s="524" t="s">
        <v>508</v>
      </c>
      <c r="B642" s="524" t="s">
        <v>1909</v>
      </c>
      <c r="C642" s="525" t="s">
        <v>1910</v>
      </c>
      <c r="D642" s="524" t="s">
        <v>397</v>
      </c>
      <c r="E642" s="524" t="s">
        <v>1122</v>
      </c>
      <c r="F642" s="528" t="s">
        <v>1911</v>
      </c>
      <c r="G642" s="252">
        <f t="shared" si="9"/>
        <v>43.24</v>
      </c>
    </row>
    <row r="643" spans="1:7" x14ac:dyDescent="0.3">
      <c r="A643" s="524" t="s">
        <v>522</v>
      </c>
      <c r="B643" s="524" t="s">
        <v>611</v>
      </c>
      <c r="C643" s="525" t="s">
        <v>546</v>
      </c>
      <c r="D643" s="524" t="s">
        <v>32</v>
      </c>
      <c r="E643" s="524" t="s">
        <v>1728</v>
      </c>
      <c r="F643" s="528" t="s">
        <v>1646</v>
      </c>
      <c r="G643" s="252">
        <f t="shared" si="9"/>
        <v>1</v>
      </c>
    </row>
    <row r="644" spans="1:7" x14ac:dyDescent="0.3">
      <c r="A644" s="524" t="s">
        <v>522</v>
      </c>
      <c r="B644" s="524" t="s">
        <v>610</v>
      </c>
      <c r="C644" s="525" t="s">
        <v>543</v>
      </c>
      <c r="D644" s="524" t="s">
        <v>32</v>
      </c>
      <c r="E644" s="524" t="s">
        <v>1728</v>
      </c>
      <c r="F644" s="528" t="s">
        <v>1647</v>
      </c>
      <c r="G644" s="252">
        <f t="shared" si="9"/>
        <v>1.28</v>
      </c>
    </row>
    <row r="645" spans="1:7" x14ac:dyDescent="0.3">
      <c r="A645" s="680" t="s">
        <v>1152</v>
      </c>
      <c r="B645" s="681"/>
      <c r="C645" s="681"/>
      <c r="D645" s="681"/>
      <c r="E645" s="681"/>
      <c r="F645" s="682"/>
      <c r="G645" s="252">
        <f>SUM(G640:G644)</f>
        <v>46.900000000000006</v>
      </c>
    </row>
    <row r="646" spans="1:7" x14ac:dyDescent="0.3">
      <c r="A646" s="683">
        <f>TRUNC(E646*F646,2)</f>
        <v>0</v>
      </c>
      <c r="B646" s="684"/>
      <c r="C646" s="684"/>
      <c r="D646" s="684"/>
      <c r="E646" s="684"/>
      <c r="F646" s="684"/>
      <c r="G646" s="685"/>
    </row>
    <row r="647" spans="1:7" ht="28.8" x14ac:dyDescent="0.3">
      <c r="A647" s="529" t="s">
        <v>183</v>
      </c>
      <c r="B647" s="529">
        <v>93662</v>
      </c>
      <c r="C647" s="530" t="s">
        <v>145</v>
      </c>
      <c r="D647" s="529" t="s">
        <v>44</v>
      </c>
      <c r="E647" s="252"/>
      <c r="F647" s="531">
        <v>49.38</v>
      </c>
      <c r="G647" s="252">
        <f t="shared" si="9"/>
        <v>0</v>
      </c>
    </row>
    <row r="648" spans="1:7" ht="28.8" x14ac:dyDescent="0.3">
      <c r="A648" s="524" t="s">
        <v>508</v>
      </c>
      <c r="B648" s="524" t="s">
        <v>1901</v>
      </c>
      <c r="C648" s="525" t="s">
        <v>1902</v>
      </c>
      <c r="D648" s="524" t="s">
        <v>397</v>
      </c>
      <c r="E648" s="524" t="s">
        <v>1523</v>
      </c>
      <c r="F648" s="528" t="s">
        <v>1903</v>
      </c>
      <c r="G648" s="252">
        <f t="shared" si="9"/>
        <v>1.8</v>
      </c>
    </row>
    <row r="649" spans="1:7" x14ac:dyDescent="0.3">
      <c r="A649" s="524" t="s">
        <v>508</v>
      </c>
      <c r="B649" s="524" t="s">
        <v>1909</v>
      </c>
      <c r="C649" s="525" t="s">
        <v>1910</v>
      </c>
      <c r="D649" s="524" t="s">
        <v>397</v>
      </c>
      <c r="E649" s="524" t="s">
        <v>1122</v>
      </c>
      <c r="F649" s="528" t="s">
        <v>1911</v>
      </c>
      <c r="G649" s="252">
        <f t="shared" si="9"/>
        <v>43.24</v>
      </c>
    </row>
    <row r="650" spans="1:7" x14ac:dyDescent="0.3">
      <c r="A650" s="524" t="s">
        <v>522</v>
      </c>
      <c r="B650" s="524" t="s">
        <v>611</v>
      </c>
      <c r="C650" s="525" t="s">
        <v>546</v>
      </c>
      <c r="D650" s="524" t="s">
        <v>32</v>
      </c>
      <c r="E650" s="524" t="s">
        <v>1912</v>
      </c>
      <c r="F650" s="528" t="s">
        <v>1646</v>
      </c>
      <c r="G650" s="252">
        <f t="shared" si="9"/>
        <v>1.9</v>
      </c>
    </row>
    <row r="651" spans="1:7" x14ac:dyDescent="0.3">
      <c r="A651" s="524" t="s">
        <v>522</v>
      </c>
      <c r="B651" s="524" t="s">
        <v>610</v>
      </c>
      <c r="C651" s="525" t="s">
        <v>543</v>
      </c>
      <c r="D651" s="524" t="s">
        <v>32</v>
      </c>
      <c r="E651" s="524" t="s">
        <v>1912</v>
      </c>
      <c r="F651" s="528" t="s">
        <v>1647</v>
      </c>
      <c r="G651" s="252">
        <f t="shared" si="9"/>
        <v>2.44</v>
      </c>
    </row>
    <row r="652" spans="1:7" x14ac:dyDescent="0.3">
      <c r="A652" s="680" t="s">
        <v>1152</v>
      </c>
      <c r="B652" s="681"/>
      <c r="C652" s="681"/>
      <c r="D652" s="681"/>
      <c r="E652" s="681"/>
      <c r="F652" s="682"/>
      <c r="G652" s="252">
        <f>SUM(G647:G651)</f>
        <v>49.379999999999995</v>
      </c>
    </row>
    <row r="653" spans="1:7" x14ac:dyDescent="0.3">
      <c r="A653" s="683">
        <f>TRUNC(E653*F653,2)</f>
        <v>0</v>
      </c>
      <c r="B653" s="684"/>
      <c r="C653" s="684"/>
      <c r="D653" s="684"/>
      <c r="E653" s="684"/>
      <c r="F653" s="684"/>
      <c r="G653" s="685"/>
    </row>
    <row r="654" spans="1:7" ht="28.8" x14ac:dyDescent="0.3">
      <c r="A654" s="529" t="s">
        <v>677</v>
      </c>
      <c r="B654" s="529">
        <v>93664</v>
      </c>
      <c r="C654" s="530" t="s">
        <v>146</v>
      </c>
      <c r="D654" s="529" t="s">
        <v>44</v>
      </c>
      <c r="E654" s="252"/>
      <c r="F654" s="531">
        <v>51.34</v>
      </c>
      <c r="G654" s="252">
        <f t="shared" si="9"/>
        <v>0</v>
      </c>
    </row>
    <row r="655" spans="1:7" ht="28.8" x14ac:dyDescent="0.3">
      <c r="A655" s="524" t="s">
        <v>508</v>
      </c>
      <c r="B655" s="524" t="s">
        <v>1905</v>
      </c>
      <c r="C655" s="525" t="s">
        <v>1906</v>
      </c>
      <c r="D655" s="524" t="s">
        <v>397</v>
      </c>
      <c r="E655" s="524" t="s">
        <v>1523</v>
      </c>
      <c r="F655" s="528" t="s">
        <v>1907</v>
      </c>
      <c r="G655" s="252">
        <f t="shared" si="9"/>
        <v>2.16</v>
      </c>
    </row>
    <row r="656" spans="1:7" x14ac:dyDescent="0.3">
      <c r="A656" s="524" t="s">
        <v>508</v>
      </c>
      <c r="B656" s="524" t="s">
        <v>1909</v>
      </c>
      <c r="C656" s="525" t="s">
        <v>1910</v>
      </c>
      <c r="D656" s="524" t="s">
        <v>397</v>
      </c>
      <c r="E656" s="524" t="s">
        <v>1122</v>
      </c>
      <c r="F656" s="528" t="s">
        <v>1911</v>
      </c>
      <c r="G656" s="252">
        <f t="shared" si="9"/>
        <v>43.24</v>
      </c>
    </row>
    <row r="657" spans="1:7" x14ac:dyDescent="0.3">
      <c r="A657" s="524" t="s">
        <v>522</v>
      </c>
      <c r="B657" s="524" t="s">
        <v>611</v>
      </c>
      <c r="C657" s="525" t="s">
        <v>546</v>
      </c>
      <c r="D657" s="524" t="s">
        <v>32</v>
      </c>
      <c r="E657" s="524" t="s">
        <v>1082</v>
      </c>
      <c r="F657" s="528" t="s">
        <v>1646</v>
      </c>
      <c r="G657" s="252">
        <f t="shared" si="9"/>
        <v>2.6</v>
      </c>
    </row>
    <row r="658" spans="1:7" x14ac:dyDescent="0.3">
      <c r="A658" s="524" t="s">
        <v>522</v>
      </c>
      <c r="B658" s="524" t="s">
        <v>610</v>
      </c>
      <c r="C658" s="525" t="s">
        <v>543</v>
      </c>
      <c r="D658" s="524" t="s">
        <v>32</v>
      </c>
      <c r="E658" s="524" t="s">
        <v>1082</v>
      </c>
      <c r="F658" s="528" t="s">
        <v>1647</v>
      </c>
      <c r="G658" s="252">
        <f t="shared" si="9"/>
        <v>3.34</v>
      </c>
    </row>
    <row r="659" spans="1:7" x14ac:dyDescent="0.3">
      <c r="A659" s="680" t="s">
        <v>1152</v>
      </c>
      <c r="B659" s="681"/>
      <c r="C659" s="681"/>
      <c r="D659" s="681"/>
      <c r="E659" s="681"/>
      <c r="F659" s="682"/>
      <c r="G659" s="252">
        <f>SUM(G654:G658)</f>
        <v>51.34</v>
      </c>
    </row>
    <row r="660" spans="1:7" x14ac:dyDescent="0.3">
      <c r="A660" s="683">
        <f>TRUNC(E660*F660,2)</f>
        <v>0</v>
      </c>
      <c r="B660" s="684"/>
      <c r="C660" s="684"/>
      <c r="D660" s="684"/>
      <c r="E660" s="684"/>
      <c r="F660" s="684"/>
      <c r="G660" s="685"/>
    </row>
    <row r="661" spans="1:7" ht="28.8" x14ac:dyDescent="0.3">
      <c r="A661" s="529" t="s">
        <v>678</v>
      </c>
      <c r="B661" s="529">
        <v>93673</v>
      </c>
      <c r="C661" s="530" t="s">
        <v>147</v>
      </c>
      <c r="D661" s="529" t="s">
        <v>44</v>
      </c>
      <c r="E661" s="252"/>
      <c r="F661" s="531">
        <v>75.680000000000007</v>
      </c>
      <c r="G661" s="252">
        <f t="shared" si="9"/>
        <v>0</v>
      </c>
    </row>
    <row r="662" spans="1:7" ht="28.8" x14ac:dyDescent="0.3">
      <c r="A662" s="524" t="s">
        <v>508</v>
      </c>
      <c r="B662" s="524" t="s">
        <v>1913</v>
      </c>
      <c r="C662" s="525" t="s">
        <v>1914</v>
      </c>
      <c r="D662" s="524" t="s">
        <v>397</v>
      </c>
      <c r="E662" s="524" t="s">
        <v>1915</v>
      </c>
      <c r="F662" s="528" t="s">
        <v>1916</v>
      </c>
      <c r="G662" s="252">
        <f t="shared" si="9"/>
        <v>4.1399999999999997</v>
      </c>
    </row>
    <row r="663" spans="1:7" x14ac:dyDescent="0.3">
      <c r="A663" s="524" t="s">
        <v>508</v>
      </c>
      <c r="B663" s="524" t="s">
        <v>1917</v>
      </c>
      <c r="C663" s="525" t="s">
        <v>1918</v>
      </c>
      <c r="D663" s="524" t="s">
        <v>397</v>
      </c>
      <c r="E663" s="524" t="s">
        <v>1122</v>
      </c>
      <c r="F663" s="528" t="s">
        <v>1919</v>
      </c>
      <c r="G663" s="252">
        <f t="shared" si="9"/>
        <v>52.98</v>
      </c>
    </row>
    <row r="664" spans="1:7" x14ac:dyDescent="0.3">
      <c r="A664" s="524" t="s">
        <v>522</v>
      </c>
      <c r="B664" s="524" t="s">
        <v>611</v>
      </c>
      <c r="C664" s="525" t="s">
        <v>546</v>
      </c>
      <c r="D664" s="524" t="s">
        <v>32</v>
      </c>
      <c r="E664" s="524" t="s">
        <v>1920</v>
      </c>
      <c r="F664" s="528" t="s">
        <v>1646</v>
      </c>
      <c r="G664" s="252">
        <f t="shared" si="9"/>
        <v>8.1300000000000008</v>
      </c>
    </row>
    <row r="665" spans="1:7" x14ac:dyDescent="0.3">
      <c r="A665" s="524" t="s">
        <v>522</v>
      </c>
      <c r="B665" s="524" t="s">
        <v>610</v>
      </c>
      <c r="C665" s="525" t="s">
        <v>543</v>
      </c>
      <c r="D665" s="524" t="s">
        <v>32</v>
      </c>
      <c r="E665" s="524" t="s">
        <v>1920</v>
      </c>
      <c r="F665" s="528" t="s">
        <v>1647</v>
      </c>
      <c r="G665" s="252">
        <f t="shared" si="9"/>
        <v>10.43</v>
      </c>
    </row>
    <row r="666" spans="1:7" x14ac:dyDescent="0.3">
      <c r="A666" s="680" t="s">
        <v>1152</v>
      </c>
      <c r="B666" s="681"/>
      <c r="C666" s="681"/>
      <c r="D666" s="681"/>
      <c r="E666" s="681"/>
      <c r="F666" s="682"/>
      <c r="G666" s="252">
        <f>SUM(G661:G665)</f>
        <v>75.680000000000007</v>
      </c>
    </row>
    <row r="667" spans="1:7" x14ac:dyDescent="0.3">
      <c r="A667" s="683">
        <f>TRUNC(E667*F667,2)</f>
        <v>0</v>
      </c>
      <c r="B667" s="684"/>
      <c r="C667" s="684"/>
      <c r="D667" s="684"/>
      <c r="E667" s="684"/>
      <c r="F667" s="684"/>
      <c r="G667" s="685"/>
    </row>
    <row r="668" spans="1:7" ht="28.8" x14ac:dyDescent="0.3">
      <c r="A668" s="529" t="s">
        <v>679</v>
      </c>
      <c r="B668" s="529">
        <v>93667</v>
      </c>
      <c r="C668" s="530" t="s">
        <v>148</v>
      </c>
      <c r="D668" s="529" t="s">
        <v>44</v>
      </c>
      <c r="E668" s="252"/>
      <c r="F668" s="531">
        <v>58.47</v>
      </c>
      <c r="G668" s="252">
        <f t="shared" si="9"/>
        <v>0</v>
      </c>
    </row>
    <row r="669" spans="1:7" ht="28.8" x14ac:dyDescent="0.3">
      <c r="A669" s="524" t="s">
        <v>508</v>
      </c>
      <c r="B669" s="524" t="s">
        <v>1894</v>
      </c>
      <c r="C669" s="525" t="s">
        <v>1895</v>
      </c>
      <c r="D669" s="524" t="s">
        <v>397</v>
      </c>
      <c r="E669" s="524" t="s">
        <v>1915</v>
      </c>
      <c r="F669" s="528" t="s">
        <v>1896</v>
      </c>
      <c r="G669" s="252">
        <f t="shared" si="9"/>
        <v>2.0699999999999998</v>
      </c>
    </row>
    <row r="670" spans="1:7" x14ac:dyDescent="0.3">
      <c r="A670" s="524" t="s">
        <v>508</v>
      </c>
      <c r="B670" s="524" t="s">
        <v>1917</v>
      </c>
      <c r="C670" s="525" t="s">
        <v>1918</v>
      </c>
      <c r="D670" s="524" t="s">
        <v>397</v>
      </c>
      <c r="E670" s="524" t="s">
        <v>1122</v>
      </c>
      <c r="F670" s="528" t="s">
        <v>1919</v>
      </c>
      <c r="G670" s="252">
        <f t="shared" si="9"/>
        <v>52.98</v>
      </c>
    </row>
    <row r="671" spans="1:7" x14ac:dyDescent="0.3">
      <c r="A671" s="524" t="s">
        <v>522</v>
      </c>
      <c r="B671" s="524" t="s">
        <v>611</v>
      </c>
      <c r="C671" s="525" t="s">
        <v>546</v>
      </c>
      <c r="D671" s="524" t="s">
        <v>32</v>
      </c>
      <c r="E671" s="524" t="s">
        <v>1921</v>
      </c>
      <c r="F671" s="528" t="s">
        <v>1646</v>
      </c>
      <c r="G671" s="252">
        <f t="shared" si="9"/>
        <v>1.5</v>
      </c>
    </row>
    <row r="672" spans="1:7" x14ac:dyDescent="0.3">
      <c r="A672" s="524" t="s">
        <v>522</v>
      </c>
      <c r="B672" s="524" t="s">
        <v>610</v>
      </c>
      <c r="C672" s="525" t="s">
        <v>543</v>
      </c>
      <c r="D672" s="524" t="s">
        <v>32</v>
      </c>
      <c r="E672" s="524" t="s">
        <v>1921</v>
      </c>
      <c r="F672" s="528" t="s">
        <v>1647</v>
      </c>
      <c r="G672" s="252">
        <f t="shared" si="9"/>
        <v>1.92</v>
      </c>
    </row>
    <row r="673" spans="1:7" x14ac:dyDescent="0.3">
      <c r="A673" s="680" t="s">
        <v>1152</v>
      </c>
      <c r="B673" s="681"/>
      <c r="C673" s="681"/>
      <c r="D673" s="681"/>
      <c r="E673" s="681"/>
      <c r="F673" s="682"/>
      <c r="G673" s="252">
        <f>SUM(G668:G672)</f>
        <v>58.47</v>
      </c>
    </row>
    <row r="674" spans="1:7" x14ac:dyDescent="0.3">
      <c r="A674" s="683">
        <f>TRUNC(E674*F674,2)</f>
        <v>0</v>
      </c>
      <c r="B674" s="684"/>
      <c r="C674" s="684"/>
      <c r="D674" s="684"/>
      <c r="E674" s="684"/>
      <c r="F674" s="684"/>
      <c r="G674" s="685"/>
    </row>
    <row r="675" spans="1:7" ht="28.8" x14ac:dyDescent="0.3">
      <c r="A675" s="529" t="s">
        <v>680</v>
      </c>
      <c r="B675" s="529">
        <v>93669</v>
      </c>
      <c r="C675" s="530" t="s">
        <v>149</v>
      </c>
      <c r="D675" s="529" t="s">
        <v>44</v>
      </c>
      <c r="E675" s="252"/>
      <c r="F675" s="531">
        <v>62.18</v>
      </c>
      <c r="G675" s="252">
        <f t="shared" si="9"/>
        <v>0</v>
      </c>
    </row>
    <row r="676" spans="1:7" ht="28.8" x14ac:dyDescent="0.3">
      <c r="A676" s="524" t="s">
        <v>508</v>
      </c>
      <c r="B676" s="524" t="s">
        <v>1901</v>
      </c>
      <c r="C676" s="525" t="s">
        <v>1902</v>
      </c>
      <c r="D676" s="524" t="s">
        <v>397</v>
      </c>
      <c r="E676" s="524" t="s">
        <v>1915</v>
      </c>
      <c r="F676" s="528" t="s">
        <v>1903</v>
      </c>
      <c r="G676" s="252">
        <f t="shared" si="9"/>
        <v>2.7</v>
      </c>
    </row>
    <row r="677" spans="1:7" x14ac:dyDescent="0.3">
      <c r="A677" s="524" t="s">
        <v>508</v>
      </c>
      <c r="B677" s="524" t="s">
        <v>1917</v>
      </c>
      <c r="C677" s="525" t="s">
        <v>1918</v>
      </c>
      <c r="D677" s="524" t="s">
        <v>397</v>
      </c>
      <c r="E677" s="524" t="s">
        <v>1122</v>
      </c>
      <c r="F677" s="528" t="s">
        <v>1919</v>
      </c>
      <c r="G677" s="252">
        <f t="shared" si="9"/>
        <v>52.98</v>
      </c>
    </row>
    <row r="678" spans="1:7" x14ac:dyDescent="0.3">
      <c r="A678" s="524" t="s">
        <v>522</v>
      </c>
      <c r="B678" s="524" t="s">
        <v>611</v>
      </c>
      <c r="C678" s="525" t="s">
        <v>546</v>
      </c>
      <c r="D678" s="524" t="s">
        <v>32</v>
      </c>
      <c r="E678" s="524" t="s">
        <v>1922</v>
      </c>
      <c r="F678" s="528" t="s">
        <v>1646</v>
      </c>
      <c r="G678" s="252">
        <f t="shared" si="9"/>
        <v>2.85</v>
      </c>
    </row>
    <row r="679" spans="1:7" x14ac:dyDescent="0.3">
      <c r="A679" s="524" t="s">
        <v>522</v>
      </c>
      <c r="B679" s="524" t="s">
        <v>610</v>
      </c>
      <c r="C679" s="525" t="s">
        <v>543</v>
      </c>
      <c r="D679" s="524" t="s">
        <v>32</v>
      </c>
      <c r="E679" s="524" t="s">
        <v>1922</v>
      </c>
      <c r="F679" s="528" t="s">
        <v>1647</v>
      </c>
      <c r="G679" s="252">
        <f t="shared" si="9"/>
        <v>3.65</v>
      </c>
    </row>
    <row r="680" spans="1:7" x14ac:dyDescent="0.3">
      <c r="A680" s="680" t="s">
        <v>1152</v>
      </c>
      <c r="B680" s="681"/>
      <c r="C680" s="681"/>
      <c r="D680" s="681"/>
      <c r="E680" s="681"/>
      <c r="F680" s="682"/>
      <c r="G680" s="252">
        <f>SUM(G675:G679)</f>
        <v>62.18</v>
      </c>
    </row>
    <row r="681" spans="1:7" x14ac:dyDescent="0.3">
      <c r="A681" s="683">
        <f>TRUNC(E681*F681,2)</f>
        <v>0</v>
      </c>
      <c r="B681" s="684"/>
      <c r="C681" s="684"/>
      <c r="D681" s="684"/>
      <c r="E681" s="684"/>
      <c r="F681" s="684"/>
      <c r="G681" s="685"/>
    </row>
    <row r="682" spans="1:7" ht="28.8" x14ac:dyDescent="0.3">
      <c r="A682" s="529" t="s">
        <v>681</v>
      </c>
      <c r="B682" s="529">
        <v>91941</v>
      </c>
      <c r="C682" s="530" t="s">
        <v>150</v>
      </c>
      <c r="D682" s="529" t="s">
        <v>44</v>
      </c>
      <c r="E682" s="252"/>
      <c r="F682" s="531">
        <v>6.8</v>
      </c>
      <c r="G682" s="252">
        <f t="shared" si="9"/>
        <v>0</v>
      </c>
    </row>
    <row r="683" spans="1:7" x14ac:dyDescent="0.3">
      <c r="A683" s="524" t="s">
        <v>508</v>
      </c>
      <c r="B683" s="524" t="s">
        <v>1681</v>
      </c>
      <c r="C683" s="525" t="s">
        <v>1682</v>
      </c>
      <c r="D683" s="524" t="s">
        <v>397</v>
      </c>
      <c r="E683" s="524" t="s">
        <v>1122</v>
      </c>
      <c r="F683" s="526" t="s">
        <v>1683</v>
      </c>
      <c r="G683" s="252">
        <f t="shared" si="9"/>
        <v>1.69</v>
      </c>
    </row>
    <row r="684" spans="1:7" x14ac:dyDescent="0.3">
      <c r="A684" s="524" t="s">
        <v>522</v>
      </c>
      <c r="B684" s="524" t="s">
        <v>611</v>
      </c>
      <c r="C684" s="525" t="s">
        <v>546</v>
      </c>
      <c r="D684" s="524" t="s">
        <v>32</v>
      </c>
      <c r="E684" s="524" t="s">
        <v>1684</v>
      </c>
      <c r="F684" s="526" t="s">
        <v>1646</v>
      </c>
      <c r="G684" s="252">
        <f t="shared" si="9"/>
        <v>2.0699999999999998</v>
      </c>
    </row>
    <row r="685" spans="1:7" x14ac:dyDescent="0.3">
      <c r="A685" s="524" t="s">
        <v>522</v>
      </c>
      <c r="B685" s="524" t="s">
        <v>610</v>
      </c>
      <c r="C685" s="525" t="s">
        <v>543</v>
      </c>
      <c r="D685" s="524" t="s">
        <v>32</v>
      </c>
      <c r="E685" s="524" t="s">
        <v>1684</v>
      </c>
      <c r="F685" s="526" t="s">
        <v>1647</v>
      </c>
      <c r="G685" s="252">
        <f t="shared" si="9"/>
        <v>2.66</v>
      </c>
    </row>
    <row r="686" spans="1:7" ht="28.8" x14ac:dyDescent="0.3">
      <c r="A686" s="524" t="s">
        <v>522</v>
      </c>
      <c r="B686" s="524" t="s">
        <v>1685</v>
      </c>
      <c r="C686" s="525" t="s">
        <v>1686</v>
      </c>
      <c r="D686" s="524" t="s">
        <v>41</v>
      </c>
      <c r="E686" s="524" t="s">
        <v>1687</v>
      </c>
      <c r="F686" s="526" t="s">
        <v>1688</v>
      </c>
      <c r="G686" s="252">
        <f t="shared" si="9"/>
        <v>0.38</v>
      </c>
    </row>
    <row r="687" spans="1:7" x14ac:dyDescent="0.3">
      <c r="A687" s="680" t="s">
        <v>1152</v>
      </c>
      <c r="B687" s="681"/>
      <c r="C687" s="681"/>
      <c r="D687" s="681"/>
      <c r="E687" s="681"/>
      <c r="F687" s="682"/>
      <c r="G687" s="527">
        <f>SUM(G683:G686)</f>
        <v>6.8</v>
      </c>
    </row>
    <row r="688" spans="1:7" x14ac:dyDescent="0.3">
      <c r="A688" s="683">
        <f>TRUNC(E688*F688,2)</f>
        <v>0</v>
      </c>
      <c r="B688" s="684"/>
      <c r="C688" s="684"/>
      <c r="D688" s="684"/>
      <c r="E688" s="684"/>
      <c r="F688" s="684"/>
      <c r="G688" s="685"/>
    </row>
    <row r="689" spans="1:7" ht="28.8" x14ac:dyDescent="0.3">
      <c r="A689" s="529" t="s">
        <v>682</v>
      </c>
      <c r="B689" s="529">
        <v>91944</v>
      </c>
      <c r="C689" s="530" t="s">
        <v>151</v>
      </c>
      <c r="D689" s="529" t="s">
        <v>44</v>
      </c>
      <c r="E689" s="252"/>
      <c r="F689" s="531">
        <v>9.06</v>
      </c>
      <c r="G689" s="252">
        <f t="shared" si="9"/>
        <v>0</v>
      </c>
    </row>
    <row r="690" spans="1:7" x14ac:dyDescent="0.3">
      <c r="A690" s="524" t="s">
        <v>508</v>
      </c>
      <c r="B690" s="524" t="s">
        <v>1923</v>
      </c>
      <c r="C690" s="525" t="s">
        <v>1924</v>
      </c>
      <c r="D690" s="524" t="s">
        <v>397</v>
      </c>
      <c r="E690" s="524" t="s">
        <v>1122</v>
      </c>
      <c r="F690" s="528">
        <v>3.13</v>
      </c>
      <c r="G690" s="252">
        <f t="shared" si="9"/>
        <v>3.13</v>
      </c>
    </row>
    <row r="691" spans="1:7" x14ac:dyDescent="0.3">
      <c r="A691" s="524" t="s">
        <v>522</v>
      </c>
      <c r="B691" s="524" t="s">
        <v>611</v>
      </c>
      <c r="C691" s="525" t="s">
        <v>546</v>
      </c>
      <c r="D691" s="524" t="s">
        <v>32</v>
      </c>
      <c r="E691" s="524" t="s">
        <v>1925</v>
      </c>
      <c r="F691" s="528" t="s">
        <v>1646</v>
      </c>
      <c r="G691" s="252">
        <f t="shared" si="9"/>
        <v>2.37</v>
      </c>
    </row>
    <row r="692" spans="1:7" x14ac:dyDescent="0.3">
      <c r="A692" s="524" t="s">
        <v>522</v>
      </c>
      <c r="B692" s="524" t="s">
        <v>610</v>
      </c>
      <c r="C692" s="525" t="s">
        <v>543</v>
      </c>
      <c r="D692" s="524" t="s">
        <v>32</v>
      </c>
      <c r="E692" s="524" t="s">
        <v>1925</v>
      </c>
      <c r="F692" s="528" t="s">
        <v>1647</v>
      </c>
      <c r="G692" s="252">
        <f t="shared" si="9"/>
        <v>3.05</v>
      </c>
    </row>
    <row r="693" spans="1:7" ht="28.8" x14ac:dyDescent="0.3">
      <c r="A693" s="524" t="s">
        <v>522</v>
      </c>
      <c r="B693" s="524" t="s">
        <v>1685</v>
      </c>
      <c r="C693" s="525" t="s">
        <v>1686</v>
      </c>
      <c r="D693" s="524" t="s">
        <v>41</v>
      </c>
      <c r="E693" s="524" t="s">
        <v>1926</v>
      </c>
      <c r="F693" s="528" t="s">
        <v>1688</v>
      </c>
      <c r="G693" s="252">
        <f t="shared" si="9"/>
        <v>0.51</v>
      </c>
    </row>
    <row r="694" spans="1:7" x14ac:dyDescent="0.3">
      <c r="A694" s="680" t="s">
        <v>1152</v>
      </c>
      <c r="B694" s="681"/>
      <c r="C694" s="681"/>
      <c r="D694" s="681"/>
      <c r="E694" s="681"/>
      <c r="F694" s="682"/>
      <c r="G694" s="527">
        <f>SUM(G690:G693)</f>
        <v>9.06</v>
      </c>
    </row>
    <row r="695" spans="1:7" x14ac:dyDescent="0.3">
      <c r="A695" s="683">
        <f>TRUNC(E695*F695,2)</f>
        <v>0</v>
      </c>
      <c r="B695" s="684"/>
      <c r="C695" s="684"/>
      <c r="D695" s="684"/>
      <c r="E695" s="684"/>
      <c r="F695" s="684"/>
      <c r="G695" s="685"/>
    </row>
    <row r="696" spans="1:7" ht="43.2" x14ac:dyDescent="0.3">
      <c r="A696" s="529" t="s">
        <v>683</v>
      </c>
      <c r="B696" s="529">
        <v>83463</v>
      </c>
      <c r="C696" s="530" t="s">
        <v>152</v>
      </c>
      <c r="D696" s="529" t="s">
        <v>44</v>
      </c>
      <c r="E696" s="252"/>
      <c r="F696" s="531">
        <v>356.52</v>
      </c>
      <c r="G696" s="252">
        <f t="shared" si="9"/>
        <v>0</v>
      </c>
    </row>
    <row r="697" spans="1:7" ht="28.8" x14ac:dyDescent="0.3">
      <c r="A697" s="524" t="s">
        <v>508</v>
      </c>
      <c r="B697" s="524" t="s">
        <v>1927</v>
      </c>
      <c r="C697" s="525" t="s">
        <v>1928</v>
      </c>
      <c r="D697" s="524" t="s">
        <v>397</v>
      </c>
      <c r="E697" s="524" t="s">
        <v>1122</v>
      </c>
      <c r="F697" s="528" t="s">
        <v>1929</v>
      </c>
      <c r="G697" s="252">
        <f t="shared" si="9"/>
        <v>291.10000000000002</v>
      </c>
    </row>
    <row r="698" spans="1:7" x14ac:dyDescent="0.3">
      <c r="A698" s="524" t="s">
        <v>522</v>
      </c>
      <c r="B698" s="524" t="s">
        <v>611</v>
      </c>
      <c r="C698" s="525" t="s">
        <v>546</v>
      </c>
      <c r="D698" s="524" t="s">
        <v>32</v>
      </c>
      <c r="E698" s="524" t="s">
        <v>1523</v>
      </c>
      <c r="F698" s="528" t="s">
        <v>1646</v>
      </c>
      <c r="G698" s="252">
        <f t="shared" si="9"/>
        <v>28.66</v>
      </c>
    </row>
    <row r="699" spans="1:7" x14ac:dyDescent="0.3">
      <c r="A699" s="524" t="s">
        <v>522</v>
      </c>
      <c r="B699" s="524" t="s">
        <v>610</v>
      </c>
      <c r="C699" s="525" t="s">
        <v>543</v>
      </c>
      <c r="D699" s="524" t="s">
        <v>32</v>
      </c>
      <c r="E699" s="524" t="s">
        <v>1523</v>
      </c>
      <c r="F699" s="528" t="s">
        <v>1647</v>
      </c>
      <c r="G699" s="252">
        <f t="shared" si="9"/>
        <v>36.76</v>
      </c>
    </row>
    <row r="700" spans="1:7" x14ac:dyDescent="0.3">
      <c r="A700" s="680" t="s">
        <v>1152</v>
      </c>
      <c r="B700" s="681"/>
      <c r="C700" s="681"/>
      <c r="D700" s="681"/>
      <c r="E700" s="681"/>
      <c r="F700" s="682"/>
      <c r="G700" s="527">
        <f>SUM(G696:G699)</f>
        <v>356.52000000000004</v>
      </c>
    </row>
    <row r="701" spans="1:7" x14ac:dyDescent="0.3">
      <c r="A701" s="683">
        <f>TRUNC(E701*F701,2)</f>
        <v>0</v>
      </c>
      <c r="B701" s="684"/>
      <c r="C701" s="684"/>
      <c r="D701" s="684"/>
      <c r="E701" s="684"/>
      <c r="F701" s="684"/>
      <c r="G701" s="685"/>
    </row>
    <row r="702" spans="1:7" ht="43.2" x14ac:dyDescent="0.3">
      <c r="A702" s="529" t="s">
        <v>684</v>
      </c>
      <c r="B702" s="529" t="s">
        <v>153</v>
      </c>
      <c r="C702" s="530" t="s">
        <v>154</v>
      </c>
      <c r="D702" s="529" t="s">
        <v>44</v>
      </c>
      <c r="E702" s="252"/>
      <c r="F702" s="531">
        <v>606.13</v>
      </c>
      <c r="G702" s="252">
        <f t="shared" si="9"/>
        <v>0</v>
      </c>
    </row>
    <row r="703" spans="1:7" ht="28.8" x14ac:dyDescent="0.3">
      <c r="A703" s="524" t="s">
        <v>508</v>
      </c>
      <c r="B703" s="524" t="s">
        <v>1930</v>
      </c>
      <c r="C703" s="525" t="s">
        <v>1931</v>
      </c>
      <c r="D703" s="524" t="s">
        <v>397</v>
      </c>
      <c r="E703" s="524" t="s">
        <v>1122</v>
      </c>
      <c r="F703" s="528" t="s">
        <v>1932</v>
      </c>
      <c r="G703" s="252">
        <f t="shared" si="9"/>
        <v>491.65</v>
      </c>
    </row>
    <row r="704" spans="1:7" x14ac:dyDescent="0.3">
      <c r="A704" s="524" t="s">
        <v>522</v>
      </c>
      <c r="B704" s="524" t="s">
        <v>611</v>
      </c>
      <c r="C704" s="525" t="s">
        <v>546</v>
      </c>
      <c r="D704" s="524" t="s">
        <v>32</v>
      </c>
      <c r="E704" s="524" t="s">
        <v>1933</v>
      </c>
      <c r="F704" s="528" t="s">
        <v>1646</v>
      </c>
      <c r="G704" s="252">
        <f t="shared" si="9"/>
        <v>50.15</v>
      </c>
    </row>
    <row r="705" spans="1:7" x14ac:dyDescent="0.3">
      <c r="A705" s="524" t="s">
        <v>522</v>
      </c>
      <c r="B705" s="524" t="s">
        <v>610</v>
      </c>
      <c r="C705" s="525" t="s">
        <v>543</v>
      </c>
      <c r="D705" s="524" t="s">
        <v>32</v>
      </c>
      <c r="E705" s="524" t="s">
        <v>1933</v>
      </c>
      <c r="F705" s="528" t="s">
        <v>1647</v>
      </c>
      <c r="G705" s="252">
        <f t="shared" si="9"/>
        <v>64.33</v>
      </c>
    </row>
    <row r="706" spans="1:7" x14ac:dyDescent="0.3">
      <c r="A706" s="680" t="s">
        <v>1152</v>
      </c>
      <c r="B706" s="681"/>
      <c r="C706" s="681"/>
      <c r="D706" s="681"/>
      <c r="E706" s="681"/>
      <c r="F706" s="682"/>
      <c r="G706" s="527">
        <f>SUM(G702:G705)</f>
        <v>606.13</v>
      </c>
    </row>
    <row r="707" spans="1:7" x14ac:dyDescent="0.3">
      <c r="A707" s="683">
        <f>TRUNC(E707*F707,2)</f>
        <v>0</v>
      </c>
      <c r="B707" s="684"/>
      <c r="C707" s="684"/>
      <c r="D707" s="684"/>
      <c r="E707" s="684"/>
      <c r="F707" s="684"/>
      <c r="G707" s="685"/>
    </row>
    <row r="708" spans="1:7" ht="28.8" x14ac:dyDescent="0.3">
      <c r="A708" s="529" t="s">
        <v>685</v>
      </c>
      <c r="B708" s="529">
        <v>93012</v>
      </c>
      <c r="C708" s="530" t="s">
        <v>155</v>
      </c>
      <c r="D708" s="529" t="s">
        <v>55</v>
      </c>
      <c r="E708" s="252"/>
      <c r="F708" s="531">
        <v>36.47</v>
      </c>
      <c r="G708" s="252">
        <f t="shared" si="9"/>
        <v>0</v>
      </c>
    </row>
    <row r="709" spans="1:7" x14ac:dyDescent="0.3">
      <c r="A709" s="524" t="s">
        <v>508</v>
      </c>
      <c r="B709" s="524" t="s">
        <v>1934</v>
      </c>
      <c r="C709" s="525" t="s">
        <v>1935</v>
      </c>
      <c r="D709" s="524" t="s">
        <v>55</v>
      </c>
      <c r="E709" s="524" t="s">
        <v>1662</v>
      </c>
      <c r="F709" s="528" t="s">
        <v>1936</v>
      </c>
      <c r="G709" s="252">
        <f t="shared" si="9"/>
        <v>29.51</v>
      </c>
    </row>
    <row r="710" spans="1:7" x14ac:dyDescent="0.3">
      <c r="A710" s="524" t="s">
        <v>522</v>
      </c>
      <c r="B710" s="524" t="s">
        <v>611</v>
      </c>
      <c r="C710" s="525" t="s">
        <v>546</v>
      </c>
      <c r="D710" s="524" t="s">
        <v>32</v>
      </c>
      <c r="E710" s="524" t="s">
        <v>1937</v>
      </c>
      <c r="F710" s="528" t="s">
        <v>1646</v>
      </c>
      <c r="G710" s="252">
        <f t="shared" si="9"/>
        <v>3.05</v>
      </c>
    </row>
    <row r="711" spans="1:7" x14ac:dyDescent="0.3">
      <c r="A711" s="524" t="s">
        <v>522</v>
      </c>
      <c r="B711" s="524" t="s">
        <v>610</v>
      </c>
      <c r="C711" s="525" t="s">
        <v>543</v>
      </c>
      <c r="D711" s="524" t="s">
        <v>32</v>
      </c>
      <c r="E711" s="524" t="s">
        <v>1937</v>
      </c>
      <c r="F711" s="528" t="s">
        <v>1647</v>
      </c>
      <c r="G711" s="252">
        <f t="shared" si="9"/>
        <v>3.91</v>
      </c>
    </row>
    <row r="712" spans="1:7" x14ac:dyDescent="0.3">
      <c r="A712" s="680" t="s">
        <v>1152</v>
      </c>
      <c r="B712" s="681"/>
      <c r="C712" s="681"/>
      <c r="D712" s="681"/>
      <c r="E712" s="681"/>
      <c r="F712" s="682"/>
      <c r="G712" s="527">
        <f>SUM(G708:G711)</f>
        <v>36.47</v>
      </c>
    </row>
    <row r="713" spans="1:7" x14ac:dyDescent="0.3">
      <c r="A713" s="683">
        <f>TRUNC(E713*F713,2)</f>
        <v>0</v>
      </c>
      <c r="B713" s="684"/>
      <c r="C713" s="684"/>
      <c r="D713" s="684"/>
      <c r="E713" s="684"/>
      <c r="F713" s="684"/>
      <c r="G713" s="685"/>
    </row>
    <row r="714" spans="1:7" ht="43.2" x14ac:dyDescent="0.3">
      <c r="A714" s="529" t="s">
        <v>686</v>
      </c>
      <c r="B714" s="529" t="s">
        <v>156</v>
      </c>
      <c r="C714" s="530" t="s">
        <v>157</v>
      </c>
      <c r="D714" s="529" t="s">
        <v>44</v>
      </c>
      <c r="E714" s="252"/>
      <c r="F714" s="531">
        <v>852.27</v>
      </c>
      <c r="G714" s="252">
        <f t="shared" si="9"/>
        <v>0</v>
      </c>
    </row>
    <row r="715" spans="1:7" ht="28.8" x14ac:dyDescent="0.3">
      <c r="A715" s="524" t="s">
        <v>508</v>
      </c>
      <c r="B715" s="524" t="s">
        <v>1938</v>
      </c>
      <c r="C715" s="525" t="s">
        <v>1939</v>
      </c>
      <c r="D715" s="524" t="s">
        <v>397</v>
      </c>
      <c r="E715" s="524" t="s">
        <v>1122</v>
      </c>
      <c r="F715" s="528" t="s">
        <v>1940</v>
      </c>
      <c r="G715" s="252">
        <f t="shared" si="9"/>
        <v>721.43</v>
      </c>
    </row>
    <row r="716" spans="1:7" x14ac:dyDescent="0.3">
      <c r="A716" s="524" t="s">
        <v>522</v>
      </c>
      <c r="B716" s="524" t="s">
        <v>611</v>
      </c>
      <c r="C716" s="525" t="s">
        <v>546</v>
      </c>
      <c r="D716" s="524" t="s">
        <v>32</v>
      </c>
      <c r="E716" s="524" t="s">
        <v>1941</v>
      </c>
      <c r="F716" s="528" t="s">
        <v>1646</v>
      </c>
      <c r="G716" s="252">
        <f t="shared" si="9"/>
        <v>57.32</v>
      </c>
    </row>
    <row r="717" spans="1:7" x14ac:dyDescent="0.3">
      <c r="A717" s="524" t="s">
        <v>522</v>
      </c>
      <c r="B717" s="524" t="s">
        <v>610</v>
      </c>
      <c r="C717" s="525" t="s">
        <v>543</v>
      </c>
      <c r="D717" s="524" t="s">
        <v>32</v>
      </c>
      <c r="E717" s="524" t="s">
        <v>1941</v>
      </c>
      <c r="F717" s="528" t="s">
        <v>1647</v>
      </c>
      <c r="G717" s="252">
        <f t="shared" si="9"/>
        <v>73.52</v>
      </c>
    </row>
    <row r="718" spans="1:7" x14ac:dyDescent="0.3">
      <c r="A718" s="680" t="s">
        <v>1152</v>
      </c>
      <c r="B718" s="681"/>
      <c r="C718" s="681"/>
      <c r="D718" s="681"/>
      <c r="E718" s="681"/>
      <c r="F718" s="682"/>
      <c r="G718" s="527">
        <f>SUM(G714:G717)</f>
        <v>852.27</v>
      </c>
    </row>
    <row r="719" spans="1:7" x14ac:dyDescent="0.3">
      <c r="A719" s="683">
        <f>TRUNC(E719*F719,2)</f>
        <v>0</v>
      </c>
      <c r="B719" s="684"/>
      <c r="C719" s="684"/>
      <c r="D719" s="684"/>
      <c r="E719" s="684"/>
      <c r="F719" s="684"/>
      <c r="G719" s="685"/>
    </row>
    <row r="720" spans="1:7" ht="43.2" x14ac:dyDescent="0.3">
      <c r="A720" s="529" t="s">
        <v>687</v>
      </c>
      <c r="B720" s="529" t="s">
        <v>158</v>
      </c>
      <c r="C720" s="530" t="s">
        <v>159</v>
      </c>
      <c r="D720" s="529" t="s">
        <v>55</v>
      </c>
      <c r="E720" s="252"/>
      <c r="F720" s="531">
        <v>60.92</v>
      </c>
      <c r="G720" s="252">
        <f t="shared" si="9"/>
        <v>0</v>
      </c>
    </row>
    <row r="721" spans="1:9" x14ac:dyDescent="0.3">
      <c r="A721" s="596" t="s">
        <v>541</v>
      </c>
      <c r="B721" s="596" t="s">
        <v>542</v>
      </c>
      <c r="C721" s="592" t="s">
        <v>543</v>
      </c>
      <c r="D721" s="596" t="s">
        <v>32</v>
      </c>
      <c r="E721" s="608">
        <v>0.4</v>
      </c>
      <c r="F721" s="598">
        <v>18.38</v>
      </c>
      <c r="G721" s="252">
        <f t="shared" si="9"/>
        <v>7.35</v>
      </c>
      <c r="I721" s="210" t="s">
        <v>530</v>
      </c>
    </row>
    <row r="722" spans="1:9" x14ac:dyDescent="0.3">
      <c r="A722" s="596" t="s">
        <v>541</v>
      </c>
      <c r="B722" s="596" t="s">
        <v>545</v>
      </c>
      <c r="C722" s="592" t="s">
        <v>546</v>
      </c>
      <c r="D722" s="596" t="s">
        <v>32</v>
      </c>
      <c r="E722" s="608">
        <v>0.4</v>
      </c>
      <c r="F722" s="598">
        <v>14.33</v>
      </c>
      <c r="G722" s="252">
        <f t="shared" ref="G722:G727" si="11">TRUNC(E722*F722,2)</f>
        <v>5.73</v>
      </c>
      <c r="I722" s="210" t="s">
        <v>526</v>
      </c>
    </row>
    <row r="723" spans="1:9" x14ac:dyDescent="0.3">
      <c r="A723" s="596" t="s">
        <v>547</v>
      </c>
      <c r="B723" s="596" t="s">
        <v>548</v>
      </c>
      <c r="C723" s="592" t="s">
        <v>549</v>
      </c>
      <c r="D723" s="596" t="s">
        <v>55</v>
      </c>
      <c r="E723" s="608">
        <v>1</v>
      </c>
      <c r="F723" s="598" t="s">
        <v>551</v>
      </c>
      <c r="G723" s="252">
        <f t="shared" si="11"/>
        <v>10.8</v>
      </c>
    </row>
    <row r="724" spans="1:9" x14ac:dyDescent="0.3">
      <c r="A724" s="596" t="s">
        <v>547</v>
      </c>
      <c r="B724" s="596" t="s">
        <v>552</v>
      </c>
      <c r="C724" s="592" t="s">
        <v>536</v>
      </c>
      <c r="D724" s="596" t="s">
        <v>55</v>
      </c>
      <c r="E724" s="608">
        <v>1</v>
      </c>
      <c r="F724" s="598">
        <v>30</v>
      </c>
      <c r="G724" s="252">
        <f t="shared" si="11"/>
        <v>30</v>
      </c>
    </row>
    <row r="725" spans="1:9" x14ac:dyDescent="0.3">
      <c r="A725" s="596" t="s">
        <v>554</v>
      </c>
      <c r="B725" s="596" t="s">
        <v>555</v>
      </c>
      <c r="C725" s="592" t="s">
        <v>556</v>
      </c>
      <c r="D725" s="596" t="s">
        <v>55</v>
      </c>
      <c r="E725" s="608">
        <v>0.5</v>
      </c>
      <c r="F725" s="598" t="s">
        <v>559</v>
      </c>
      <c r="G725" s="252">
        <f t="shared" si="11"/>
        <v>2.75</v>
      </c>
    </row>
    <row r="726" spans="1:9" x14ac:dyDescent="0.3">
      <c r="A726" s="596" t="s">
        <v>554</v>
      </c>
      <c r="B726" s="596" t="s">
        <v>560</v>
      </c>
      <c r="C726" s="592" t="s">
        <v>561</v>
      </c>
      <c r="D726" s="596" t="s">
        <v>55</v>
      </c>
      <c r="E726" s="608">
        <v>1</v>
      </c>
      <c r="F726" s="598" t="s">
        <v>562</v>
      </c>
      <c r="G726" s="252">
        <f t="shared" si="11"/>
        <v>2.1</v>
      </c>
    </row>
    <row r="727" spans="1:9" x14ac:dyDescent="0.3">
      <c r="A727" s="596" t="s">
        <v>554</v>
      </c>
      <c r="B727" s="596" t="s">
        <v>563</v>
      </c>
      <c r="C727" s="592" t="s">
        <v>564</v>
      </c>
      <c r="D727" s="596" t="s">
        <v>55</v>
      </c>
      <c r="E727" s="608">
        <v>0.3</v>
      </c>
      <c r="F727" s="598" t="s">
        <v>567</v>
      </c>
      <c r="G727" s="252">
        <f t="shared" si="11"/>
        <v>2.19</v>
      </c>
    </row>
    <row r="728" spans="1:9" x14ac:dyDescent="0.3">
      <c r="A728" s="680" t="s">
        <v>1152</v>
      </c>
      <c r="B728" s="681"/>
      <c r="C728" s="681"/>
      <c r="D728" s="681"/>
      <c r="E728" s="681"/>
      <c r="F728" s="682"/>
      <c r="G728" s="527">
        <f>SUM(G720:G727)</f>
        <v>60.92</v>
      </c>
      <c r="I728" s="211">
        <f>G728-F720</f>
        <v>0</v>
      </c>
    </row>
    <row r="729" spans="1:9" x14ac:dyDescent="0.3">
      <c r="A729" s="683">
        <f>TRUNC(E729*F729,2)</f>
        <v>0</v>
      </c>
      <c r="B729" s="684"/>
      <c r="C729" s="684"/>
      <c r="D729" s="684"/>
      <c r="E729" s="684"/>
      <c r="F729" s="684"/>
      <c r="G729" s="685"/>
    </row>
    <row r="730" spans="1:9" x14ac:dyDescent="0.3">
      <c r="A730" s="529" t="s">
        <v>186</v>
      </c>
      <c r="B730" s="529"/>
      <c r="C730" s="530" t="s">
        <v>161</v>
      </c>
      <c r="D730" s="529"/>
      <c r="E730" s="252"/>
      <c r="F730" s="531"/>
      <c r="G730" s="252">
        <f t="shared" si="9"/>
        <v>0</v>
      </c>
    </row>
    <row r="731" spans="1:9" ht="28.8" x14ac:dyDescent="0.3">
      <c r="A731" s="529" t="s">
        <v>188</v>
      </c>
      <c r="B731" s="529">
        <v>91944</v>
      </c>
      <c r="C731" s="530" t="s">
        <v>151</v>
      </c>
      <c r="D731" s="529" t="s">
        <v>44</v>
      </c>
      <c r="E731" s="252"/>
      <c r="F731" s="531">
        <v>9.06</v>
      </c>
      <c r="G731" s="252">
        <f t="shared" si="9"/>
        <v>0</v>
      </c>
    </row>
    <row r="732" spans="1:9" x14ac:dyDescent="0.3">
      <c r="A732" s="524" t="s">
        <v>508</v>
      </c>
      <c r="B732" s="524" t="s">
        <v>1923</v>
      </c>
      <c r="C732" s="525" t="s">
        <v>1924</v>
      </c>
      <c r="D732" s="524" t="s">
        <v>397</v>
      </c>
      <c r="E732" s="524" t="s">
        <v>1122</v>
      </c>
      <c r="F732" s="528">
        <v>3.13</v>
      </c>
      <c r="G732" s="252">
        <f t="shared" ref="G732:G735" si="12">TRUNC(E732*F732,2)</f>
        <v>3.13</v>
      </c>
    </row>
    <row r="733" spans="1:9" x14ac:dyDescent="0.3">
      <c r="A733" s="524" t="s">
        <v>522</v>
      </c>
      <c r="B733" s="524" t="s">
        <v>611</v>
      </c>
      <c r="C733" s="525" t="s">
        <v>546</v>
      </c>
      <c r="D733" s="524" t="s">
        <v>32</v>
      </c>
      <c r="E733" s="524" t="s">
        <v>1925</v>
      </c>
      <c r="F733" s="528" t="s">
        <v>1646</v>
      </c>
      <c r="G733" s="252">
        <f t="shared" si="12"/>
        <v>2.37</v>
      </c>
    </row>
    <row r="734" spans="1:9" x14ac:dyDescent="0.3">
      <c r="A734" s="524" t="s">
        <v>522</v>
      </c>
      <c r="B734" s="524" t="s">
        <v>610</v>
      </c>
      <c r="C734" s="525" t="s">
        <v>543</v>
      </c>
      <c r="D734" s="524" t="s">
        <v>32</v>
      </c>
      <c r="E734" s="524" t="s">
        <v>1925</v>
      </c>
      <c r="F734" s="528" t="s">
        <v>1647</v>
      </c>
      <c r="G734" s="252">
        <f t="shared" si="12"/>
        <v>3.05</v>
      </c>
    </row>
    <row r="735" spans="1:9" ht="28.8" x14ac:dyDescent="0.3">
      <c r="A735" s="524" t="s">
        <v>522</v>
      </c>
      <c r="B735" s="524" t="s">
        <v>1685</v>
      </c>
      <c r="C735" s="525" t="s">
        <v>1686</v>
      </c>
      <c r="D735" s="524" t="s">
        <v>41</v>
      </c>
      <c r="E735" s="524" t="s">
        <v>1926</v>
      </c>
      <c r="F735" s="528" t="s">
        <v>1688</v>
      </c>
      <c r="G735" s="252">
        <f t="shared" si="12"/>
        <v>0.51</v>
      </c>
    </row>
    <row r="736" spans="1:9" x14ac:dyDescent="0.3">
      <c r="A736" s="680" t="s">
        <v>1152</v>
      </c>
      <c r="B736" s="681"/>
      <c r="C736" s="681"/>
      <c r="D736" s="681"/>
      <c r="E736" s="681"/>
      <c r="F736" s="682"/>
      <c r="G736" s="527">
        <f>SUM(G732:G735)</f>
        <v>9.06</v>
      </c>
    </row>
    <row r="737" spans="1:7" x14ac:dyDescent="0.3">
      <c r="A737" s="683">
        <f>TRUNC(E737*F737,2)</f>
        <v>0</v>
      </c>
      <c r="B737" s="684"/>
      <c r="C737" s="684"/>
      <c r="D737" s="684"/>
      <c r="E737" s="684"/>
      <c r="F737" s="684"/>
      <c r="G737" s="685"/>
    </row>
    <row r="738" spans="1:7" ht="28.8" x14ac:dyDescent="0.3">
      <c r="A738" s="529" t="s">
        <v>200</v>
      </c>
      <c r="B738" s="529">
        <v>90447</v>
      </c>
      <c r="C738" s="530" t="s">
        <v>127</v>
      </c>
      <c r="D738" s="529" t="s">
        <v>55</v>
      </c>
      <c r="E738" s="252"/>
      <c r="F738" s="531">
        <v>4.45</v>
      </c>
      <c r="G738" s="252">
        <f t="shared" si="9"/>
        <v>0</v>
      </c>
    </row>
    <row r="739" spans="1:7" x14ac:dyDescent="0.3">
      <c r="A739" s="524" t="s">
        <v>522</v>
      </c>
      <c r="B739" s="524" t="s">
        <v>611</v>
      </c>
      <c r="C739" s="525" t="s">
        <v>546</v>
      </c>
      <c r="D739" s="524" t="s">
        <v>32</v>
      </c>
      <c r="E739" s="524" t="s">
        <v>1658</v>
      </c>
      <c r="F739" s="528" t="s">
        <v>1646</v>
      </c>
      <c r="G739" s="252">
        <f t="shared" ref="G739:G740" si="13">TRUNC(E739*F739,2)</f>
        <v>0.48</v>
      </c>
    </row>
    <row r="740" spans="1:7" x14ac:dyDescent="0.3">
      <c r="A740" s="524" t="s">
        <v>522</v>
      </c>
      <c r="B740" s="524" t="s">
        <v>610</v>
      </c>
      <c r="C740" s="525" t="s">
        <v>543</v>
      </c>
      <c r="D740" s="524" t="s">
        <v>32</v>
      </c>
      <c r="E740" s="524" t="s">
        <v>1659</v>
      </c>
      <c r="F740" s="528" t="s">
        <v>1647</v>
      </c>
      <c r="G740" s="252">
        <f t="shared" si="13"/>
        <v>3.97</v>
      </c>
    </row>
    <row r="741" spans="1:7" x14ac:dyDescent="0.3">
      <c r="A741" s="680" t="s">
        <v>1152</v>
      </c>
      <c r="B741" s="681"/>
      <c r="C741" s="681"/>
      <c r="D741" s="681"/>
      <c r="E741" s="681"/>
      <c r="F741" s="682"/>
      <c r="G741" s="527">
        <f>SUM(G738:G740)</f>
        <v>4.45</v>
      </c>
    </row>
    <row r="742" spans="1:7" x14ac:dyDescent="0.3">
      <c r="A742" s="683">
        <f>TRUNC(E742*F742,2)</f>
        <v>0</v>
      </c>
      <c r="B742" s="684"/>
      <c r="C742" s="684"/>
      <c r="D742" s="684"/>
      <c r="E742" s="684"/>
      <c r="F742" s="684"/>
      <c r="G742" s="685"/>
    </row>
    <row r="743" spans="1:7" ht="28.8" x14ac:dyDescent="0.3">
      <c r="A743" s="529" t="s">
        <v>236</v>
      </c>
      <c r="B743" s="529">
        <v>91836</v>
      </c>
      <c r="C743" s="530" t="s">
        <v>130</v>
      </c>
      <c r="D743" s="529" t="s">
        <v>55</v>
      </c>
      <c r="E743" s="252"/>
      <c r="F743" s="531">
        <v>7.55</v>
      </c>
      <c r="G743" s="252">
        <f t="shared" si="9"/>
        <v>0</v>
      </c>
    </row>
    <row r="744" spans="1:7" x14ac:dyDescent="0.3">
      <c r="A744" s="524" t="s">
        <v>508</v>
      </c>
      <c r="B744" s="524" t="s">
        <v>1660</v>
      </c>
      <c r="C744" s="525" t="s">
        <v>1661</v>
      </c>
      <c r="D744" s="524" t="s">
        <v>55</v>
      </c>
      <c r="E744" s="524" t="s">
        <v>1662</v>
      </c>
      <c r="F744" s="528" t="s">
        <v>1663</v>
      </c>
      <c r="G744" s="252">
        <f t="shared" ref="G744:G747" si="14">TRUNC(E744*F744,2)</f>
        <v>2.46</v>
      </c>
    </row>
    <row r="745" spans="1:7" x14ac:dyDescent="0.3">
      <c r="A745" s="524" t="s">
        <v>522</v>
      </c>
      <c r="B745" s="524" t="s">
        <v>611</v>
      </c>
      <c r="C745" s="525" t="s">
        <v>546</v>
      </c>
      <c r="D745" s="524" t="s">
        <v>32</v>
      </c>
      <c r="E745" s="524" t="s">
        <v>1664</v>
      </c>
      <c r="F745" s="528" t="s">
        <v>1646</v>
      </c>
      <c r="G745" s="252">
        <f t="shared" si="14"/>
        <v>1.28</v>
      </c>
    </row>
    <row r="746" spans="1:7" x14ac:dyDescent="0.3">
      <c r="A746" s="524" t="s">
        <v>522</v>
      </c>
      <c r="B746" s="524" t="s">
        <v>610</v>
      </c>
      <c r="C746" s="525" t="s">
        <v>543</v>
      </c>
      <c r="D746" s="524" t="s">
        <v>32</v>
      </c>
      <c r="E746" s="524" t="s">
        <v>1664</v>
      </c>
      <c r="F746" s="528" t="s">
        <v>1647</v>
      </c>
      <c r="G746" s="252">
        <f t="shared" si="14"/>
        <v>1.65</v>
      </c>
    </row>
    <row r="747" spans="1:7" ht="43.2" x14ac:dyDescent="0.3">
      <c r="A747" s="524" t="s">
        <v>522</v>
      </c>
      <c r="B747" s="524" t="s">
        <v>959</v>
      </c>
      <c r="C747" s="525" t="s">
        <v>960</v>
      </c>
      <c r="D747" s="524" t="s">
        <v>55</v>
      </c>
      <c r="E747" s="524" t="s">
        <v>1122</v>
      </c>
      <c r="F747" s="528" t="s">
        <v>962</v>
      </c>
      <c r="G747" s="252">
        <f t="shared" si="14"/>
        <v>2.16</v>
      </c>
    </row>
    <row r="748" spans="1:7" x14ac:dyDescent="0.3">
      <c r="A748" s="680" t="s">
        <v>1152</v>
      </c>
      <c r="B748" s="681"/>
      <c r="C748" s="681"/>
      <c r="D748" s="681"/>
      <c r="E748" s="681"/>
      <c r="F748" s="682"/>
      <c r="G748" s="527">
        <f>SUM(G744:G747)</f>
        <v>7.5500000000000007</v>
      </c>
    </row>
    <row r="749" spans="1:7" x14ac:dyDescent="0.3">
      <c r="A749" s="683">
        <f>TRUNC(E749*F749,2)</f>
        <v>0</v>
      </c>
      <c r="B749" s="684"/>
      <c r="C749" s="684"/>
      <c r="D749" s="684"/>
      <c r="E749" s="684"/>
      <c r="F749" s="684"/>
      <c r="G749" s="685"/>
    </row>
    <row r="750" spans="1:7" ht="28.8" x14ac:dyDescent="0.3">
      <c r="A750" s="529" t="s">
        <v>237</v>
      </c>
      <c r="B750" s="529">
        <v>91869</v>
      </c>
      <c r="C750" s="530" t="s">
        <v>132</v>
      </c>
      <c r="D750" s="529" t="s">
        <v>55</v>
      </c>
      <c r="E750" s="252"/>
      <c r="F750" s="531">
        <v>10.32</v>
      </c>
      <c r="G750" s="252">
        <f t="shared" si="9"/>
        <v>0</v>
      </c>
    </row>
    <row r="751" spans="1:7" x14ac:dyDescent="0.3">
      <c r="A751" s="524" t="s">
        <v>508</v>
      </c>
      <c r="B751" s="524" t="s">
        <v>1665</v>
      </c>
      <c r="C751" s="525" t="s">
        <v>1666</v>
      </c>
      <c r="D751" s="524" t="s">
        <v>55</v>
      </c>
      <c r="E751" s="524" t="s">
        <v>1667</v>
      </c>
      <c r="F751" s="528" t="s">
        <v>1668</v>
      </c>
      <c r="G751" s="252">
        <f t="shared" ref="G751:G754" si="15">TRUNC(E751*F751,2)</f>
        <v>5.26</v>
      </c>
    </row>
    <row r="752" spans="1:7" ht="28.8" x14ac:dyDescent="0.3">
      <c r="A752" s="524" t="s">
        <v>508</v>
      </c>
      <c r="B752" s="524" t="s">
        <v>1669</v>
      </c>
      <c r="C752" s="525" t="s">
        <v>1670</v>
      </c>
      <c r="D752" s="524" t="s">
        <v>426</v>
      </c>
      <c r="E752" s="524" t="s">
        <v>1671</v>
      </c>
      <c r="F752" s="528" t="s">
        <v>1672</v>
      </c>
      <c r="G752" s="252">
        <f t="shared" si="15"/>
        <v>0.03</v>
      </c>
    </row>
    <row r="753" spans="1:7" x14ac:dyDescent="0.3">
      <c r="A753" s="524" t="s">
        <v>522</v>
      </c>
      <c r="B753" s="524" t="s">
        <v>611</v>
      </c>
      <c r="C753" s="525" t="s">
        <v>546</v>
      </c>
      <c r="D753" s="524" t="s">
        <v>32</v>
      </c>
      <c r="E753" s="524" t="s">
        <v>1673</v>
      </c>
      <c r="F753" s="528" t="s">
        <v>1646</v>
      </c>
      <c r="G753" s="252">
        <f t="shared" si="15"/>
        <v>2.2000000000000002</v>
      </c>
    </row>
    <row r="754" spans="1:7" x14ac:dyDescent="0.3">
      <c r="A754" s="524" t="s">
        <v>522</v>
      </c>
      <c r="B754" s="524" t="s">
        <v>610</v>
      </c>
      <c r="C754" s="525" t="s">
        <v>543</v>
      </c>
      <c r="D754" s="524" t="s">
        <v>32</v>
      </c>
      <c r="E754" s="524" t="s">
        <v>1673</v>
      </c>
      <c r="F754" s="528" t="s">
        <v>1647</v>
      </c>
      <c r="G754" s="252">
        <f t="shared" si="15"/>
        <v>2.83</v>
      </c>
    </row>
    <row r="755" spans="1:7" x14ac:dyDescent="0.3">
      <c r="A755" s="680" t="s">
        <v>1152</v>
      </c>
      <c r="B755" s="681"/>
      <c r="C755" s="681"/>
      <c r="D755" s="681"/>
      <c r="E755" s="681"/>
      <c r="F755" s="682"/>
      <c r="G755" s="527">
        <f>SUM(G751:G754)</f>
        <v>10.32</v>
      </c>
    </row>
    <row r="756" spans="1:7" x14ac:dyDescent="0.3">
      <c r="A756" s="683">
        <f>TRUNC(E756*F756,2)</f>
        <v>0</v>
      </c>
      <c r="B756" s="684"/>
      <c r="C756" s="684"/>
      <c r="D756" s="684"/>
      <c r="E756" s="684"/>
      <c r="F756" s="684"/>
      <c r="G756" s="685"/>
    </row>
    <row r="757" spans="1:7" ht="28.8" x14ac:dyDescent="0.3">
      <c r="A757" s="529" t="s">
        <v>238</v>
      </c>
      <c r="B757" s="529">
        <v>91941</v>
      </c>
      <c r="C757" s="530" t="s">
        <v>150</v>
      </c>
      <c r="D757" s="529" t="s">
        <v>44</v>
      </c>
      <c r="E757" s="252"/>
      <c r="F757" s="531">
        <v>6.8</v>
      </c>
      <c r="G757" s="252">
        <f t="shared" si="9"/>
        <v>0</v>
      </c>
    </row>
    <row r="758" spans="1:7" x14ac:dyDescent="0.3">
      <c r="A758" s="524" t="s">
        <v>508</v>
      </c>
      <c r="B758" s="524" t="s">
        <v>1681</v>
      </c>
      <c r="C758" s="525" t="s">
        <v>1682</v>
      </c>
      <c r="D758" s="524" t="s">
        <v>397</v>
      </c>
      <c r="E758" s="524" t="s">
        <v>1122</v>
      </c>
      <c r="F758" s="526" t="s">
        <v>1683</v>
      </c>
      <c r="G758" s="252">
        <f t="shared" si="9"/>
        <v>1.69</v>
      </c>
    </row>
    <row r="759" spans="1:7" x14ac:dyDescent="0.3">
      <c r="A759" s="524" t="s">
        <v>522</v>
      </c>
      <c r="B759" s="524" t="s">
        <v>611</v>
      </c>
      <c r="C759" s="525" t="s">
        <v>546</v>
      </c>
      <c r="D759" s="524" t="s">
        <v>32</v>
      </c>
      <c r="E759" s="524" t="s">
        <v>1684</v>
      </c>
      <c r="F759" s="526" t="s">
        <v>1646</v>
      </c>
      <c r="G759" s="252">
        <f t="shared" si="9"/>
        <v>2.0699999999999998</v>
      </c>
    </row>
    <row r="760" spans="1:7" x14ac:dyDescent="0.3">
      <c r="A760" s="524" t="s">
        <v>522</v>
      </c>
      <c r="B760" s="524" t="s">
        <v>610</v>
      </c>
      <c r="C760" s="525" t="s">
        <v>543</v>
      </c>
      <c r="D760" s="524" t="s">
        <v>32</v>
      </c>
      <c r="E760" s="524" t="s">
        <v>1684</v>
      </c>
      <c r="F760" s="526" t="s">
        <v>1647</v>
      </c>
      <c r="G760" s="252">
        <f t="shared" si="9"/>
        <v>2.66</v>
      </c>
    </row>
    <row r="761" spans="1:7" ht="28.8" x14ac:dyDescent="0.3">
      <c r="A761" s="524" t="s">
        <v>522</v>
      </c>
      <c r="B761" s="524" t="s">
        <v>1685</v>
      </c>
      <c r="C761" s="525" t="s">
        <v>1686</v>
      </c>
      <c r="D761" s="524" t="s">
        <v>41</v>
      </c>
      <c r="E761" s="524" t="s">
        <v>1687</v>
      </c>
      <c r="F761" s="526" t="s">
        <v>1688</v>
      </c>
      <c r="G761" s="252">
        <f t="shared" si="9"/>
        <v>0.38</v>
      </c>
    </row>
    <row r="762" spans="1:7" x14ac:dyDescent="0.3">
      <c r="A762" s="680" t="s">
        <v>1152</v>
      </c>
      <c r="B762" s="681"/>
      <c r="C762" s="681"/>
      <c r="D762" s="681"/>
      <c r="E762" s="681"/>
      <c r="F762" s="682"/>
      <c r="G762" s="527">
        <f>SUM(G758:G761)</f>
        <v>6.8</v>
      </c>
    </row>
    <row r="763" spans="1:7" x14ac:dyDescent="0.3">
      <c r="A763" s="683">
        <f>TRUNC(E763*F763,2)</f>
        <v>0</v>
      </c>
      <c r="B763" s="684"/>
      <c r="C763" s="684"/>
      <c r="D763" s="684"/>
      <c r="E763" s="684"/>
      <c r="F763" s="684"/>
      <c r="G763" s="685"/>
    </row>
    <row r="764" spans="1:7" ht="28.8" x14ac:dyDescent="0.3">
      <c r="A764" s="529" t="s">
        <v>239</v>
      </c>
      <c r="B764" s="529">
        <v>95778</v>
      </c>
      <c r="C764" s="530" t="s">
        <v>168</v>
      </c>
      <c r="D764" s="529" t="s">
        <v>55</v>
      </c>
      <c r="E764" s="252"/>
      <c r="F764" s="531">
        <v>20.28</v>
      </c>
      <c r="G764" s="252">
        <f t="shared" si="9"/>
        <v>0</v>
      </c>
    </row>
    <row r="765" spans="1:7" ht="28.8" x14ac:dyDescent="0.3">
      <c r="A765" s="524" t="s">
        <v>508</v>
      </c>
      <c r="B765" s="524" t="s">
        <v>1689</v>
      </c>
      <c r="C765" s="525" t="s">
        <v>1690</v>
      </c>
      <c r="D765" s="524" t="s">
        <v>397</v>
      </c>
      <c r="E765" s="524" t="s">
        <v>1122</v>
      </c>
      <c r="F765" s="526" t="s">
        <v>1691</v>
      </c>
      <c r="G765" s="252">
        <f t="shared" si="9"/>
        <v>8.69</v>
      </c>
    </row>
    <row r="766" spans="1:7" ht="28.8" x14ac:dyDescent="0.3">
      <c r="A766" s="524" t="s">
        <v>508</v>
      </c>
      <c r="B766" s="524" t="s">
        <v>1692</v>
      </c>
      <c r="C766" s="525" t="s">
        <v>1693</v>
      </c>
      <c r="D766" s="524" t="s">
        <v>397</v>
      </c>
      <c r="E766" s="524" t="s">
        <v>1523</v>
      </c>
      <c r="F766" s="526" t="s">
        <v>1694</v>
      </c>
      <c r="G766" s="252">
        <f t="shared" si="9"/>
        <v>0.36</v>
      </c>
    </row>
    <row r="767" spans="1:7" x14ac:dyDescent="0.3">
      <c r="A767" s="524" t="s">
        <v>522</v>
      </c>
      <c r="B767" s="524" t="s">
        <v>611</v>
      </c>
      <c r="C767" s="525" t="s">
        <v>546</v>
      </c>
      <c r="D767" s="524" t="s">
        <v>32</v>
      </c>
      <c r="E767" s="524" t="s">
        <v>1695</v>
      </c>
      <c r="F767" s="526" t="s">
        <v>1646</v>
      </c>
      <c r="G767" s="252">
        <f t="shared" si="9"/>
        <v>4.92</v>
      </c>
    </row>
    <row r="768" spans="1:7" x14ac:dyDescent="0.3">
      <c r="A768" s="524" t="s">
        <v>522</v>
      </c>
      <c r="B768" s="524" t="s">
        <v>610</v>
      </c>
      <c r="C768" s="525" t="s">
        <v>543</v>
      </c>
      <c r="D768" s="524" t="s">
        <v>32</v>
      </c>
      <c r="E768" s="524" t="s">
        <v>1695</v>
      </c>
      <c r="F768" s="526" t="s">
        <v>1647</v>
      </c>
      <c r="G768" s="252">
        <f t="shared" si="9"/>
        <v>6.31</v>
      </c>
    </row>
    <row r="769" spans="1:7" x14ac:dyDescent="0.3">
      <c r="A769" s="680" t="s">
        <v>1152</v>
      </c>
      <c r="B769" s="681"/>
      <c r="C769" s="681"/>
      <c r="D769" s="681"/>
      <c r="E769" s="681"/>
      <c r="F769" s="682"/>
      <c r="G769" s="527">
        <f>SUM(G765:G768)</f>
        <v>20.279999999999998</v>
      </c>
    </row>
    <row r="770" spans="1:7" x14ac:dyDescent="0.3">
      <c r="A770" s="683">
        <f>TRUNC(E770*F770,2)</f>
        <v>0</v>
      </c>
      <c r="B770" s="684"/>
      <c r="C770" s="684"/>
      <c r="D770" s="684"/>
      <c r="E770" s="684"/>
      <c r="F770" s="684"/>
      <c r="G770" s="685"/>
    </row>
    <row r="771" spans="1:7" ht="28.8" x14ac:dyDescent="0.3">
      <c r="A771" s="529" t="s">
        <v>240</v>
      </c>
      <c r="B771" s="529">
        <v>98294</v>
      </c>
      <c r="C771" s="530" t="s">
        <v>170</v>
      </c>
      <c r="D771" s="529" t="s">
        <v>55</v>
      </c>
      <c r="E771" s="252"/>
      <c r="F771" s="531">
        <v>1.65</v>
      </c>
      <c r="G771" s="252">
        <f t="shared" si="9"/>
        <v>0</v>
      </c>
    </row>
    <row r="772" spans="1:7" x14ac:dyDescent="0.3">
      <c r="A772" s="524" t="s">
        <v>508</v>
      </c>
      <c r="B772" s="524" t="s">
        <v>1696</v>
      </c>
      <c r="C772" s="525" t="s">
        <v>619</v>
      </c>
      <c r="D772" s="524" t="s">
        <v>55</v>
      </c>
      <c r="E772" s="524" t="s">
        <v>1697</v>
      </c>
      <c r="F772" s="526" t="s">
        <v>1698</v>
      </c>
      <c r="G772" s="252">
        <f t="shared" si="9"/>
        <v>1.1000000000000001</v>
      </c>
    </row>
    <row r="773" spans="1:7" x14ac:dyDescent="0.3">
      <c r="A773" s="524" t="s">
        <v>522</v>
      </c>
      <c r="B773" s="524" t="s">
        <v>611</v>
      </c>
      <c r="C773" s="525" t="s">
        <v>546</v>
      </c>
      <c r="D773" s="524" t="s">
        <v>32</v>
      </c>
      <c r="E773" s="524" t="s">
        <v>1699</v>
      </c>
      <c r="F773" s="526" t="s">
        <v>1646</v>
      </c>
      <c r="G773" s="252">
        <f t="shared" si="9"/>
        <v>0.24</v>
      </c>
    </row>
    <row r="774" spans="1:7" x14ac:dyDescent="0.3">
      <c r="A774" s="524" t="s">
        <v>522</v>
      </c>
      <c r="B774" s="524" t="s">
        <v>610</v>
      </c>
      <c r="C774" s="525" t="s">
        <v>543</v>
      </c>
      <c r="D774" s="524" t="s">
        <v>32</v>
      </c>
      <c r="E774" s="524" t="s">
        <v>1699</v>
      </c>
      <c r="F774" s="526" t="s">
        <v>1647</v>
      </c>
      <c r="G774" s="252">
        <f t="shared" si="9"/>
        <v>0.31</v>
      </c>
    </row>
    <row r="775" spans="1:7" x14ac:dyDescent="0.3">
      <c r="A775" s="680" t="s">
        <v>1152</v>
      </c>
      <c r="B775" s="681"/>
      <c r="C775" s="681"/>
      <c r="D775" s="681"/>
      <c r="E775" s="681"/>
      <c r="F775" s="682"/>
      <c r="G775" s="527">
        <f>SUM(G771:G774)</f>
        <v>1.6500000000000001</v>
      </c>
    </row>
    <row r="776" spans="1:7" x14ac:dyDescent="0.3">
      <c r="A776" s="683">
        <f>TRUNC(E776*F776,2)</f>
        <v>0</v>
      </c>
      <c r="B776" s="684"/>
      <c r="C776" s="684"/>
      <c r="D776" s="684"/>
      <c r="E776" s="684"/>
      <c r="F776" s="684"/>
      <c r="G776" s="685"/>
    </row>
    <row r="777" spans="1:7" ht="28.8" x14ac:dyDescent="0.3">
      <c r="A777" s="529" t="s">
        <v>241</v>
      </c>
      <c r="B777" s="529">
        <v>98296</v>
      </c>
      <c r="C777" s="530" t="s">
        <v>172</v>
      </c>
      <c r="D777" s="529" t="s">
        <v>55</v>
      </c>
      <c r="E777" s="252"/>
      <c r="F777" s="531">
        <v>2.52</v>
      </c>
      <c r="G777" s="252">
        <f t="shared" si="9"/>
        <v>0</v>
      </c>
    </row>
    <row r="778" spans="1:7" x14ac:dyDescent="0.3">
      <c r="A778" s="524" t="s">
        <v>508</v>
      </c>
      <c r="B778" s="524" t="s">
        <v>1700</v>
      </c>
      <c r="C778" s="525" t="s">
        <v>1701</v>
      </c>
      <c r="D778" s="524" t="s">
        <v>55</v>
      </c>
      <c r="E778" s="524" t="s">
        <v>1697</v>
      </c>
      <c r="F778" s="526" t="s">
        <v>1702</v>
      </c>
      <c r="G778" s="252">
        <f t="shared" si="9"/>
        <v>1.65</v>
      </c>
    </row>
    <row r="779" spans="1:7" x14ac:dyDescent="0.3">
      <c r="A779" s="524" t="s">
        <v>522</v>
      </c>
      <c r="B779" s="524" t="s">
        <v>611</v>
      </c>
      <c r="C779" s="525" t="s">
        <v>546</v>
      </c>
      <c r="D779" s="524" t="s">
        <v>32</v>
      </c>
      <c r="E779" s="524" t="s">
        <v>1151</v>
      </c>
      <c r="F779" s="526" t="s">
        <v>1646</v>
      </c>
      <c r="G779" s="252">
        <f t="shared" si="9"/>
        <v>0.38</v>
      </c>
    </row>
    <row r="780" spans="1:7" x14ac:dyDescent="0.3">
      <c r="A780" s="524" t="s">
        <v>522</v>
      </c>
      <c r="B780" s="524" t="s">
        <v>610</v>
      </c>
      <c r="C780" s="525" t="s">
        <v>543</v>
      </c>
      <c r="D780" s="524" t="s">
        <v>32</v>
      </c>
      <c r="E780" s="524" t="s">
        <v>1151</v>
      </c>
      <c r="F780" s="526" t="s">
        <v>1647</v>
      </c>
      <c r="G780" s="252">
        <f t="shared" si="9"/>
        <v>0.49</v>
      </c>
    </row>
    <row r="781" spans="1:7" x14ac:dyDescent="0.3">
      <c r="A781" s="680" t="s">
        <v>1152</v>
      </c>
      <c r="B781" s="681"/>
      <c r="C781" s="681"/>
      <c r="D781" s="681"/>
      <c r="E781" s="681"/>
      <c r="F781" s="682"/>
      <c r="G781" s="527">
        <f>SUM(G777:G780)</f>
        <v>2.5199999999999996</v>
      </c>
    </row>
    <row r="782" spans="1:7" x14ac:dyDescent="0.3">
      <c r="A782" s="683">
        <f>TRUNC(E782*F782,2)</f>
        <v>0</v>
      </c>
      <c r="B782" s="684"/>
      <c r="C782" s="684"/>
      <c r="D782" s="684"/>
      <c r="E782" s="684"/>
      <c r="F782" s="684"/>
      <c r="G782" s="685"/>
    </row>
    <row r="783" spans="1:7" x14ac:dyDescent="0.3">
      <c r="A783" s="529" t="s">
        <v>242</v>
      </c>
      <c r="B783" s="529">
        <v>98302</v>
      </c>
      <c r="C783" s="530" t="s">
        <v>174</v>
      </c>
      <c r="D783" s="529" t="s">
        <v>44</v>
      </c>
      <c r="E783" s="252"/>
      <c r="F783" s="531">
        <v>497.66</v>
      </c>
      <c r="G783" s="252">
        <f t="shared" si="9"/>
        <v>0</v>
      </c>
    </row>
    <row r="784" spans="1:7" x14ac:dyDescent="0.3">
      <c r="A784" s="524" t="s">
        <v>508</v>
      </c>
      <c r="B784" s="524" t="s">
        <v>1703</v>
      </c>
      <c r="C784" s="525" t="s">
        <v>1704</v>
      </c>
      <c r="D784" s="524" t="s">
        <v>397</v>
      </c>
      <c r="E784" s="524" t="s">
        <v>1122</v>
      </c>
      <c r="F784" s="526" t="s">
        <v>1706</v>
      </c>
      <c r="G784" s="252">
        <f t="shared" si="9"/>
        <v>294.85000000000002</v>
      </c>
    </row>
    <row r="785" spans="1:7" x14ac:dyDescent="0.3">
      <c r="A785" s="524" t="s">
        <v>522</v>
      </c>
      <c r="B785" s="524" t="s">
        <v>611</v>
      </c>
      <c r="C785" s="525" t="s">
        <v>546</v>
      </c>
      <c r="D785" s="524" t="s">
        <v>32</v>
      </c>
      <c r="E785" s="524" t="s">
        <v>1705</v>
      </c>
      <c r="F785" s="526" t="s">
        <v>1646</v>
      </c>
      <c r="G785" s="252">
        <f t="shared" si="9"/>
        <v>88.85</v>
      </c>
    </row>
    <row r="786" spans="1:7" x14ac:dyDescent="0.3">
      <c r="A786" s="524" t="s">
        <v>522</v>
      </c>
      <c r="B786" s="524" t="s">
        <v>610</v>
      </c>
      <c r="C786" s="525" t="s">
        <v>543</v>
      </c>
      <c r="D786" s="524" t="s">
        <v>32</v>
      </c>
      <c r="E786" s="524" t="s">
        <v>1705</v>
      </c>
      <c r="F786" s="526" t="s">
        <v>1647</v>
      </c>
      <c r="G786" s="252">
        <f t="shared" si="9"/>
        <v>113.96</v>
      </c>
    </row>
    <row r="787" spans="1:7" x14ac:dyDescent="0.3">
      <c r="A787" s="680" t="s">
        <v>1152</v>
      </c>
      <c r="B787" s="681"/>
      <c r="C787" s="681"/>
      <c r="D787" s="681"/>
      <c r="E787" s="681"/>
      <c r="F787" s="682"/>
      <c r="G787" s="527">
        <f>SUM(G783:G786)</f>
        <v>497.66</v>
      </c>
    </row>
    <row r="788" spans="1:7" x14ac:dyDescent="0.3">
      <c r="A788" s="683">
        <f>TRUNC(E788*F788,2)</f>
        <v>0</v>
      </c>
      <c r="B788" s="684"/>
      <c r="C788" s="684"/>
      <c r="D788" s="684"/>
      <c r="E788" s="684"/>
      <c r="F788" s="684"/>
      <c r="G788" s="685"/>
    </row>
    <row r="789" spans="1:7" x14ac:dyDescent="0.3">
      <c r="A789" s="529" t="s">
        <v>243</v>
      </c>
      <c r="B789" s="529">
        <v>98593</v>
      </c>
      <c r="C789" s="530" t="s">
        <v>176</v>
      </c>
      <c r="D789" s="529" t="s">
        <v>44</v>
      </c>
      <c r="E789" s="252"/>
      <c r="F789" s="531">
        <v>650.59</v>
      </c>
      <c r="G789" s="252">
        <f t="shared" si="9"/>
        <v>0</v>
      </c>
    </row>
    <row r="790" spans="1:7" x14ac:dyDescent="0.3">
      <c r="A790" s="524" t="s">
        <v>508</v>
      </c>
      <c r="B790" s="524" t="s">
        <v>1707</v>
      </c>
      <c r="C790" s="525" t="s">
        <v>1708</v>
      </c>
      <c r="D790" s="524" t="s">
        <v>397</v>
      </c>
      <c r="E790" s="524" t="s">
        <v>1122</v>
      </c>
      <c r="F790" s="526" t="s">
        <v>1709</v>
      </c>
      <c r="G790" s="252">
        <f t="shared" si="9"/>
        <v>247.5</v>
      </c>
    </row>
    <row r="791" spans="1:7" x14ac:dyDescent="0.3">
      <c r="A791" s="524" t="s">
        <v>522</v>
      </c>
      <c r="B791" s="524" t="s">
        <v>611</v>
      </c>
      <c r="C791" s="525" t="s">
        <v>546</v>
      </c>
      <c r="D791" s="524" t="s">
        <v>32</v>
      </c>
      <c r="E791" s="524" t="s">
        <v>1710</v>
      </c>
      <c r="F791" s="526" t="s">
        <v>1646</v>
      </c>
      <c r="G791" s="252">
        <f t="shared" si="9"/>
        <v>176.59</v>
      </c>
    </row>
    <row r="792" spans="1:7" x14ac:dyDescent="0.3">
      <c r="A792" s="524" t="s">
        <v>522</v>
      </c>
      <c r="B792" s="524" t="s">
        <v>610</v>
      </c>
      <c r="C792" s="525" t="s">
        <v>543</v>
      </c>
      <c r="D792" s="524" t="s">
        <v>32</v>
      </c>
      <c r="E792" s="524" t="s">
        <v>1710</v>
      </c>
      <c r="F792" s="526" t="s">
        <v>1647</v>
      </c>
      <c r="G792" s="252">
        <f t="shared" si="9"/>
        <v>226.5</v>
      </c>
    </row>
    <row r="793" spans="1:7" x14ac:dyDescent="0.3">
      <c r="A793" s="680" t="s">
        <v>1152</v>
      </c>
      <c r="B793" s="681"/>
      <c r="C793" s="681"/>
      <c r="D793" s="681"/>
      <c r="E793" s="681"/>
      <c r="F793" s="682"/>
      <c r="G793" s="527">
        <f>SUM(G789:G792)</f>
        <v>650.59</v>
      </c>
    </row>
    <row r="794" spans="1:7" x14ac:dyDescent="0.3">
      <c r="A794" s="683">
        <f>TRUNC(E794*F794,2)</f>
        <v>0</v>
      </c>
      <c r="B794" s="684"/>
      <c r="C794" s="684"/>
      <c r="D794" s="684"/>
      <c r="E794" s="684"/>
      <c r="F794" s="684"/>
      <c r="G794" s="685"/>
    </row>
    <row r="795" spans="1:7" ht="43.2" x14ac:dyDescent="0.3">
      <c r="A795" s="529" t="s">
        <v>244</v>
      </c>
      <c r="B795" s="529" t="s">
        <v>178</v>
      </c>
      <c r="C795" s="530" t="s">
        <v>179</v>
      </c>
      <c r="D795" s="529" t="s">
        <v>44</v>
      </c>
      <c r="E795" s="252"/>
      <c r="F795" s="531">
        <v>1488.24</v>
      </c>
      <c r="G795" s="252">
        <f t="shared" si="9"/>
        <v>0</v>
      </c>
    </row>
    <row r="796" spans="1:7" x14ac:dyDescent="0.3">
      <c r="A796" s="529"/>
      <c r="B796" s="529" t="s">
        <v>570</v>
      </c>
      <c r="C796" s="530" t="s">
        <v>571</v>
      </c>
      <c r="D796" s="529" t="s">
        <v>397</v>
      </c>
      <c r="E796" s="609">
        <v>1</v>
      </c>
      <c r="F796" s="531">
        <v>164.45</v>
      </c>
      <c r="G796" s="252">
        <f t="shared" ref="G796:G802" si="16">TRUNC(E796*F796,2)</f>
        <v>164.45</v>
      </c>
    </row>
    <row r="797" spans="1:7" x14ac:dyDescent="0.3">
      <c r="A797" s="529"/>
      <c r="B797" s="529" t="s">
        <v>807</v>
      </c>
      <c r="C797" s="530" t="s">
        <v>573</v>
      </c>
      <c r="D797" s="529" t="s">
        <v>397</v>
      </c>
      <c r="E797" s="609">
        <v>1</v>
      </c>
      <c r="F797" s="531">
        <v>75.58</v>
      </c>
      <c r="G797" s="252">
        <f t="shared" si="16"/>
        <v>75.58</v>
      </c>
    </row>
    <row r="798" spans="1:7" x14ac:dyDescent="0.3">
      <c r="A798" s="529"/>
      <c r="B798" s="529" t="s">
        <v>807</v>
      </c>
      <c r="C798" s="530" t="s">
        <v>574</v>
      </c>
      <c r="D798" s="529" t="s">
        <v>397</v>
      </c>
      <c r="E798" s="609">
        <v>1</v>
      </c>
      <c r="F798" s="531">
        <v>62.05</v>
      </c>
      <c r="G798" s="252">
        <f t="shared" si="16"/>
        <v>62.05</v>
      </c>
    </row>
    <row r="799" spans="1:7" ht="28.8" x14ac:dyDescent="0.3">
      <c r="A799" s="529"/>
      <c r="B799" s="529" t="s">
        <v>807</v>
      </c>
      <c r="C799" s="530" t="s">
        <v>575</v>
      </c>
      <c r="D799" s="529" t="s">
        <v>397</v>
      </c>
      <c r="E799" s="609">
        <v>1</v>
      </c>
      <c r="F799" s="531">
        <v>922.58</v>
      </c>
      <c r="G799" s="252">
        <f t="shared" si="16"/>
        <v>922.58</v>
      </c>
    </row>
    <row r="800" spans="1:7" x14ac:dyDescent="0.3">
      <c r="A800" s="529"/>
      <c r="B800" s="529" t="s">
        <v>807</v>
      </c>
      <c r="C800" s="530" t="s">
        <v>576</v>
      </c>
      <c r="D800" s="529" t="s">
        <v>397</v>
      </c>
      <c r="E800" s="609">
        <v>2</v>
      </c>
      <c r="F800" s="531">
        <v>66.37</v>
      </c>
      <c r="G800" s="252">
        <f t="shared" si="16"/>
        <v>132.74</v>
      </c>
    </row>
    <row r="801" spans="1:7" x14ac:dyDescent="0.3">
      <c r="A801" s="529"/>
      <c r="B801" s="524" t="s">
        <v>610</v>
      </c>
      <c r="C801" s="525" t="s">
        <v>543</v>
      </c>
      <c r="D801" s="529" t="s">
        <v>32</v>
      </c>
      <c r="E801" s="609">
        <v>4</v>
      </c>
      <c r="F801" s="531">
        <v>18.38</v>
      </c>
      <c r="G801" s="252">
        <f t="shared" si="16"/>
        <v>73.52</v>
      </c>
    </row>
    <row r="802" spans="1:7" x14ac:dyDescent="0.3">
      <c r="A802" s="529"/>
      <c r="B802" s="524" t="s">
        <v>611</v>
      </c>
      <c r="C802" s="525" t="s">
        <v>546</v>
      </c>
      <c r="D802" s="529" t="s">
        <v>32</v>
      </c>
      <c r="E802" s="609">
        <v>4</v>
      </c>
      <c r="F802" s="531">
        <v>14.33</v>
      </c>
      <c r="G802" s="252">
        <f t="shared" si="16"/>
        <v>57.32</v>
      </c>
    </row>
    <row r="803" spans="1:7" x14ac:dyDescent="0.3">
      <c r="A803" s="680" t="s">
        <v>1152</v>
      </c>
      <c r="B803" s="681"/>
      <c r="C803" s="681"/>
      <c r="D803" s="681"/>
      <c r="E803" s="681"/>
      <c r="F803" s="682"/>
      <c r="G803" s="527">
        <f>SUM(G795:G802)</f>
        <v>1488.24</v>
      </c>
    </row>
    <row r="804" spans="1:7" x14ac:dyDescent="0.3">
      <c r="A804" s="683">
        <f>TRUNC(E804*F804,2)</f>
        <v>0</v>
      </c>
      <c r="B804" s="684"/>
      <c r="C804" s="684"/>
      <c r="D804" s="684"/>
      <c r="E804" s="684"/>
      <c r="F804" s="684"/>
      <c r="G804" s="685"/>
    </row>
    <row r="805" spans="1:7" x14ac:dyDescent="0.3">
      <c r="A805" s="529" t="s">
        <v>368</v>
      </c>
      <c r="B805" s="529">
        <v>98308</v>
      </c>
      <c r="C805" s="530" t="s">
        <v>180</v>
      </c>
      <c r="D805" s="529" t="s">
        <v>44</v>
      </c>
      <c r="E805" s="252"/>
      <c r="F805" s="531">
        <v>18.43</v>
      </c>
      <c r="G805" s="252">
        <f t="shared" si="9"/>
        <v>0</v>
      </c>
    </row>
    <row r="806" spans="1:7" ht="28.8" x14ac:dyDescent="0.3">
      <c r="A806" s="524" t="s">
        <v>508</v>
      </c>
      <c r="B806" s="524" t="s">
        <v>1711</v>
      </c>
      <c r="C806" s="525" t="s">
        <v>1712</v>
      </c>
      <c r="D806" s="524" t="s">
        <v>397</v>
      </c>
      <c r="E806" s="524" t="s">
        <v>1122</v>
      </c>
      <c r="F806" s="526" t="s">
        <v>1713</v>
      </c>
      <c r="G806" s="252">
        <f t="shared" si="9"/>
        <v>11.7</v>
      </c>
    </row>
    <row r="807" spans="1:7" x14ac:dyDescent="0.3">
      <c r="A807" s="524" t="s">
        <v>522</v>
      </c>
      <c r="B807" s="524" t="s">
        <v>611</v>
      </c>
      <c r="C807" s="525" t="s">
        <v>546</v>
      </c>
      <c r="D807" s="524" t="s">
        <v>32</v>
      </c>
      <c r="E807" s="524" t="s">
        <v>1714</v>
      </c>
      <c r="F807" s="526" t="s">
        <v>1646</v>
      </c>
      <c r="G807" s="252">
        <f t="shared" si="9"/>
        <v>2.95</v>
      </c>
    </row>
    <row r="808" spans="1:7" x14ac:dyDescent="0.3">
      <c r="A808" s="524" t="s">
        <v>522</v>
      </c>
      <c r="B808" s="524" t="s">
        <v>610</v>
      </c>
      <c r="C808" s="525" t="s">
        <v>543</v>
      </c>
      <c r="D808" s="524" t="s">
        <v>32</v>
      </c>
      <c r="E808" s="524" t="s">
        <v>1714</v>
      </c>
      <c r="F808" s="526" t="s">
        <v>1647</v>
      </c>
      <c r="G808" s="252">
        <f t="shared" si="9"/>
        <v>3.78</v>
      </c>
    </row>
    <row r="809" spans="1:7" x14ac:dyDescent="0.3">
      <c r="A809" s="680" t="s">
        <v>1152</v>
      </c>
      <c r="B809" s="681"/>
      <c r="C809" s="681"/>
      <c r="D809" s="681"/>
      <c r="E809" s="681"/>
      <c r="F809" s="682"/>
      <c r="G809" s="527">
        <f>SUM(G805:G808)</f>
        <v>18.43</v>
      </c>
    </row>
    <row r="810" spans="1:7" x14ac:dyDescent="0.3">
      <c r="A810" s="683">
        <f>TRUNC(E810*F810,2)</f>
        <v>0</v>
      </c>
      <c r="B810" s="684"/>
      <c r="C810" s="684"/>
      <c r="D810" s="684"/>
      <c r="E810" s="684"/>
      <c r="F810" s="684"/>
      <c r="G810" s="685"/>
    </row>
    <row r="811" spans="1:7" x14ac:dyDescent="0.3">
      <c r="A811" s="529" t="s">
        <v>339</v>
      </c>
      <c r="B811" s="529">
        <v>98307</v>
      </c>
      <c r="C811" s="530" t="s">
        <v>182</v>
      </c>
      <c r="D811" s="529" t="s">
        <v>44</v>
      </c>
      <c r="E811" s="252"/>
      <c r="F811" s="531">
        <v>27.38</v>
      </c>
      <c r="G811" s="252">
        <f t="shared" si="9"/>
        <v>0</v>
      </c>
    </row>
    <row r="812" spans="1:7" ht="28.8" x14ac:dyDescent="0.3">
      <c r="A812" s="524" t="s">
        <v>508</v>
      </c>
      <c r="B812" s="524" t="s">
        <v>1715</v>
      </c>
      <c r="C812" s="525" t="s">
        <v>1716</v>
      </c>
      <c r="D812" s="524" t="s">
        <v>397</v>
      </c>
      <c r="E812" s="524" t="s">
        <v>1122</v>
      </c>
      <c r="F812" s="526" t="s">
        <v>1717</v>
      </c>
      <c r="G812" s="252">
        <f t="shared" si="9"/>
        <v>20.65</v>
      </c>
    </row>
    <row r="813" spans="1:7" x14ac:dyDescent="0.3">
      <c r="A813" s="524" t="s">
        <v>522</v>
      </c>
      <c r="B813" s="524" t="s">
        <v>611</v>
      </c>
      <c r="C813" s="525" t="s">
        <v>546</v>
      </c>
      <c r="D813" s="524" t="s">
        <v>32</v>
      </c>
      <c r="E813" s="524" t="s">
        <v>1714</v>
      </c>
      <c r="F813" s="526" t="s">
        <v>1646</v>
      </c>
      <c r="G813" s="252">
        <f t="shared" si="9"/>
        <v>2.95</v>
      </c>
    </row>
    <row r="814" spans="1:7" x14ac:dyDescent="0.3">
      <c r="A814" s="524" t="s">
        <v>522</v>
      </c>
      <c r="B814" s="524" t="s">
        <v>610</v>
      </c>
      <c r="C814" s="525" t="s">
        <v>543</v>
      </c>
      <c r="D814" s="524" t="s">
        <v>32</v>
      </c>
      <c r="E814" s="524" t="s">
        <v>1714</v>
      </c>
      <c r="F814" s="526" t="s">
        <v>1647</v>
      </c>
      <c r="G814" s="252">
        <f t="shared" si="9"/>
        <v>3.78</v>
      </c>
    </row>
    <row r="815" spans="1:7" x14ac:dyDescent="0.3">
      <c r="A815" s="680" t="s">
        <v>1152</v>
      </c>
      <c r="B815" s="681"/>
      <c r="C815" s="681"/>
      <c r="D815" s="681"/>
      <c r="E815" s="681"/>
      <c r="F815" s="682"/>
      <c r="G815" s="527">
        <f>SUM(G811:G814)</f>
        <v>27.38</v>
      </c>
    </row>
    <row r="816" spans="1:7" x14ac:dyDescent="0.3">
      <c r="A816" s="683">
        <f>TRUNC(E816*F816,2)</f>
        <v>0</v>
      </c>
      <c r="B816" s="684"/>
      <c r="C816" s="684"/>
      <c r="D816" s="684"/>
      <c r="E816" s="684"/>
      <c r="F816" s="684"/>
      <c r="G816" s="685"/>
    </row>
    <row r="817" spans="1:7" ht="28.8" x14ac:dyDescent="0.3">
      <c r="A817" s="529" t="s">
        <v>340</v>
      </c>
      <c r="B817" s="529">
        <v>100560</v>
      </c>
      <c r="C817" s="530" t="s">
        <v>184</v>
      </c>
      <c r="D817" s="529" t="s">
        <v>185</v>
      </c>
      <c r="E817" s="252"/>
      <c r="F817" s="531">
        <v>80.44</v>
      </c>
      <c r="G817" s="252">
        <f t="shared" si="9"/>
        <v>0</v>
      </c>
    </row>
    <row r="818" spans="1:7" ht="28.8" x14ac:dyDescent="0.3">
      <c r="A818" s="524" t="s">
        <v>508</v>
      </c>
      <c r="B818" s="524" t="s">
        <v>1718</v>
      </c>
      <c r="C818" s="525" t="s">
        <v>1719</v>
      </c>
      <c r="D818" s="524" t="s">
        <v>397</v>
      </c>
      <c r="E818" s="524" t="s">
        <v>1122</v>
      </c>
      <c r="F818" s="526" t="s">
        <v>1720</v>
      </c>
      <c r="G818" s="252">
        <f t="shared" si="9"/>
        <v>49.76</v>
      </c>
    </row>
    <row r="819" spans="1:7" ht="43.2" x14ac:dyDescent="0.3">
      <c r="A819" s="524" t="s">
        <v>522</v>
      </c>
      <c r="B819" s="524" t="s">
        <v>1721</v>
      </c>
      <c r="C819" s="525" t="s">
        <v>1722</v>
      </c>
      <c r="D819" s="524" t="s">
        <v>41</v>
      </c>
      <c r="E819" s="524" t="s">
        <v>1723</v>
      </c>
      <c r="F819" s="526" t="s">
        <v>1724</v>
      </c>
      <c r="G819" s="252">
        <f t="shared" si="9"/>
        <v>1.9</v>
      </c>
    </row>
    <row r="820" spans="1:7" x14ac:dyDescent="0.3">
      <c r="A820" s="524" t="s">
        <v>522</v>
      </c>
      <c r="B820" s="524" t="s">
        <v>611</v>
      </c>
      <c r="C820" s="525" t="s">
        <v>546</v>
      </c>
      <c r="D820" s="524" t="s">
        <v>32</v>
      </c>
      <c r="E820" s="524" t="s">
        <v>1725</v>
      </c>
      <c r="F820" s="526" t="s">
        <v>1646</v>
      </c>
      <c r="G820" s="252">
        <f t="shared" si="9"/>
        <v>12.61</v>
      </c>
    </row>
    <row r="821" spans="1:7" x14ac:dyDescent="0.3">
      <c r="A821" s="524" t="s">
        <v>522</v>
      </c>
      <c r="B821" s="524" t="s">
        <v>610</v>
      </c>
      <c r="C821" s="525" t="s">
        <v>543</v>
      </c>
      <c r="D821" s="524" t="s">
        <v>32</v>
      </c>
      <c r="E821" s="524" t="s">
        <v>1725</v>
      </c>
      <c r="F821" s="526" t="s">
        <v>1647</v>
      </c>
      <c r="G821" s="252">
        <f t="shared" si="9"/>
        <v>16.170000000000002</v>
      </c>
    </row>
    <row r="822" spans="1:7" x14ac:dyDescent="0.3">
      <c r="A822" s="680" t="s">
        <v>1152</v>
      </c>
      <c r="B822" s="681"/>
      <c r="C822" s="681"/>
      <c r="D822" s="681"/>
      <c r="E822" s="681"/>
      <c r="F822" s="682"/>
      <c r="G822" s="527">
        <f>SUM(G818:G821)</f>
        <v>80.44</v>
      </c>
    </row>
    <row r="823" spans="1:7" x14ac:dyDescent="0.3">
      <c r="A823" s="683">
        <f>TRUNC(E823*F823,2)</f>
        <v>0</v>
      </c>
      <c r="B823" s="684"/>
      <c r="C823" s="684"/>
      <c r="D823" s="684"/>
      <c r="E823" s="684"/>
      <c r="F823" s="684"/>
      <c r="G823" s="685"/>
    </row>
    <row r="824" spans="1:7" x14ac:dyDescent="0.3">
      <c r="A824" s="529" t="s">
        <v>206</v>
      </c>
      <c r="B824" s="529"/>
      <c r="C824" s="530" t="s">
        <v>187</v>
      </c>
      <c r="D824" s="529"/>
      <c r="E824" s="252"/>
      <c r="F824" s="531"/>
      <c r="G824" s="252">
        <f t="shared" si="9"/>
        <v>0</v>
      </c>
    </row>
    <row r="825" spans="1:7" x14ac:dyDescent="0.3">
      <c r="A825" s="529" t="s">
        <v>208</v>
      </c>
      <c r="B825" s="529"/>
      <c r="C825" s="530" t="s">
        <v>189</v>
      </c>
      <c r="D825" s="529"/>
      <c r="E825" s="252"/>
      <c r="F825" s="531"/>
      <c r="G825" s="252">
        <f t="shared" si="9"/>
        <v>0</v>
      </c>
    </row>
    <row r="826" spans="1:7" ht="28.8" x14ac:dyDescent="0.3">
      <c r="A826" s="529" t="s">
        <v>688</v>
      </c>
      <c r="B826" s="529">
        <v>90443</v>
      </c>
      <c r="C826" s="530" t="s">
        <v>190</v>
      </c>
      <c r="D826" s="529" t="s">
        <v>55</v>
      </c>
      <c r="E826" s="252"/>
      <c r="F826" s="531">
        <v>8.9499999999999993</v>
      </c>
      <c r="G826" s="252">
        <f t="shared" si="9"/>
        <v>0</v>
      </c>
    </row>
    <row r="827" spans="1:7" ht="28.8" x14ac:dyDescent="0.3">
      <c r="A827" s="524" t="s">
        <v>522</v>
      </c>
      <c r="B827" s="524" t="s">
        <v>1726</v>
      </c>
      <c r="C827" s="525" t="s">
        <v>1727</v>
      </c>
      <c r="D827" s="524" t="s">
        <v>32</v>
      </c>
      <c r="E827" s="524" t="s">
        <v>1728</v>
      </c>
      <c r="F827" s="526" t="s">
        <v>1729</v>
      </c>
      <c r="G827" s="252">
        <f t="shared" si="9"/>
        <v>0.97</v>
      </c>
    </row>
    <row r="828" spans="1:7" x14ac:dyDescent="0.3">
      <c r="A828" s="524" t="s">
        <v>522</v>
      </c>
      <c r="B828" s="524" t="s">
        <v>1367</v>
      </c>
      <c r="C828" s="525" t="s">
        <v>1368</v>
      </c>
      <c r="D828" s="524" t="s">
        <v>32</v>
      </c>
      <c r="E828" s="524" t="s">
        <v>1730</v>
      </c>
      <c r="F828" s="526" t="s">
        <v>1370</v>
      </c>
      <c r="G828" s="252">
        <f t="shared" ref="G828:G838" si="17">TRUNC(E828*F828,2)</f>
        <v>7.98</v>
      </c>
    </row>
    <row r="829" spans="1:7" x14ac:dyDescent="0.3">
      <c r="A829" s="680" t="s">
        <v>1152</v>
      </c>
      <c r="B829" s="681"/>
      <c r="C829" s="681"/>
      <c r="D829" s="681"/>
      <c r="E829" s="681"/>
      <c r="F829" s="682"/>
      <c r="G829" s="527">
        <f>SUM(G825:G828)</f>
        <v>8.9500000000000011</v>
      </c>
    </row>
    <row r="830" spans="1:7" x14ac:dyDescent="0.3">
      <c r="A830" s="683">
        <f>TRUNC(E830*F830,2)</f>
        <v>0</v>
      </c>
      <c r="B830" s="684"/>
      <c r="C830" s="684"/>
      <c r="D830" s="684"/>
      <c r="E830" s="684"/>
      <c r="F830" s="684"/>
      <c r="G830" s="685"/>
    </row>
    <row r="831" spans="1:7" ht="28.8" x14ac:dyDescent="0.3">
      <c r="A831" s="529" t="s">
        <v>689</v>
      </c>
      <c r="B831" s="529">
        <v>86895</v>
      </c>
      <c r="C831" s="530" t="s">
        <v>191</v>
      </c>
      <c r="D831" s="529" t="s">
        <v>44</v>
      </c>
      <c r="E831" s="252"/>
      <c r="F831" s="531">
        <v>269.19</v>
      </c>
      <c r="G831" s="252">
        <f t="shared" si="17"/>
        <v>0</v>
      </c>
    </row>
    <row r="832" spans="1:7" x14ac:dyDescent="0.3">
      <c r="A832" s="524" t="s">
        <v>508</v>
      </c>
      <c r="B832" s="524" t="s">
        <v>1731</v>
      </c>
      <c r="C832" s="525" t="s">
        <v>1732</v>
      </c>
      <c r="D832" s="524" t="s">
        <v>426</v>
      </c>
      <c r="E832" s="524" t="s">
        <v>1733</v>
      </c>
      <c r="F832" s="526" t="s">
        <v>1734</v>
      </c>
      <c r="G832" s="252">
        <f t="shared" si="17"/>
        <v>14.23</v>
      </c>
    </row>
    <row r="833" spans="1:7" ht="28.8" x14ac:dyDescent="0.3">
      <c r="A833" s="524" t="s">
        <v>508</v>
      </c>
      <c r="B833" s="524" t="s">
        <v>1425</v>
      </c>
      <c r="C833" s="525" t="s">
        <v>1426</v>
      </c>
      <c r="D833" s="524" t="s">
        <v>397</v>
      </c>
      <c r="E833" s="524" t="s">
        <v>1397</v>
      </c>
      <c r="F833" s="526" t="s">
        <v>1428</v>
      </c>
      <c r="G833" s="252">
        <f t="shared" si="17"/>
        <v>3.3</v>
      </c>
    </row>
    <row r="834" spans="1:7" ht="28.8" x14ac:dyDescent="0.3">
      <c r="A834" s="524" t="s">
        <v>508</v>
      </c>
      <c r="B834" s="524" t="s">
        <v>1735</v>
      </c>
      <c r="C834" s="525" t="s">
        <v>1736</v>
      </c>
      <c r="D834" s="524" t="s">
        <v>24</v>
      </c>
      <c r="E834" s="524" t="s">
        <v>1737</v>
      </c>
      <c r="F834" s="526" t="s">
        <v>1738</v>
      </c>
      <c r="G834" s="252">
        <f t="shared" si="17"/>
        <v>182.09</v>
      </c>
    </row>
    <row r="835" spans="1:7" x14ac:dyDescent="0.3">
      <c r="A835" s="524" t="s">
        <v>508</v>
      </c>
      <c r="B835" s="524" t="s">
        <v>1739</v>
      </c>
      <c r="C835" s="525" t="s">
        <v>1740</v>
      </c>
      <c r="D835" s="524" t="s">
        <v>426</v>
      </c>
      <c r="E835" s="524" t="s">
        <v>1741</v>
      </c>
      <c r="F835" s="526" t="s">
        <v>1742</v>
      </c>
      <c r="G835" s="252">
        <f t="shared" si="17"/>
        <v>1.23</v>
      </c>
    </row>
    <row r="836" spans="1:7" ht="28.8" x14ac:dyDescent="0.3">
      <c r="A836" s="524" t="s">
        <v>508</v>
      </c>
      <c r="B836" s="524" t="s">
        <v>1743</v>
      </c>
      <c r="C836" s="525" t="s">
        <v>1744</v>
      </c>
      <c r="D836" s="524" t="s">
        <v>397</v>
      </c>
      <c r="E836" s="524" t="s">
        <v>1523</v>
      </c>
      <c r="F836" s="526" t="s">
        <v>1745</v>
      </c>
      <c r="G836" s="252">
        <f t="shared" si="17"/>
        <v>19.72</v>
      </c>
    </row>
    <row r="837" spans="1:7" x14ac:dyDescent="0.3">
      <c r="A837" s="524" t="s">
        <v>522</v>
      </c>
      <c r="B837" s="524" t="s">
        <v>1746</v>
      </c>
      <c r="C837" s="525" t="s">
        <v>1747</v>
      </c>
      <c r="D837" s="524" t="s">
        <v>32</v>
      </c>
      <c r="E837" s="524" t="s">
        <v>1748</v>
      </c>
      <c r="F837" s="526" t="s">
        <v>1749</v>
      </c>
      <c r="G837" s="252">
        <f t="shared" si="17"/>
        <v>34.53</v>
      </c>
    </row>
    <row r="838" spans="1:7" x14ac:dyDescent="0.3">
      <c r="A838" s="524" t="s">
        <v>522</v>
      </c>
      <c r="B838" s="524" t="s">
        <v>1359</v>
      </c>
      <c r="C838" s="525" t="s">
        <v>801</v>
      </c>
      <c r="D838" s="524" t="s">
        <v>32</v>
      </c>
      <c r="E838" s="524" t="s">
        <v>1750</v>
      </c>
      <c r="F838" s="526" t="s">
        <v>1361</v>
      </c>
      <c r="G838" s="252">
        <f t="shared" si="17"/>
        <v>14.09</v>
      </c>
    </row>
    <row r="839" spans="1:7" x14ac:dyDescent="0.3">
      <c r="A839" s="680" t="s">
        <v>1152</v>
      </c>
      <c r="B839" s="681"/>
      <c r="C839" s="681"/>
      <c r="D839" s="681"/>
      <c r="E839" s="681"/>
      <c r="F839" s="682"/>
      <c r="G839" s="527">
        <f>SUM(G831:G838)</f>
        <v>269.19</v>
      </c>
    </row>
    <row r="840" spans="1:7" x14ac:dyDescent="0.3">
      <c r="A840" s="683">
        <f>TRUNC(E840*F840,2)</f>
        <v>0</v>
      </c>
      <c r="B840" s="684"/>
      <c r="C840" s="684"/>
      <c r="D840" s="684"/>
      <c r="E840" s="684"/>
      <c r="F840" s="684"/>
      <c r="G840" s="685"/>
    </row>
    <row r="841" spans="1:7" ht="28.8" x14ac:dyDescent="0.3">
      <c r="A841" s="529" t="s">
        <v>690</v>
      </c>
      <c r="B841" s="529">
        <v>86901</v>
      </c>
      <c r="C841" s="530" t="s">
        <v>192</v>
      </c>
      <c r="D841" s="529" t="s">
        <v>44</v>
      </c>
      <c r="E841" s="252"/>
      <c r="F841" s="531">
        <v>108.45</v>
      </c>
      <c r="G841" s="252">
        <f t="shared" ref="G841:G1158" si="18">TRUNC(E841*F841,2)</f>
        <v>0</v>
      </c>
    </row>
    <row r="842" spans="1:7" x14ac:dyDescent="0.3">
      <c r="A842" s="524" t="s">
        <v>508</v>
      </c>
      <c r="B842" s="524" t="s">
        <v>1731</v>
      </c>
      <c r="C842" s="525" t="s">
        <v>1732</v>
      </c>
      <c r="D842" s="524" t="s">
        <v>426</v>
      </c>
      <c r="E842" s="524" t="s">
        <v>1751</v>
      </c>
      <c r="F842" s="526" t="s">
        <v>1734</v>
      </c>
      <c r="G842" s="252">
        <f t="shared" si="18"/>
        <v>19.510000000000002</v>
      </c>
    </row>
    <row r="843" spans="1:7" x14ac:dyDescent="0.3">
      <c r="A843" s="524" t="s">
        <v>508</v>
      </c>
      <c r="B843" s="524" t="s">
        <v>1752</v>
      </c>
      <c r="C843" s="525" t="s">
        <v>1753</v>
      </c>
      <c r="D843" s="524" t="s">
        <v>397</v>
      </c>
      <c r="E843" s="524" t="s">
        <v>1122</v>
      </c>
      <c r="F843" s="526" t="s">
        <v>1754</v>
      </c>
      <c r="G843" s="252">
        <f t="shared" si="18"/>
        <v>69.92</v>
      </c>
    </row>
    <row r="844" spans="1:7" x14ac:dyDescent="0.3">
      <c r="A844" s="524" t="s">
        <v>522</v>
      </c>
      <c r="B844" s="524" t="s">
        <v>1746</v>
      </c>
      <c r="C844" s="525" t="s">
        <v>1747</v>
      </c>
      <c r="D844" s="524" t="s">
        <v>32</v>
      </c>
      <c r="E844" s="524" t="s">
        <v>1755</v>
      </c>
      <c r="F844" s="526" t="s">
        <v>1749</v>
      </c>
      <c r="G844" s="252">
        <f t="shared" si="18"/>
        <v>15.2</v>
      </c>
    </row>
    <row r="845" spans="1:7" x14ac:dyDescent="0.3">
      <c r="A845" s="524" t="s">
        <v>522</v>
      </c>
      <c r="B845" s="524" t="s">
        <v>1359</v>
      </c>
      <c r="C845" s="525" t="s">
        <v>801</v>
      </c>
      <c r="D845" s="524" t="s">
        <v>32</v>
      </c>
      <c r="E845" s="524" t="s">
        <v>1756</v>
      </c>
      <c r="F845" s="526" t="s">
        <v>1361</v>
      </c>
      <c r="G845" s="252">
        <f t="shared" si="18"/>
        <v>3.82</v>
      </c>
    </row>
    <row r="846" spans="1:7" x14ac:dyDescent="0.3">
      <c r="A846" s="680" t="s">
        <v>1152</v>
      </c>
      <c r="B846" s="681"/>
      <c r="C846" s="681"/>
      <c r="D846" s="681"/>
      <c r="E846" s="681"/>
      <c r="F846" s="682"/>
      <c r="G846" s="527">
        <f>SUM(G841:G845)</f>
        <v>108.45</v>
      </c>
    </row>
    <row r="847" spans="1:7" x14ac:dyDescent="0.3">
      <c r="A847" s="683">
        <f>TRUNC(E847*F847,2)</f>
        <v>0</v>
      </c>
      <c r="B847" s="684"/>
      <c r="C847" s="684"/>
      <c r="D847" s="684"/>
      <c r="E847" s="684"/>
      <c r="F847" s="684"/>
      <c r="G847" s="685"/>
    </row>
    <row r="848" spans="1:7" ht="28.8" x14ac:dyDescent="0.3">
      <c r="A848" s="529" t="s">
        <v>691</v>
      </c>
      <c r="B848" s="529">
        <v>86915</v>
      </c>
      <c r="C848" s="530" t="s">
        <v>193</v>
      </c>
      <c r="D848" s="529" t="s">
        <v>44</v>
      </c>
      <c r="E848" s="252"/>
      <c r="F848" s="531">
        <v>84.78</v>
      </c>
      <c r="G848" s="252">
        <f t="shared" si="18"/>
        <v>0</v>
      </c>
    </row>
    <row r="849" spans="1:7" x14ac:dyDescent="0.3">
      <c r="A849" s="524" t="s">
        <v>508</v>
      </c>
      <c r="B849" s="524" t="s">
        <v>1757</v>
      </c>
      <c r="C849" s="525" t="s">
        <v>1758</v>
      </c>
      <c r="D849" s="524" t="s">
        <v>397</v>
      </c>
      <c r="E849" s="524" t="s">
        <v>1759</v>
      </c>
      <c r="F849" s="526" t="s">
        <v>1760</v>
      </c>
      <c r="G849" s="252">
        <f t="shared" si="18"/>
        <v>0.08</v>
      </c>
    </row>
    <row r="850" spans="1:7" x14ac:dyDescent="0.3">
      <c r="A850" s="524" t="s">
        <v>508</v>
      </c>
      <c r="B850" s="524" t="s">
        <v>1761</v>
      </c>
      <c r="C850" s="525" t="s">
        <v>1762</v>
      </c>
      <c r="D850" s="524" t="s">
        <v>397</v>
      </c>
      <c r="E850" s="524" t="s">
        <v>1122</v>
      </c>
      <c r="F850" s="526" t="s">
        <v>1763</v>
      </c>
      <c r="G850" s="252">
        <f t="shared" si="18"/>
        <v>82.57</v>
      </c>
    </row>
    <row r="851" spans="1:7" x14ac:dyDescent="0.3">
      <c r="A851" s="524" t="s">
        <v>522</v>
      </c>
      <c r="B851" s="524" t="s">
        <v>1367</v>
      </c>
      <c r="C851" s="525" t="s">
        <v>1368</v>
      </c>
      <c r="D851" s="524" t="s">
        <v>32</v>
      </c>
      <c r="E851" s="524" t="s">
        <v>1764</v>
      </c>
      <c r="F851" s="526" t="s">
        <v>1370</v>
      </c>
      <c r="G851" s="252">
        <f t="shared" si="18"/>
        <v>1.7</v>
      </c>
    </row>
    <row r="852" spans="1:7" x14ac:dyDescent="0.3">
      <c r="A852" s="524" t="s">
        <v>522</v>
      </c>
      <c r="B852" s="524" t="s">
        <v>1359</v>
      </c>
      <c r="C852" s="525" t="s">
        <v>801</v>
      </c>
      <c r="D852" s="524" t="s">
        <v>32</v>
      </c>
      <c r="E852" s="524" t="s">
        <v>1765</v>
      </c>
      <c r="F852" s="526" t="s">
        <v>1361</v>
      </c>
      <c r="G852" s="252">
        <f t="shared" si="18"/>
        <v>0.43</v>
      </c>
    </row>
    <row r="853" spans="1:7" x14ac:dyDescent="0.3">
      <c r="A853" s="680" t="s">
        <v>1152</v>
      </c>
      <c r="B853" s="681"/>
      <c r="C853" s="681"/>
      <c r="D853" s="681"/>
      <c r="E853" s="681"/>
      <c r="F853" s="682"/>
      <c r="G853" s="527">
        <f>SUM(G848:G852)</f>
        <v>84.78</v>
      </c>
    </row>
    <row r="854" spans="1:7" x14ac:dyDescent="0.3">
      <c r="A854" s="683">
        <f>TRUNC(E854*F854,2)</f>
        <v>0</v>
      </c>
      <c r="B854" s="684"/>
      <c r="C854" s="684"/>
      <c r="D854" s="684"/>
      <c r="E854" s="684"/>
      <c r="F854" s="684"/>
      <c r="G854" s="685"/>
    </row>
    <row r="855" spans="1:7" ht="28.8" x14ac:dyDescent="0.3">
      <c r="A855" s="529" t="s">
        <v>692</v>
      </c>
      <c r="B855" s="529">
        <v>99635</v>
      </c>
      <c r="C855" s="530" t="s">
        <v>194</v>
      </c>
      <c r="D855" s="529" t="s">
        <v>44</v>
      </c>
      <c r="E855" s="252"/>
      <c r="F855" s="531">
        <v>184.35</v>
      </c>
      <c r="G855" s="252">
        <f t="shared" si="18"/>
        <v>0</v>
      </c>
    </row>
    <row r="856" spans="1:7" x14ac:dyDescent="0.3">
      <c r="A856" s="524" t="s">
        <v>508</v>
      </c>
      <c r="B856" s="524" t="s">
        <v>1766</v>
      </c>
      <c r="C856" s="525" t="s">
        <v>1767</v>
      </c>
      <c r="D856" s="524" t="s">
        <v>397</v>
      </c>
      <c r="E856" s="524" t="s">
        <v>1768</v>
      </c>
      <c r="F856" s="526" t="s">
        <v>1769</v>
      </c>
      <c r="G856" s="252">
        <f t="shared" si="18"/>
        <v>0.28999999999999998</v>
      </c>
    </row>
    <row r="857" spans="1:7" ht="28.8" x14ac:dyDescent="0.3">
      <c r="A857" s="524" t="s">
        <v>508</v>
      </c>
      <c r="B857" s="524" t="s">
        <v>1770</v>
      </c>
      <c r="C857" s="525" t="s">
        <v>1771</v>
      </c>
      <c r="D857" s="524" t="s">
        <v>397</v>
      </c>
      <c r="E857" s="524" t="s">
        <v>1122</v>
      </c>
      <c r="F857" s="526" t="s">
        <v>1772</v>
      </c>
      <c r="G857" s="252">
        <f t="shared" si="18"/>
        <v>159.09</v>
      </c>
    </row>
    <row r="858" spans="1:7" ht="28.8" x14ac:dyDescent="0.3">
      <c r="A858" s="524" t="s">
        <v>522</v>
      </c>
      <c r="B858" s="524" t="s">
        <v>1726</v>
      </c>
      <c r="C858" s="525" t="s">
        <v>1727</v>
      </c>
      <c r="D858" s="524" t="s">
        <v>32</v>
      </c>
      <c r="E858" s="524" t="s">
        <v>1773</v>
      </c>
      <c r="F858" s="526" t="s">
        <v>1729</v>
      </c>
      <c r="G858" s="252">
        <f t="shared" si="18"/>
        <v>10.94</v>
      </c>
    </row>
    <row r="859" spans="1:7" x14ac:dyDescent="0.3">
      <c r="A859" s="524" t="s">
        <v>522</v>
      </c>
      <c r="B859" s="524" t="s">
        <v>1367</v>
      </c>
      <c r="C859" s="525" t="s">
        <v>1368</v>
      </c>
      <c r="D859" s="524" t="s">
        <v>32</v>
      </c>
      <c r="E859" s="524" t="s">
        <v>1773</v>
      </c>
      <c r="F859" s="526" t="s">
        <v>1370</v>
      </c>
      <c r="G859" s="252">
        <f t="shared" si="18"/>
        <v>14.03</v>
      </c>
    </row>
    <row r="860" spans="1:7" x14ac:dyDescent="0.3">
      <c r="A860" s="680" t="s">
        <v>1152</v>
      </c>
      <c r="B860" s="681"/>
      <c r="C860" s="681"/>
      <c r="D860" s="681"/>
      <c r="E860" s="681"/>
      <c r="F860" s="682"/>
      <c r="G860" s="527">
        <f>SUM(G855:G859)</f>
        <v>184.35</v>
      </c>
    </row>
    <row r="861" spans="1:7" x14ac:dyDescent="0.3">
      <c r="A861" s="683">
        <f>TRUNC(E861*F861,2)</f>
        <v>0</v>
      </c>
      <c r="B861" s="684"/>
      <c r="C861" s="684"/>
      <c r="D861" s="684"/>
      <c r="E861" s="684"/>
      <c r="F861" s="684"/>
      <c r="G861" s="685"/>
    </row>
    <row r="862" spans="1:7" ht="28.8" x14ac:dyDescent="0.3">
      <c r="A862" s="529" t="s">
        <v>693</v>
      </c>
      <c r="B862" s="529">
        <v>89714</v>
      </c>
      <c r="C862" s="530" t="s">
        <v>195</v>
      </c>
      <c r="D862" s="529" t="s">
        <v>55</v>
      </c>
      <c r="E862" s="252"/>
      <c r="F862" s="531">
        <v>42.17</v>
      </c>
      <c r="G862" s="252">
        <f t="shared" si="18"/>
        <v>0</v>
      </c>
    </row>
    <row r="863" spans="1:7" x14ac:dyDescent="0.3">
      <c r="A863" s="524" t="s">
        <v>508</v>
      </c>
      <c r="B863" s="524" t="s">
        <v>1774</v>
      </c>
      <c r="C863" s="525" t="s">
        <v>1775</v>
      </c>
      <c r="D863" s="524" t="s">
        <v>397</v>
      </c>
      <c r="E863" s="524" t="s">
        <v>1776</v>
      </c>
      <c r="F863" s="526" t="s">
        <v>1777</v>
      </c>
      <c r="G863" s="252">
        <f t="shared" si="18"/>
        <v>3</v>
      </c>
    </row>
    <row r="864" spans="1:7" x14ac:dyDescent="0.3">
      <c r="A864" s="524" t="s">
        <v>508</v>
      </c>
      <c r="B864" s="524" t="s">
        <v>1778</v>
      </c>
      <c r="C864" s="525" t="s">
        <v>1779</v>
      </c>
      <c r="D864" s="524" t="s">
        <v>55</v>
      </c>
      <c r="E864" s="524" t="s">
        <v>1697</v>
      </c>
      <c r="F864" s="526" t="s">
        <v>1780</v>
      </c>
      <c r="G864" s="252">
        <f t="shared" si="18"/>
        <v>11.01</v>
      </c>
    </row>
    <row r="865" spans="1:7" x14ac:dyDescent="0.3">
      <c r="A865" s="524" t="s">
        <v>508</v>
      </c>
      <c r="B865" s="524" t="s">
        <v>1781</v>
      </c>
      <c r="C865" s="525" t="s">
        <v>1782</v>
      </c>
      <c r="D865" s="524" t="s">
        <v>397</v>
      </c>
      <c r="E865" s="524" t="s">
        <v>1783</v>
      </c>
      <c r="F865" s="526" t="s">
        <v>1784</v>
      </c>
      <c r="G865" s="252">
        <f t="shared" si="18"/>
        <v>4.25</v>
      </c>
    </row>
    <row r="866" spans="1:7" x14ac:dyDescent="0.3">
      <c r="A866" s="524" t="s">
        <v>508</v>
      </c>
      <c r="B866" s="524" t="s">
        <v>1785</v>
      </c>
      <c r="C866" s="525" t="s">
        <v>1786</v>
      </c>
      <c r="D866" s="524" t="s">
        <v>397</v>
      </c>
      <c r="E866" s="524" t="s">
        <v>1094</v>
      </c>
      <c r="F866" s="526" t="s">
        <v>1563</v>
      </c>
      <c r="G866" s="252">
        <f t="shared" si="18"/>
        <v>0.49</v>
      </c>
    </row>
    <row r="867" spans="1:7" ht="28.8" x14ac:dyDescent="0.3">
      <c r="A867" s="524" t="s">
        <v>522</v>
      </c>
      <c r="B867" s="524" t="s">
        <v>1726</v>
      </c>
      <c r="C867" s="525" t="s">
        <v>1727</v>
      </c>
      <c r="D867" s="524" t="s">
        <v>32</v>
      </c>
      <c r="E867" s="524" t="s">
        <v>1787</v>
      </c>
      <c r="F867" s="526" t="s">
        <v>1729</v>
      </c>
      <c r="G867" s="252">
        <f t="shared" si="18"/>
        <v>10.26</v>
      </c>
    </row>
    <row r="868" spans="1:7" x14ac:dyDescent="0.3">
      <c r="A868" s="524" t="s">
        <v>522</v>
      </c>
      <c r="B868" s="524" t="s">
        <v>1367</v>
      </c>
      <c r="C868" s="525" t="s">
        <v>1368</v>
      </c>
      <c r="D868" s="524" t="s">
        <v>32</v>
      </c>
      <c r="E868" s="524" t="s">
        <v>1787</v>
      </c>
      <c r="F868" s="526" t="s">
        <v>1370</v>
      </c>
      <c r="G868" s="252">
        <f t="shared" si="18"/>
        <v>13.16</v>
      </c>
    </row>
    <row r="869" spans="1:7" x14ac:dyDescent="0.3">
      <c r="A869" s="680" t="s">
        <v>1152</v>
      </c>
      <c r="B869" s="681"/>
      <c r="C869" s="681"/>
      <c r="D869" s="681"/>
      <c r="E869" s="681"/>
      <c r="F869" s="682"/>
      <c r="G869" s="527">
        <f>SUM(G862:G868)</f>
        <v>42.17</v>
      </c>
    </row>
    <row r="870" spans="1:7" x14ac:dyDescent="0.3">
      <c r="A870" s="683">
        <f>TRUNC(E870*F870,2)</f>
        <v>0</v>
      </c>
      <c r="B870" s="684"/>
      <c r="C870" s="684"/>
      <c r="D870" s="684"/>
      <c r="E870" s="684"/>
      <c r="F870" s="684"/>
      <c r="G870" s="685"/>
    </row>
    <row r="871" spans="1:7" ht="28.8" x14ac:dyDescent="0.3">
      <c r="A871" s="529" t="s">
        <v>694</v>
      </c>
      <c r="B871" s="529">
        <v>89712</v>
      </c>
      <c r="C871" s="530" t="s">
        <v>196</v>
      </c>
      <c r="D871" s="529" t="s">
        <v>55</v>
      </c>
      <c r="E871" s="252"/>
      <c r="F871" s="531">
        <v>21.1</v>
      </c>
      <c r="G871" s="252">
        <f t="shared" si="18"/>
        <v>0</v>
      </c>
    </row>
    <row r="872" spans="1:7" x14ac:dyDescent="0.3">
      <c r="A872" s="524" t="s">
        <v>508</v>
      </c>
      <c r="B872" s="524" t="s">
        <v>1774</v>
      </c>
      <c r="C872" s="525" t="s">
        <v>1775</v>
      </c>
      <c r="D872" s="524" t="s">
        <v>397</v>
      </c>
      <c r="E872" s="524" t="s">
        <v>1788</v>
      </c>
      <c r="F872" s="526" t="s">
        <v>1777</v>
      </c>
      <c r="G872" s="252">
        <f t="shared" si="18"/>
        <v>0.89</v>
      </c>
    </row>
    <row r="873" spans="1:7" x14ac:dyDescent="0.3">
      <c r="A873" s="524" t="s">
        <v>508</v>
      </c>
      <c r="B873" s="524" t="s">
        <v>1789</v>
      </c>
      <c r="C873" s="525" t="s">
        <v>1790</v>
      </c>
      <c r="D873" s="524" t="s">
        <v>55</v>
      </c>
      <c r="E873" s="524" t="s">
        <v>1697</v>
      </c>
      <c r="F873" s="526" t="s">
        <v>1791</v>
      </c>
      <c r="G873" s="252">
        <f t="shared" si="18"/>
        <v>6.76</v>
      </c>
    </row>
    <row r="874" spans="1:7" x14ac:dyDescent="0.3">
      <c r="A874" s="524" t="s">
        <v>508</v>
      </c>
      <c r="B874" s="524" t="s">
        <v>1781</v>
      </c>
      <c r="C874" s="525" t="s">
        <v>1782</v>
      </c>
      <c r="D874" s="524" t="s">
        <v>397</v>
      </c>
      <c r="E874" s="524" t="s">
        <v>1792</v>
      </c>
      <c r="F874" s="526" t="s">
        <v>1784</v>
      </c>
      <c r="G874" s="252">
        <f t="shared" si="18"/>
        <v>1.17</v>
      </c>
    </row>
    <row r="875" spans="1:7" x14ac:dyDescent="0.3">
      <c r="A875" s="524" t="s">
        <v>508</v>
      </c>
      <c r="B875" s="524" t="s">
        <v>1785</v>
      </c>
      <c r="C875" s="525" t="s">
        <v>1786</v>
      </c>
      <c r="D875" s="524" t="s">
        <v>397</v>
      </c>
      <c r="E875" s="524" t="s">
        <v>1793</v>
      </c>
      <c r="F875" s="526" t="s">
        <v>1563</v>
      </c>
      <c r="G875" s="252">
        <f t="shared" si="18"/>
        <v>0.25</v>
      </c>
    </row>
    <row r="876" spans="1:7" ht="28.8" x14ac:dyDescent="0.3">
      <c r="A876" s="524" t="s">
        <v>522</v>
      </c>
      <c r="B876" s="524" t="s">
        <v>1726</v>
      </c>
      <c r="C876" s="525" t="s">
        <v>1727</v>
      </c>
      <c r="D876" s="524" t="s">
        <v>32</v>
      </c>
      <c r="E876" s="524" t="s">
        <v>1794</v>
      </c>
      <c r="F876" s="526" t="s">
        <v>1729</v>
      </c>
      <c r="G876" s="252">
        <f t="shared" si="18"/>
        <v>5.27</v>
      </c>
    </row>
    <row r="877" spans="1:7" x14ac:dyDescent="0.3">
      <c r="A877" s="524" t="s">
        <v>522</v>
      </c>
      <c r="B877" s="524" t="s">
        <v>1367</v>
      </c>
      <c r="C877" s="525" t="s">
        <v>1368</v>
      </c>
      <c r="D877" s="524" t="s">
        <v>32</v>
      </c>
      <c r="E877" s="524" t="s">
        <v>1794</v>
      </c>
      <c r="F877" s="526" t="s">
        <v>1370</v>
      </c>
      <c r="G877" s="252">
        <f t="shared" si="18"/>
        <v>6.76</v>
      </c>
    </row>
    <row r="878" spans="1:7" x14ac:dyDescent="0.3">
      <c r="A878" s="680" t="s">
        <v>1152</v>
      </c>
      <c r="B878" s="681"/>
      <c r="C878" s="681"/>
      <c r="D878" s="681"/>
      <c r="E878" s="681"/>
      <c r="F878" s="682"/>
      <c r="G878" s="527">
        <f>SUM(G871:G877)</f>
        <v>21.1</v>
      </c>
    </row>
    <row r="879" spans="1:7" x14ac:dyDescent="0.3">
      <c r="A879" s="683">
        <f>TRUNC(E879*F879,2)</f>
        <v>0</v>
      </c>
      <c r="B879" s="684"/>
      <c r="C879" s="684"/>
      <c r="D879" s="684"/>
      <c r="E879" s="684"/>
      <c r="F879" s="684"/>
      <c r="G879" s="685"/>
    </row>
    <row r="880" spans="1:7" ht="28.8" x14ac:dyDescent="0.3">
      <c r="A880" s="529" t="s">
        <v>695</v>
      </c>
      <c r="B880" s="529">
        <v>89567</v>
      </c>
      <c r="C880" s="530" t="s">
        <v>197</v>
      </c>
      <c r="D880" s="529" t="s">
        <v>44</v>
      </c>
      <c r="E880" s="252"/>
      <c r="F880" s="531">
        <v>57.95</v>
      </c>
      <c r="G880" s="252">
        <f t="shared" si="18"/>
        <v>0</v>
      </c>
    </row>
    <row r="881" spans="1:7" x14ac:dyDescent="0.3">
      <c r="A881" s="524" t="s">
        <v>508</v>
      </c>
      <c r="B881" s="524" t="s">
        <v>1795</v>
      </c>
      <c r="C881" s="525" t="s">
        <v>1796</v>
      </c>
      <c r="D881" s="524" t="s">
        <v>397</v>
      </c>
      <c r="E881" s="524" t="s">
        <v>1523</v>
      </c>
      <c r="F881" s="526" t="s">
        <v>1797</v>
      </c>
      <c r="G881" s="252">
        <f t="shared" si="18"/>
        <v>7.26</v>
      </c>
    </row>
    <row r="882" spans="1:7" ht="28.8" x14ac:dyDescent="0.3">
      <c r="A882" s="524" t="s">
        <v>508</v>
      </c>
      <c r="B882" s="524" t="s">
        <v>1798</v>
      </c>
      <c r="C882" s="525" t="s">
        <v>1799</v>
      </c>
      <c r="D882" s="524" t="s">
        <v>397</v>
      </c>
      <c r="E882" s="524" t="s">
        <v>1800</v>
      </c>
      <c r="F882" s="526" t="s">
        <v>1801</v>
      </c>
      <c r="G882" s="252">
        <f t="shared" si="18"/>
        <v>2.78</v>
      </c>
    </row>
    <row r="883" spans="1:7" x14ac:dyDescent="0.3">
      <c r="A883" s="524" t="s">
        <v>508</v>
      </c>
      <c r="B883" s="524" t="s">
        <v>1802</v>
      </c>
      <c r="C883" s="525" t="s">
        <v>1803</v>
      </c>
      <c r="D883" s="524" t="s">
        <v>397</v>
      </c>
      <c r="E883" s="524" t="s">
        <v>1122</v>
      </c>
      <c r="F883" s="526" t="s">
        <v>1804</v>
      </c>
      <c r="G883" s="252">
        <f t="shared" si="18"/>
        <v>42.06</v>
      </c>
    </row>
    <row r="884" spans="1:7" ht="28.8" x14ac:dyDescent="0.3">
      <c r="A884" s="524" t="s">
        <v>522</v>
      </c>
      <c r="B884" s="524" t="s">
        <v>1726</v>
      </c>
      <c r="C884" s="525" t="s">
        <v>1727</v>
      </c>
      <c r="D884" s="524" t="s">
        <v>32</v>
      </c>
      <c r="E884" s="524" t="s">
        <v>1805</v>
      </c>
      <c r="F884" s="526" t="s">
        <v>1729</v>
      </c>
      <c r="G884" s="252">
        <f t="shared" si="18"/>
        <v>2.56</v>
      </c>
    </row>
    <row r="885" spans="1:7" x14ac:dyDescent="0.3">
      <c r="A885" s="524" t="s">
        <v>522</v>
      </c>
      <c r="B885" s="524" t="s">
        <v>1367</v>
      </c>
      <c r="C885" s="525" t="s">
        <v>1368</v>
      </c>
      <c r="D885" s="524" t="s">
        <v>32</v>
      </c>
      <c r="E885" s="524" t="s">
        <v>1805</v>
      </c>
      <c r="F885" s="526" t="s">
        <v>1370</v>
      </c>
      <c r="G885" s="252">
        <f t="shared" si="18"/>
        <v>3.29</v>
      </c>
    </row>
    <row r="886" spans="1:7" x14ac:dyDescent="0.3">
      <c r="A886" s="680" t="s">
        <v>1152</v>
      </c>
      <c r="B886" s="681"/>
      <c r="C886" s="681"/>
      <c r="D886" s="681"/>
      <c r="E886" s="681"/>
      <c r="F886" s="682"/>
      <c r="G886" s="527">
        <f>SUM(G879:G885)</f>
        <v>57.95</v>
      </c>
    </row>
    <row r="887" spans="1:7" x14ac:dyDescent="0.3">
      <c r="A887" s="683">
        <f>TRUNC(E887*F887,2)</f>
        <v>0</v>
      </c>
      <c r="B887" s="684"/>
      <c r="C887" s="684"/>
      <c r="D887" s="684"/>
      <c r="E887" s="684"/>
      <c r="F887" s="684"/>
      <c r="G887" s="685"/>
    </row>
    <row r="888" spans="1:7" ht="43.2" x14ac:dyDescent="0.3">
      <c r="A888" s="529" t="s">
        <v>696</v>
      </c>
      <c r="B888" s="529">
        <v>89731</v>
      </c>
      <c r="C888" s="530" t="s">
        <v>198</v>
      </c>
      <c r="D888" s="529" t="s">
        <v>44</v>
      </c>
      <c r="E888" s="252"/>
      <c r="F888" s="531">
        <v>8.56</v>
      </c>
      <c r="G888" s="252">
        <f t="shared" si="18"/>
        <v>0</v>
      </c>
    </row>
    <row r="889" spans="1:7" x14ac:dyDescent="0.3">
      <c r="A889" s="524" t="s">
        <v>508</v>
      </c>
      <c r="B889" s="524" t="s">
        <v>1806</v>
      </c>
      <c r="C889" s="525" t="s">
        <v>1807</v>
      </c>
      <c r="D889" s="524" t="s">
        <v>397</v>
      </c>
      <c r="E889" s="524" t="s">
        <v>1122</v>
      </c>
      <c r="F889" s="526" t="s">
        <v>1455</v>
      </c>
      <c r="G889" s="252">
        <f t="shared" si="18"/>
        <v>2.0499999999999998</v>
      </c>
    </row>
    <row r="890" spans="1:7" x14ac:dyDescent="0.3">
      <c r="A890" s="524" t="s">
        <v>508</v>
      </c>
      <c r="B890" s="524" t="s">
        <v>1808</v>
      </c>
      <c r="C890" s="525" t="s">
        <v>1809</v>
      </c>
      <c r="D890" s="524" t="s">
        <v>397</v>
      </c>
      <c r="E890" s="524" t="s">
        <v>1122</v>
      </c>
      <c r="F890" s="526" t="s">
        <v>1810</v>
      </c>
      <c r="G890" s="252">
        <f t="shared" si="18"/>
        <v>1.8</v>
      </c>
    </row>
    <row r="891" spans="1:7" ht="28.8" x14ac:dyDescent="0.3">
      <c r="A891" s="524" t="s">
        <v>508</v>
      </c>
      <c r="B891" s="524" t="s">
        <v>1798</v>
      </c>
      <c r="C891" s="525" t="s">
        <v>1799</v>
      </c>
      <c r="D891" s="524" t="s">
        <v>397</v>
      </c>
      <c r="E891" s="524" t="s">
        <v>1515</v>
      </c>
      <c r="F891" s="526" t="s">
        <v>1801</v>
      </c>
      <c r="G891" s="252">
        <f t="shared" si="18"/>
        <v>0.6</v>
      </c>
    </row>
    <row r="892" spans="1:7" ht="28.8" x14ac:dyDescent="0.3">
      <c r="A892" s="524" t="s">
        <v>522</v>
      </c>
      <c r="B892" s="524" t="s">
        <v>1726</v>
      </c>
      <c r="C892" s="525" t="s">
        <v>1727</v>
      </c>
      <c r="D892" s="524" t="s">
        <v>32</v>
      </c>
      <c r="E892" s="524" t="s">
        <v>1811</v>
      </c>
      <c r="F892" s="526" t="s">
        <v>1729</v>
      </c>
      <c r="G892" s="252">
        <f t="shared" si="18"/>
        <v>1.8</v>
      </c>
    </row>
    <row r="893" spans="1:7" x14ac:dyDescent="0.3">
      <c r="A893" s="524" t="s">
        <v>522</v>
      </c>
      <c r="B893" s="524" t="s">
        <v>1367</v>
      </c>
      <c r="C893" s="525" t="s">
        <v>1368</v>
      </c>
      <c r="D893" s="524" t="s">
        <v>32</v>
      </c>
      <c r="E893" s="524" t="s">
        <v>1811</v>
      </c>
      <c r="F893" s="526" t="s">
        <v>1370</v>
      </c>
      <c r="G893" s="252">
        <f t="shared" si="18"/>
        <v>2.31</v>
      </c>
    </row>
    <row r="894" spans="1:7" x14ac:dyDescent="0.3">
      <c r="A894" s="680" t="s">
        <v>1152</v>
      </c>
      <c r="B894" s="681"/>
      <c r="C894" s="681"/>
      <c r="D894" s="681"/>
      <c r="E894" s="681"/>
      <c r="F894" s="682"/>
      <c r="G894" s="527">
        <f>SUM(G887:G893)</f>
        <v>8.5599999999999987</v>
      </c>
    </row>
    <row r="895" spans="1:7" x14ac:dyDescent="0.3">
      <c r="A895" s="683">
        <f>TRUNC(E895*F895,2)</f>
        <v>0</v>
      </c>
      <c r="B895" s="684"/>
      <c r="C895" s="684"/>
      <c r="D895" s="684"/>
      <c r="E895" s="684"/>
      <c r="F895" s="684"/>
      <c r="G895" s="685"/>
    </row>
    <row r="896" spans="1:7" ht="43.2" x14ac:dyDescent="0.3">
      <c r="A896" s="529" t="s">
        <v>697</v>
      </c>
      <c r="B896" s="529">
        <v>89744</v>
      </c>
      <c r="C896" s="530" t="s">
        <v>199</v>
      </c>
      <c r="D896" s="529" t="s">
        <v>44</v>
      </c>
      <c r="E896" s="252"/>
      <c r="F896" s="531">
        <v>18.88</v>
      </c>
      <c r="G896" s="252">
        <f t="shared" si="18"/>
        <v>0</v>
      </c>
    </row>
    <row r="897" spans="1:7" x14ac:dyDescent="0.3">
      <c r="A897" s="524" t="s">
        <v>508</v>
      </c>
      <c r="B897" s="524" t="s">
        <v>1795</v>
      </c>
      <c r="C897" s="525" t="s">
        <v>1796</v>
      </c>
      <c r="D897" s="524" t="s">
        <v>397</v>
      </c>
      <c r="E897" s="524" t="s">
        <v>1122</v>
      </c>
      <c r="F897" s="526" t="s">
        <v>1797</v>
      </c>
      <c r="G897" s="252">
        <f t="shared" si="18"/>
        <v>3.63</v>
      </c>
    </row>
    <row r="898" spans="1:7" x14ac:dyDescent="0.3">
      <c r="A898" s="524" t="s">
        <v>508</v>
      </c>
      <c r="B898" s="524" t="s">
        <v>1812</v>
      </c>
      <c r="C898" s="525" t="s">
        <v>1813</v>
      </c>
      <c r="D898" s="524" t="s">
        <v>397</v>
      </c>
      <c r="E898" s="524" t="s">
        <v>1122</v>
      </c>
      <c r="F898" s="526" t="s">
        <v>1814</v>
      </c>
      <c r="G898" s="252">
        <f t="shared" si="18"/>
        <v>5.96</v>
      </c>
    </row>
    <row r="899" spans="1:7" ht="28.8" x14ac:dyDescent="0.3">
      <c r="A899" s="524" t="s">
        <v>508</v>
      </c>
      <c r="B899" s="524" t="s">
        <v>1798</v>
      </c>
      <c r="C899" s="525" t="s">
        <v>1799</v>
      </c>
      <c r="D899" s="524" t="s">
        <v>397</v>
      </c>
      <c r="E899" s="524" t="s">
        <v>1815</v>
      </c>
      <c r="F899" s="526" t="s">
        <v>1801</v>
      </c>
      <c r="G899" s="252">
        <f t="shared" si="18"/>
        <v>1.39</v>
      </c>
    </row>
    <row r="900" spans="1:7" ht="28.8" x14ac:dyDescent="0.3">
      <c r="A900" s="524" t="s">
        <v>522</v>
      </c>
      <c r="B900" s="524" t="s">
        <v>1726</v>
      </c>
      <c r="C900" s="525" t="s">
        <v>1727</v>
      </c>
      <c r="D900" s="524" t="s">
        <v>32</v>
      </c>
      <c r="E900" s="524" t="s">
        <v>1438</v>
      </c>
      <c r="F900" s="526" t="s">
        <v>1729</v>
      </c>
      <c r="G900" s="252">
        <f t="shared" si="18"/>
        <v>3.46</v>
      </c>
    </row>
    <row r="901" spans="1:7" x14ac:dyDescent="0.3">
      <c r="A901" s="524" t="s">
        <v>522</v>
      </c>
      <c r="B901" s="524" t="s">
        <v>1367</v>
      </c>
      <c r="C901" s="525" t="s">
        <v>1368</v>
      </c>
      <c r="D901" s="524" t="s">
        <v>32</v>
      </c>
      <c r="E901" s="524" t="s">
        <v>1438</v>
      </c>
      <c r="F901" s="526" t="s">
        <v>1370</v>
      </c>
      <c r="G901" s="252">
        <f t="shared" si="18"/>
        <v>4.4400000000000004</v>
      </c>
    </row>
    <row r="902" spans="1:7" x14ac:dyDescent="0.3">
      <c r="A902" s="680" t="s">
        <v>1152</v>
      </c>
      <c r="B902" s="681"/>
      <c r="C902" s="681"/>
      <c r="D902" s="681"/>
      <c r="E902" s="681"/>
      <c r="F902" s="682"/>
      <c r="G902" s="527">
        <f>SUM(G895:G901)</f>
        <v>18.880000000000003</v>
      </c>
    </row>
    <row r="903" spans="1:7" x14ac:dyDescent="0.3">
      <c r="A903" s="683">
        <f>TRUNC(E903*F903,2)</f>
        <v>0</v>
      </c>
      <c r="B903" s="684"/>
      <c r="C903" s="684"/>
      <c r="D903" s="684"/>
      <c r="E903" s="684"/>
      <c r="F903" s="684"/>
      <c r="G903" s="685"/>
    </row>
    <row r="904" spans="1:7" x14ac:dyDescent="0.3">
      <c r="A904" s="529" t="s">
        <v>252</v>
      </c>
      <c r="B904" s="529"/>
      <c r="C904" s="530" t="s">
        <v>201</v>
      </c>
      <c r="D904" s="529"/>
      <c r="E904" s="252"/>
      <c r="F904" s="531"/>
      <c r="G904" s="252">
        <f t="shared" si="18"/>
        <v>0</v>
      </c>
    </row>
    <row r="905" spans="1:7" ht="28.8" x14ac:dyDescent="0.3">
      <c r="A905" s="529" t="s">
        <v>698</v>
      </c>
      <c r="B905" s="529">
        <v>95544</v>
      </c>
      <c r="C905" s="530" t="s">
        <v>202</v>
      </c>
      <c r="D905" s="529" t="s">
        <v>44</v>
      </c>
      <c r="E905" s="252"/>
      <c r="F905" s="531">
        <v>30.21</v>
      </c>
      <c r="G905" s="252">
        <f t="shared" si="18"/>
        <v>0</v>
      </c>
    </row>
    <row r="906" spans="1:7" x14ac:dyDescent="0.3">
      <c r="A906" s="524" t="s">
        <v>508</v>
      </c>
      <c r="B906" s="524" t="s">
        <v>1816</v>
      </c>
      <c r="C906" s="525" t="s">
        <v>1817</v>
      </c>
      <c r="D906" s="524" t="s">
        <v>397</v>
      </c>
      <c r="E906" s="524" t="s">
        <v>1122</v>
      </c>
      <c r="F906" s="526" t="s">
        <v>1818</v>
      </c>
      <c r="G906" s="252">
        <f t="shared" si="18"/>
        <v>23.16</v>
      </c>
    </row>
    <row r="907" spans="1:7" x14ac:dyDescent="0.3">
      <c r="A907" s="524" t="s">
        <v>522</v>
      </c>
      <c r="B907" s="524" t="s">
        <v>1367</v>
      </c>
      <c r="C907" s="525" t="s">
        <v>1368</v>
      </c>
      <c r="D907" s="524" t="s">
        <v>32</v>
      </c>
      <c r="E907" s="524" t="s">
        <v>1819</v>
      </c>
      <c r="F907" s="526" t="s">
        <v>1370</v>
      </c>
      <c r="G907" s="252">
        <f t="shared" si="18"/>
        <v>5.62</v>
      </c>
    </row>
    <row r="908" spans="1:7" x14ac:dyDescent="0.3">
      <c r="A908" s="524" t="s">
        <v>522</v>
      </c>
      <c r="B908" s="524" t="s">
        <v>1359</v>
      </c>
      <c r="C908" s="525" t="s">
        <v>801</v>
      </c>
      <c r="D908" s="524" t="s">
        <v>32</v>
      </c>
      <c r="E908" s="524" t="s">
        <v>1820</v>
      </c>
      <c r="F908" s="526" t="s">
        <v>1361</v>
      </c>
      <c r="G908" s="252">
        <f t="shared" si="18"/>
        <v>1.43</v>
      </c>
    </row>
    <row r="909" spans="1:7" x14ac:dyDescent="0.3">
      <c r="A909" s="680" t="s">
        <v>1152</v>
      </c>
      <c r="B909" s="681"/>
      <c r="C909" s="681"/>
      <c r="D909" s="681"/>
      <c r="E909" s="681"/>
      <c r="F909" s="682"/>
      <c r="G909" s="527">
        <f>SUM(G904:G908)</f>
        <v>30.21</v>
      </c>
    </row>
    <row r="910" spans="1:7" x14ac:dyDescent="0.3">
      <c r="A910" s="683">
        <f>TRUNC(E910*F910,2)</f>
        <v>0</v>
      </c>
      <c r="B910" s="684"/>
      <c r="C910" s="684"/>
      <c r="D910" s="684"/>
      <c r="E910" s="684"/>
      <c r="F910" s="684"/>
      <c r="G910" s="685"/>
    </row>
    <row r="911" spans="1:7" x14ac:dyDescent="0.3">
      <c r="A911" s="529" t="s">
        <v>699</v>
      </c>
      <c r="B911" s="529">
        <v>95545</v>
      </c>
      <c r="C911" s="530" t="s">
        <v>203</v>
      </c>
      <c r="D911" s="529" t="s">
        <v>44</v>
      </c>
      <c r="E911" s="252"/>
      <c r="F911" s="531">
        <v>29.63</v>
      </c>
      <c r="G911" s="252">
        <f t="shared" si="18"/>
        <v>0</v>
      </c>
    </row>
    <row r="912" spans="1:7" x14ac:dyDescent="0.3">
      <c r="A912" s="524" t="s">
        <v>508</v>
      </c>
      <c r="B912" s="524" t="s">
        <v>1821</v>
      </c>
      <c r="C912" s="525" t="s">
        <v>1822</v>
      </c>
      <c r="D912" s="524" t="s">
        <v>397</v>
      </c>
      <c r="E912" s="524" t="s">
        <v>1122</v>
      </c>
      <c r="F912" s="526" t="s">
        <v>1823</v>
      </c>
      <c r="G912" s="252">
        <f t="shared" si="18"/>
        <v>22.58</v>
      </c>
    </row>
    <row r="913" spans="1:7" x14ac:dyDescent="0.3">
      <c r="A913" s="524" t="s">
        <v>522</v>
      </c>
      <c r="B913" s="524" t="s">
        <v>1367</v>
      </c>
      <c r="C913" s="525" t="s">
        <v>1368</v>
      </c>
      <c r="D913" s="524" t="s">
        <v>32</v>
      </c>
      <c r="E913" s="524" t="s">
        <v>1819</v>
      </c>
      <c r="F913" s="526" t="s">
        <v>1370</v>
      </c>
      <c r="G913" s="252">
        <f t="shared" si="18"/>
        <v>5.62</v>
      </c>
    </row>
    <row r="914" spans="1:7" x14ac:dyDescent="0.3">
      <c r="A914" s="524" t="s">
        <v>522</v>
      </c>
      <c r="B914" s="524" t="s">
        <v>1359</v>
      </c>
      <c r="C914" s="525" t="s">
        <v>801</v>
      </c>
      <c r="D914" s="524" t="s">
        <v>32</v>
      </c>
      <c r="E914" s="524" t="s">
        <v>1820</v>
      </c>
      <c r="F914" s="526" t="s">
        <v>1361</v>
      </c>
      <c r="G914" s="252">
        <f t="shared" si="18"/>
        <v>1.43</v>
      </c>
    </row>
    <row r="915" spans="1:7" x14ac:dyDescent="0.3">
      <c r="A915" s="680" t="s">
        <v>1152</v>
      </c>
      <c r="B915" s="681"/>
      <c r="C915" s="681"/>
      <c r="D915" s="681"/>
      <c r="E915" s="681"/>
      <c r="F915" s="682"/>
      <c r="G915" s="527">
        <f>SUM(G910:G914)</f>
        <v>29.63</v>
      </c>
    </row>
    <row r="916" spans="1:7" x14ac:dyDescent="0.3">
      <c r="A916" s="683">
        <f>TRUNC(E916*F916,2)</f>
        <v>0</v>
      </c>
      <c r="B916" s="684"/>
      <c r="C916" s="684"/>
      <c r="D916" s="684"/>
      <c r="E916" s="684"/>
      <c r="F916" s="684"/>
      <c r="G916" s="685"/>
    </row>
    <row r="917" spans="1:7" ht="28.8" x14ac:dyDescent="0.3">
      <c r="A917" s="529" t="s">
        <v>700</v>
      </c>
      <c r="B917" s="529">
        <v>95471</v>
      </c>
      <c r="C917" s="530" t="s">
        <v>204</v>
      </c>
      <c r="D917" s="529" t="s">
        <v>44</v>
      </c>
      <c r="E917" s="252"/>
      <c r="F917" s="531">
        <v>611.63</v>
      </c>
      <c r="G917" s="252">
        <f t="shared" si="18"/>
        <v>0</v>
      </c>
    </row>
    <row r="918" spans="1:7" ht="28.8" x14ac:dyDescent="0.3">
      <c r="A918" s="524" t="s">
        <v>508</v>
      </c>
      <c r="B918" s="524" t="s">
        <v>1824</v>
      </c>
      <c r="C918" s="525" t="s">
        <v>1825</v>
      </c>
      <c r="D918" s="524" t="s">
        <v>397</v>
      </c>
      <c r="E918" s="524" t="s">
        <v>1523</v>
      </c>
      <c r="F918" s="526" t="s">
        <v>1826</v>
      </c>
      <c r="G918" s="252">
        <f t="shared" si="18"/>
        <v>31.16</v>
      </c>
    </row>
    <row r="919" spans="1:7" x14ac:dyDescent="0.3">
      <c r="A919" s="524" t="s">
        <v>508</v>
      </c>
      <c r="B919" s="524" t="s">
        <v>1827</v>
      </c>
      <c r="C919" s="525" t="s">
        <v>1828</v>
      </c>
      <c r="D919" s="524" t="s">
        <v>397</v>
      </c>
      <c r="E919" s="524" t="s">
        <v>1122</v>
      </c>
      <c r="F919" s="526" t="s">
        <v>1829</v>
      </c>
      <c r="G919" s="252">
        <f t="shared" si="18"/>
        <v>1.83</v>
      </c>
    </row>
    <row r="920" spans="1:7" ht="28.8" x14ac:dyDescent="0.3">
      <c r="A920" s="524" t="s">
        <v>508</v>
      </c>
      <c r="B920" s="524" t="s">
        <v>1830</v>
      </c>
      <c r="C920" s="525" t="s">
        <v>1831</v>
      </c>
      <c r="D920" s="524" t="s">
        <v>397</v>
      </c>
      <c r="E920" s="524" t="s">
        <v>1122</v>
      </c>
      <c r="F920" s="526" t="s">
        <v>1832</v>
      </c>
      <c r="G920" s="252">
        <f t="shared" si="18"/>
        <v>543.04999999999995</v>
      </c>
    </row>
    <row r="921" spans="1:7" x14ac:dyDescent="0.3">
      <c r="A921" s="524" t="s">
        <v>508</v>
      </c>
      <c r="B921" s="524" t="s">
        <v>1739</v>
      </c>
      <c r="C921" s="525" t="s">
        <v>1740</v>
      </c>
      <c r="D921" s="524" t="s">
        <v>426</v>
      </c>
      <c r="E921" s="524" t="s">
        <v>1833</v>
      </c>
      <c r="F921" s="526" t="s">
        <v>1742</v>
      </c>
      <c r="G921" s="252">
        <f t="shared" si="18"/>
        <v>7.08</v>
      </c>
    </row>
    <row r="922" spans="1:7" x14ac:dyDescent="0.3">
      <c r="A922" s="524" t="s">
        <v>522</v>
      </c>
      <c r="B922" s="524" t="s">
        <v>1367</v>
      </c>
      <c r="C922" s="525" t="s">
        <v>1368</v>
      </c>
      <c r="D922" s="524" t="s">
        <v>32</v>
      </c>
      <c r="E922" s="524" t="s">
        <v>1834</v>
      </c>
      <c r="F922" s="526" t="s">
        <v>1370</v>
      </c>
      <c r="G922" s="252">
        <f t="shared" si="18"/>
        <v>20.52</v>
      </c>
    </row>
    <row r="923" spans="1:7" x14ac:dyDescent="0.3">
      <c r="A923" s="524" t="s">
        <v>522</v>
      </c>
      <c r="B923" s="524" t="s">
        <v>1359</v>
      </c>
      <c r="C923" s="525" t="s">
        <v>801</v>
      </c>
      <c r="D923" s="524" t="s">
        <v>32</v>
      </c>
      <c r="E923" s="524" t="s">
        <v>1835</v>
      </c>
      <c r="F923" s="526" t="s">
        <v>1361</v>
      </c>
      <c r="G923" s="252">
        <f t="shared" si="18"/>
        <v>7.99</v>
      </c>
    </row>
    <row r="924" spans="1:7" x14ac:dyDescent="0.3">
      <c r="A924" s="680" t="s">
        <v>1152</v>
      </c>
      <c r="B924" s="681"/>
      <c r="C924" s="681"/>
      <c r="D924" s="681"/>
      <c r="E924" s="681"/>
      <c r="F924" s="682"/>
      <c r="G924" s="527">
        <f>SUM(G917:G923)</f>
        <v>611.63</v>
      </c>
    </row>
    <row r="925" spans="1:7" x14ac:dyDescent="0.3">
      <c r="A925" s="683">
        <f>TRUNC(E925*F925,2)</f>
        <v>0</v>
      </c>
      <c r="B925" s="684"/>
      <c r="C925" s="684"/>
      <c r="D925" s="684"/>
      <c r="E925" s="684"/>
      <c r="F925" s="684"/>
      <c r="G925" s="685"/>
    </row>
    <row r="926" spans="1:7" ht="28.8" x14ac:dyDescent="0.3">
      <c r="A926" s="529" t="s">
        <v>701</v>
      </c>
      <c r="B926" s="529" t="s">
        <v>810</v>
      </c>
      <c r="C926" s="530" t="s">
        <v>808</v>
      </c>
      <c r="D926" s="529" t="s">
        <v>185</v>
      </c>
      <c r="E926" s="252"/>
      <c r="F926" s="531">
        <v>234.28</v>
      </c>
      <c r="G926" s="252">
        <f t="shared" si="18"/>
        <v>0</v>
      </c>
    </row>
    <row r="927" spans="1:7" x14ac:dyDescent="0.3">
      <c r="A927" s="529"/>
      <c r="B927" s="529">
        <v>88316</v>
      </c>
      <c r="C927" s="525" t="s">
        <v>801</v>
      </c>
      <c r="D927" s="529" t="s">
        <v>32</v>
      </c>
      <c r="E927" s="609">
        <v>0.1</v>
      </c>
      <c r="F927" s="526" t="s">
        <v>1361</v>
      </c>
      <c r="G927" s="252">
        <f t="shared" si="18"/>
        <v>1.43</v>
      </c>
    </row>
    <row r="928" spans="1:7" x14ac:dyDescent="0.3">
      <c r="A928" s="529"/>
      <c r="B928" s="529">
        <v>88309</v>
      </c>
      <c r="C928" s="610" t="s">
        <v>1363</v>
      </c>
      <c r="D928" s="529" t="s">
        <v>32</v>
      </c>
      <c r="E928" s="609">
        <v>0.24560000000000001</v>
      </c>
      <c r="F928" s="531">
        <v>17.760000000000002</v>
      </c>
      <c r="G928" s="252">
        <f t="shared" si="18"/>
        <v>4.3600000000000003</v>
      </c>
    </row>
    <row r="929" spans="1:7" ht="28.8" x14ac:dyDescent="0.3">
      <c r="A929" s="529"/>
      <c r="B929" s="529" t="s">
        <v>807</v>
      </c>
      <c r="C929" s="530" t="s">
        <v>808</v>
      </c>
      <c r="D929" s="529" t="s">
        <v>397</v>
      </c>
      <c r="E929" s="609">
        <v>1</v>
      </c>
      <c r="F929" s="531">
        <v>228.49</v>
      </c>
      <c r="G929" s="252">
        <f t="shared" si="18"/>
        <v>228.49</v>
      </c>
    </row>
    <row r="930" spans="1:7" x14ac:dyDescent="0.3">
      <c r="A930" s="680" t="s">
        <v>1152</v>
      </c>
      <c r="B930" s="681"/>
      <c r="C930" s="681"/>
      <c r="D930" s="681"/>
      <c r="E930" s="681"/>
      <c r="F930" s="682"/>
      <c r="G930" s="527">
        <f>SUM(G926:G929)</f>
        <v>234.28</v>
      </c>
    </row>
    <row r="931" spans="1:7" x14ac:dyDescent="0.3">
      <c r="A931" s="683">
        <f>TRUNC(E931*F931,2)</f>
        <v>0</v>
      </c>
      <c r="B931" s="684"/>
      <c r="C931" s="684"/>
      <c r="D931" s="684"/>
      <c r="E931" s="684"/>
      <c r="F931" s="684"/>
      <c r="G931" s="685"/>
    </row>
    <row r="932" spans="1:7" ht="28.8" x14ac:dyDescent="0.3">
      <c r="A932" s="529" t="s">
        <v>816</v>
      </c>
      <c r="B932" s="529" t="s">
        <v>811</v>
      </c>
      <c r="C932" s="530" t="s">
        <v>809</v>
      </c>
      <c r="D932" s="529" t="s">
        <v>397</v>
      </c>
      <c r="E932" s="252"/>
      <c r="F932" s="531">
        <v>198.74</v>
      </c>
      <c r="G932" s="252">
        <f t="shared" si="18"/>
        <v>0</v>
      </c>
    </row>
    <row r="933" spans="1:7" x14ac:dyDescent="0.3">
      <c r="A933" s="529"/>
      <c r="B933" s="200">
        <v>88316</v>
      </c>
      <c r="C933" s="202" t="s">
        <v>801</v>
      </c>
      <c r="D933" s="200" t="s">
        <v>32</v>
      </c>
      <c r="E933" s="203">
        <v>0.1</v>
      </c>
      <c r="F933" s="526" t="s">
        <v>1361</v>
      </c>
      <c r="G933" s="252">
        <f t="shared" si="18"/>
        <v>1.43</v>
      </c>
    </row>
    <row r="934" spans="1:7" x14ac:dyDescent="0.3">
      <c r="A934" s="529"/>
      <c r="B934" s="200">
        <v>88309</v>
      </c>
      <c r="C934" s="525" t="s">
        <v>1363</v>
      </c>
      <c r="D934" s="200" t="s">
        <v>32</v>
      </c>
      <c r="E934" s="203">
        <v>0.24560000000000001</v>
      </c>
      <c r="F934" s="531">
        <v>17.760000000000002</v>
      </c>
      <c r="G934" s="252">
        <f t="shared" si="18"/>
        <v>4.3600000000000003</v>
      </c>
    </row>
    <row r="935" spans="1:7" ht="28.8" x14ac:dyDescent="0.3">
      <c r="A935" s="529"/>
      <c r="B935" s="201" t="s">
        <v>807</v>
      </c>
      <c r="C935" s="202" t="s">
        <v>808</v>
      </c>
      <c r="D935" s="201" t="s">
        <v>397</v>
      </c>
      <c r="E935" s="204">
        <v>1</v>
      </c>
      <c r="F935" s="205">
        <v>192.95</v>
      </c>
      <c r="G935" s="252">
        <f t="shared" si="18"/>
        <v>192.95</v>
      </c>
    </row>
    <row r="936" spans="1:7" x14ac:dyDescent="0.3">
      <c r="A936" s="680" t="s">
        <v>1152</v>
      </c>
      <c r="B936" s="681"/>
      <c r="C936" s="681"/>
      <c r="D936" s="681"/>
      <c r="E936" s="681"/>
      <c r="F936" s="682"/>
      <c r="G936" s="527">
        <f>SUM(G932:G935)</f>
        <v>198.73999999999998</v>
      </c>
    </row>
    <row r="937" spans="1:7" x14ac:dyDescent="0.3">
      <c r="A937" s="683">
        <f>TRUNC(E937*F937,2)</f>
        <v>0</v>
      </c>
      <c r="B937" s="684"/>
      <c r="C937" s="684"/>
      <c r="D937" s="684"/>
      <c r="E937" s="684"/>
      <c r="F937" s="684"/>
      <c r="G937" s="685"/>
    </row>
    <row r="938" spans="1:7" ht="43.2" x14ac:dyDescent="0.3">
      <c r="A938" s="529" t="s">
        <v>817</v>
      </c>
      <c r="B938" s="529">
        <v>95470</v>
      </c>
      <c r="C938" s="530" t="s">
        <v>205</v>
      </c>
      <c r="D938" s="529" t="s">
        <v>44</v>
      </c>
      <c r="E938" s="252"/>
      <c r="F938" s="531">
        <v>169.53</v>
      </c>
      <c r="G938" s="252">
        <f t="shared" si="18"/>
        <v>0</v>
      </c>
    </row>
    <row r="939" spans="1:7" ht="28.8" x14ac:dyDescent="0.3">
      <c r="A939" s="524" t="s">
        <v>508</v>
      </c>
      <c r="B939" s="524" t="s">
        <v>1837</v>
      </c>
      <c r="C939" s="525" t="s">
        <v>1838</v>
      </c>
      <c r="D939" s="524" t="s">
        <v>397</v>
      </c>
      <c r="E939" s="524" t="s">
        <v>1122</v>
      </c>
      <c r="F939" s="526" t="s">
        <v>1839</v>
      </c>
      <c r="G939" s="252">
        <f t="shared" si="18"/>
        <v>6.61</v>
      </c>
    </row>
    <row r="940" spans="1:7" ht="28.8" x14ac:dyDescent="0.3">
      <c r="A940" s="524" t="s">
        <v>522</v>
      </c>
      <c r="B940" s="524" t="s">
        <v>1840</v>
      </c>
      <c r="C940" s="525" t="s">
        <v>1841</v>
      </c>
      <c r="D940" s="524" t="s">
        <v>397</v>
      </c>
      <c r="E940" s="524" t="s">
        <v>1122</v>
      </c>
      <c r="F940" s="526" t="s">
        <v>1842</v>
      </c>
      <c r="G940" s="252">
        <f t="shared" si="18"/>
        <v>162.91999999999999</v>
      </c>
    </row>
    <row r="941" spans="1:7" x14ac:dyDescent="0.3">
      <c r="A941" s="680" t="s">
        <v>1152</v>
      </c>
      <c r="B941" s="681"/>
      <c r="C941" s="681"/>
      <c r="D941" s="681"/>
      <c r="E941" s="681"/>
      <c r="F941" s="682"/>
      <c r="G941" s="527">
        <f>SUM(G937:G940)</f>
        <v>169.53</v>
      </c>
    </row>
    <row r="942" spans="1:7" x14ac:dyDescent="0.3">
      <c r="A942" s="683">
        <f>TRUNC(E942*F942,2)</f>
        <v>0</v>
      </c>
      <c r="B942" s="684"/>
      <c r="C942" s="684"/>
      <c r="D942" s="684"/>
      <c r="E942" s="684"/>
      <c r="F942" s="684"/>
      <c r="G942" s="685"/>
    </row>
    <row r="943" spans="1:7" x14ac:dyDescent="0.3">
      <c r="A943" s="529" t="s">
        <v>211</v>
      </c>
      <c r="B943" s="529"/>
      <c r="C943" s="530" t="s">
        <v>207</v>
      </c>
      <c r="D943" s="529"/>
      <c r="E943" s="252"/>
      <c r="F943" s="531"/>
      <c r="G943" s="252">
        <f t="shared" si="18"/>
        <v>0</v>
      </c>
    </row>
    <row r="944" spans="1:7" x14ac:dyDescent="0.3">
      <c r="A944" s="529" t="s">
        <v>213</v>
      </c>
      <c r="B944" s="529">
        <v>72178</v>
      </c>
      <c r="C944" s="530" t="s">
        <v>50</v>
      </c>
      <c r="D944" s="529" t="s">
        <v>24</v>
      </c>
      <c r="E944" s="252"/>
      <c r="F944" s="531">
        <v>22.6</v>
      </c>
      <c r="G944" s="252">
        <f t="shared" si="18"/>
        <v>0</v>
      </c>
    </row>
    <row r="945" spans="1:7" x14ac:dyDescent="0.3">
      <c r="A945" s="524" t="s">
        <v>522</v>
      </c>
      <c r="B945" s="524" t="s">
        <v>1376</v>
      </c>
      <c r="C945" s="525" t="s">
        <v>1377</v>
      </c>
      <c r="D945" s="524" t="s">
        <v>32</v>
      </c>
      <c r="E945" s="524" t="s">
        <v>1378</v>
      </c>
      <c r="F945" s="528" t="s">
        <v>1379</v>
      </c>
      <c r="G945" s="252">
        <f t="shared" si="18"/>
        <v>22.6</v>
      </c>
    </row>
    <row r="946" spans="1:7" x14ac:dyDescent="0.3">
      <c r="A946" s="680" t="s">
        <v>1152</v>
      </c>
      <c r="B946" s="681"/>
      <c r="C946" s="681"/>
      <c r="D946" s="681"/>
      <c r="E946" s="681"/>
      <c r="F946" s="682"/>
      <c r="G946" s="527">
        <f>SUM(G943:G945)</f>
        <v>22.6</v>
      </c>
    </row>
    <row r="947" spans="1:7" x14ac:dyDescent="0.3">
      <c r="A947" s="683">
        <f>TRUNC(E947*F947,2)</f>
        <v>0</v>
      </c>
      <c r="B947" s="684"/>
      <c r="C947" s="684"/>
      <c r="D947" s="684"/>
      <c r="E947" s="684"/>
      <c r="F947" s="684"/>
      <c r="G947" s="685"/>
    </row>
    <row r="948" spans="1:7" ht="43.2" x14ac:dyDescent="0.3">
      <c r="A948" s="529" t="s">
        <v>278</v>
      </c>
      <c r="B948" s="529">
        <v>72181</v>
      </c>
      <c r="C948" s="530" t="s">
        <v>210</v>
      </c>
      <c r="D948" s="529" t="s">
        <v>24</v>
      </c>
      <c r="E948" s="252"/>
      <c r="F948" s="531">
        <v>28.84</v>
      </c>
      <c r="G948" s="252">
        <f t="shared" si="18"/>
        <v>0</v>
      </c>
    </row>
    <row r="949" spans="1:7" x14ac:dyDescent="0.3">
      <c r="A949" s="524" t="s">
        <v>508</v>
      </c>
      <c r="B949" s="524" t="s">
        <v>518</v>
      </c>
      <c r="C949" s="525" t="s">
        <v>519</v>
      </c>
      <c r="D949" s="524" t="s">
        <v>426</v>
      </c>
      <c r="E949" s="524" t="s">
        <v>1528</v>
      </c>
      <c r="F949" s="526" t="s">
        <v>521</v>
      </c>
      <c r="G949" s="252">
        <f t="shared" si="18"/>
        <v>2.2799999999999998</v>
      </c>
    </row>
    <row r="950" spans="1:7" x14ac:dyDescent="0.3">
      <c r="A950" s="524" t="s">
        <v>522</v>
      </c>
      <c r="B950" s="524" t="s">
        <v>1376</v>
      </c>
      <c r="C950" s="525" t="s">
        <v>1377</v>
      </c>
      <c r="D950" s="524" t="s">
        <v>32</v>
      </c>
      <c r="E950" s="524" t="s">
        <v>1452</v>
      </c>
      <c r="F950" s="526" t="s">
        <v>1379</v>
      </c>
      <c r="G950" s="252">
        <f t="shared" si="18"/>
        <v>15.07</v>
      </c>
    </row>
    <row r="951" spans="1:7" x14ac:dyDescent="0.3">
      <c r="A951" s="524" t="s">
        <v>522</v>
      </c>
      <c r="B951" s="524" t="s">
        <v>1359</v>
      </c>
      <c r="C951" s="525" t="s">
        <v>801</v>
      </c>
      <c r="D951" s="524" t="s">
        <v>32</v>
      </c>
      <c r="E951" s="524" t="s">
        <v>1452</v>
      </c>
      <c r="F951" s="526" t="s">
        <v>1361</v>
      </c>
      <c r="G951" s="252">
        <f t="shared" si="18"/>
        <v>11.49</v>
      </c>
    </row>
    <row r="952" spans="1:7" x14ac:dyDescent="0.3">
      <c r="A952" s="680" t="s">
        <v>1152</v>
      </c>
      <c r="B952" s="681"/>
      <c r="C952" s="681"/>
      <c r="D952" s="681"/>
      <c r="E952" s="681"/>
      <c r="F952" s="682"/>
      <c r="G952" s="527">
        <f>SUM(G949:G951)</f>
        <v>28.840000000000003</v>
      </c>
    </row>
    <row r="953" spans="1:7" x14ac:dyDescent="0.3">
      <c r="A953" s="683">
        <f>TRUNC(E953*F953,2)</f>
        <v>0</v>
      </c>
      <c r="B953" s="684"/>
      <c r="C953" s="684"/>
      <c r="D953" s="684"/>
      <c r="E953" s="684"/>
      <c r="F953" s="684"/>
      <c r="G953" s="685"/>
    </row>
    <row r="954" spans="1:7" x14ac:dyDescent="0.3">
      <c r="A954" s="529">
        <v>11</v>
      </c>
      <c r="B954" s="529"/>
      <c r="C954" s="530" t="s">
        <v>212</v>
      </c>
      <c r="D954" s="529"/>
      <c r="E954" s="252"/>
      <c r="F954" s="531"/>
      <c r="G954" s="252">
        <f t="shared" si="18"/>
        <v>0</v>
      </c>
    </row>
    <row r="955" spans="1:7" ht="28.8" x14ac:dyDescent="0.3">
      <c r="A955" s="529" t="s">
        <v>300</v>
      </c>
      <c r="B955" s="529">
        <v>96114</v>
      </c>
      <c r="C955" s="530" t="s">
        <v>639</v>
      </c>
      <c r="D955" s="529" t="s">
        <v>24</v>
      </c>
      <c r="E955" s="252"/>
      <c r="F955" s="531">
        <v>49.24</v>
      </c>
      <c r="G955" s="252">
        <f t="shared" si="18"/>
        <v>0</v>
      </c>
    </row>
    <row r="956" spans="1:7" ht="28.8" x14ac:dyDescent="0.3">
      <c r="A956" s="524" t="s">
        <v>508</v>
      </c>
      <c r="B956" s="524" t="s">
        <v>1843</v>
      </c>
      <c r="C956" s="525" t="s">
        <v>1844</v>
      </c>
      <c r="D956" s="524" t="s">
        <v>24</v>
      </c>
      <c r="E956" s="606">
        <v>1</v>
      </c>
      <c r="F956" s="526" t="s">
        <v>1845</v>
      </c>
      <c r="G956" s="252">
        <f t="shared" si="18"/>
        <v>19.97</v>
      </c>
    </row>
    <row r="957" spans="1:7" ht="28.8" x14ac:dyDescent="0.3">
      <c r="A957" s="524" t="s">
        <v>508</v>
      </c>
      <c r="B957" s="524" t="s">
        <v>1846</v>
      </c>
      <c r="C957" s="525" t="s">
        <v>1847</v>
      </c>
      <c r="D957" s="524" t="s">
        <v>55</v>
      </c>
      <c r="E957" s="606">
        <v>3</v>
      </c>
      <c r="F957" s="526" t="s">
        <v>1848</v>
      </c>
      <c r="G957" s="252">
        <f t="shared" si="18"/>
        <v>11.79</v>
      </c>
    </row>
    <row r="958" spans="1:7" ht="28.8" x14ac:dyDescent="0.3">
      <c r="A958" s="524" t="s">
        <v>508</v>
      </c>
      <c r="B958" s="524" t="s">
        <v>1849</v>
      </c>
      <c r="C958" s="525" t="s">
        <v>1850</v>
      </c>
      <c r="D958" s="524" t="s">
        <v>397</v>
      </c>
      <c r="E958" s="606">
        <v>1</v>
      </c>
      <c r="F958" s="526" t="s">
        <v>1851</v>
      </c>
      <c r="G958" s="252">
        <f t="shared" si="18"/>
        <v>1.48</v>
      </c>
    </row>
    <row r="959" spans="1:7" ht="28.8" x14ac:dyDescent="0.3">
      <c r="A959" s="524" t="s">
        <v>508</v>
      </c>
      <c r="B959" s="524" t="s">
        <v>1852</v>
      </c>
      <c r="C959" s="525" t="s">
        <v>1853</v>
      </c>
      <c r="D959" s="524" t="s">
        <v>55</v>
      </c>
      <c r="E959" s="606">
        <v>1.4</v>
      </c>
      <c r="F959" s="526" t="s">
        <v>1854</v>
      </c>
      <c r="G959" s="252">
        <f t="shared" si="18"/>
        <v>4.1399999999999997</v>
      </c>
    </row>
    <row r="960" spans="1:7" ht="28.8" x14ac:dyDescent="0.3">
      <c r="A960" s="524" t="s">
        <v>508</v>
      </c>
      <c r="B960" s="524" t="s">
        <v>1855</v>
      </c>
      <c r="C960" s="525" t="s">
        <v>1856</v>
      </c>
      <c r="D960" s="524" t="s">
        <v>426</v>
      </c>
      <c r="E960" s="606">
        <v>0.5</v>
      </c>
      <c r="F960" s="526" t="s">
        <v>1501</v>
      </c>
      <c r="G960" s="252">
        <f t="shared" si="18"/>
        <v>1.98</v>
      </c>
    </row>
    <row r="961" spans="1:13" ht="28.8" x14ac:dyDescent="0.3">
      <c r="A961" s="524" t="s">
        <v>508</v>
      </c>
      <c r="B961" s="524" t="s">
        <v>1857</v>
      </c>
      <c r="C961" s="525" t="s">
        <v>1858</v>
      </c>
      <c r="D961" s="524" t="s">
        <v>397</v>
      </c>
      <c r="E961" s="606">
        <v>7</v>
      </c>
      <c r="F961" s="526" t="s">
        <v>1327</v>
      </c>
      <c r="G961" s="252">
        <f t="shared" si="18"/>
        <v>0.49</v>
      </c>
    </row>
    <row r="962" spans="1:13" ht="28.8" x14ac:dyDescent="0.3">
      <c r="A962" s="524" t="s">
        <v>508</v>
      </c>
      <c r="B962" s="524" t="s">
        <v>1859</v>
      </c>
      <c r="C962" s="525" t="s">
        <v>1860</v>
      </c>
      <c r="D962" s="524" t="s">
        <v>397</v>
      </c>
      <c r="E962" s="606">
        <v>2</v>
      </c>
      <c r="F962" s="526" t="s">
        <v>1861</v>
      </c>
      <c r="G962" s="252">
        <f t="shared" si="18"/>
        <v>0.32</v>
      </c>
    </row>
    <row r="963" spans="1:13" x14ac:dyDescent="0.3">
      <c r="A963" s="524" t="s">
        <v>508</v>
      </c>
      <c r="B963" s="524" t="s">
        <v>1862</v>
      </c>
      <c r="C963" s="525" t="s">
        <v>1863</v>
      </c>
      <c r="D963" s="524" t="s">
        <v>1458</v>
      </c>
      <c r="E963" s="524" t="s">
        <v>1864</v>
      </c>
      <c r="F963" s="526" t="s">
        <v>1865</v>
      </c>
      <c r="G963" s="252">
        <f t="shared" si="18"/>
        <v>0.24</v>
      </c>
    </row>
    <row r="964" spans="1:13" ht="28.8" x14ac:dyDescent="0.3">
      <c r="A964" s="524" t="s">
        <v>508</v>
      </c>
      <c r="B964" s="524" t="s">
        <v>1866</v>
      </c>
      <c r="C964" s="525" t="s">
        <v>1867</v>
      </c>
      <c r="D964" s="524" t="s">
        <v>426</v>
      </c>
      <c r="E964" s="524" t="s">
        <v>1868</v>
      </c>
      <c r="F964" s="526" t="s">
        <v>1869</v>
      </c>
      <c r="G964" s="252">
        <f t="shared" si="18"/>
        <v>0.68</v>
      </c>
    </row>
    <row r="965" spans="1:13" x14ac:dyDescent="0.3">
      <c r="A965" s="524" t="s">
        <v>522</v>
      </c>
      <c r="B965" s="524" t="s">
        <v>1870</v>
      </c>
      <c r="C965" s="525" t="s">
        <v>1871</v>
      </c>
      <c r="D965" s="524" t="s">
        <v>32</v>
      </c>
      <c r="E965" s="607">
        <v>0.3</v>
      </c>
      <c r="F965" s="526" t="s">
        <v>1872</v>
      </c>
      <c r="G965" s="252">
        <f t="shared" si="18"/>
        <v>3.84</v>
      </c>
    </row>
    <row r="966" spans="1:13" x14ac:dyDescent="0.3">
      <c r="A966" s="524" t="s">
        <v>522</v>
      </c>
      <c r="B966" s="524" t="s">
        <v>1359</v>
      </c>
      <c r="C966" s="525" t="s">
        <v>801</v>
      </c>
      <c r="D966" s="524" t="s">
        <v>32</v>
      </c>
      <c r="E966" s="607">
        <v>0.3</v>
      </c>
      <c r="F966" s="526" t="s">
        <v>1361</v>
      </c>
      <c r="G966" s="252">
        <f t="shared" si="18"/>
        <v>4.3099999999999996</v>
      </c>
    </row>
    <row r="967" spans="1:13" x14ac:dyDescent="0.3">
      <c r="A967" s="680" t="s">
        <v>1152</v>
      </c>
      <c r="B967" s="681"/>
      <c r="C967" s="681"/>
      <c r="D967" s="681"/>
      <c r="E967" s="681"/>
      <c r="F967" s="682"/>
      <c r="G967" s="527">
        <f>SUM(G954:G966)</f>
        <v>49.239999999999995</v>
      </c>
    </row>
    <row r="968" spans="1:13" x14ac:dyDescent="0.3">
      <c r="A968" s="683">
        <f>TRUNC(E968*F968,2)</f>
        <v>0</v>
      </c>
      <c r="B968" s="684"/>
      <c r="C968" s="684"/>
      <c r="D968" s="684"/>
      <c r="E968" s="684"/>
      <c r="F968" s="684"/>
      <c r="G968" s="685"/>
    </row>
    <row r="969" spans="1:13" x14ac:dyDescent="0.3">
      <c r="A969" s="529" t="s">
        <v>20</v>
      </c>
      <c r="B969" s="529"/>
      <c r="C969" s="530" t="s">
        <v>37</v>
      </c>
      <c r="D969" s="529"/>
      <c r="E969" s="252"/>
      <c r="F969" s="531"/>
      <c r="G969" s="252">
        <f t="shared" si="18"/>
        <v>0</v>
      </c>
    </row>
    <row r="970" spans="1:13" x14ac:dyDescent="0.3">
      <c r="A970" s="529" t="s">
        <v>22</v>
      </c>
      <c r="B970" s="529" t="s">
        <v>39</v>
      </c>
      <c r="C970" s="530" t="s">
        <v>40</v>
      </c>
      <c r="D970" s="529" t="s">
        <v>41</v>
      </c>
      <c r="E970" s="252"/>
      <c r="F970" s="531">
        <v>2019.74</v>
      </c>
      <c r="G970" s="252">
        <f t="shared" si="18"/>
        <v>0</v>
      </c>
    </row>
    <row r="971" spans="1:13" x14ac:dyDescent="0.3">
      <c r="A971" s="524" t="s">
        <v>522</v>
      </c>
      <c r="B971" s="524" t="s">
        <v>1362</v>
      </c>
      <c r="C971" s="525" t="s">
        <v>1363</v>
      </c>
      <c r="D971" s="524" t="s">
        <v>32</v>
      </c>
      <c r="E971" s="603">
        <v>1.3</v>
      </c>
      <c r="F971" s="528">
        <v>17.64</v>
      </c>
      <c r="G971" s="252">
        <f t="shared" si="18"/>
        <v>22.93</v>
      </c>
      <c r="I971" s="130" t="s">
        <v>1365</v>
      </c>
      <c r="J971" s="212">
        <v>1.3</v>
      </c>
      <c r="K971" s="213" t="s">
        <v>530</v>
      </c>
      <c r="L971" s="215">
        <f>J971*K971</f>
        <v>22.932000000000002</v>
      </c>
      <c r="M971" s="222">
        <f>I971*J971</f>
        <v>23.088000000000005</v>
      </c>
    </row>
    <row r="972" spans="1:13" x14ac:dyDescent="0.3">
      <c r="A972" s="524" t="s">
        <v>522</v>
      </c>
      <c r="B972" s="524" t="s">
        <v>1359</v>
      </c>
      <c r="C972" s="525" t="s">
        <v>801</v>
      </c>
      <c r="D972" s="524" t="s">
        <v>32</v>
      </c>
      <c r="E972" s="603">
        <v>13</v>
      </c>
      <c r="F972" s="528">
        <v>14.37</v>
      </c>
      <c r="G972" s="252">
        <f t="shared" si="18"/>
        <v>186.81</v>
      </c>
      <c r="I972" s="130" t="s">
        <v>1361</v>
      </c>
      <c r="J972" s="212">
        <v>13</v>
      </c>
      <c r="K972" s="213" t="s">
        <v>526</v>
      </c>
      <c r="L972" s="215">
        <f>J972*K972</f>
        <v>193.83</v>
      </c>
      <c r="M972" s="222">
        <f>I972*J972</f>
        <v>186.81</v>
      </c>
    </row>
    <row r="973" spans="1:13" x14ac:dyDescent="0.3">
      <c r="A973" s="680" t="s">
        <v>1152</v>
      </c>
      <c r="B973" s="681"/>
      <c r="C973" s="681"/>
      <c r="D973" s="681"/>
      <c r="E973" s="681"/>
      <c r="F973" s="682"/>
      <c r="G973" s="527">
        <f>SUM(G969:G972)</f>
        <v>209.74</v>
      </c>
      <c r="K973">
        <v>216.76</v>
      </c>
      <c r="L973" s="215">
        <f>SUM(L971:L972)</f>
        <v>216.762</v>
      </c>
      <c r="M973" s="222">
        <f>SUM(M971:M972)</f>
        <v>209.898</v>
      </c>
    </row>
    <row r="974" spans="1:13" x14ac:dyDescent="0.3">
      <c r="A974" s="683">
        <f>TRUNC(E974*F974,2)</f>
        <v>0</v>
      </c>
      <c r="B974" s="684"/>
      <c r="C974" s="684"/>
      <c r="D974" s="684"/>
      <c r="E974" s="684"/>
      <c r="F974" s="684"/>
      <c r="G974" s="685"/>
    </row>
    <row r="975" spans="1:13" ht="28.8" x14ac:dyDescent="0.3">
      <c r="A975" s="529" t="s">
        <v>25</v>
      </c>
      <c r="B975" s="529">
        <v>97633</v>
      </c>
      <c r="C975" s="530" t="s">
        <v>42</v>
      </c>
      <c r="D975" s="529" t="s">
        <v>24</v>
      </c>
      <c r="E975" s="252"/>
      <c r="F975" s="531">
        <v>14.85</v>
      </c>
      <c r="G975" s="252">
        <f t="shared" si="18"/>
        <v>0</v>
      </c>
    </row>
    <row r="976" spans="1:13" x14ac:dyDescent="0.3">
      <c r="A976" s="524" t="s">
        <v>522</v>
      </c>
      <c r="B976" s="524" t="s">
        <v>1355</v>
      </c>
      <c r="C976" s="525" t="s">
        <v>1356</v>
      </c>
      <c r="D976" s="524" t="s">
        <v>32</v>
      </c>
      <c r="E976" s="524" t="s">
        <v>1357</v>
      </c>
      <c r="F976" s="528" t="s">
        <v>1358</v>
      </c>
      <c r="G976" s="252">
        <f t="shared" si="18"/>
        <v>4.5199999999999996</v>
      </c>
    </row>
    <row r="977" spans="1:7" x14ac:dyDescent="0.3">
      <c r="A977" s="524" t="s">
        <v>522</v>
      </c>
      <c r="B977" s="524" t="s">
        <v>1359</v>
      </c>
      <c r="C977" s="525" t="s">
        <v>801</v>
      </c>
      <c r="D977" s="524" t="s">
        <v>32</v>
      </c>
      <c r="E977" s="524" t="s">
        <v>1360</v>
      </c>
      <c r="F977" s="528" t="s">
        <v>1361</v>
      </c>
      <c r="G977" s="252">
        <f t="shared" si="18"/>
        <v>10.33</v>
      </c>
    </row>
    <row r="978" spans="1:7" x14ac:dyDescent="0.3">
      <c r="A978" s="680" t="s">
        <v>1152</v>
      </c>
      <c r="B978" s="681"/>
      <c r="C978" s="681"/>
      <c r="D978" s="681"/>
      <c r="E978" s="681"/>
      <c r="F978" s="682"/>
      <c r="G978" s="527">
        <f>SUM(G974:G977)</f>
        <v>14.85</v>
      </c>
    </row>
    <row r="979" spans="1:7" x14ac:dyDescent="0.3">
      <c r="A979" s="683">
        <f>TRUNC(E979*F979,2)</f>
        <v>0</v>
      </c>
      <c r="B979" s="684"/>
      <c r="C979" s="684"/>
      <c r="D979" s="684"/>
      <c r="E979" s="684"/>
      <c r="F979" s="684"/>
      <c r="G979" s="685"/>
    </row>
    <row r="980" spans="1:7" x14ac:dyDescent="0.3">
      <c r="A980" s="529" t="s">
        <v>56</v>
      </c>
      <c r="B980" s="529">
        <v>97644</v>
      </c>
      <c r="C980" s="530" t="s">
        <v>43</v>
      </c>
      <c r="D980" s="529" t="s">
        <v>44</v>
      </c>
      <c r="E980" s="252"/>
      <c r="F980" s="531">
        <v>6.04</v>
      </c>
      <c r="G980" s="252">
        <f t="shared" si="18"/>
        <v>0</v>
      </c>
    </row>
    <row r="981" spans="1:7" x14ac:dyDescent="0.3">
      <c r="A981" s="524" t="s">
        <v>522</v>
      </c>
      <c r="B981" s="524" t="s">
        <v>1362</v>
      </c>
      <c r="C981" s="525" t="s">
        <v>1363</v>
      </c>
      <c r="D981" s="524" t="s">
        <v>32</v>
      </c>
      <c r="E981" s="524" t="s">
        <v>1364</v>
      </c>
      <c r="F981" s="528" t="s">
        <v>1365</v>
      </c>
      <c r="G981" s="252">
        <f t="shared" si="18"/>
        <v>2.33</v>
      </c>
    </row>
    <row r="982" spans="1:7" x14ac:dyDescent="0.3">
      <c r="A982" s="524" t="s">
        <v>522</v>
      </c>
      <c r="B982" s="524" t="s">
        <v>1359</v>
      </c>
      <c r="C982" s="525" t="s">
        <v>801</v>
      </c>
      <c r="D982" s="524" t="s">
        <v>32</v>
      </c>
      <c r="E982" s="524" t="s">
        <v>1366</v>
      </c>
      <c r="F982" s="528" t="s">
        <v>1361</v>
      </c>
      <c r="G982" s="252">
        <f t="shared" si="18"/>
        <v>3.71</v>
      </c>
    </row>
    <row r="983" spans="1:7" x14ac:dyDescent="0.3">
      <c r="A983" s="680" t="s">
        <v>1152</v>
      </c>
      <c r="B983" s="681"/>
      <c r="C983" s="681"/>
      <c r="D983" s="681"/>
      <c r="E983" s="681"/>
      <c r="F983" s="682"/>
      <c r="G983" s="527">
        <f>SUM(G979:G982)</f>
        <v>6.04</v>
      </c>
    </row>
    <row r="984" spans="1:7" x14ac:dyDescent="0.3">
      <c r="A984" s="683">
        <f>TRUNC(E984*F984,2)</f>
        <v>0</v>
      </c>
      <c r="B984" s="684"/>
      <c r="C984" s="684"/>
      <c r="D984" s="684"/>
      <c r="E984" s="684"/>
      <c r="F984" s="684"/>
      <c r="G984" s="685"/>
    </row>
    <row r="985" spans="1:7" x14ac:dyDescent="0.3">
      <c r="A985" s="529" t="s">
        <v>216</v>
      </c>
      <c r="B985" s="529">
        <v>97663</v>
      </c>
      <c r="C985" s="530" t="s">
        <v>45</v>
      </c>
      <c r="D985" s="529" t="s">
        <v>44</v>
      </c>
      <c r="E985" s="252"/>
      <c r="F985" s="531">
        <v>8.07</v>
      </c>
      <c r="G985" s="252">
        <f t="shared" si="18"/>
        <v>0</v>
      </c>
    </row>
    <row r="986" spans="1:7" x14ac:dyDescent="0.3">
      <c r="A986" s="524" t="s">
        <v>522</v>
      </c>
      <c r="B986" s="524" t="s">
        <v>1367</v>
      </c>
      <c r="C986" s="525" t="s">
        <v>1368</v>
      </c>
      <c r="D986" s="524" t="s">
        <v>32</v>
      </c>
      <c r="E986" s="524" t="s">
        <v>1369</v>
      </c>
      <c r="F986" s="528" t="s">
        <v>1370</v>
      </c>
      <c r="G986" s="252">
        <f t="shared" si="18"/>
        <v>3.12</v>
      </c>
    </row>
    <row r="987" spans="1:7" x14ac:dyDescent="0.3">
      <c r="A987" s="524" t="s">
        <v>522</v>
      </c>
      <c r="B987" s="524" t="s">
        <v>1359</v>
      </c>
      <c r="C987" s="525" t="s">
        <v>801</v>
      </c>
      <c r="D987" s="524" t="s">
        <v>32</v>
      </c>
      <c r="E987" s="524" t="s">
        <v>1371</v>
      </c>
      <c r="F987" s="528" t="s">
        <v>1361</v>
      </c>
      <c r="G987" s="252">
        <f t="shared" si="18"/>
        <v>4.95</v>
      </c>
    </row>
    <row r="988" spans="1:7" x14ac:dyDescent="0.3">
      <c r="A988" s="680" t="s">
        <v>1152</v>
      </c>
      <c r="B988" s="681"/>
      <c r="C988" s="681"/>
      <c r="D988" s="681"/>
      <c r="E988" s="681"/>
      <c r="F988" s="682"/>
      <c r="G988" s="527">
        <f>SUM(G984:G987)</f>
        <v>8.07</v>
      </c>
    </row>
    <row r="989" spans="1:7" x14ac:dyDescent="0.3">
      <c r="A989" s="683">
        <f>TRUNC(E989*F989,2)</f>
        <v>0</v>
      </c>
      <c r="B989" s="684"/>
      <c r="C989" s="684"/>
      <c r="D989" s="684"/>
      <c r="E989" s="684"/>
      <c r="F989" s="684"/>
      <c r="G989" s="685"/>
    </row>
    <row r="990" spans="1:7" ht="28.8" x14ac:dyDescent="0.3">
      <c r="A990" s="529" t="s">
        <v>217</v>
      </c>
      <c r="B990" s="529">
        <v>97666</v>
      </c>
      <c r="C990" s="530" t="s">
        <v>46</v>
      </c>
      <c r="D990" s="529" t="s">
        <v>44</v>
      </c>
      <c r="E990" s="252"/>
      <c r="F990" s="531">
        <v>5.88</v>
      </c>
      <c r="G990" s="252">
        <f t="shared" si="18"/>
        <v>0</v>
      </c>
    </row>
    <row r="991" spans="1:7" x14ac:dyDescent="0.3">
      <c r="A991" s="524" t="s">
        <v>522</v>
      </c>
      <c r="B991" s="524" t="s">
        <v>1367</v>
      </c>
      <c r="C991" s="525" t="s">
        <v>1368</v>
      </c>
      <c r="D991" s="524" t="s">
        <v>32</v>
      </c>
      <c r="E991" s="524" t="s">
        <v>1372</v>
      </c>
      <c r="F991" s="528" t="s">
        <v>1370</v>
      </c>
      <c r="G991" s="252">
        <f t="shared" si="18"/>
        <v>2.27</v>
      </c>
    </row>
    <row r="992" spans="1:7" x14ac:dyDescent="0.3">
      <c r="A992" s="524" t="s">
        <v>522</v>
      </c>
      <c r="B992" s="524" t="s">
        <v>1359</v>
      </c>
      <c r="C992" s="525" t="s">
        <v>801</v>
      </c>
      <c r="D992" s="524" t="s">
        <v>32</v>
      </c>
      <c r="E992" s="524" t="s">
        <v>1373</v>
      </c>
      <c r="F992" s="528" t="s">
        <v>1361</v>
      </c>
      <c r="G992" s="252">
        <f t="shared" si="18"/>
        <v>3.61</v>
      </c>
    </row>
    <row r="993" spans="1:7" x14ac:dyDescent="0.3">
      <c r="A993" s="680" t="s">
        <v>1152</v>
      </c>
      <c r="B993" s="681"/>
      <c r="C993" s="681"/>
      <c r="D993" s="681"/>
      <c r="E993" s="681"/>
      <c r="F993" s="682"/>
      <c r="G993" s="527">
        <f>SUM(G989:G992)</f>
        <v>5.88</v>
      </c>
    </row>
    <row r="994" spans="1:7" x14ac:dyDescent="0.3">
      <c r="A994" s="683">
        <f>TRUNC(E994*F994,2)</f>
        <v>0</v>
      </c>
      <c r="B994" s="684"/>
      <c r="C994" s="684"/>
      <c r="D994" s="684"/>
      <c r="E994" s="684"/>
      <c r="F994" s="684"/>
      <c r="G994" s="685"/>
    </row>
    <row r="995" spans="1:7" x14ac:dyDescent="0.3">
      <c r="A995" s="529"/>
      <c r="B995" s="529"/>
      <c r="C995" s="530"/>
      <c r="D995" s="529"/>
      <c r="E995" s="252"/>
      <c r="F995" s="531"/>
      <c r="G995" s="252"/>
    </row>
    <row r="996" spans="1:7" ht="28.8" x14ac:dyDescent="0.3">
      <c r="A996" s="529" t="s">
        <v>218</v>
      </c>
      <c r="B996" s="529">
        <v>97622</v>
      </c>
      <c r="C996" s="530" t="s">
        <v>47</v>
      </c>
      <c r="D996" s="529" t="s">
        <v>41</v>
      </c>
      <c r="E996" s="252"/>
      <c r="F996" s="531">
        <v>37.39</v>
      </c>
      <c r="G996" s="252">
        <f t="shared" si="18"/>
        <v>0</v>
      </c>
    </row>
    <row r="997" spans="1:7" x14ac:dyDescent="0.3">
      <c r="A997" s="524" t="s">
        <v>522</v>
      </c>
      <c r="B997" s="524" t="s">
        <v>1362</v>
      </c>
      <c r="C997" s="525" t="s">
        <v>1363</v>
      </c>
      <c r="D997" s="524" t="s">
        <v>32</v>
      </c>
      <c r="E997" s="524" t="s">
        <v>1374</v>
      </c>
      <c r="F997" s="528" t="s">
        <v>1365</v>
      </c>
      <c r="G997" s="252">
        <f t="shared" si="18"/>
        <v>3.99</v>
      </c>
    </row>
    <row r="998" spans="1:7" x14ac:dyDescent="0.3">
      <c r="A998" s="524" t="s">
        <v>522</v>
      </c>
      <c r="B998" s="524" t="s">
        <v>1359</v>
      </c>
      <c r="C998" s="525" t="s">
        <v>801</v>
      </c>
      <c r="D998" s="524" t="s">
        <v>32</v>
      </c>
      <c r="E998" s="524" t="s">
        <v>1375</v>
      </c>
      <c r="F998" s="528" t="s">
        <v>1361</v>
      </c>
      <c r="G998" s="252">
        <f t="shared" si="18"/>
        <v>33.4</v>
      </c>
    </row>
    <row r="999" spans="1:7" x14ac:dyDescent="0.3">
      <c r="A999" s="680" t="s">
        <v>1152</v>
      </c>
      <c r="B999" s="681"/>
      <c r="C999" s="681"/>
      <c r="D999" s="681"/>
      <c r="E999" s="681"/>
      <c r="F999" s="682"/>
      <c r="G999" s="527">
        <f>SUM(G995:G998)</f>
        <v>37.39</v>
      </c>
    </row>
    <row r="1000" spans="1:7" x14ac:dyDescent="0.3">
      <c r="A1000" s="683">
        <f>TRUNC(E1000*F1000,2)</f>
        <v>0</v>
      </c>
      <c r="B1000" s="684"/>
      <c r="C1000" s="684"/>
      <c r="D1000" s="684"/>
      <c r="E1000" s="684"/>
      <c r="F1000" s="684"/>
      <c r="G1000" s="685"/>
    </row>
    <row r="1001" spans="1:7" x14ac:dyDescent="0.3">
      <c r="A1001" s="529" t="s">
        <v>219</v>
      </c>
      <c r="B1001" s="529" t="s">
        <v>48</v>
      </c>
      <c r="C1001" s="530" t="s">
        <v>49</v>
      </c>
      <c r="D1001" s="529" t="s">
        <v>24</v>
      </c>
      <c r="E1001" s="252"/>
      <c r="F1001" s="531">
        <v>16.2</v>
      </c>
      <c r="G1001" s="252">
        <f t="shared" si="18"/>
        <v>0</v>
      </c>
    </row>
    <row r="1002" spans="1:7" x14ac:dyDescent="0.3">
      <c r="A1002" s="524" t="s">
        <v>522</v>
      </c>
      <c r="B1002" s="524" t="s">
        <v>1362</v>
      </c>
      <c r="C1002" s="525" t="s">
        <v>1363</v>
      </c>
      <c r="D1002" s="524" t="s">
        <v>32</v>
      </c>
      <c r="E1002" s="605">
        <v>0.5</v>
      </c>
      <c r="F1002" s="528" t="s">
        <v>1365</v>
      </c>
      <c r="G1002" s="252">
        <f t="shared" si="18"/>
        <v>8.8800000000000008</v>
      </c>
    </row>
    <row r="1003" spans="1:7" x14ac:dyDescent="0.3">
      <c r="A1003" s="524" t="s">
        <v>522</v>
      </c>
      <c r="B1003" s="524" t="s">
        <v>1359</v>
      </c>
      <c r="C1003" s="525" t="s">
        <v>801</v>
      </c>
      <c r="D1003" s="524" t="s">
        <v>32</v>
      </c>
      <c r="E1003" s="605">
        <v>0.51</v>
      </c>
      <c r="F1003" s="528" t="s">
        <v>1361</v>
      </c>
      <c r="G1003" s="252">
        <f t="shared" si="18"/>
        <v>7.32</v>
      </c>
    </row>
    <row r="1004" spans="1:7" x14ac:dyDescent="0.3">
      <c r="A1004" s="680" t="s">
        <v>1152</v>
      </c>
      <c r="B1004" s="681"/>
      <c r="C1004" s="681"/>
      <c r="D1004" s="681"/>
      <c r="E1004" s="681"/>
      <c r="F1004" s="682"/>
      <c r="G1004" s="527">
        <f>SUM(G1001:G1003)</f>
        <v>16.200000000000003</v>
      </c>
    </row>
    <row r="1005" spans="1:7" x14ac:dyDescent="0.3">
      <c r="A1005" s="683">
        <f>TRUNC(E1005*F1005,2)</f>
        <v>0</v>
      </c>
      <c r="B1005" s="684"/>
      <c r="C1005" s="684"/>
      <c r="D1005" s="684"/>
      <c r="E1005" s="684"/>
      <c r="F1005" s="684"/>
      <c r="G1005" s="685"/>
    </row>
    <row r="1006" spans="1:7" x14ac:dyDescent="0.3">
      <c r="A1006" s="529" t="s">
        <v>220</v>
      </c>
      <c r="B1006" s="529">
        <v>72178</v>
      </c>
      <c r="C1006" s="530" t="s">
        <v>50</v>
      </c>
      <c r="D1006" s="529" t="s">
        <v>24</v>
      </c>
      <c r="E1006" s="252"/>
      <c r="F1006" s="531">
        <v>22.6</v>
      </c>
      <c r="G1006" s="252">
        <f t="shared" si="18"/>
        <v>0</v>
      </c>
    </row>
    <row r="1007" spans="1:7" x14ac:dyDescent="0.3">
      <c r="A1007" s="524" t="s">
        <v>522</v>
      </c>
      <c r="B1007" s="524" t="s">
        <v>1376</v>
      </c>
      <c r="C1007" s="525" t="s">
        <v>1377</v>
      </c>
      <c r="D1007" s="524" t="s">
        <v>32</v>
      </c>
      <c r="E1007" s="524" t="s">
        <v>1378</v>
      </c>
      <c r="F1007" s="526" t="s">
        <v>1379</v>
      </c>
      <c r="G1007" s="252">
        <f t="shared" si="18"/>
        <v>22.6</v>
      </c>
    </row>
    <row r="1008" spans="1:7" x14ac:dyDescent="0.3">
      <c r="A1008" s="680" t="s">
        <v>1152</v>
      </c>
      <c r="B1008" s="681"/>
      <c r="C1008" s="681"/>
      <c r="D1008" s="681"/>
      <c r="E1008" s="681"/>
      <c r="F1008" s="682"/>
      <c r="G1008" s="527">
        <f>SUM(G1006:G1007)</f>
        <v>22.6</v>
      </c>
    </row>
    <row r="1009" spans="1:7" x14ac:dyDescent="0.3">
      <c r="A1009" s="683">
        <f>TRUNC(E1009*F1009,2)</f>
        <v>0</v>
      </c>
      <c r="B1009" s="684"/>
      <c r="C1009" s="684"/>
      <c r="D1009" s="684"/>
      <c r="E1009" s="684"/>
      <c r="F1009" s="684"/>
      <c r="G1009" s="685"/>
    </row>
    <row r="1010" spans="1:7" x14ac:dyDescent="0.3">
      <c r="A1010" s="529" t="s">
        <v>60</v>
      </c>
      <c r="B1010" s="529"/>
      <c r="C1010" s="530" t="s">
        <v>221</v>
      </c>
      <c r="D1010" s="529"/>
      <c r="E1010" s="252"/>
      <c r="F1010" s="531"/>
      <c r="G1010" s="252">
        <f t="shared" si="18"/>
        <v>0</v>
      </c>
    </row>
    <row r="1011" spans="1:7" ht="43.2" x14ac:dyDescent="0.3">
      <c r="A1011" s="529" t="s">
        <v>64</v>
      </c>
      <c r="B1011" s="529">
        <v>87477</v>
      </c>
      <c r="C1011" s="530" t="s">
        <v>70</v>
      </c>
      <c r="D1011" s="529" t="s">
        <v>24</v>
      </c>
      <c r="E1011" s="252"/>
      <c r="F1011" s="531">
        <v>40.9</v>
      </c>
      <c r="G1011" s="252">
        <f t="shared" si="18"/>
        <v>0</v>
      </c>
    </row>
    <row r="1012" spans="1:7" ht="28.8" x14ac:dyDescent="0.3">
      <c r="A1012" s="524" t="s">
        <v>508</v>
      </c>
      <c r="B1012" s="524" t="s">
        <v>1453</v>
      </c>
      <c r="C1012" s="525" t="s">
        <v>1454</v>
      </c>
      <c r="D1012" s="524" t="s">
        <v>55</v>
      </c>
      <c r="E1012" s="524" t="s">
        <v>1450</v>
      </c>
      <c r="F1012" s="526" t="s">
        <v>1455</v>
      </c>
      <c r="G1012" s="252">
        <f t="shared" si="18"/>
        <v>0.86</v>
      </c>
    </row>
    <row r="1013" spans="1:7" x14ac:dyDescent="0.3">
      <c r="A1013" s="524" t="s">
        <v>508</v>
      </c>
      <c r="B1013" s="524" t="s">
        <v>1456</v>
      </c>
      <c r="C1013" s="525" t="s">
        <v>1457</v>
      </c>
      <c r="D1013" s="524" t="s">
        <v>1458</v>
      </c>
      <c r="E1013" s="524" t="s">
        <v>1393</v>
      </c>
      <c r="F1013" s="526" t="s">
        <v>1459</v>
      </c>
      <c r="G1013" s="252">
        <f t="shared" si="18"/>
        <v>0.17</v>
      </c>
    </row>
    <row r="1014" spans="1:7" ht="28.8" x14ac:dyDescent="0.3">
      <c r="A1014" s="524" t="s">
        <v>508</v>
      </c>
      <c r="B1014" s="524" t="s">
        <v>1460</v>
      </c>
      <c r="C1014" s="525" t="s">
        <v>1461</v>
      </c>
      <c r="D1014" s="524" t="s">
        <v>397</v>
      </c>
      <c r="E1014" s="524" t="s">
        <v>1462</v>
      </c>
      <c r="F1014" s="526" t="s">
        <v>1463</v>
      </c>
      <c r="G1014" s="252">
        <f t="shared" si="18"/>
        <v>24.29</v>
      </c>
    </row>
    <row r="1015" spans="1:7" ht="43.2" x14ac:dyDescent="0.3">
      <c r="A1015" s="524" t="s">
        <v>522</v>
      </c>
      <c r="B1015" s="524" t="s">
        <v>1464</v>
      </c>
      <c r="C1015" s="525" t="s">
        <v>1465</v>
      </c>
      <c r="D1015" s="524" t="s">
        <v>41</v>
      </c>
      <c r="E1015" s="524" t="s">
        <v>1466</v>
      </c>
      <c r="F1015" s="526" t="s">
        <v>1467</v>
      </c>
      <c r="G1015" s="252">
        <f t="shared" si="18"/>
        <v>3.62</v>
      </c>
    </row>
    <row r="1016" spans="1:7" x14ac:dyDescent="0.3">
      <c r="A1016" s="524" t="s">
        <v>522</v>
      </c>
      <c r="B1016" s="524" t="s">
        <v>1362</v>
      </c>
      <c r="C1016" s="525" t="s">
        <v>1363</v>
      </c>
      <c r="D1016" s="524" t="s">
        <v>32</v>
      </c>
      <c r="E1016" s="524" t="s">
        <v>1468</v>
      </c>
      <c r="F1016" s="526" t="s">
        <v>1365</v>
      </c>
      <c r="G1016" s="252">
        <f t="shared" si="18"/>
        <v>8.52</v>
      </c>
    </row>
    <row r="1017" spans="1:7" x14ac:dyDescent="0.3">
      <c r="A1017" s="524" t="s">
        <v>522</v>
      </c>
      <c r="B1017" s="524" t="s">
        <v>1359</v>
      </c>
      <c r="C1017" s="525" t="s">
        <v>801</v>
      </c>
      <c r="D1017" s="524" t="s">
        <v>32</v>
      </c>
      <c r="E1017" s="524" t="s">
        <v>1469</v>
      </c>
      <c r="F1017" s="526" t="s">
        <v>1361</v>
      </c>
      <c r="G1017" s="252">
        <f t="shared" si="18"/>
        <v>3.44</v>
      </c>
    </row>
    <row r="1018" spans="1:7" x14ac:dyDescent="0.3">
      <c r="A1018" s="680" t="s">
        <v>1152</v>
      </c>
      <c r="B1018" s="681"/>
      <c r="C1018" s="681"/>
      <c r="D1018" s="681"/>
      <c r="E1018" s="681"/>
      <c r="F1018" s="682"/>
      <c r="G1018" s="527">
        <f>SUM(G1012:G1017)</f>
        <v>40.9</v>
      </c>
    </row>
    <row r="1019" spans="1:7" x14ac:dyDescent="0.3">
      <c r="A1019" s="683">
        <f>TRUNC(E1019*F1019,2)</f>
        <v>0</v>
      </c>
      <c r="B1019" s="684"/>
      <c r="C1019" s="684"/>
      <c r="D1019" s="684"/>
      <c r="E1019" s="684"/>
      <c r="F1019" s="684"/>
      <c r="G1019" s="685"/>
    </row>
    <row r="1020" spans="1:7" ht="28.8" x14ac:dyDescent="0.3">
      <c r="A1020" s="529" t="s">
        <v>69</v>
      </c>
      <c r="B1020" s="529">
        <v>79627</v>
      </c>
      <c r="C1020" s="530" t="s">
        <v>222</v>
      </c>
      <c r="D1020" s="529" t="s">
        <v>24</v>
      </c>
      <c r="E1020" s="252"/>
      <c r="F1020" s="531">
        <v>658</v>
      </c>
      <c r="G1020" s="252">
        <f t="shared" si="18"/>
        <v>0</v>
      </c>
    </row>
    <row r="1021" spans="1:7" x14ac:dyDescent="0.3">
      <c r="A1021" s="524" t="s">
        <v>508</v>
      </c>
      <c r="B1021" s="524" t="s">
        <v>1873</v>
      </c>
      <c r="C1021" s="525" t="s">
        <v>1874</v>
      </c>
      <c r="D1021" s="524" t="s">
        <v>426</v>
      </c>
      <c r="E1021" s="524" t="s">
        <v>1439</v>
      </c>
      <c r="F1021" s="526" t="s">
        <v>1875</v>
      </c>
      <c r="G1021" s="252">
        <f t="shared" si="18"/>
        <v>2.0499999999999998</v>
      </c>
    </row>
    <row r="1022" spans="1:7" ht="28.8" x14ac:dyDescent="0.3">
      <c r="A1022" s="524" t="s">
        <v>508</v>
      </c>
      <c r="B1022" s="524" t="s">
        <v>1876</v>
      </c>
      <c r="C1022" s="525" t="s">
        <v>1877</v>
      </c>
      <c r="D1022" s="524" t="s">
        <v>24</v>
      </c>
      <c r="E1022" s="524" t="s">
        <v>1122</v>
      </c>
      <c r="F1022" s="526" t="s">
        <v>1878</v>
      </c>
      <c r="G1022" s="252">
        <f t="shared" si="18"/>
        <v>535.34</v>
      </c>
    </row>
    <row r="1023" spans="1:7" x14ac:dyDescent="0.3">
      <c r="A1023" s="524" t="s">
        <v>522</v>
      </c>
      <c r="B1023" s="524" t="s">
        <v>1746</v>
      </c>
      <c r="C1023" s="525" t="s">
        <v>1747</v>
      </c>
      <c r="D1023" s="524" t="s">
        <v>32</v>
      </c>
      <c r="E1023" s="524" t="s">
        <v>1879</v>
      </c>
      <c r="F1023" s="526" t="s">
        <v>1749</v>
      </c>
      <c r="G1023" s="252">
        <f t="shared" si="18"/>
        <v>86.3</v>
      </c>
    </row>
    <row r="1024" spans="1:7" x14ac:dyDescent="0.3">
      <c r="A1024" s="524" t="s">
        <v>522</v>
      </c>
      <c r="B1024" s="524" t="s">
        <v>1359</v>
      </c>
      <c r="C1024" s="525" t="s">
        <v>801</v>
      </c>
      <c r="D1024" s="524" t="s">
        <v>32</v>
      </c>
      <c r="E1024" s="524" t="s">
        <v>1880</v>
      </c>
      <c r="F1024" s="526" t="s">
        <v>1361</v>
      </c>
      <c r="G1024" s="252">
        <f t="shared" si="18"/>
        <v>33.049999999999997</v>
      </c>
    </row>
    <row r="1025" spans="1:7" ht="28.8" x14ac:dyDescent="0.3">
      <c r="A1025" s="524" t="s">
        <v>522</v>
      </c>
      <c r="B1025" s="524" t="s">
        <v>1881</v>
      </c>
      <c r="C1025" s="525" t="s">
        <v>1882</v>
      </c>
      <c r="D1025" s="524" t="s">
        <v>41</v>
      </c>
      <c r="E1025" s="524" t="s">
        <v>1883</v>
      </c>
      <c r="F1025" s="526" t="s">
        <v>1884</v>
      </c>
      <c r="G1025" s="252">
        <f t="shared" si="18"/>
        <v>1.26</v>
      </c>
    </row>
    <row r="1026" spans="1:7" x14ac:dyDescent="0.3">
      <c r="A1026" s="680" t="s">
        <v>1152</v>
      </c>
      <c r="B1026" s="681"/>
      <c r="C1026" s="681"/>
      <c r="D1026" s="681"/>
      <c r="E1026" s="681"/>
      <c r="F1026" s="682"/>
      <c r="G1026" s="527">
        <f>SUM(G1020:G1025)</f>
        <v>657.99999999999989</v>
      </c>
    </row>
    <row r="1027" spans="1:7" x14ac:dyDescent="0.3">
      <c r="A1027" s="683">
        <f>TRUNC(E1027*F1027,2)</f>
        <v>0</v>
      </c>
      <c r="B1027" s="684"/>
      <c r="C1027" s="684"/>
      <c r="D1027" s="684"/>
      <c r="E1027" s="684"/>
      <c r="F1027" s="684"/>
      <c r="G1027" s="685"/>
    </row>
    <row r="1028" spans="1:7" ht="43.2" x14ac:dyDescent="0.3">
      <c r="A1028" s="529" t="s">
        <v>72</v>
      </c>
      <c r="B1028" s="529">
        <v>96359</v>
      </c>
      <c r="C1028" s="530" t="s">
        <v>223</v>
      </c>
      <c r="D1028" s="529" t="s">
        <v>24</v>
      </c>
      <c r="E1028" s="252"/>
      <c r="F1028" s="531">
        <v>79.260000000000005</v>
      </c>
      <c r="G1028" s="252">
        <f t="shared" si="18"/>
        <v>0</v>
      </c>
    </row>
    <row r="1029" spans="1:7" ht="28.8" x14ac:dyDescent="0.3">
      <c r="A1029" s="524" t="s">
        <v>508</v>
      </c>
      <c r="B1029" s="524" t="s">
        <v>1942</v>
      </c>
      <c r="C1029" s="525" t="s">
        <v>1943</v>
      </c>
      <c r="D1029" s="524" t="s">
        <v>1458</v>
      </c>
      <c r="E1029" s="524" t="s">
        <v>1944</v>
      </c>
      <c r="F1029" s="528" t="s">
        <v>1945</v>
      </c>
      <c r="G1029" s="252">
        <f t="shared" si="18"/>
        <v>1.1499999999999999</v>
      </c>
    </row>
    <row r="1030" spans="1:7" ht="28.8" x14ac:dyDescent="0.3">
      <c r="A1030" s="524" t="s">
        <v>508</v>
      </c>
      <c r="B1030" s="524" t="s">
        <v>1843</v>
      </c>
      <c r="C1030" s="525" t="s">
        <v>1844</v>
      </c>
      <c r="D1030" s="524" t="s">
        <v>24</v>
      </c>
      <c r="E1030" s="611">
        <v>2</v>
      </c>
      <c r="F1030" s="528" t="s">
        <v>1845</v>
      </c>
      <c r="G1030" s="252">
        <f t="shared" si="18"/>
        <v>39.94</v>
      </c>
    </row>
    <row r="1031" spans="1:7" ht="28.8" x14ac:dyDescent="0.3">
      <c r="A1031" s="524" t="s">
        <v>508</v>
      </c>
      <c r="B1031" s="524" t="s">
        <v>1946</v>
      </c>
      <c r="C1031" s="525" t="s">
        <v>1947</v>
      </c>
      <c r="D1031" s="524" t="s">
        <v>55</v>
      </c>
      <c r="E1031" s="524" t="s">
        <v>1948</v>
      </c>
      <c r="F1031" s="528" t="s">
        <v>1949</v>
      </c>
      <c r="G1031" s="252">
        <f t="shared" si="18"/>
        <v>4.8600000000000003</v>
      </c>
    </row>
    <row r="1032" spans="1:7" ht="28.8" x14ac:dyDescent="0.3">
      <c r="A1032" s="524" t="s">
        <v>508</v>
      </c>
      <c r="B1032" s="524" t="s">
        <v>1950</v>
      </c>
      <c r="C1032" s="525" t="s">
        <v>1951</v>
      </c>
      <c r="D1032" s="524" t="s">
        <v>55</v>
      </c>
      <c r="E1032" s="607">
        <v>2.5</v>
      </c>
      <c r="F1032" s="528" t="s">
        <v>1952</v>
      </c>
      <c r="G1032" s="252">
        <f t="shared" si="18"/>
        <v>15.17</v>
      </c>
    </row>
    <row r="1033" spans="1:7" ht="28.8" x14ac:dyDescent="0.3">
      <c r="A1033" s="524" t="s">
        <v>508</v>
      </c>
      <c r="B1033" s="524" t="s">
        <v>1953</v>
      </c>
      <c r="C1033" s="525" t="s">
        <v>1954</v>
      </c>
      <c r="D1033" s="524" t="s">
        <v>55</v>
      </c>
      <c r="E1033" s="607">
        <v>2.5</v>
      </c>
      <c r="F1033" s="528" t="s">
        <v>1955</v>
      </c>
      <c r="G1033" s="252">
        <f t="shared" si="18"/>
        <v>0.56999999999999995</v>
      </c>
    </row>
    <row r="1034" spans="1:7" ht="28.8" x14ac:dyDescent="0.3">
      <c r="A1034" s="524" t="s">
        <v>508</v>
      </c>
      <c r="B1034" s="524" t="s">
        <v>1852</v>
      </c>
      <c r="C1034" s="525" t="s">
        <v>1853</v>
      </c>
      <c r="D1034" s="524" t="s">
        <v>55</v>
      </c>
      <c r="E1034" s="607">
        <v>0.75</v>
      </c>
      <c r="F1034" s="528" t="s">
        <v>1854</v>
      </c>
      <c r="G1034" s="252">
        <f t="shared" si="18"/>
        <v>2.2200000000000002</v>
      </c>
    </row>
    <row r="1035" spans="1:7" ht="28.8" x14ac:dyDescent="0.3">
      <c r="A1035" s="524" t="s">
        <v>508</v>
      </c>
      <c r="B1035" s="524" t="s">
        <v>1855</v>
      </c>
      <c r="C1035" s="525" t="s">
        <v>1856</v>
      </c>
      <c r="D1035" s="524" t="s">
        <v>426</v>
      </c>
      <c r="E1035" s="607">
        <v>1</v>
      </c>
      <c r="F1035" s="528" t="s">
        <v>1501</v>
      </c>
      <c r="G1035" s="252">
        <f t="shared" si="18"/>
        <v>3.97</v>
      </c>
    </row>
    <row r="1036" spans="1:7" ht="28.8" x14ac:dyDescent="0.3">
      <c r="A1036" s="524" t="s">
        <v>508</v>
      </c>
      <c r="B1036" s="524" t="s">
        <v>1857</v>
      </c>
      <c r="C1036" s="525" t="s">
        <v>1858</v>
      </c>
      <c r="D1036" s="524" t="s">
        <v>397</v>
      </c>
      <c r="E1036" s="607">
        <v>20</v>
      </c>
      <c r="F1036" s="528" t="s">
        <v>1327</v>
      </c>
      <c r="G1036" s="252">
        <f t="shared" si="18"/>
        <v>1.4</v>
      </c>
    </row>
    <row r="1037" spans="1:7" ht="28.8" x14ac:dyDescent="0.3">
      <c r="A1037" s="524" t="s">
        <v>508</v>
      </c>
      <c r="B1037" s="524" t="s">
        <v>1859</v>
      </c>
      <c r="C1037" s="525" t="s">
        <v>1860</v>
      </c>
      <c r="D1037" s="524" t="s">
        <v>397</v>
      </c>
      <c r="E1037" s="524" t="s">
        <v>1956</v>
      </c>
      <c r="F1037" s="528" t="s">
        <v>1861</v>
      </c>
      <c r="G1037" s="252">
        <f t="shared" si="18"/>
        <v>0.14000000000000001</v>
      </c>
    </row>
    <row r="1038" spans="1:7" x14ac:dyDescent="0.3">
      <c r="A1038" s="524" t="s">
        <v>522</v>
      </c>
      <c r="B1038" s="524" t="s">
        <v>1870</v>
      </c>
      <c r="C1038" s="525" t="s">
        <v>1871</v>
      </c>
      <c r="D1038" s="524" t="s">
        <v>32</v>
      </c>
      <c r="E1038" s="607">
        <v>0.6</v>
      </c>
      <c r="F1038" s="528" t="s">
        <v>1872</v>
      </c>
      <c r="G1038" s="252">
        <f t="shared" si="18"/>
        <v>7.69</v>
      </c>
    </row>
    <row r="1039" spans="1:7" x14ac:dyDescent="0.3">
      <c r="A1039" s="524" t="s">
        <v>522</v>
      </c>
      <c r="B1039" s="524" t="s">
        <v>1359</v>
      </c>
      <c r="C1039" s="525" t="s">
        <v>801</v>
      </c>
      <c r="D1039" s="524" t="s">
        <v>32</v>
      </c>
      <c r="E1039" s="607">
        <v>0.15</v>
      </c>
      <c r="F1039" s="528" t="s">
        <v>1361</v>
      </c>
      <c r="G1039" s="252">
        <f t="shared" si="18"/>
        <v>2.15</v>
      </c>
    </row>
    <row r="1040" spans="1:7" x14ac:dyDescent="0.3">
      <c r="A1040" s="680" t="s">
        <v>1152</v>
      </c>
      <c r="B1040" s="681"/>
      <c r="C1040" s="681"/>
      <c r="D1040" s="681"/>
      <c r="E1040" s="681"/>
      <c r="F1040" s="682"/>
      <c r="G1040" s="527">
        <f>SUM(G1028:G1039)</f>
        <v>79.260000000000005</v>
      </c>
    </row>
    <row r="1041" spans="1:7" x14ac:dyDescent="0.3">
      <c r="A1041" s="683">
        <f>TRUNC(E1041*F1041,2)</f>
        <v>0</v>
      </c>
      <c r="B1041" s="684"/>
      <c r="C1041" s="684"/>
      <c r="D1041" s="684"/>
      <c r="E1041" s="684"/>
      <c r="F1041" s="684"/>
      <c r="G1041" s="685"/>
    </row>
    <row r="1042" spans="1:7" x14ac:dyDescent="0.3">
      <c r="A1042" s="529" t="s">
        <v>74</v>
      </c>
      <c r="B1042" s="529"/>
      <c r="C1042" s="530" t="s">
        <v>51</v>
      </c>
      <c r="D1042" s="529"/>
      <c r="E1042" s="252"/>
      <c r="F1042" s="531"/>
      <c r="G1042" s="252">
        <f t="shared" si="18"/>
        <v>0</v>
      </c>
    </row>
    <row r="1043" spans="1:7" ht="57.6" x14ac:dyDescent="0.3">
      <c r="A1043" s="529" t="s">
        <v>77</v>
      </c>
      <c r="B1043" s="529">
        <v>90843</v>
      </c>
      <c r="C1043" s="530" t="s">
        <v>53</v>
      </c>
      <c r="D1043" s="529" t="s">
        <v>44</v>
      </c>
      <c r="E1043" s="252"/>
      <c r="F1043" s="531">
        <v>640</v>
      </c>
      <c r="G1043" s="252">
        <f t="shared" si="18"/>
        <v>0</v>
      </c>
    </row>
    <row r="1044" spans="1:7" ht="28.8" x14ac:dyDescent="0.3">
      <c r="A1044" s="524" t="s">
        <v>522</v>
      </c>
      <c r="B1044" s="524" t="s">
        <v>1380</v>
      </c>
      <c r="C1044" s="525" t="s">
        <v>1381</v>
      </c>
      <c r="D1044" s="524" t="s">
        <v>397</v>
      </c>
      <c r="E1044" s="524" t="s">
        <v>1122</v>
      </c>
      <c r="F1044" s="526">
        <v>200</v>
      </c>
      <c r="G1044" s="252">
        <f t="shared" si="18"/>
        <v>200</v>
      </c>
    </row>
    <row r="1045" spans="1:7" ht="43.2" x14ac:dyDescent="0.3">
      <c r="A1045" s="524" t="s">
        <v>522</v>
      </c>
      <c r="B1045" s="524" t="s">
        <v>956</v>
      </c>
      <c r="C1045" s="525" t="s">
        <v>957</v>
      </c>
      <c r="D1045" s="524" t="s">
        <v>397</v>
      </c>
      <c r="E1045" s="524" t="s">
        <v>1122</v>
      </c>
      <c r="F1045" s="526">
        <v>300</v>
      </c>
      <c r="G1045" s="252">
        <f t="shared" si="18"/>
        <v>300</v>
      </c>
    </row>
    <row r="1046" spans="1:7" ht="43.2" x14ac:dyDescent="0.3">
      <c r="A1046" s="524" t="s">
        <v>522</v>
      </c>
      <c r="B1046" s="524" t="s">
        <v>1383</v>
      </c>
      <c r="C1046" s="525" t="s">
        <v>1384</v>
      </c>
      <c r="D1046" s="524" t="s">
        <v>397</v>
      </c>
      <c r="E1046" s="524" t="s">
        <v>1122</v>
      </c>
      <c r="F1046" s="526">
        <v>90</v>
      </c>
      <c r="G1046" s="252">
        <f t="shared" si="18"/>
        <v>90</v>
      </c>
    </row>
    <row r="1047" spans="1:7" ht="28.8" x14ac:dyDescent="0.3">
      <c r="A1047" s="524" t="s">
        <v>522</v>
      </c>
      <c r="B1047" s="524" t="s">
        <v>1386</v>
      </c>
      <c r="C1047" s="525" t="s">
        <v>1387</v>
      </c>
      <c r="D1047" s="524" t="s">
        <v>55</v>
      </c>
      <c r="E1047" s="524" t="s">
        <v>1388</v>
      </c>
      <c r="F1047" s="526">
        <v>5</v>
      </c>
      <c r="G1047" s="252">
        <f t="shared" si="18"/>
        <v>50</v>
      </c>
    </row>
    <row r="1048" spans="1:7" x14ac:dyDescent="0.3">
      <c r="A1048" s="680" t="s">
        <v>1152</v>
      </c>
      <c r="B1048" s="681"/>
      <c r="C1048" s="681"/>
      <c r="D1048" s="681"/>
      <c r="E1048" s="681"/>
      <c r="F1048" s="682"/>
      <c r="G1048" s="527">
        <f>SUM(G1041:G1047)</f>
        <v>640</v>
      </c>
    </row>
    <row r="1049" spans="1:7" x14ac:dyDescent="0.3">
      <c r="A1049" s="683">
        <f>TRUNC(E1049*F1049,2)</f>
        <v>0</v>
      </c>
      <c r="B1049" s="684"/>
      <c r="C1049" s="684"/>
      <c r="D1049" s="684"/>
      <c r="E1049" s="684"/>
      <c r="F1049" s="684"/>
      <c r="G1049" s="685"/>
    </row>
    <row r="1050" spans="1:7" ht="28.8" x14ac:dyDescent="0.3">
      <c r="A1050" s="529" t="s">
        <v>83</v>
      </c>
      <c r="B1050" s="529">
        <v>91338</v>
      </c>
      <c r="C1050" s="530" t="s">
        <v>57</v>
      </c>
      <c r="D1050" s="529" t="s">
        <v>24</v>
      </c>
      <c r="E1050" s="252"/>
      <c r="F1050" s="531">
        <v>871.17</v>
      </c>
      <c r="G1050" s="252">
        <f t="shared" si="18"/>
        <v>0</v>
      </c>
    </row>
    <row r="1051" spans="1:7" ht="28.8" x14ac:dyDescent="0.3">
      <c r="A1051" s="524" t="s">
        <v>508</v>
      </c>
      <c r="B1051" s="524" t="s">
        <v>1417</v>
      </c>
      <c r="C1051" s="525" t="s">
        <v>1418</v>
      </c>
      <c r="D1051" s="524" t="s">
        <v>1419</v>
      </c>
      <c r="E1051" s="606">
        <v>0.8</v>
      </c>
      <c r="F1051" s="526">
        <v>20</v>
      </c>
      <c r="G1051" s="252">
        <f t="shared" si="18"/>
        <v>16</v>
      </c>
    </row>
    <row r="1052" spans="1:7" ht="28.8" x14ac:dyDescent="0.3">
      <c r="A1052" s="524" t="s">
        <v>508</v>
      </c>
      <c r="B1052" s="524" t="s">
        <v>1422</v>
      </c>
      <c r="C1052" s="525" t="s">
        <v>1423</v>
      </c>
      <c r="D1052" s="524" t="s">
        <v>24</v>
      </c>
      <c r="E1052" s="606">
        <v>1</v>
      </c>
      <c r="F1052" s="526">
        <v>800</v>
      </c>
      <c r="G1052" s="252">
        <f t="shared" si="18"/>
        <v>800</v>
      </c>
    </row>
    <row r="1053" spans="1:7" ht="28.8" x14ac:dyDescent="0.3">
      <c r="A1053" s="524" t="s">
        <v>508</v>
      </c>
      <c r="B1053" s="524" t="s">
        <v>1425</v>
      </c>
      <c r="C1053" s="525" t="s">
        <v>1426</v>
      </c>
      <c r="D1053" s="524" t="s">
        <v>397</v>
      </c>
      <c r="E1053" s="606">
        <v>4</v>
      </c>
      <c r="F1053" s="526" t="s">
        <v>1428</v>
      </c>
      <c r="G1053" s="252">
        <f t="shared" si="18"/>
        <v>2.2000000000000002</v>
      </c>
    </row>
    <row r="1054" spans="1:7" ht="28.8" x14ac:dyDescent="0.3">
      <c r="A1054" s="524" t="s">
        <v>508</v>
      </c>
      <c r="B1054" s="524" t="s">
        <v>1429</v>
      </c>
      <c r="C1054" s="525" t="s">
        <v>1430</v>
      </c>
      <c r="D1054" s="524" t="s">
        <v>55</v>
      </c>
      <c r="E1054" s="606">
        <v>6.5</v>
      </c>
      <c r="F1054" s="526">
        <v>7</v>
      </c>
      <c r="G1054" s="252">
        <f t="shared" si="18"/>
        <v>45.5</v>
      </c>
    </row>
    <row r="1055" spans="1:7" x14ac:dyDescent="0.3">
      <c r="A1055" s="524" t="s">
        <v>522</v>
      </c>
      <c r="B1055" s="524" t="s">
        <v>1362</v>
      </c>
      <c r="C1055" s="525" t="s">
        <v>1363</v>
      </c>
      <c r="D1055" s="524" t="s">
        <v>32</v>
      </c>
      <c r="E1055" s="606">
        <v>0.3</v>
      </c>
      <c r="F1055" s="526" t="s">
        <v>1365</v>
      </c>
      <c r="G1055" s="252">
        <f t="shared" si="18"/>
        <v>5.32</v>
      </c>
    </row>
    <row r="1056" spans="1:7" x14ac:dyDescent="0.3">
      <c r="A1056" s="524" t="s">
        <v>522</v>
      </c>
      <c r="B1056" s="524" t="s">
        <v>1359</v>
      </c>
      <c r="C1056" s="525" t="s">
        <v>801</v>
      </c>
      <c r="D1056" s="524" t="s">
        <v>32</v>
      </c>
      <c r="E1056" s="606">
        <v>0.15</v>
      </c>
      <c r="F1056" s="526" t="s">
        <v>1361</v>
      </c>
      <c r="G1056" s="252">
        <f t="shared" si="18"/>
        <v>2.15</v>
      </c>
    </row>
    <row r="1057" spans="1:7" x14ac:dyDescent="0.3">
      <c r="A1057" s="680" t="s">
        <v>1152</v>
      </c>
      <c r="B1057" s="681"/>
      <c r="C1057" s="681"/>
      <c r="D1057" s="681"/>
      <c r="E1057" s="681"/>
      <c r="F1057" s="682"/>
      <c r="G1057" s="527">
        <f>SUM(G1050:G1056)</f>
        <v>871.17000000000007</v>
      </c>
    </row>
    <row r="1058" spans="1:7" x14ac:dyDescent="0.3">
      <c r="A1058" s="683">
        <f>TRUNC(E1058*F1058,2)</f>
        <v>0</v>
      </c>
      <c r="B1058" s="684"/>
      <c r="C1058" s="684"/>
      <c r="D1058" s="684"/>
      <c r="E1058" s="684"/>
      <c r="F1058" s="684"/>
      <c r="G1058" s="685"/>
    </row>
    <row r="1059" spans="1:7" x14ac:dyDescent="0.3">
      <c r="A1059" s="529" t="s">
        <v>85</v>
      </c>
      <c r="B1059" s="529"/>
      <c r="C1059" s="530" t="s">
        <v>61</v>
      </c>
      <c r="D1059" s="529"/>
      <c r="E1059" s="252"/>
      <c r="F1059" s="531"/>
      <c r="G1059" s="252">
        <f t="shared" si="18"/>
        <v>0</v>
      </c>
    </row>
    <row r="1060" spans="1:7" ht="43.2" x14ac:dyDescent="0.3">
      <c r="A1060" s="529" t="s">
        <v>87</v>
      </c>
      <c r="B1060" s="529">
        <v>87266</v>
      </c>
      <c r="C1060" s="530" t="s">
        <v>65</v>
      </c>
      <c r="D1060" s="529" t="s">
        <v>24</v>
      </c>
      <c r="E1060" s="252"/>
      <c r="F1060" s="531">
        <v>32.79</v>
      </c>
      <c r="G1060" s="252">
        <f t="shared" si="18"/>
        <v>0</v>
      </c>
    </row>
    <row r="1061" spans="1:7" ht="28.8" x14ac:dyDescent="0.3">
      <c r="A1061" s="524" t="s">
        <v>508</v>
      </c>
      <c r="B1061" s="524" t="s">
        <v>1441</v>
      </c>
      <c r="C1061" s="525" t="s">
        <v>1442</v>
      </c>
      <c r="D1061" s="524" t="s">
        <v>24</v>
      </c>
      <c r="E1061" s="606">
        <v>1</v>
      </c>
      <c r="F1061" s="526">
        <v>14</v>
      </c>
      <c r="G1061" s="252">
        <f t="shared" si="18"/>
        <v>14</v>
      </c>
    </row>
    <row r="1062" spans="1:7" x14ac:dyDescent="0.3">
      <c r="A1062" s="524" t="s">
        <v>508</v>
      </c>
      <c r="B1062" s="524" t="s">
        <v>1444</v>
      </c>
      <c r="C1062" s="525" t="s">
        <v>1445</v>
      </c>
      <c r="D1062" s="524" t="s">
        <v>426</v>
      </c>
      <c r="E1062" s="606">
        <v>4</v>
      </c>
      <c r="F1062" s="526" t="s">
        <v>1447</v>
      </c>
      <c r="G1062" s="252">
        <f t="shared" si="18"/>
        <v>2.6</v>
      </c>
    </row>
    <row r="1063" spans="1:7" x14ac:dyDescent="0.3">
      <c r="A1063" s="524" t="s">
        <v>508</v>
      </c>
      <c r="B1063" s="524" t="s">
        <v>1448</v>
      </c>
      <c r="C1063" s="525" t="s">
        <v>1449</v>
      </c>
      <c r="D1063" s="524" t="s">
        <v>426</v>
      </c>
      <c r="E1063" s="524" t="s">
        <v>1450</v>
      </c>
      <c r="F1063" s="526" t="s">
        <v>1451</v>
      </c>
      <c r="G1063" s="252">
        <f t="shared" si="18"/>
        <v>1.6</v>
      </c>
    </row>
    <row r="1064" spans="1:7" x14ac:dyDescent="0.3">
      <c r="A1064" s="524" t="s">
        <v>522</v>
      </c>
      <c r="B1064" s="524" t="s">
        <v>1355</v>
      </c>
      <c r="C1064" s="525" t="s">
        <v>1356</v>
      </c>
      <c r="D1064" s="524" t="s">
        <v>32</v>
      </c>
      <c r="E1064" s="606">
        <v>0.5</v>
      </c>
      <c r="F1064" s="526" t="s">
        <v>1358</v>
      </c>
      <c r="G1064" s="252">
        <f t="shared" si="18"/>
        <v>8.85</v>
      </c>
    </row>
    <row r="1065" spans="1:7" x14ac:dyDescent="0.3">
      <c r="A1065" s="524" t="s">
        <v>522</v>
      </c>
      <c r="B1065" s="524" t="s">
        <v>1359</v>
      </c>
      <c r="C1065" s="525" t="s">
        <v>801</v>
      </c>
      <c r="D1065" s="524" t="s">
        <v>32</v>
      </c>
      <c r="E1065" s="606">
        <v>0.4</v>
      </c>
      <c r="F1065" s="526" t="s">
        <v>1361</v>
      </c>
      <c r="G1065" s="252">
        <f t="shared" si="18"/>
        <v>5.74</v>
      </c>
    </row>
    <row r="1066" spans="1:7" x14ac:dyDescent="0.3">
      <c r="A1066" s="680" t="s">
        <v>1152</v>
      </c>
      <c r="B1066" s="681"/>
      <c r="C1066" s="681"/>
      <c r="D1066" s="681"/>
      <c r="E1066" s="681"/>
      <c r="F1066" s="682"/>
      <c r="G1066" s="527">
        <f>SUM(G1060:G1065)</f>
        <v>32.790000000000006</v>
      </c>
    </row>
    <row r="1067" spans="1:7" x14ac:dyDescent="0.3">
      <c r="A1067" s="683">
        <f>TRUNC(E1067*F1067,2)</f>
        <v>0</v>
      </c>
      <c r="B1067" s="684"/>
      <c r="C1067" s="684"/>
      <c r="D1067" s="684"/>
      <c r="E1067" s="684"/>
      <c r="F1067" s="684"/>
      <c r="G1067" s="685"/>
    </row>
    <row r="1068" spans="1:7" ht="43.2" x14ac:dyDescent="0.3">
      <c r="A1068" s="529" t="s">
        <v>90</v>
      </c>
      <c r="B1068" s="529">
        <v>87477</v>
      </c>
      <c r="C1068" s="530" t="s">
        <v>70</v>
      </c>
      <c r="D1068" s="529" t="s">
        <v>24</v>
      </c>
      <c r="E1068" s="252"/>
      <c r="F1068" s="531">
        <v>40.9</v>
      </c>
      <c r="G1068" s="252">
        <f t="shared" si="18"/>
        <v>0</v>
      </c>
    </row>
    <row r="1069" spans="1:7" ht="28.8" x14ac:dyDescent="0.3">
      <c r="A1069" s="524" t="s">
        <v>508</v>
      </c>
      <c r="B1069" s="524" t="s">
        <v>1453</v>
      </c>
      <c r="C1069" s="525" t="s">
        <v>1454</v>
      </c>
      <c r="D1069" s="524" t="s">
        <v>55</v>
      </c>
      <c r="E1069" s="524" t="s">
        <v>1450</v>
      </c>
      <c r="F1069" s="526" t="s">
        <v>1455</v>
      </c>
      <c r="G1069" s="252">
        <f t="shared" si="18"/>
        <v>0.86</v>
      </c>
    </row>
    <row r="1070" spans="1:7" x14ac:dyDescent="0.3">
      <c r="A1070" s="524" t="s">
        <v>508</v>
      </c>
      <c r="B1070" s="524" t="s">
        <v>1456</v>
      </c>
      <c r="C1070" s="525" t="s">
        <v>1457</v>
      </c>
      <c r="D1070" s="524" t="s">
        <v>1458</v>
      </c>
      <c r="E1070" s="524" t="s">
        <v>1393</v>
      </c>
      <c r="F1070" s="526" t="s">
        <v>1459</v>
      </c>
      <c r="G1070" s="252">
        <f t="shared" si="18"/>
        <v>0.17</v>
      </c>
    </row>
    <row r="1071" spans="1:7" ht="28.8" x14ac:dyDescent="0.3">
      <c r="A1071" s="524" t="s">
        <v>508</v>
      </c>
      <c r="B1071" s="524" t="s">
        <v>1460</v>
      </c>
      <c r="C1071" s="525" t="s">
        <v>1461</v>
      </c>
      <c r="D1071" s="524" t="s">
        <v>397</v>
      </c>
      <c r="E1071" s="524" t="s">
        <v>1462</v>
      </c>
      <c r="F1071" s="526" t="s">
        <v>1463</v>
      </c>
      <c r="G1071" s="252">
        <f t="shared" si="18"/>
        <v>24.29</v>
      </c>
    </row>
    <row r="1072" spans="1:7" ht="43.2" x14ac:dyDescent="0.3">
      <c r="A1072" s="524" t="s">
        <v>522</v>
      </c>
      <c r="B1072" s="524" t="s">
        <v>1464</v>
      </c>
      <c r="C1072" s="525" t="s">
        <v>1465</v>
      </c>
      <c r="D1072" s="524" t="s">
        <v>41</v>
      </c>
      <c r="E1072" s="524" t="s">
        <v>1466</v>
      </c>
      <c r="F1072" s="526" t="s">
        <v>1467</v>
      </c>
      <c r="G1072" s="252">
        <f t="shared" si="18"/>
        <v>3.62</v>
      </c>
    </row>
    <row r="1073" spans="1:7" x14ac:dyDescent="0.3">
      <c r="A1073" s="524" t="s">
        <v>522</v>
      </c>
      <c r="B1073" s="524" t="s">
        <v>1362</v>
      </c>
      <c r="C1073" s="525" t="s">
        <v>1363</v>
      </c>
      <c r="D1073" s="524" t="s">
        <v>32</v>
      </c>
      <c r="E1073" s="524" t="s">
        <v>1468</v>
      </c>
      <c r="F1073" s="526" t="s">
        <v>1365</v>
      </c>
      <c r="G1073" s="252">
        <f t="shared" si="18"/>
        <v>8.52</v>
      </c>
    </row>
    <row r="1074" spans="1:7" x14ac:dyDescent="0.3">
      <c r="A1074" s="524" t="s">
        <v>522</v>
      </c>
      <c r="B1074" s="524" t="s">
        <v>1359</v>
      </c>
      <c r="C1074" s="525" t="s">
        <v>801</v>
      </c>
      <c r="D1074" s="524" t="s">
        <v>32</v>
      </c>
      <c r="E1074" s="524" t="s">
        <v>1469</v>
      </c>
      <c r="F1074" s="526" t="s">
        <v>1361</v>
      </c>
      <c r="G1074" s="252">
        <f t="shared" si="18"/>
        <v>3.44</v>
      </c>
    </row>
    <row r="1075" spans="1:7" x14ac:dyDescent="0.3">
      <c r="A1075" s="680" t="s">
        <v>1152</v>
      </c>
      <c r="B1075" s="681"/>
      <c r="C1075" s="681"/>
      <c r="D1075" s="681"/>
      <c r="E1075" s="681"/>
      <c r="F1075" s="682"/>
      <c r="G1075" s="527">
        <f>SUM(G1069:G1074)</f>
        <v>40.9</v>
      </c>
    </row>
    <row r="1076" spans="1:7" x14ac:dyDescent="0.3">
      <c r="A1076" s="683">
        <f>TRUNC(E1076*F1076,2)</f>
        <v>0</v>
      </c>
      <c r="B1076" s="684"/>
      <c r="C1076" s="684"/>
      <c r="D1076" s="684"/>
      <c r="E1076" s="684"/>
      <c r="F1076" s="684"/>
      <c r="G1076" s="685"/>
    </row>
    <row r="1077" spans="1:7" ht="43.2" x14ac:dyDescent="0.3">
      <c r="A1077" s="529" t="s">
        <v>93</v>
      </c>
      <c r="B1077" s="529">
        <v>87879</v>
      </c>
      <c r="C1077" s="530" t="s">
        <v>225</v>
      </c>
      <c r="D1077" s="529" t="s">
        <v>24</v>
      </c>
      <c r="E1077" s="252"/>
      <c r="F1077" s="531">
        <v>2.72</v>
      </c>
      <c r="G1077" s="252">
        <f t="shared" si="18"/>
        <v>0</v>
      </c>
    </row>
    <row r="1078" spans="1:7" ht="28.8" x14ac:dyDescent="0.3">
      <c r="A1078" s="524" t="s">
        <v>522</v>
      </c>
      <c r="B1078" s="524" t="s">
        <v>1957</v>
      </c>
      <c r="C1078" s="525" t="s">
        <v>1958</v>
      </c>
      <c r="D1078" s="524" t="s">
        <v>41</v>
      </c>
      <c r="E1078" s="524" t="s">
        <v>1959</v>
      </c>
      <c r="F1078" s="528" t="s">
        <v>1960</v>
      </c>
      <c r="G1078" s="252">
        <f t="shared" si="18"/>
        <v>1.38</v>
      </c>
    </row>
    <row r="1079" spans="1:7" x14ac:dyDescent="0.3">
      <c r="A1079" s="524" t="s">
        <v>522</v>
      </c>
      <c r="B1079" s="524" t="s">
        <v>1362</v>
      </c>
      <c r="C1079" s="525" t="s">
        <v>1363</v>
      </c>
      <c r="D1079" s="524" t="s">
        <v>32</v>
      </c>
      <c r="E1079" s="524" t="s">
        <v>1728</v>
      </c>
      <c r="F1079" s="528" t="s">
        <v>1365</v>
      </c>
      <c r="G1079" s="252">
        <f t="shared" si="18"/>
        <v>1.24</v>
      </c>
    </row>
    <row r="1080" spans="1:7" x14ac:dyDescent="0.3">
      <c r="A1080" s="524" t="s">
        <v>522</v>
      </c>
      <c r="B1080" s="524" t="s">
        <v>1359</v>
      </c>
      <c r="C1080" s="525" t="s">
        <v>801</v>
      </c>
      <c r="D1080" s="524" t="s">
        <v>32</v>
      </c>
      <c r="E1080" s="524" t="s">
        <v>1961</v>
      </c>
      <c r="F1080" s="528" t="s">
        <v>1361</v>
      </c>
      <c r="G1080" s="252">
        <f t="shared" si="18"/>
        <v>0.1</v>
      </c>
    </row>
    <row r="1081" spans="1:7" x14ac:dyDescent="0.3">
      <c r="A1081" s="680" t="s">
        <v>1152</v>
      </c>
      <c r="B1081" s="681"/>
      <c r="C1081" s="681"/>
      <c r="D1081" s="681"/>
      <c r="E1081" s="681"/>
      <c r="F1081" s="682"/>
      <c r="G1081" s="527">
        <f>SUM(G1077:G1080)</f>
        <v>2.72</v>
      </c>
    </row>
    <row r="1082" spans="1:7" x14ac:dyDescent="0.3">
      <c r="A1082" s="683">
        <f>TRUNC(E1082*F1082,2)</f>
        <v>0</v>
      </c>
      <c r="B1082" s="684"/>
      <c r="C1082" s="684"/>
      <c r="D1082" s="684"/>
      <c r="E1082" s="684"/>
      <c r="F1082" s="684"/>
      <c r="G1082" s="685"/>
    </row>
    <row r="1083" spans="1:7" ht="43.2" x14ac:dyDescent="0.3">
      <c r="A1083" s="529" t="s">
        <v>226</v>
      </c>
      <c r="B1083" s="529">
        <v>87266</v>
      </c>
      <c r="C1083" s="530" t="s">
        <v>65</v>
      </c>
      <c r="D1083" s="529" t="s">
        <v>24</v>
      </c>
      <c r="E1083" s="252"/>
      <c r="F1083" s="531">
        <v>32.79</v>
      </c>
      <c r="G1083" s="252">
        <f t="shared" si="18"/>
        <v>0</v>
      </c>
    </row>
    <row r="1084" spans="1:7" ht="28.8" x14ac:dyDescent="0.3">
      <c r="A1084" s="524" t="s">
        <v>508</v>
      </c>
      <c r="B1084" s="524" t="s">
        <v>1441</v>
      </c>
      <c r="C1084" s="525" t="s">
        <v>1442</v>
      </c>
      <c r="D1084" s="524" t="s">
        <v>24</v>
      </c>
      <c r="E1084" s="606">
        <v>1</v>
      </c>
      <c r="F1084" s="526">
        <v>14</v>
      </c>
      <c r="G1084" s="252">
        <f t="shared" ref="G1084:G1088" si="19">TRUNC(E1084*F1084,2)</f>
        <v>14</v>
      </c>
    </row>
    <row r="1085" spans="1:7" x14ac:dyDescent="0.3">
      <c r="A1085" s="524" t="s">
        <v>508</v>
      </c>
      <c r="B1085" s="524" t="s">
        <v>1444</v>
      </c>
      <c r="C1085" s="525" t="s">
        <v>1445</v>
      </c>
      <c r="D1085" s="524" t="s">
        <v>426</v>
      </c>
      <c r="E1085" s="606">
        <v>4</v>
      </c>
      <c r="F1085" s="526" t="s">
        <v>1447</v>
      </c>
      <c r="G1085" s="252">
        <f t="shared" si="19"/>
        <v>2.6</v>
      </c>
    </row>
    <row r="1086" spans="1:7" x14ac:dyDescent="0.3">
      <c r="A1086" s="524" t="s">
        <v>508</v>
      </c>
      <c r="B1086" s="524" t="s">
        <v>1448</v>
      </c>
      <c r="C1086" s="525" t="s">
        <v>1449</v>
      </c>
      <c r="D1086" s="524" t="s">
        <v>426</v>
      </c>
      <c r="E1086" s="524" t="s">
        <v>1450</v>
      </c>
      <c r="F1086" s="526" t="s">
        <v>1451</v>
      </c>
      <c r="G1086" s="252">
        <f t="shared" si="19"/>
        <v>1.6</v>
      </c>
    </row>
    <row r="1087" spans="1:7" x14ac:dyDescent="0.3">
      <c r="A1087" s="524" t="s">
        <v>522</v>
      </c>
      <c r="B1087" s="524" t="s">
        <v>1355</v>
      </c>
      <c r="C1087" s="525" t="s">
        <v>1356</v>
      </c>
      <c r="D1087" s="524" t="s">
        <v>32</v>
      </c>
      <c r="E1087" s="606">
        <v>0.5</v>
      </c>
      <c r="F1087" s="526" t="s">
        <v>1358</v>
      </c>
      <c r="G1087" s="252">
        <f t="shared" si="19"/>
        <v>8.85</v>
      </c>
    </row>
    <row r="1088" spans="1:7" x14ac:dyDescent="0.3">
      <c r="A1088" s="524" t="s">
        <v>522</v>
      </c>
      <c r="B1088" s="524" t="s">
        <v>1359</v>
      </c>
      <c r="C1088" s="525" t="s">
        <v>801</v>
      </c>
      <c r="D1088" s="524" t="s">
        <v>32</v>
      </c>
      <c r="E1088" s="606">
        <v>0.4</v>
      </c>
      <c r="F1088" s="526" t="s">
        <v>1361</v>
      </c>
      <c r="G1088" s="252">
        <f t="shared" si="19"/>
        <v>5.74</v>
      </c>
    </row>
    <row r="1089" spans="1:7" x14ac:dyDescent="0.3">
      <c r="A1089" s="680" t="s">
        <v>1152</v>
      </c>
      <c r="B1089" s="681"/>
      <c r="C1089" s="681"/>
      <c r="D1089" s="681"/>
      <c r="E1089" s="681"/>
      <c r="F1089" s="682"/>
      <c r="G1089" s="527">
        <f>SUM(G1083:G1088)</f>
        <v>32.790000000000006</v>
      </c>
    </row>
    <row r="1090" spans="1:7" x14ac:dyDescent="0.3">
      <c r="A1090" s="683">
        <f>TRUNC(E1090*F1090,2)</f>
        <v>0</v>
      </c>
      <c r="B1090" s="684"/>
      <c r="C1090" s="684"/>
      <c r="D1090" s="684"/>
      <c r="E1090" s="684"/>
      <c r="F1090" s="684"/>
      <c r="G1090" s="685"/>
    </row>
    <row r="1091" spans="1:7" ht="43.2" x14ac:dyDescent="0.3">
      <c r="A1091" s="529" t="s">
        <v>394</v>
      </c>
      <c r="B1091" s="529">
        <v>90408</v>
      </c>
      <c r="C1091" s="530" t="s">
        <v>73</v>
      </c>
      <c r="D1091" s="529" t="s">
        <v>24</v>
      </c>
      <c r="E1091" s="252"/>
      <c r="F1091" s="531">
        <v>22.64</v>
      </c>
      <c r="G1091" s="252">
        <f t="shared" si="18"/>
        <v>0</v>
      </c>
    </row>
    <row r="1092" spans="1:7" ht="43.2" x14ac:dyDescent="0.3">
      <c r="A1092" s="524" t="s">
        <v>522</v>
      </c>
      <c r="B1092" s="524" t="s">
        <v>1464</v>
      </c>
      <c r="C1092" s="525" t="s">
        <v>1465</v>
      </c>
      <c r="D1092" s="524" t="s">
        <v>41</v>
      </c>
      <c r="E1092" s="524" t="s">
        <v>1470</v>
      </c>
      <c r="F1092" s="526" t="s">
        <v>1467</v>
      </c>
      <c r="G1092" s="252">
        <f t="shared" si="18"/>
        <v>7.43</v>
      </c>
    </row>
    <row r="1093" spans="1:7" x14ac:dyDescent="0.3">
      <c r="A1093" s="524" t="s">
        <v>522</v>
      </c>
      <c r="B1093" s="524" t="s">
        <v>1362</v>
      </c>
      <c r="C1093" s="525" t="s">
        <v>1363</v>
      </c>
      <c r="D1093" s="524" t="s">
        <v>32</v>
      </c>
      <c r="E1093" s="524" t="s">
        <v>1471</v>
      </c>
      <c r="F1093" s="526" t="s">
        <v>1365</v>
      </c>
      <c r="G1093" s="252">
        <f t="shared" si="18"/>
        <v>11.72</v>
      </c>
    </row>
    <row r="1094" spans="1:7" x14ac:dyDescent="0.3">
      <c r="A1094" s="524" t="s">
        <v>522</v>
      </c>
      <c r="B1094" s="524" t="s">
        <v>1359</v>
      </c>
      <c r="C1094" s="525" t="s">
        <v>801</v>
      </c>
      <c r="D1094" s="524" t="s">
        <v>32</v>
      </c>
      <c r="E1094" s="524" t="s">
        <v>1472</v>
      </c>
      <c r="F1094" s="526" t="s">
        <v>1361</v>
      </c>
      <c r="G1094" s="252">
        <f t="shared" si="18"/>
        <v>3.49</v>
      </c>
    </row>
    <row r="1095" spans="1:7" x14ac:dyDescent="0.3">
      <c r="A1095" s="680" t="s">
        <v>1152</v>
      </c>
      <c r="B1095" s="681"/>
      <c r="C1095" s="681"/>
      <c r="D1095" s="681"/>
      <c r="E1095" s="681"/>
      <c r="F1095" s="682"/>
      <c r="G1095" s="527">
        <f>SUM(G1091:G1094)</f>
        <v>22.64</v>
      </c>
    </row>
    <row r="1096" spans="1:7" x14ac:dyDescent="0.3">
      <c r="A1096" s="683">
        <f>TRUNC(E1096*F1096,2)</f>
        <v>0</v>
      </c>
      <c r="B1096" s="684"/>
      <c r="C1096" s="684"/>
      <c r="D1096" s="684"/>
      <c r="E1096" s="684"/>
      <c r="F1096" s="684"/>
      <c r="G1096" s="685"/>
    </row>
    <row r="1097" spans="1:7" x14ac:dyDescent="0.3">
      <c r="A1097" s="529" t="s">
        <v>95</v>
      </c>
      <c r="B1097" s="529"/>
      <c r="C1097" s="530" t="s">
        <v>75</v>
      </c>
      <c r="D1097" s="529"/>
      <c r="E1097" s="252"/>
      <c r="F1097" s="531"/>
      <c r="G1097" s="252">
        <f t="shared" si="18"/>
        <v>0</v>
      </c>
    </row>
    <row r="1098" spans="1:7" ht="43.2" x14ac:dyDescent="0.3">
      <c r="A1098" s="529" t="s">
        <v>97</v>
      </c>
      <c r="B1098" s="529">
        <v>94993</v>
      </c>
      <c r="C1098" s="530" t="s">
        <v>78</v>
      </c>
      <c r="D1098" s="529" t="s">
        <v>24</v>
      </c>
      <c r="E1098" s="252"/>
      <c r="F1098" s="531">
        <v>62.94</v>
      </c>
      <c r="G1098" s="252">
        <f t="shared" si="18"/>
        <v>0</v>
      </c>
    </row>
    <row r="1099" spans="1:7" x14ac:dyDescent="0.3">
      <c r="A1099" s="524" t="s">
        <v>508</v>
      </c>
      <c r="B1099" s="524" t="s">
        <v>1475</v>
      </c>
      <c r="C1099" s="525" t="s">
        <v>1476</v>
      </c>
      <c r="D1099" s="524" t="s">
        <v>24</v>
      </c>
      <c r="E1099" s="524" t="s">
        <v>1477</v>
      </c>
      <c r="F1099" s="526" t="s">
        <v>1478</v>
      </c>
      <c r="G1099" s="252">
        <f t="shared" si="18"/>
        <v>1.03</v>
      </c>
    </row>
    <row r="1100" spans="1:7" ht="28.8" x14ac:dyDescent="0.3">
      <c r="A1100" s="524" t="s">
        <v>508</v>
      </c>
      <c r="B1100" s="524" t="s">
        <v>1479</v>
      </c>
      <c r="C1100" s="525" t="s">
        <v>1480</v>
      </c>
      <c r="D1100" s="524" t="s">
        <v>55</v>
      </c>
      <c r="E1100" s="524" t="s">
        <v>1481</v>
      </c>
      <c r="F1100" s="526" t="s">
        <v>1482</v>
      </c>
      <c r="G1100" s="252">
        <f t="shared" si="18"/>
        <v>0.9</v>
      </c>
    </row>
    <row r="1101" spans="1:7" ht="28.8" x14ac:dyDescent="0.3">
      <c r="A1101" s="524" t="s">
        <v>508</v>
      </c>
      <c r="B1101" s="524" t="s">
        <v>1483</v>
      </c>
      <c r="C1101" s="525" t="s">
        <v>1484</v>
      </c>
      <c r="D1101" s="524" t="s">
        <v>24</v>
      </c>
      <c r="E1101" s="524" t="s">
        <v>1485</v>
      </c>
      <c r="F1101" s="526" t="s">
        <v>1486</v>
      </c>
      <c r="G1101" s="252">
        <f t="shared" si="18"/>
        <v>26.02</v>
      </c>
    </row>
    <row r="1102" spans="1:7" ht="28.8" x14ac:dyDescent="0.3">
      <c r="A1102" s="524" t="s">
        <v>508</v>
      </c>
      <c r="B1102" s="524" t="s">
        <v>1487</v>
      </c>
      <c r="C1102" s="525" t="s">
        <v>1488</v>
      </c>
      <c r="D1102" s="524" t="s">
        <v>41</v>
      </c>
      <c r="E1102" s="524" t="s">
        <v>1489</v>
      </c>
      <c r="F1102" s="526" t="s">
        <v>1490</v>
      </c>
      <c r="G1102" s="252">
        <f t="shared" si="18"/>
        <v>26.87</v>
      </c>
    </row>
    <row r="1103" spans="1:7" x14ac:dyDescent="0.3">
      <c r="A1103" s="524" t="s">
        <v>522</v>
      </c>
      <c r="B1103" s="524" t="s">
        <v>527</v>
      </c>
      <c r="C1103" s="525" t="s">
        <v>528</v>
      </c>
      <c r="D1103" s="524" t="s">
        <v>32</v>
      </c>
      <c r="E1103" s="524" t="s">
        <v>1491</v>
      </c>
      <c r="F1103" s="526" t="s">
        <v>530</v>
      </c>
      <c r="G1103" s="252">
        <f t="shared" si="18"/>
        <v>2.38</v>
      </c>
    </row>
    <row r="1104" spans="1:7" x14ac:dyDescent="0.3">
      <c r="A1104" s="524" t="s">
        <v>522</v>
      </c>
      <c r="B1104" s="524" t="s">
        <v>1362</v>
      </c>
      <c r="C1104" s="525" t="s">
        <v>1363</v>
      </c>
      <c r="D1104" s="524" t="s">
        <v>32</v>
      </c>
      <c r="E1104" s="524" t="s">
        <v>1492</v>
      </c>
      <c r="F1104" s="526" t="s">
        <v>1365</v>
      </c>
      <c r="G1104" s="252">
        <f t="shared" si="18"/>
        <v>2.1</v>
      </c>
    </row>
    <row r="1105" spans="1:7" x14ac:dyDescent="0.3">
      <c r="A1105" s="524" t="s">
        <v>522</v>
      </c>
      <c r="B1105" s="524" t="s">
        <v>1359</v>
      </c>
      <c r="C1105" s="525" t="s">
        <v>801</v>
      </c>
      <c r="D1105" s="524" t="s">
        <v>32</v>
      </c>
      <c r="E1105" s="524" t="s">
        <v>1493</v>
      </c>
      <c r="F1105" s="526" t="s">
        <v>1361</v>
      </c>
      <c r="G1105" s="252">
        <f t="shared" si="18"/>
        <v>3.64</v>
      </c>
    </row>
    <row r="1106" spans="1:7" x14ac:dyDescent="0.3">
      <c r="A1106" s="680" t="s">
        <v>1152</v>
      </c>
      <c r="B1106" s="681"/>
      <c r="C1106" s="681"/>
      <c r="D1106" s="681"/>
      <c r="E1106" s="681"/>
      <c r="F1106" s="682"/>
      <c r="G1106" s="527">
        <f>SUM(G1098:G1105)</f>
        <v>62.940000000000005</v>
      </c>
    </row>
    <row r="1107" spans="1:7" x14ac:dyDescent="0.3">
      <c r="A1107" s="683">
        <f>TRUNC(E1107*F1107,2)</f>
        <v>0</v>
      </c>
      <c r="B1107" s="684"/>
      <c r="C1107" s="684"/>
      <c r="D1107" s="684"/>
      <c r="E1107" s="684"/>
      <c r="F1107" s="684"/>
      <c r="G1107" s="685"/>
    </row>
    <row r="1108" spans="1:7" ht="43.2" x14ac:dyDescent="0.3">
      <c r="A1108" s="529" t="s">
        <v>100</v>
      </c>
      <c r="B1108" s="529">
        <v>87262</v>
      </c>
      <c r="C1108" s="530" t="s">
        <v>84</v>
      </c>
      <c r="D1108" s="529" t="s">
        <v>24</v>
      </c>
      <c r="E1108" s="252"/>
      <c r="F1108" s="531">
        <v>82.17</v>
      </c>
      <c r="G1108" s="252">
        <f t="shared" si="18"/>
        <v>0</v>
      </c>
    </row>
    <row r="1109" spans="1:7" x14ac:dyDescent="0.3">
      <c r="A1109" s="524" t="s">
        <v>508</v>
      </c>
      <c r="B1109" s="524" t="s">
        <v>1448</v>
      </c>
      <c r="C1109" s="525" t="s">
        <v>1449</v>
      </c>
      <c r="D1109" s="524" t="s">
        <v>426</v>
      </c>
      <c r="E1109" s="524" t="s">
        <v>1559</v>
      </c>
      <c r="F1109" s="526" t="s">
        <v>1451</v>
      </c>
      <c r="G1109" s="252">
        <f t="shared" si="18"/>
        <v>0.53</v>
      </c>
    </row>
    <row r="1110" spans="1:7" x14ac:dyDescent="0.3">
      <c r="A1110" s="524" t="s">
        <v>508</v>
      </c>
      <c r="B1110" s="524" t="s">
        <v>1560</v>
      </c>
      <c r="C1110" s="525" t="s">
        <v>1561</v>
      </c>
      <c r="D1110" s="524" t="s">
        <v>426</v>
      </c>
      <c r="E1110" s="606">
        <v>8</v>
      </c>
      <c r="F1110" s="526" t="s">
        <v>1563</v>
      </c>
      <c r="G1110" s="252">
        <f t="shared" si="18"/>
        <v>15.92</v>
      </c>
    </row>
    <row r="1111" spans="1:7" x14ac:dyDescent="0.3">
      <c r="A1111" s="524" t="s">
        <v>508</v>
      </c>
      <c r="B1111" s="524" t="s">
        <v>1564</v>
      </c>
      <c r="C1111" s="525" t="s">
        <v>1565</v>
      </c>
      <c r="D1111" s="524" t="s">
        <v>24</v>
      </c>
      <c r="E1111" s="606" t="s">
        <v>1566</v>
      </c>
      <c r="F1111" s="526">
        <v>50</v>
      </c>
      <c r="G1111" s="252">
        <f t="shared" si="18"/>
        <v>54</v>
      </c>
    </row>
    <row r="1112" spans="1:7" x14ac:dyDescent="0.3">
      <c r="A1112" s="524" t="s">
        <v>522</v>
      </c>
      <c r="B1112" s="524" t="s">
        <v>1355</v>
      </c>
      <c r="C1112" s="525" t="s">
        <v>1356</v>
      </c>
      <c r="D1112" s="524" t="s">
        <v>32</v>
      </c>
      <c r="E1112" s="606">
        <v>0.5</v>
      </c>
      <c r="F1112" s="526" t="s">
        <v>1358</v>
      </c>
      <c r="G1112" s="252">
        <f t="shared" si="18"/>
        <v>8.85</v>
      </c>
    </row>
    <row r="1113" spans="1:7" x14ac:dyDescent="0.3">
      <c r="A1113" s="524" t="s">
        <v>522</v>
      </c>
      <c r="B1113" s="524" t="s">
        <v>1359</v>
      </c>
      <c r="C1113" s="525" t="s">
        <v>801</v>
      </c>
      <c r="D1113" s="524" t="s">
        <v>32</v>
      </c>
      <c r="E1113" s="606">
        <v>0.2</v>
      </c>
      <c r="F1113" s="526" t="s">
        <v>1361</v>
      </c>
      <c r="G1113" s="252">
        <f t="shared" si="18"/>
        <v>2.87</v>
      </c>
    </row>
    <row r="1114" spans="1:7" x14ac:dyDescent="0.3">
      <c r="A1114" s="680" t="s">
        <v>1152</v>
      </c>
      <c r="B1114" s="681"/>
      <c r="C1114" s="681"/>
      <c r="D1114" s="681"/>
      <c r="E1114" s="681"/>
      <c r="F1114" s="682"/>
      <c r="G1114" s="527">
        <f>SUM(G1108:G1113)</f>
        <v>82.17</v>
      </c>
    </row>
    <row r="1115" spans="1:7" x14ac:dyDescent="0.3">
      <c r="A1115" s="683">
        <f>TRUNC(E1115*F1115,2)</f>
        <v>0</v>
      </c>
      <c r="B1115" s="684"/>
      <c r="C1115" s="684"/>
      <c r="D1115" s="684"/>
      <c r="E1115" s="684"/>
      <c r="F1115" s="684"/>
      <c r="G1115" s="685"/>
    </row>
    <row r="1116" spans="1:7" x14ac:dyDescent="0.3">
      <c r="A1116" s="529" t="s">
        <v>116</v>
      </c>
      <c r="B1116" s="529"/>
      <c r="C1116" s="530" t="s">
        <v>86</v>
      </c>
      <c r="D1116" s="529"/>
      <c r="E1116" s="252"/>
      <c r="F1116" s="531"/>
      <c r="G1116" s="252">
        <f t="shared" si="18"/>
        <v>0</v>
      </c>
    </row>
    <row r="1117" spans="1:7" x14ac:dyDescent="0.3">
      <c r="A1117" s="529" t="s">
        <v>118</v>
      </c>
      <c r="B1117" s="529">
        <v>72117</v>
      </c>
      <c r="C1117" s="530" t="s">
        <v>88</v>
      </c>
      <c r="D1117" s="529" t="s">
        <v>24</v>
      </c>
      <c r="E1117" s="252"/>
      <c r="F1117" s="531">
        <v>159.13</v>
      </c>
      <c r="G1117" s="252">
        <f t="shared" si="18"/>
        <v>0</v>
      </c>
    </row>
    <row r="1118" spans="1:7" x14ac:dyDescent="0.3">
      <c r="A1118" s="524" t="s">
        <v>508</v>
      </c>
      <c r="B1118" s="524" t="s">
        <v>1549</v>
      </c>
      <c r="C1118" s="525" t="s">
        <v>1550</v>
      </c>
      <c r="D1118" s="524" t="s">
        <v>24</v>
      </c>
      <c r="E1118" s="524" t="s">
        <v>1122</v>
      </c>
      <c r="F1118" s="526" t="s">
        <v>1551</v>
      </c>
      <c r="G1118" s="252">
        <f t="shared" si="18"/>
        <v>131.59</v>
      </c>
    </row>
    <row r="1119" spans="1:7" x14ac:dyDescent="0.3">
      <c r="A1119" s="524" t="s">
        <v>508</v>
      </c>
      <c r="B1119" s="524" t="s">
        <v>1552</v>
      </c>
      <c r="C1119" s="525" t="s">
        <v>1553</v>
      </c>
      <c r="D1119" s="524" t="s">
        <v>426</v>
      </c>
      <c r="E1119" s="524" t="s">
        <v>1554</v>
      </c>
      <c r="F1119" s="526" t="s">
        <v>1555</v>
      </c>
      <c r="G1119" s="252">
        <f t="shared" si="18"/>
        <v>13.37</v>
      </c>
    </row>
    <row r="1120" spans="1:7" x14ac:dyDescent="0.3">
      <c r="A1120" s="524" t="s">
        <v>522</v>
      </c>
      <c r="B1120" s="524" t="s">
        <v>1359</v>
      </c>
      <c r="C1120" s="525" t="s">
        <v>801</v>
      </c>
      <c r="D1120" s="524" t="s">
        <v>32</v>
      </c>
      <c r="E1120" s="524" t="s">
        <v>1481</v>
      </c>
      <c r="F1120" s="526" t="s">
        <v>1361</v>
      </c>
      <c r="G1120" s="252">
        <f t="shared" si="18"/>
        <v>6.46</v>
      </c>
    </row>
    <row r="1121" spans="1:7" x14ac:dyDescent="0.3">
      <c r="A1121" s="524" t="s">
        <v>522</v>
      </c>
      <c r="B1121" s="524" t="s">
        <v>1556</v>
      </c>
      <c r="C1121" s="525" t="s">
        <v>1557</v>
      </c>
      <c r="D1121" s="524" t="s">
        <v>32</v>
      </c>
      <c r="E1121" s="524" t="s">
        <v>1481</v>
      </c>
      <c r="F1121" s="526" t="s">
        <v>1558</v>
      </c>
      <c r="G1121" s="252">
        <f t="shared" si="18"/>
        <v>7.71</v>
      </c>
    </row>
    <row r="1122" spans="1:7" x14ac:dyDescent="0.3">
      <c r="A1122" s="680" t="s">
        <v>1152</v>
      </c>
      <c r="B1122" s="681"/>
      <c r="C1122" s="681"/>
      <c r="D1122" s="681"/>
      <c r="E1122" s="681"/>
      <c r="F1122" s="682"/>
      <c r="G1122" s="527">
        <f>SUM(G1116:G1121)</f>
        <v>159.13000000000002</v>
      </c>
    </row>
    <row r="1123" spans="1:7" x14ac:dyDescent="0.3">
      <c r="A1123" s="683">
        <f>TRUNC(E1123*F1123,2)</f>
        <v>0</v>
      </c>
      <c r="B1123" s="684"/>
      <c r="C1123" s="684"/>
      <c r="D1123" s="684"/>
      <c r="E1123" s="684"/>
      <c r="F1123" s="684"/>
      <c r="G1123" s="685"/>
    </row>
    <row r="1124" spans="1:7" x14ac:dyDescent="0.3">
      <c r="A1124" s="529" t="s">
        <v>120</v>
      </c>
      <c r="B1124" s="529">
        <v>84886</v>
      </c>
      <c r="C1124" s="530" t="s">
        <v>91</v>
      </c>
      <c r="D1124" s="529" t="s">
        <v>92</v>
      </c>
      <c r="E1124" s="252"/>
      <c r="F1124" s="531">
        <v>1114.46</v>
      </c>
      <c r="G1124" s="252">
        <f t="shared" si="18"/>
        <v>0</v>
      </c>
    </row>
    <row r="1125" spans="1:7" x14ac:dyDescent="0.3">
      <c r="A1125" s="524" t="s">
        <v>508</v>
      </c>
      <c r="B1125" s="524" t="s">
        <v>1568</v>
      </c>
      <c r="C1125" s="525" t="s">
        <v>1569</v>
      </c>
      <c r="D1125" s="524" t="s">
        <v>397</v>
      </c>
      <c r="E1125" s="524" t="s">
        <v>1122</v>
      </c>
      <c r="F1125" s="526">
        <v>1097.3</v>
      </c>
      <c r="G1125" s="252">
        <f t="shared" si="18"/>
        <v>1097.3</v>
      </c>
    </row>
    <row r="1126" spans="1:7" x14ac:dyDescent="0.3">
      <c r="A1126" s="524" t="s">
        <v>522</v>
      </c>
      <c r="B1126" s="524" t="s">
        <v>1359</v>
      </c>
      <c r="C1126" s="525" t="s">
        <v>801</v>
      </c>
      <c r="D1126" s="524" t="s">
        <v>32</v>
      </c>
      <c r="E1126" s="524" t="s">
        <v>1518</v>
      </c>
      <c r="F1126" s="526" t="s">
        <v>1361</v>
      </c>
      <c r="G1126" s="252">
        <f t="shared" si="18"/>
        <v>4.3099999999999996</v>
      </c>
    </row>
    <row r="1127" spans="1:7" x14ac:dyDescent="0.3">
      <c r="A1127" s="524" t="s">
        <v>522</v>
      </c>
      <c r="B1127" s="524" t="s">
        <v>1556</v>
      </c>
      <c r="C1127" s="525" t="s">
        <v>1557</v>
      </c>
      <c r="D1127" s="524" t="s">
        <v>32</v>
      </c>
      <c r="E1127" s="524" t="s">
        <v>1570</v>
      </c>
      <c r="F1127" s="526" t="s">
        <v>1558</v>
      </c>
      <c r="G1127" s="252">
        <f t="shared" si="18"/>
        <v>12.85</v>
      </c>
    </row>
    <row r="1128" spans="1:7" x14ac:dyDescent="0.3">
      <c r="A1128" s="680" t="s">
        <v>1152</v>
      </c>
      <c r="B1128" s="681"/>
      <c r="C1128" s="681"/>
      <c r="D1128" s="681"/>
      <c r="E1128" s="681"/>
      <c r="F1128" s="682"/>
      <c r="G1128" s="527">
        <f>SUM(G1124:G1127)</f>
        <v>1114.4599999999998</v>
      </c>
    </row>
    <row r="1129" spans="1:7" x14ac:dyDescent="0.3">
      <c r="A1129" s="683">
        <f>TRUNC(E1129*F1129,2)</f>
        <v>0</v>
      </c>
      <c r="B1129" s="684"/>
      <c r="C1129" s="684"/>
      <c r="D1129" s="684"/>
      <c r="E1129" s="684"/>
      <c r="F1129" s="684"/>
      <c r="G1129" s="685"/>
    </row>
    <row r="1130" spans="1:7" ht="43.2" x14ac:dyDescent="0.3">
      <c r="A1130" s="529" t="s">
        <v>122</v>
      </c>
      <c r="B1130" s="529">
        <v>84885</v>
      </c>
      <c r="C1130" s="530" t="s">
        <v>94</v>
      </c>
      <c r="D1130" s="529" t="s">
        <v>44</v>
      </c>
      <c r="E1130" s="252"/>
      <c r="F1130" s="531">
        <v>612.76</v>
      </c>
      <c r="G1130" s="252">
        <f t="shared" si="18"/>
        <v>0</v>
      </c>
    </row>
    <row r="1131" spans="1:7" ht="43.2" x14ac:dyDescent="0.3">
      <c r="A1131" s="524" t="s">
        <v>508</v>
      </c>
      <c r="B1131" s="524" t="s">
        <v>1571</v>
      </c>
      <c r="C1131" s="525" t="s">
        <v>1572</v>
      </c>
      <c r="D1131" s="524" t="s">
        <v>92</v>
      </c>
      <c r="E1131" s="524" t="s">
        <v>1122</v>
      </c>
      <c r="F1131" s="526" t="s">
        <v>1573</v>
      </c>
      <c r="G1131" s="252">
        <f t="shared" si="18"/>
        <v>376.14</v>
      </c>
    </row>
    <row r="1132" spans="1:7" x14ac:dyDescent="0.3">
      <c r="A1132" s="524" t="s">
        <v>522</v>
      </c>
      <c r="B1132" s="524" t="s">
        <v>523</v>
      </c>
      <c r="C1132" s="525" t="s">
        <v>524</v>
      </c>
      <c r="D1132" s="524" t="s">
        <v>32</v>
      </c>
      <c r="E1132" s="524" t="s">
        <v>1574</v>
      </c>
      <c r="F1132" s="526" t="s">
        <v>526</v>
      </c>
      <c r="G1132" s="252">
        <f t="shared" si="18"/>
        <v>64.11</v>
      </c>
    </row>
    <row r="1133" spans="1:7" x14ac:dyDescent="0.3">
      <c r="A1133" s="524" t="s">
        <v>522</v>
      </c>
      <c r="B1133" s="524" t="s">
        <v>1376</v>
      </c>
      <c r="C1133" s="525" t="s">
        <v>1377</v>
      </c>
      <c r="D1133" s="524" t="s">
        <v>32</v>
      </c>
      <c r="E1133" s="524" t="s">
        <v>1575</v>
      </c>
      <c r="F1133" s="526" t="s">
        <v>1379</v>
      </c>
      <c r="G1133" s="252">
        <f t="shared" si="18"/>
        <v>114.92</v>
      </c>
    </row>
    <row r="1134" spans="1:7" x14ac:dyDescent="0.3">
      <c r="A1134" s="524" t="s">
        <v>522</v>
      </c>
      <c r="B1134" s="524" t="s">
        <v>1556</v>
      </c>
      <c r="C1134" s="525" t="s">
        <v>1557</v>
      </c>
      <c r="D1134" s="524" t="s">
        <v>32</v>
      </c>
      <c r="E1134" s="524" t="s">
        <v>1576</v>
      </c>
      <c r="F1134" s="526" t="s">
        <v>1558</v>
      </c>
      <c r="G1134" s="252">
        <f t="shared" si="18"/>
        <v>57.59</v>
      </c>
    </row>
    <row r="1135" spans="1:7" x14ac:dyDescent="0.3">
      <c r="A1135" s="680" t="s">
        <v>1152</v>
      </c>
      <c r="B1135" s="681"/>
      <c r="C1135" s="681"/>
      <c r="D1135" s="681"/>
      <c r="E1135" s="681"/>
      <c r="F1135" s="682"/>
      <c r="G1135" s="527">
        <f>SUM(G1131:G1134)</f>
        <v>612.76</v>
      </c>
    </row>
    <row r="1136" spans="1:7" x14ac:dyDescent="0.3">
      <c r="A1136" s="683">
        <f>TRUNC(E1136*F1136,2)</f>
        <v>0</v>
      </c>
      <c r="B1136" s="684"/>
      <c r="C1136" s="684"/>
      <c r="D1136" s="684"/>
      <c r="E1136" s="684"/>
      <c r="F1136" s="684"/>
      <c r="G1136" s="685"/>
    </row>
    <row r="1137" spans="1:7" ht="28.8" x14ac:dyDescent="0.3">
      <c r="A1137" s="529" t="s">
        <v>124</v>
      </c>
      <c r="B1137" s="529">
        <v>72120</v>
      </c>
      <c r="C1137" s="530" t="s">
        <v>229</v>
      </c>
      <c r="D1137" s="529" t="s">
        <v>24</v>
      </c>
      <c r="E1137" s="252"/>
      <c r="F1137" s="531">
        <v>317.81</v>
      </c>
      <c r="G1137" s="252">
        <f t="shared" si="18"/>
        <v>0</v>
      </c>
    </row>
    <row r="1138" spans="1:7" x14ac:dyDescent="0.3">
      <c r="A1138" s="524" t="s">
        <v>508</v>
      </c>
      <c r="B1138" s="524" t="s">
        <v>1552</v>
      </c>
      <c r="C1138" s="525" t="s">
        <v>1553</v>
      </c>
      <c r="D1138" s="524" t="s">
        <v>426</v>
      </c>
      <c r="E1138" s="606">
        <v>1</v>
      </c>
      <c r="F1138" s="528" t="s">
        <v>1555</v>
      </c>
      <c r="G1138" s="252">
        <f t="shared" si="18"/>
        <v>8.36</v>
      </c>
    </row>
    <row r="1139" spans="1:7" x14ac:dyDescent="0.3">
      <c r="A1139" s="524" t="s">
        <v>508</v>
      </c>
      <c r="B1139" s="524" t="s">
        <v>1963</v>
      </c>
      <c r="C1139" s="525" t="s">
        <v>1964</v>
      </c>
      <c r="D1139" s="524" t="s">
        <v>24</v>
      </c>
      <c r="E1139" s="524" t="s">
        <v>1122</v>
      </c>
      <c r="F1139" s="528">
        <v>300</v>
      </c>
      <c r="G1139" s="252">
        <f t="shared" si="18"/>
        <v>300</v>
      </c>
    </row>
    <row r="1140" spans="1:7" x14ac:dyDescent="0.3">
      <c r="A1140" s="524" t="s">
        <v>522</v>
      </c>
      <c r="B1140" s="524" t="s">
        <v>1359</v>
      </c>
      <c r="C1140" s="525" t="s">
        <v>801</v>
      </c>
      <c r="D1140" s="524" t="s">
        <v>32</v>
      </c>
      <c r="E1140" s="607">
        <v>0.3</v>
      </c>
      <c r="F1140" s="528" t="s">
        <v>1361</v>
      </c>
      <c r="G1140" s="252">
        <f t="shared" si="18"/>
        <v>4.3099999999999996</v>
      </c>
    </row>
    <row r="1141" spans="1:7" x14ac:dyDescent="0.3">
      <c r="A1141" s="524" t="s">
        <v>522</v>
      </c>
      <c r="B1141" s="524" t="s">
        <v>1556</v>
      </c>
      <c r="C1141" s="525" t="s">
        <v>1557</v>
      </c>
      <c r="D1141" s="524" t="s">
        <v>32</v>
      </c>
      <c r="E1141" s="607">
        <v>0.3</v>
      </c>
      <c r="F1141" s="528" t="s">
        <v>1558</v>
      </c>
      <c r="G1141" s="252">
        <f t="shared" si="18"/>
        <v>5.14</v>
      </c>
    </row>
    <row r="1142" spans="1:7" x14ac:dyDescent="0.3">
      <c r="A1142" s="680" t="s">
        <v>1152</v>
      </c>
      <c r="B1142" s="681"/>
      <c r="C1142" s="681"/>
      <c r="D1142" s="681"/>
      <c r="E1142" s="681"/>
      <c r="F1142" s="682"/>
      <c r="G1142" s="527">
        <f>SUM(G1138:G1141)</f>
        <v>317.81</v>
      </c>
    </row>
    <row r="1143" spans="1:7" x14ac:dyDescent="0.3">
      <c r="A1143" s="683">
        <f>TRUNC(E1143*F1143,2)</f>
        <v>0</v>
      </c>
      <c r="B1143" s="684"/>
      <c r="C1143" s="684"/>
      <c r="D1143" s="684"/>
      <c r="E1143" s="684"/>
      <c r="F1143" s="684"/>
      <c r="G1143" s="685"/>
    </row>
    <row r="1144" spans="1:7" x14ac:dyDescent="0.3">
      <c r="A1144" s="529" t="s">
        <v>160</v>
      </c>
      <c r="B1144" s="529"/>
      <c r="C1144" s="530" t="s">
        <v>96</v>
      </c>
      <c r="D1144" s="529"/>
      <c r="E1144" s="252"/>
      <c r="F1144" s="531"/>
      <c r="G1144" s="252">
        <f t="shared" si="18"/>
        <v>0</v>
      </c>
    </row>
    <row r="1145" spans="1:7" x14ac:dyDescent="0.3">
      <c r="A1145" s="529" t="s">
        <v>162</v>
      </c>
      <c r="B1145" s="529">
        <v>88496</v>
      </c>
      <c r="C1145" s="530" t="s">
        <v>101</v>
      </c>
      <c r="D1145" s="529" t="s">
        <v>24</v>
      </c>
      <c r="E1145" s="252"/>
      <c r="F1145" s="531">
        <v>10.51</v>
      </c>
      <c r="G1145" s="252">
        <f t="shared" si="18"/>
        <v>0</v>
      </c>
    </row>
    <row r="1146" spans="1:7" x14ac:dyDescent="0.3">
      <c r="A1146" s="524" t="s">
        <v>508</v>
      </c>
      <c r="B1146" s="524" t="s">
        <v>1584</v>
      </c>
      <c r="C1146" s="525" t="s">
        <v>1585</v>
      </c>
      <c r="D1146" s="524" t="s">
        <v>397</v>
      </c>
      <c r="E1146" s="524" t="s">
        <v>1586</v>
      </c>
      <c r="F1146" s="526" t="s">
        <v>1447</v>
      </c>
      <c r="G1146" s="252">
        <f t="shared" si="18"/>
        <v>0.06</v>
      </c>
    </row>
    <row r="1147" spans="1:7" x14ac:dyDescent="0.3">
      <c r="A1147" s="524" t="s">
        <v>508</v>
      </c>
      <c r="B1147" s="524" t="s">
        <v>1587</v>
      </c>
      <c r="C1147" s="525" t="s">
        <v>1588</v>
      </c>
      <c r="D1147" s="524" t="s">
        <v>1589</v>
      </c>
      <c r="E1147" s="607">
        <v>4.8000000000000001E-2</v>
      </c>
      <c r="F1147" s="526">
        <v>40</v>
      </c>
      <c r="G1147" s="252">
        <f t="shared" si="18"/>
        <v>1.92</v>
      </c>
    </row>
    <row r="1148" spans="1:7" x14ac:dyDescent="0.3">
      <c r="A1148" s="524" t="s">
        <v>522</v>
      </c>
      <c r="B1148" s="524" t="s">
        <v>1579</v>
      </c>
      <c r="C1148" s="525" t="s">
        <v>1580</v>
      </c>
      <c r="D1148" s="524" t="s">
        <v>32</v>
      </c>
      <c r="E1148" s="607">
        <v>0.3</v>
      </c>
      <c r="F1148" s="526" t="s">
        <v>1582</v>
      </c>
      <c r="G1148" s="252">
        <f t="shared" si="18"/>
        <v>5.66</v>
      </c>
    </row>
    <row r="1149" spans="1:7" x14ac:dyDescent="0.3">
      <c r="A1149" s="524" t="s">
        <v>522</v>
      </c>
      <c r="B1149" s="524" t="s">
        <v>1359</v>
      </c>
      <c r="C1149" s="525" t="s">
        <v>801</v>
      </c>
      <c r="D1149" s="524" t="s">
        <v>32</v>
      </c>
      <c r="E1149" s="607">
        <v>0.2</v>
      </c>
      <c r="F1149" s="526" t="s">
        <v>1361</v>
      </c>
      <c r="G1149" s="252">
        <f t="shared" si="18"/>
        <v>2.87</v>
      </c>
    </row>
    <row r="1150" spans="1:7" x14ac:dyDescent="0.3">
      <c r="A1150" s="680" t="s">
        <v>1152</v>
      </c>
      <c r="B1150" s="681"/>
      <c r="C1150" s="681"/>
      <c r="D1150" s="681"/>
      <c r="E1150" s="681"/>
      <c r="F1150" s="682"/>
      <c r="G1150" s="527">
        <f>SUM(G1146:G1149)</f>
        <v>10.510000000000002</v>
      </c>
    </row>
    <row r="1151" spans="1:7" x14ac:dyDescent="0.3">
      <c r="A1151" s="683">
        <f>TRUNC(E1151*F1151,2)</f>
        <v>0</v>
      </c>
      <c r="B1151" s="684"/>
      <c r="C1151" s="684"/>
      <c r="D1151" s="684"/>
      <c r="E1151" s="684"/>
      <c r="F1151" s="684"/>
      <c r="G1151" s="685"/>
    </row>
    <row r="1152" spans="1:7" ht="28.8" x14ac:dyDescent="0.3">
      <c r="A1152" s="529" t="s">
        <v>163</v>
      </c>
      <c r="B1152" s="529">
        <v>88486</v>
      </c>
      <c r="C1152" s="530" t="s">
        <v>231</v>
      </c>
      <c r="D1152" s="529" t="s">
        <v>24</v>
      </c>
      <c r="E1152" s="252"/>
      <c r="F1152" s="531">
        <v>8.2200000000000006</v>
      </c>
      <c r="G1152" s="252">
        <f t="shared" si="18"/>
        <v>0</v>
      </c>
    </row>
    <row r="1153" spans="1:7" x14ac:dyDescent="0.3">
      <c r="A1153" s="524" t="s">
        <v>508</v>
      </c>
      <c r="B1153" s="524" t="s">
        <v>1965</v>
      </c>
      <c r="C1153" s="525" t="s">
        <v>1966</v>
      </c>
      <c r="D1153" s="524" t="s">
        <v>1392</v>
      </c>
      <c r="E1153" s="606">
        <v>0.3</v>
      </c>
      <c r="F1153" s="528">
        <v>15</v>
      </c>
      <c r="G1153" s="252">
        <f t="shared" si="18"/>
        <v>4.5</v>
      </c>
    </row>
    <row r="1154" spans="1:7" x14ac:dyDescent="0.3">
      <c r="A1154" s="524" t="s">
        <v>522</v>
      </c>
      <c r="B1154" s="524" t="s">
        <v>1579</v>
      </c>
      <c r="C1154" s="525" t="s">
        <v>1580</v>
      </c>
      <c r="D1154" s="524" t="s">
        <v>32</v>
      </c>
      <c r="E1154" s="606">
        <v>0.15</v>
      </c>
      <c r="F1154" s="528" t="s">
        <v>1582</v>
      </c>
      <c r="G1154" s="252">
        <f t="shared" si="18"/>
        <v>2.83</v>
      </c>
    </row>
    <row r="1155" spans="1:7" x14ac:dyDescent="0.3">
      <c r="A1155" s="524" t="s">
        <v>522</v>
      </c>
      <c r="B1155" s="524" t="s">
        <v>1359</v>
      </c>
      <c r="C1155" s="525" t="s">
        <v>801</v>
      </c>
      <c r="D1155" s="524" t="s">
        <v>32</v>
      </c>
      <c r="E1155" s="524" t="s">
        <v>1968</v>
      </c>
      <c r="F1155" s="528" t="s">
        <v>1361</v>
      </c>
      <c r="G1155" s="252">
        <f t="shared" si="18"/>
        <v>0.89</v>
      </c>
    </row>
    <row r="1156" spans="1:7" x14ac:dyDescent="0.3">
      <c r="A1156" s="680" t="s">
        <v>1152</v>
      </c>
      <c r="B1156" s="681"/>
      <c r="C1156" s="681"/>
      <c r="D1156" s="681"/>
      <c r="E1156" s="681"/>
      <c r="F1156" s="682"/>
      <c r="G1156" s="527">
        <f>SUM(G1152:G1155)</f>
        <v>8.2200000000000006</v>
      </c>
    </row>
    <row r="1157" spans="1:7" x14ac:dyDescent="0.3">
      <c r="A1157" s="683">
        <f>TRUNC(E1157*F1157,2)</f>
        <v>0</v>
      </c>
      <c r="B1157" s="684"/>
      <c r="C1157" s="684"/>
      <c r="D1157" s="684"/>
      <c r="E1157" s="684"/>
      <c r="F1157" s="684"/>
      <c r="G1157" s="685"/>
    </row>
    <row r="1158" spans="1:7" x14ac:dyDescent="0.3">
      <c r="A1158" s="529" t="s">
        <v>164</v>
      </c>
      <c r="B1158" s="529">
        <v>88497</v>
      </c>
      <c r="C1158" s="530" t="s">
        <v>232</v>
      </c>
      <c r="D1158" s="529" t="s">
        <v>24</v>
      </c>
      <c r="E1158" s="252"/>
      <c r="F1158" s="531">
        <v>9.74</v>
      </c>
      <c r="G1158" s="252">
        <f t="shared" si="18"/>
        <v>0</v>
      </c>
    </row>
    <row r="1159" spans="1:7" x14ac:dyDescent="0.3">
      <c r="A1159" s="524" t="s">
        <v>508</v>
      </c>
      <c r="B1159" s="524" t="s">
        <v>1584</v>
      </c>
      <c r="C1159" s="525" t="s">
        <v>1585</v>
      </c>
      <c r="D1159" s="524" t="s">
        <v>397</v>
      </c>
      <c r="E1159" s="524" t="s">
        <v>1586</v>
      </c>
      <c r="F1159" s="526" t="s">
        <v>1447</v>
      </c>
      <c r="G1159" s="252">
        <f t="shared" ref="G1159:G1162" si="20">TRUNC(E1159*F1159,2)</f>
        <v>0.06</v>
      </c>
    </row>
    <row r="1160" spans="1:7" x14ac:dyDescent="0.3">
      <c r="A1160" s="524" t="s">
        <v>508</v>
      </c>
      <c r="B1160" s="524" t="s">
        <v>1587</v>
      </c>
      <c r="C1160" s="525" t="s">
        <v>1588</v>
      </c>
      <c r="D1160" s="524" t="s">
        <v>1589</v>
      </c>
      <c r="E1160" s="524" t="s">
        <v>1590</v>
      </c>
      <c r="F1160" s="526">
        <v>50</v>
      </c>
      <c r="G1160" s="252">
        <f t="shared" si="20"/>
        <v>2.44</v>
      </c>
    </row>
    <row r="1161" spans="1:7" x14ac:dyDescent="0.3">
      <c r="A1161" s="524" t="s">
        <v>522</v>
      </c>
      <c r="B1161" s="524" t="s">
        <v>1579</v>
      </c>
      <c r="C1161" s="525" t="s">
        <v>1580</v>
      </c>
      <c r="D1161" s="524" t="s">
        <v>32</v>
      </c>
      <c r="E1161" s="607">
        <v>0.3</v>
      </c>
      <c r="F1161" s="526" t="s">
        <v>1582</v>
      </c>
      <c r="G1161" s="252">
        <f t="shared" si="20"/>
        <v>5.66</v>
      </c>
    </row>
    <row r="1162" spans="1:7" x14ac:dyDescent="0.3">
      <c r="A1162" s="524" t="s">
        <v>522</v>
      </c>
      <c r="B1162" s="524" t="s">
        <v>1359</v>
      </c>
      <c r="C1162" s="525" t="s">
        <v>801</v>
      </c>
      <c r="D1162" s="524" t="s">
        <v>32</v>
      </c>
      <c r="E1162" s="607">
        <v>0.11</v>
      </c>
      <c r="F1162" s="526" t="s">
        <v>1361</v>
      </c>
      <c r="G1162" s="252">
        <f t="shared" si="20"/>
        <v>1.58</v>
      </c>
    </row>
    <row r="1163" spans="1:7" x14ac:dyDescent="0.3">
      <c r="A1163" s="680" t="s">
        <v>1152</v>
      </c>
      <c r="B1163" s="681"/>
      <c r="C1163" s="681"/>
      <c r="D1163" s="681"/>
      <c r="E1163" s="681"/>
      <c r="F1163" s="682"/>
      <c r="G1163" s="527">
        <f>SUM(G1159:G1162)</f>
        <v>9.74</v>
      </c>
    </row>
    <row r="1164" spans="1:7" x14ac:dyDescent="0.3">
      <c r="A1164" s="683">
        <f>TRUNC(E1164*F1164,2)</f>
        <v>0</v>
      </c>
      <c r="B1164" s="684"/>
      <c r="C1164" s="684"/>
      <c r="D1164" s="684"/>
      <c r="E1164" s="684"/>
      <c r="F1164" s="684"/>
      <c r="G1164" s="685"/>
    </row>
    <row r="1165" spans="1:7" ht="28.8" x14ac:dyDescent="0.3">
      <c r="A1165" s="529" t="s">
        <v>165</v>
      </c>
      <c r="B1165" s="529">
        <v>88489</v>
      </c>
      <c r="C1165" s="530" t="s">
        <v>108</v>
      </c>
      <c r="D1165" s="529" t="s">
        <v>24</v>
      </c>
      <c r="E1165" s="252"/>
      <c r="F1165" s="531">
        <v>8.14</v>
      </c>
      <c r="G1165" s="252">
        <f t="shared" ref="G1165:G1385" si="21">TRUNC(E1165*F1165,2)</f>
        <v>0</v>
      </c>
    </row>
    <row r="1166" spans="1:7" x14ac:dyDescent="0.3">
      <c r="A1166" s="524" t="s">
        <v>508</v>
      </c>
      <c r="B1166" s="524" t="s">
        <v>1592</v>
      </c>
      <c r="C1166" s="525" t="s">
        <v>1593</v>
      </c>
      <c r="D1166" s="524" t="s">
        <v>1392</v>
      </c>
      <c r="E1166" s="606">
        <v>0.3</v>
      </c>
      <c r="F1166" s="526">
        <v>18</v>
      </c>
      <c r="G1166" s="252">
        <f t="shared" si="21"/>
        <v>5.4</v>
      </c>
    </row>
    <row r="1167" spans="1:7" x14ac:dyDescent="0.3">
      <c r="A1167" s="524" t="s">
        <v>522</v>
      </c>
      <c r="B1167" s="524" t="s">
        <v>1579</v>
      </c>
      <c r="C1167" s="525" t="s">
        <v>1580</v>
      </c>
      <c r="D1167" s="524" t="s">
        <v>32</v>
      </c>
      <c r="E1167" s="606">
        <v>0.1</v>
      </c>
      <c r="F1167" s="526" t="s">
        <v>1582</v>
      </c>
      <c r="G1167" s="252">
        <f t="shared" si="21"/>
        <v>1.88</v>
      </c>
    </row>
    <row r="1168" spans="1:7" x14ac:dyDescent="0.3">
      <c r="A1168" s="524" t="s">
        <v>522</v>
      </c>
      <c r="B1168" s="524" t="s">
        <v>1359</v>
      </c>
      <c r="C1168" s="525" t="s">
        <v>801</v>
      </c>
      <c r="D1168" s="524" t="s">
        <v>32</v>
      </c>
      <c r="E1168" s="524">
        <v>0.06</v>
      </c>
      <c r="F1168" s="526" t="s">
        <v>1361</v>
      </c>
      <c r="G1168" s="252">
        <f t="shared" si="21"/>
        <v>0.86</v>
      </c>
    </row>
    <row r="1169" spans="1:7" x14ac:dyDescent="0.3">
      <c r="A1169" s="680" t="s">
        <v>1152</v>
      </c>
      <c r="B1169" s="681"/>
      <c r="C1169" s="681"/>
      <c r="D1169" s="681"/>
      <c r="E1169" s="681"/>
      <c r="F1169" s="682"/>
      <c r="G1169" s="527">
        <f>SUM(G1165:G1168)</f>
        <v>8.14</v>
      </c>
    </row>
    <row r="1170" spans="1:7" x14ac:dyDescent="0.3">
      <c r="A1170" s="683">
        <f>TRUNC(E1170*F1170,2)</f>
        <v>0</v>
      </c>
      <c r="B1170" s="684"/>
      <c r="C1170" s="684"/>
      <c r="D1170" s="684"/>
      <c r="E1170" s="684"/>
      <c r="F1170" s="684"/>
      <c r="G1170" s="685"/>
    </row>
    <row r="1171" spans="1:7" ht="43.2" x14ac:dyDescent="0.3">
      <c r="A1171" s="529" t="s">
        <v>166</v>
      </c>
      <c r="B1171" s="529">
        <v>100725</v>
      </c>
      <c r="C1171" s="530" t="s">
        <v>234</v>
      </c>
      <c r="D1171" s="529" t="s">
        <v>24</v>
      </c>
      <c r="E1171" s="252"/>
      <c r="F1171" s="531">
        <v>16.12</v>
      </c>
      <c r="G1171" s="252">
        <f t="shared" si="21"/>
        <v>0</v>
      </c>
    </row>
    <row r="1172" spans="1:7" x14ac:dyDescent="0.3">
      <c r="A1172" s="524" t="s">
        <v>508</v>
      </c>
      <c r="B1172" s="524" t="s">
        <v>1597</v>
      </c>
      <c r="C1172" s="525" t="s">
        <v>1598</v>
      </c>
      <c r="D1172" s="524" t="s">
        <v>1392</v>
      </c>
      <c r="E1172" s="524" t="s">
        <v>1604</v>
      </c>
      <c r="F1172" s="528" t="s">
        <v>1600</v>
      </c>
      <c r="G1172" s="252">
        <f t="shared" si="21"/>
        <v>0.77</v>
      </c>
    </row>
    <row r="1173" spans="1:7" x14ac:dyDescent="0.3">
      <c r="A1173" s="524" t="s">
        <v>508</v>
      </c>
      <c r="B1173" s="524" t="s">
        <v>1605</v>
      </c>
      <c r="C1173" s="525" t="s">
        <v>1606</v>
      </c>
      <c r="D1173" s="524" t="s">
        <v>1392</v>
      </c>
      <c r="E1173" s="524" t="s">
        <v>1607</v>
      </c>
      <c r="F1173" s="528" t="s">
        <v>1615</v>
      </c>
      <c r="G1173" s="252">
        <f t="shared" si="21"/>
        <v>5.16</v>
      </c>
    </row>
    <row r="1174" spans="1:7" x14ac:dyDescent="0.3">
      <c r="A1174" s="524" t="s">
        <v>522</v>
      </c>
      <c r="B1174" s="524" t="s">
        <v>1579</v>
      </c>
      <c r="C1174" s="525" t="s">
        <v>1580</v>
      </c>
      <c r="D1174" s="524" t="s">
        <v>32</v>
      </c>
      <c r="E1174" s="524" t="s">
        <v>1608</v>
      </c>
      <c r="F1174" s="528" t="s">
        <v>1582</v>
      </c>
      <c r="G1174" s="252">
        <f t="shared" si="21"/>
        <v>9.94</v>
      </c>
    </row>
    <row r="1175" spans="1:7" ht="43.2" x14ac:dyDescent="0.3">
      <c r="A1175" s="524" t="s">
        <v>522</v>
      </c>
      <c r="B1175" s="524" t="s">
        <v>1609</v>
      </c>
      <c r="C1175" s="525" t="s">
        <v>1610</v>
      </c>
      <c r="D1175" s="524" t="s">
        <v>1437</v>
      </c>
      <c r="E1175" s="524" t="s">
        <v>1611</v>
      </c>
      <c r="F1175" s="528" t="s">
        <v>1616</v>
      </c>
      <c r="G1175" s="252">
        <f t="shared" si="21"/>
        <v>0.05</v>
      </c>
    </row>
    <row r="1176" spans="1:7" ht="43.2" x14ac:dyDescent="0.3">
      <c r="A1176" s="524" t="s">
        <v>522</v>
      </c>
      <c r="B1176" s="524" t="s">
        <v>1612</v>
      </c>
      <c r="C1176" s="525" t="s">
        <v>1613</v>
      </c>
      <c r="D1176" s="524" t="s">
        <v>410</v>
      </c>
      <c r="E1176" s="524" t="s">
        <v>1614</v>
      </c>
      <c r="F1176" s="528" t="s">
        <v>1617</v>
      </c>
      <c r="G1176" s="252">
        <f t="shared" si="21"/>
        <v>0.2</v>
      </c>
    </row>
    <row r="1177" spans="1:7" x14ac:dyDescent="0.3">
      <c r="A1177" s="680" t="s">
        <v>1152</v>
      </c>
      <c r="B1177" s="681"/>
      <c r="C1177" s="681"/>
      <c r="D1177" s="681"/>
      <c r="E1177" s="681"/>
      <c r="F1177" s="682"/>
      <c r="G1177" s="527">
        <f>SUM(G1171:G1176)</f>
        <v>16.12</v>
      </c>
    </row>
    <row r="1178" spans="1:7" x14ac:dyDescent="0.3">
      <c r="A1178" s="683">
        <f>TRUNC(E1178*F1178,2)</f>
        <v>0</v>
      </c>
      <c r="B1178" s="684"/>
      <c r="C1178" s="684"/>
      <c r="D1178" s="684"/>
      <c r="E1178" s="684"/>
      <c r="F1178" s="684"/>
      <c r="G1178" s="685"/>
    </row>
    <row r="1179" spans="1:7" ht="28.8" x14ac:dyDescent="0.3">
      <c r="A1179" s="529" t="s">
        <v>167</v>
      </c>
      <c r="B1179" s="529">
        <v>100725</v>
      </c>
      <c r="C1179" s="530" t="s">
        <v>804</v>
      </c>
      <c r="D1179" s="529" t="s">
        <v>24</v>
      </c>
      <c r="E1179" s="252"/>
      <c r="F1179" s="531">
        <v>16.12</v>
      </c>
      <c r="G1179" s="252">
        <f t="shared" si="21"/>
        <v>0</v>
      </c>
    </row>
    <row r="1180" spans="1:7" x14ac:dyDescent="0.3">
      <c r="A1180" s="524" t="s">
        <v>508</v>
      </c>
      <c r="B1180" s="524" t="s">
        <v>1597</v>
      </c>
      <c r="C1180" s="525" t="s">
        <v>1598</v>
      </c>
      <c r="D1180" s="524" t="s">
        <v>1392</v>
      </c>
      <c r="E1180" s="524" t="s">
        <v>1604</v>
      </c>
      <c r="F1180" s="528" t="s">
        <v>1600</v>
      </c>
      <c r="G1180" s="252">
        <f t="shared" ref="G1180:G1184" si="22">TRUNC(E1180*F1180,2)</f>
        <v>0.77</v>
      </c>
    </row>
    <row r="1181" spans="1:7" x14ac:dyDescent="0.3">
      <c r="A1181" s="524" t="s">
        <v>508</v>
      </c>
      <c r="B1181" s="524" t="s">
        <v>1605</v>
      </c>
      <c r="C1181" s="525" t="s">
        <v>1606</v>
      </c>
      <c r="D1181" s="524" t="s">
        <v>1392</v>
      </c>
      <c r="E1181" s="524" t="s">
        <v>1607</v>
      </c>
      <c r="F1181" s="528" t="s">
        <v>1615</v>
      </c>
      <c r="G1181" s="252">
        <f t="shared" si="22"/>
        <v>5.16</v>
      </c>
    </row>
    <row r="1182" spans="1:7" x14ac:dyDescent="0.3">
      <c r="A1182" s="524" t="s">
        <v>522</v>
      </c>
      <c r="B1182" s="524" t="s">
        <v>1579</v>
      </c>
      <c r="C1182" s="525" t="s">
        <v>1580</v>
      </c>
      <c r="D1182" s="524" t="s">
        <v>32</v>
      </c>
      <c r="E1182" s="524" t="s">
        <v>1608</v>
      </c>
      <c r="F1182" s="528" t="s">
        <v>1582</v>
      </c>
      <c r="G1182" s="252">
        <f t="shared" si="22"/>
        <v>9.94</v>
      </c>
    </row>
    <row r="1183" spans="1:7" ht="43.2" x14ac:dyDescent="0.3">
      <c r="A1183" s="524" t="s">
        <v>522</v>
      </c>
      <c r="B1183" s="524" t="s">
        <v>1609</v>
      </c>
      <c r="C1183" s="525" t="s">
        <v>1610</v>
      </c>
      <c r="D1183" s="524" t="s">
        <v>1437</v>
      </c>
      <c r="E1183" s="524" t="s">
        <v>1611</v>
      </c>
      <c r="F1183" s="528" t="s">
        <v>1616</v>
      </c>
      <c r="G1183" s="252">
        <f t="shared" si="22"/>
        <v>0.05</v>
      </c>
    </row>
    <row r="1184" spans="1:7" ht="43.2" x14ac:dyDescent="0.3">
      <c r="A1184" s="524" t="s">
        <v>522</v>
      </c>
      <c r="B1184" s="524" t="s">
        <v>1612</v>
      </c>
      <c r="C1184" s="525" t="s">
        <v>1613</v>
      </c>
      <c r="D1184" s="524" t="s">
        <v>410</v>
      </c>
      <c r="E1184" s="524" t="s">
        <v>1614</v>
      </c>
      <c r="F1184" s="528" t="s">
        <v>1617</v>
      </c>
      <c r="G1184" s="252">
        <f t="shared" si="22"/>
        <v>0.2</v>
      </c>
    </row>
    <row r="1185" spans="1:7" x14ac:dyDescent="0.3">
      <c r="A1185" s="680" t="s">
        <v>1152</v>
      </c>
      <c r="B1185" s="681"/>
      <c r="C1185" s="681"/>
      <c r="D1185" s="681"/>
      <c r="E1185" s="681"/>
      <c r="F1185" s="682"/>
      <c r="G1185" s="527">
        <f>SUM(G1179:G1184)</f>
        <v>16.12</v>
      </c>
    </row>
    <row r="1186" spans="1:7" x14ac:dyDescent="0.3">
      <c r="A1186" s="683">
        <f>TRUNC(E1186*F1186,2)</f>
        <v>0</v>
      </c>
      <c r="B1186" s="684"/>
      <c r="C1186" s="684"/>
      <c r="D1186" s="684"/>
      <c r="E1186" s="684"/>
      <c r="F1186" s="684"/>
      <c r="G1186" s="685"/>
    </row>
    <row r="1187" spans="1:7" ht="28.8" x14ac:dyDescent="0.3">
      <c r="A1187" s="529" t="s">
        <v>169</v>
      </c>
      <c r="B1187" s="529">
        <v>100727</v>
      </c>
      <c r="C1187" s="530" t="s">
        <v>805</v>
      </c>
      <c r="D1187" s="529" t="s">
        <v>24</v>
      </c>
      <c r="E1187" s="252"/>
      <c r="F1187" s="531">
        <v>11.97</v>
      </c>
      <c r="G1187" s="252">
        <f t="shared" si="21"/>
        <v>0</v>
      </c>
    </row>
    <row r="1188" spans="1:7" x14ac:dyDescent="0.3">
      <c r="A1188" s="524" t="s">
        <v>508</v>
      </c>
      <c r="B1188" s="524" t="s">
        <v>1618</v>
      </c>
      <c r="C1188" s="525" t="s">
        <v>1619</v>
      </c>
      <c r="D1188" s="524" t="s">
        <v>1392</v>
      </c>
      <c r="E1188" s="524" t="s">
        <v>1620</v>
      </c>
      <c r="F1188" s="528" t="s">
        <v>1621</v>
      </c>
      <c r="G1188" s="252">
        <f t="shared" si="21"/>
        <v>1.08</v>
      </c>
    </row>
    <row r="1189" spans="1:7" x14ac:dyDescent="0.3">
      <c r="A1189" s="524" t="s">
        <v>508</v>
      </c>
      <c r="B1189" s="524" t="s">
        <v>1622</v>
      </c>
      <c r="C1189" s="525" t="s">
        <v>1623</v>
      </c>
      <c r="D1189" s="524" t="s">
        <v>1624</v>
      </c>
      <c r="E1189" s="524" t="s">
        <v>1625</v>
      </c>
      <c r="F1189" s="528" t="s">
        <v>1626</v>
      </c>
      <c r="G1189" s="252">
        <f t="shared" si="21"/>
        <v>9.6199999999999992</v>
      </c>
    </row>
    <row r="1190" spans="1:7" x14ac:dyDescent="0.3">
      <c r="A1190" s="524" t="s">
        <v>522</v>
      </c>
      <c r="B1190" s="524" t="s">
        <v>1627</v>
      </c>
      <c r="C1190" s="525" t="s">
        <v>1628</v>
      </c>
      <c r="D1190" s="524" t="s">
        <v>32</v>
      </c>
      <c r="E1190" s="524" t="s">
        <v>1629</v>
      </c>
      <c r="F1190" s="528" t="s">
        <v>1630</v>
      </c>
      <c r="G1190" s="252">
        <f t="shared" si="21"/>
        <v>1.25</v>
      </c>
    </row>
    <row r="1191" spans="1:7" ht="43.2" x14ac:dyDescent="0.3">
      <c r="A1191" s="524" t="s">
        <v>522</v>
      </c>
      <c r="B1191" s="524" t="s">
        <v>1612</v>
      </c>
      <c r="C1191" s="525" t="s">
        <v>1613</v>
      </c>
      <c r="D1191" s="524" t="s">
        <v>410</v>
      </c>
      <c r="E1191" s="524" t="s">
        <v>1631</v>
      </c>
      <c r="F1191" s="528" t="s">
        <v>1617</v>
      </c>
      <c r="G1191" s="252">
        <f t="shared" si="21"/>
        <v>0.02</v>
      </c>
    </row>
    <row r="1192" spans="1:7" x14ac:dyDescent="0.3">
      <c r="A1192" s="680" t="s">
        <v>1152</v>
      </c>
      <c r="B1192" s="681"/>
      <c r="C1192" s="681"/>
      <c r="D1192" s="681"/>
      <c r="E1192" s="681"/>
      <c r="F1192" s="682"/>
      <c r="G1192" s="527">
        <f>SUM(G1187:G1191)</f>
        <v>11.969999999999999</v>
      </c>
    </row>
    <row r="1193" spans="1:7" x14ac:dyDescent="0.3">
      <c r="A1193" s="683">
        <f>TRUNC(E1193*F1193,2)</f>
        <v>0</v>
      </c>
      <c r="B1193" s="684"/>
      <c r="C1193" s="684"/>
      <c r="D1193" s="684"/>
      <c r="E1193" s="684"/>
      <c r="F1193" s="684"/>
      <c r="G1193" s="685"/>
    </row>
    <row r="1194" spans="1:7" x14ac:dyDescent="0.3">
      <c r="A1194" s="529" t="s">
        <v>171</v>
      </c>
      <c r="B1194" s="529" t="s">
        <v>109</v>
      </c>
      <c r="C1194" s="530" t="s">
        <v>110</v>
      </c>
      <c r="D1194" s="529" t="s">
        <v>24</v>
      </c>
      <c r="E1194" s="252"/>
      <c r="F1194" s="531">
        <v>12.4</v>
      </c>
      <c r="G1194" s="252">
        <f t="shared" si="21"/>
        <v>0</v>
      </c>
    </row>
    <row r="1195" spans="1:7" x14ac:dyDescent="0.3">
      <c r="A1195" s="524" t="s">
        <v>508</v>
      </c>
      <c r="B1195" s="524" t="s">
        <v>1584</v>
      </c>
      <c r="C1195" s="525" t="s">
        <v>1585</v>
      </c>
      <c r="D1195" s="524" t="s">
        <v>397</v>
      </c>
      <c r="E1195" s="524" t="s">
        <v>1596</v>
      </c>
      <c r="F1195" s="526" t="s">
        <v>1447</v>
      </c>
      <c r="G1195" s="252">
        <f t="shared" si="21"/>
        <v>0.26</v>
      </c>
    </row>
    <row r="1196" spans="1:7" x14ac:dyDescent="0.3">
      <c r="A1196" s="524" t="s">
        <v>508</v>
      </c>
      <c r="B1196" s="524" t="s">
        <v>1597</v>
      </c>
      <c r="C1196" s="525" t="s">
        <v>1598</v>
      </c>
      <c r="D1196" s="524" t="s">
        <v>1392</v>
      </c>
      <c r="E1196" s="524" t="s">
        <v>1599</v>
      </c>
      <c r="F1196" s="526" t="s">
        <v>1600</v>
      </c>
      <c r="G1196" s="252">
        <f t="shared" si="21"/>
        <v>0.49</v>
      </c>
    </row>
    <row r="1197" spans="1:7" x14ac:dyDescent="0.3">
      <c r="A1197" s="524" t="s">
        <v>508</v>
      </c>
      <c r="B1197" s="524" t="s">
        <v>1601</v>
      </c>
      <c r="C1197" s="525" t="s">
        <v>1602</v>
      </c>
      <c r="D1197" s="524" t="s">
        <v>1392</v>
      </c>
      <c r="E1197" s="524" t="s">
        <v>1603</v>
      </c>
      <c r="F1197" s="526" t="s">
        <v>911</v>
      </c>
      <c r="G1197" s="252">
        <f t="shared" si="21"/>
        <v>3.84</v>
      </c>
    </row>
    <row r="1198" spans="1:7" x14ac:dyDescent="0.3">
      <c r="A1198" s="524" t="s">
        <v>522</v>
      </c>
      <c r="B1198" s="524" t="s">
        <v>1579</v>
      </c>
      <c r="C1198" s="525" t="s">
        <v>1580</v>
      </c>
      <c r="D1198" s="524" t="s">
        <v>32</v>
      </c>
      <c r="E1198" s="607">
        <v>0.3</v>
      </c>
      <c r="F1198" s="526" t="s">
        <v>1582</v>
      </c>
      <c r="G1198" s="252">
        <f t="shared" si="21"/>
        <v>5.66</v>
      </c>
    </row>
    <row r="1199" spans="1:7" x14ac:dyDescent="0.3">
      <c r="A1199" s="524" t="s">
        <v>522</v>
      </c>
      <c r="B1199" s="524" t="s">
        <v>1359</v>
      </c>
      <c r="C1199" s="525" t="s">
        <v>801</v>
      </c>
      <c r="D1199" s="524" t="s">
        <v>32</v>
      </c>
      <c r="E1199" s="607">
        <v>0.15</v>
      </c>
      <c r="F1199" s="526" t="s">
        <v>1361</v>
      </c>
      <c r="G1199" s="252">
        <f t="shared" si="21"/>
        <v>2.15</v>
      </c>
    </row>
    <row r="1200" spans="1:7" x14ac:dyDescent="0.3">
      <c r="A1200" s="680" t="s">
        <v>1152</v>
      </c>
      <c r="B1200" s="681"/>
      <c r="C1200" s="681"/>
      <c r="D1200" s="681"/>
      <c r="E1200" s="681"/>
      <c r="F1200" s="682"/>
      <c r="G1200" s="527">
        <f>SUM(G1194:G1199)</f>
        <v>12.4</v>
      </c>
    </row>
    <row r="1201" spans="1:7" x14ac:dyDescent="0.3">
      <c r="A1201" s="683">
        <f>TRUNC(E1201*F1201,2)</f>
        <v>0</v>
      </c>
      <c r="B1201" s="684"/>
      <c r="C1201" s="684"/>
      <c r="D1201" s="684"/>
      <c r="E1201" s="684"/>
      <c r="F1201" s="684"/>
      <c r="G1201" s="685"/>
    </row>
    <row r="1202" spans="1:7" ht="28.8" x14ac:dyDescent="0.3">
      <c r="A1202" s="529" t="s">
        <v>173</v>
      </c>
      <c r="B1202" s="529">
        <v>88489</v>
      </c>
      <c r="C1202" s="530" t="s">
        <v>235</v>
      </c>
      <c r="D1202" s="529" t="s">
        <v>24</v>
      </c>
      <c r="E1202" s="252"/>
      <c r="F1202" s="531">
        <v>8.14</v>
      </c>
      <c r="G1202" s="252">
        <f t="shared" si="21"/>
        <v>0</v>
      </c>
    </row>
    <row r="1203" spans="1:7" x14ac:dyDescent="0.3">
      <c r="A1203" s="524" t="s">
        <v>508</v>
      </c>
      <c r="B1203" s="524" t="s">
        <v>1592</v>
      </c>
      <c r="C1203" s="525" t="s">
        <v>1593</v>
      </c>
      <c r="D1203" s="524" t="s">
        <v>1392</v>
      </c>
      <c r="E1203" s="606">
        <v>0.3</v>
      </c>
      <c r="F1203" s="526">
        <v>18</v>
      </c>
      <c r="G1203" s="252">
        <f t="shared" ref="G1203:G1205" si="23">TRUNC(E1203*F1203,2)</f>
        <v>5.4</v>
      </c>
    </row>
    <row r="1204" spans="1:7" x14ac:dyDescent="0.3">
      <c r="A1204" s="524" t="s">
        <v>522</v>
      </c>
      <c r="B1204" s="524" t="s">
        <v>1579</v>
      </c>
      <c r="C1204" s="525" t="s">
        <v>1580</v>
      </c>
      <c r="D1204" s="524" t="s">
        <v>32</v>
      </c>
      <c r="E1204" s="606">
        <v>0.1</v>
      </c>
      <c r="F1204" s="526" t="s">
        <v>1582</v>
      </c>
      <c r="G1204" s="252">
        <f t="shared" si="23"/>
        <v>1.88</v>
      </c>
    </row>
    <row r="1205" spans="1:7" x14ac:dyDescent="0.3">
      <c r="A1205" s="524" t="s">
        <v>522</v>
      </c>
      <c r="B1205" s="524" t="s">
        <v>1359</v>
      </c>
      <c r="C1205" s="525" t="s">
        <v>801</v>
      </c>
      <c r="D1205" s="524" t="s">
        <v>32</v>
      </c>
      <c r="E1205" s="524">
        <v>0.06</v>
      </c>
      <c r="F1205" s="526" t="s">
        <v>1361</v>
      </c>
      <c r="G1205" s="252">
        <f t="shared" si="23"/>
        <v>0.86</v>
      </c>
    </row>
    <row r="1206" spans="1:7" x14ac:dyDescent="0.3">
      <c r="A1206" s="680" t="s">
        <v>1152</v>
      </c>
      <c r="B1206" s="681"/>
      <c r="C1206" s="681"/>
      <c r="D1206" s="681"/>
      <c r="E1206" s="681"/>
      <c r="F1206" s="682"/>
      <c r="G1206" s="527">
        <f>SUM(G1202:G1205)</f>
        <v>8.14</v>
      </c>
    </row>
    <row r="1207" spans="1:7" x14ac:dyDescent="0.3">
      <c r="A1207" s="683">
        <f>TRUNC(E1207*F1207,2)</f>
        <v>0</v>
      </c>
      <c r="B1207" s="684"/>
      <c r="C1207" s="684"/>
      <c r="D1207" s="684"/>
      <c r="E1207" s="684"/>
      <c r="F1207" s="684"/>
      <c r="G1207" s="685"/>
    </row>
    <row r="1208" spans="1:7" x14ac:dyDescent="0.3">
      <c r="A1208" s="529" t="s">
        <v>175</v>
      </c>
      <c r="B1208" s="529">
        <v>84665</v>
      </c>
      <c r="C1208" s="530" t="s">
        <v>114</v>
      </c>
      <c r="D1208" s="529" t="s">
        <v>24</v>
      </c>
      <c r="E1208" s="252"/>
      <c r="F1208" s="531">
        <v>16.66</v>
      </c>
      <c r="G1208" s="252">
        <f t="shared" si="21"/>
        <v>0</v>
      </c>
    </row>
    <row r="1209" spans="1:7" ht="28.8" x14ac:dyDescent="0.3">
      <c r="A1209" s="524" t="s">
        <v>508</v>
      </c>
      <c r="B1209" s="524" t="s">
        <v>1632</v>
      </c>
      <c r="C1209" s="525" t="s">
        <v>1633</v>
      </c>
      <c r="D1209" s="524" t="s">
        <v>1392</v>
      </c>
      <c r="E1209" s="524" t="s">
        <v>1634</v>
      </c>
      <c r="F1209" s="528" t="s">
        <v>1635</v>
      </c>
      <c r="G1209" s="252">
        <f t="shared" si="21"/>
        <v>2.48</v>
      </c>
    </row>
    <row r="1210" spans="1:7" x14ac:dyDescent="0.3">
      <c r="A1210" s="524" t="s">
        <v>522</v>
      </c>
      <c r="B1210" s="524" t="s">
        <v>1579</v>
      </c>
      <c r="C1210" s="525" t="s">
        <v>1580</v>
      </c>
      <c r="D1210" s="524" t="s">
        <v>32</v>
      </c>
      <c r="E1210" s="524" t="s">
        <v>1636</v>
      </c>
      <c r="F1210" s="528" t="s">
        <v>1582</v>
      </c>
      <c r="G1210" s="252">
        <f t="shared" si="21"/>
        <v>9.44</v>
      </c>
    </row>
    <row r="1211" spans="1:7" x14ac:dyDescent="0.3">
      <c r="A1211" s="524" t="s">
        <v>522</v>
      </c>
      <c r="B1211" s="524" t="s">
        <v>1359</v>
      </c>
      <c r="C1211" s="525" t="s">
        <v>801</v>
      </c>
      <c r="D1211" s="524" t="s">
        <v>32</v>
      </c>
      <c r="E1211" s="524" t="s">
        <v>1594</v>
      </c>
      <c r="F1211" s="528" t="s">
        <v>1361</v>
      </c>
      <c r="G1211" s="252">
        <f t="shared" si="21"/>
        <v>4.74</v>
      </c>
    </row>
    <row r="1212" spans="1:7" x14ac:dyDescent="0.3">
      <c r="A1212" s="680" t="s">
        <v>1152</v>
      </c>
      <c r="B1212" s="681"/>
      <c r="C1212" s="681"/>
      <c r="D1212" s="681"/>
      <c r="E1212" s="681"/>
      <c r="F1212" s="682"/>
      <c r="G1212" s="527">
        <f>SUM(G1208:G1211)</f>
        <v>16.66</v>
      </c>
    </row>
    <row r="1213" spans="1:7" x14ac:dyDescent="0.3">
      <c r="A1213" s="683">
        <f>TRUNC(E1213*F1213,2)</f>
        <v>0</v>
      </c>
      <c r="B1213" s="684"/>
      <c r="C1213" s="684"/>
      <c r="D1213" s="684"/>
      <c r="E1213" s="684"/>
      <c r="F1213" s="684"/>
      <c r="G1213" s="685"/>
    </row>
    <row r="1214" spans="1:7" x14ac:dyDescent="0.3">
      <c r="A1214" s="529" t="s">
        <v>186</v>
      </c>
      <c r="B1214" s="529"/>
      <c r="C1214" s="530" t="s">
        <v>117</v>
      </c>
      <c r="D1214" s="529"/>
      <c r="E1214" s="252"/>
      <c r="F1214" s="531"/>
      <c r="G1214" s="252">
        <f t="shared" si="21"/>
        <v>0</v>
      </c>
    </row>
    <row r="1215" spans="1:7" ht="28.8" x14ac:dyDescent="0.3">
      <c r="A1215" s="529" t="s">
        <v>188</v>
      </c>
      <c r="B1215" s="529">
        <v>91932</v>
      </c>
      <c r="C1215" s="530" t="s">
        <v>119</v>
      </c>
      <c r="D1215" s="529" t="s">
        <v>55</v>
      </c>
      <c r="E1215" s="252"/>
      <c r="F1215" s="531">
        <v>9.9499999999999993</v>
      </c>
      <c r="G1215" s="252">
        <f t="shared" si="21"/>
        <v>0</v>
      </c>
    </row>
    <row r="1216" spans="1:7" ht="28.8" x14ac:dyDescent="0.3">
      <c r="A1216" s="524" t="s">
        <v>508</v>
      </c>
      <c r="B1216" s="524" t="s">
        <v>1637</v>
      </c>
      <c r="C1216" s="525" t="s">
        <v>1638</v>
      </c>
      <c r="D1216" s="524" t="s">
        <v>55</v>
      </c>
      <c r="E1216" s="524" t="s">
        <v>1639</v>
      </c>
      <c r="F1216" s="528" t="s">
        <v>1640</v>
      </c>
      <c r="G1216" s="252">
        <f t="shared" si="21"/>
        <v>7.41</v>
      </c>
    </row>
    <row r="1217" spans="1:7" x14ac:dyDescent="0.3">
      <c r="A1217" s="524" t="s">
        <v>508</v>
      </c>
      <c r="B1217" s="524" t="s">
        <v>1641</v>
      </c>
      <c r="C1217" s="525" t="s">
        <v>1642</v>
      </c>
      <c r="D1217" s="524" t="s">
        <v>397</v>
      </c>
      <c r="E1217" s="524" t="s">
        <v>1643</v>
      </c>
      <c r="F1217" s="528" t="s">
        <v>1644</v>
      </c>
      <c r="G1217" s="252">
        <f t="shared" si="21"/>
        <v>0.03</v>
      </c>
    </row>
    <row r="1218" spans="1:7" x14ac:dyDescent="0.3">
      <c r="A1218" s="524" t="s">
        <v>522</v>
      </c>
      <c r="B1218" s="524" t="s">
        <v>611</v>
      </c>
      <c r="C1218" s="525" t="s">
        <v>546</v>
      </c>
      <c r="D1218" s="524" t="s">
        <v>32</v>
      </c>
      <c r="E1218" s="524" t="s">
        <v>1645</v>
      </c>
      <c r="F1218" s="528" t="s">
        <v>1646</v>
      </c>
      <c r="G1218" s="252">
        <f t="shared" si="21"/>
        <v>1.1000000000000001</v>
      </c>
    </row>
    <row r="1219" spans="1:7" x14ac:dyDescent="0.3">
      <c r="A1219" s="524" t="s">
        <v>522</v>
      </c>
      <c r="B1219" s="524" t="s">
        <v>610</v>
      </c>
      <c r="C1219" s="525" t="s">
        <v>543</v>
      </c>
      <c r="D1219" s="524" t="s">
        <v>32</v>
      </c>
      <c r="E1219" s="524" t="s">
        <v>1645</v>
      </c>
      <c r="F1219" s="528" t="s">
        <v>1647</v>
      </c>
      <c r="G1219" s="252">
        <f t="shared" si="21"/>
        <v>1.41</v>
      </c>
    </row>
    <row r="1220" spans="1:7" x14ac:dyDescent="0.3">
      <c r="A1220" s="680" t="s">
        <v>1152</v>
      </c>
      <c r="B1220" s="681"/>
      <c r="C1220" s="681"/>
      <c r="D1220" s="681"/>
      <c r="E1220" s="681"/>
      <c r="F1220" s="682"/>
      <c r="G1220" s="527">
        <f>SUM(G1216:G1219)</f>
        <v>9.9500000000000011</v>
      </c>
    </row>
    <row r="1221" spans="1:7" x14ac:dyDescent="0.3">
      <c r="A1221" s="683">
        <f>TRUNC(E1221*F1221,2)</f>
        <v>0</v>
      </c>
      <c r="B1221" s="684"/>
      <c r="C1221" s="684"/>
      <c r="D1221" s="684"/>
      <c r="E1221" s="684"/>
      <c r="F1221" s="684"/>
      <c r="G1221" s="685"/>
    </row>
    <row r="1222" spans="1:7" ht="28.8" x14ac:dyDescent="0.3">
      <c r="A1222" s="529" t="s">
        <v>200</v>
      </c>
      <c r="B1222" s="529">
        <v>91930</v>
      </c>
      <c r="C1222" s="530" t="s">
        <v>121</v>
      </c>
      <c r="D1222" s="529" t="s">
        <v>55</v>
      </c>
      <c r="E1222" s="252"/>
      <c r="F1222" s="531">
        <v>5.5</v>
      </c>
      <c r="G1222" s="252">
        <f t="shared" si="21"/>
        <v>0</v>
      </c>
    </row>
    <row r="1223" spans="1:7" ht="28.8" x14ac:dyDescent="0.3">
      <c r="A1223" s="524" t="s">
        <v>508</v>
      </c>
      <c r="B1223" s="524" t="s">
        <v>1648</v>
      </c>
      <c r="C1223" s="525" t="s">
        <v>1649</v>
      </c>
      <c r="D1223" s="524" t="s">
        <v>55</v>
      </c>
      <c r="E1223" s="606">
        <v>1.036</v>
      </c>
      <c r="F1223" s="528" t="s">
        <v>1650</v>
      </c>
      <c r="G1223" s="252">
        <f t="shared" si="21"/>
        <v>3.78</v>
      </c>
    </row>
    <row r="1224" spans="1:7" x14ac:dyDescent="0.3">
      <c r="A1224" s="524" t="s">
        <v>508</v>
      </c>
      <c r="B1224" s="524" t="s">
        <v>1641</v>
      </c>
      <c r="C1224" s="525" t="s">
        <v>1642</v>
      </c>
      <c r="D1224" s="524" t="s">
        <v>397</v>
      </c>
      <c r="E1224" s="524" t="s">
        <v>1643</v>
      </c>
      <c r="F1224" s="528" t="s">
        <v>1644</v>
      </c>
      <c r="G1224" s="252">
        <f t="shared" si="21"/>
        <v>0.03</v>
      </c>
    </row>
    <row r="1225" spans="1:7" x14ac:dyDescent="0.3">
      <c r="A1225" s="524" t="s">
        <v>522</v>
      </c>
      <c r="B1225" s="524" t="s">
        <v>611</v>
      </c>
      <c r="C1225" s="525" t="s">
        <v>546</v>
      </c>
      <c r="D1225" s="524" t="s">
        <v>32</v>
      </c>
      <c r="E1225" s="524" t="s">
        <v>1651</v>
      </c>
      <c r="F1225" s="528" t="s">
        <v>1646</v>
      </c>
      <c r="G1225" s="252">
        <f t="shared" si="21"/>
        <v>0.74</v>
      </c>
    </row>
    <row r="1226" spans="1:7" x14ac:dyDescent="0.3">
      <c r="A1226" s="524" t="s">
        <v>522</v>
      </c>
      <c r="B1226" s="524" t="s">
        <v>610</v>
      </c>
      <c r="C1226" s="525" t="s">
        <v>543</v>
      </c>
      <c r="D1226" s="524" t="s">
        <v>32</v>
      </c>
      <c r="E1226" s="524" t="s">
        <v>1651</v>
      </c>
      <c r="F1226" s="528" t="s">
        <v>1647</v>
      </c>
      <c r="G1226" s="252">
        <f t="shared" si="21"/>
        <v>0.95</v>
      </c>
    </row>
    <row r="1227" spans="1:7" x14ac:dyDescent="0.3">
      <c r="A1227" s="680" t="s">
        <v>1152</v>
      </c>
      <c r="B1227" s="681"/>
      <c r="C1227" s="681"/>
      <c r="D1227" s="681"/>
      <c r="E1227" s="681"/>
      <c r="F1227" s="682"/>
      <c r="G1227" s="527">
        <f>SUM(G1222:G1226)</f>
        <v>5.5</v>
      </c>
    </row>
    <row r="1228" spans="1:7" x14ac:dyDescent="0.3">
      <c r="A1228" s="683">
        <f>TRUNC(E1228*F1228,2)</f>
        <v>0</v>
      </c>
      <c r="B1228" s="684"/>
      <c r="C1228" s="684"/>
      <c r="D1228" s="684"/>
      <c r="E1228" s="684"/>
      <c r="F1228" s="684"/>
      <c r="G1228" s="685"/>
    </row>
    <row r="1229" spans="1:7" ht="28.8" x14ac:dyDescent="0.3">
      <c r="A1229" s="529" t="s">
        <v>236</v>
      </c>
      <c r="B1229" s="529">
        <v>91928</v>
      </c>
      <c r="C1229" s="530" t="s">
        <v>123</v>
      </c>
      <c r="D1229" s="529" t="s">
        <v>55</v>
      </c>
      <c r="E1229" s="252"/>
      <c r="F1229" s="531">
        <v>4.42</v>
      </c>
      <c r="G1229" s="252">
        <f t="shared" si="21"/>
        <v>0</v>
      </c>
    </row>
    <row r="1230" spans="1:7" ht="28.8" x14ac:dyDescent="0.3">
      <c r="A1230" s="524" t="s">
        <v>508</v>
      </c>
      <c r="B1230" s="524" t="s">
        <v>1652</v>
      </c>
      <c r="C1230" s="525" t="s">
        <v>1653</v>
      </c>
      <c r="D1230" s="524" t="s">
        <v>55</v>
      </c>
      <c r="E1230" s="524" t="s">
        <v>1639</v>
      </c>
      <c r="F1230" s="528" t="s">
        <v>1654</v>
      </c>
      <c r="G1230" s="252">
        <f t="shared" si="21"/>
        <v>3.09</v>
      </c>
    </row>
    <row r="1231" spans="1:7" x14ac:dyDescent="0.3">
      <c r="A1231" s="524" t="s">
        <v>508</v>
      </c>
      <c r="B1231" s="524" t="s">
        <v>1641</v>
      </c>
      <c r="C1231" s="525" t="s">
        <v>1642</v>
      </c>
      <c r="D1231" s="524" t="s">
        <v>397</v>
      </c>
      <c r="E1231" s="524" t="s">
        <v>1643</v>
      </c>
      <c r="F1231" s="528" t="s">
        <v>1644</v>
      </c>
      <c r="G1231" s="252">
        <f t="shared" si="21"/>
        <v>0.03</v>
      </c>
    </row>
    <row r="1232" spans="1:7" x14ac:dyDescent="0.3">
      <c r="A1232" s="524" t="s">
        <v>522</v>
      </c>
      <c r="B1232" s="524" t="s">
        <v>611</v>
      </c>
      <c r="C1232" s="525" t="s">
        <v>546</v>
      </c>
      <c r="D1232" s="524" t="s">
        <v>32</v>
      </c>
      <c r="E1232" s="524" t="s">
        <v>1599</v>
      </c>
      <c r="F1232" s="528" t="s">
        <v>1646</v>
      </c>
      <c r="G1232" s="252">
        <f t="shared" si="21"/>
        <v>0.56999999999999995</v>
      </c>
    </row>
    <row r="1233" spans="1:7" x14ac:dyDescent="0.3">
      <c r="A1233" s="524" t="s">
        <v>522</v>
      </c>
      <c r="B1233" s="524" t="s">
        <v>610</v>
      </c>
      <c r="C1233" s="525" t="s">
        <v>543</v>
      </c>
      <c r="D1233" s="524" t="s">
        <v>32</v>
      </c>
      <c r="E1233" s="524" t="s">
        <v>1599</v>
      </c>
      <c r="F1233" s="528" t="s">
        <v>1647</v>
      </c>
      <c r="G1233" s="252">
        <f t="shared" si="21"/>
        <v>0.73</v>
      </c>
    </row>
    <row r="1234" spans="1:7" x14ac:dyDescent="0.3">
      <c r="A1234" s="680" t="s">
        <v>1152</v>
      </c>
      <c r="B1234" s="681"/>
      <c r="C1234" s="681"/>
      <c r="D1234" s="681"/>
      <c r="E1234" s="681"/>
      <c r="F1234" s="682"/>
      <c r="G1234" s="527">
        <f>SUM(G1230:G1233)</f>
        <v>4.42</v>
      </c>
    </row>
    <row r="1235" spans="1:7" x14ac:dyDescent="0.3">
      <c r="A1235" s="683">
        <f>TRUNC(E1235*F1235,2)</f>
        <v>0</v>
      </c>
      <c r="B1235" s="684"/>
      <c r="C1235" s="684"/>
      <c r="D1235" s="684"/>
      <c r="E1235" s="684"/>
      <c r="F1235" s="684"/>
      <c r="G1235" s="685"/>
    </row>
    <row r="1236" spans="1:7" ht="28.8" x14ac:dyDescent="0.3">
      <c r="A1236" s="529" t="s">
        <v>237</v>
      </c>
      <c r="B1236" s="529">
        <v>91927</v>
      </c>
      <c r="C1236" s="530" t="s">
        <v>125</v>
      </c>
      <c r="D1236" s="529" t="s">
        <v>55</v>
      </c>
      <c r="E1236" s="252"/>
      <c r="F1236" s="531">
        <v>3</v>
      </c>
      <c r="G1236" s="252">
        <f t="shared" si="21"/>
        <v>0</v>
      </c>
    </row>
    <row r="1237" spans="1:7" ht="43.2" x14ac:dyDescent="0.3">
      <c r="A1237" s="524" t="s">
        <v>508</v>
      </c>
      <c r="B1237" s="524" t="s">
        <v>1655</v>
      </c>
      <c r="C1237" s="525" t="s">
        <v>1656</v>
      </c>
      <c r="D1237" s="524" t="s">
        <v>55</v>
      </c>
      <c r="E1237" s="606">
        <v>1</v>
      </c>
      <c r="F1237" s="528">
        <v>2</v>
      </c>
      <c r="G1237" s="252">
        <f t="shared" si="21"/>
        <v>2</v>
      </c>
    </row>
    <row r="1238" spans="1:7" x14ac:dyDescent="0.3">
      <c r="A1238" s="524" t="s">
        <v>508</v>
      </c>
      <c r="B1238" s="524" t="s">
        <v>1641</v>
      </c>
      <c r="C1238" s="525" t="s">
        <v>1642</v>
      </c>
      <c r="D1238" s="524" t="s">
        <v>397</v>
      </c>
      <c r="E1238" s="524" t="s">
        <v>1643</v>
      </c>
      <c r="F1238" s="528" t="s">
        <v>1644</v>
      </c>
      <c r="G1238" s="252">
        <f t="shared" si="21"/>
        <v>0.03</v>
      </c>
    </row>
    <row r="1239" spans="1:7" x14ac:dyDescent="0.3">
      <c r="A1239" s="524" t="s">
        <v>522</v>
      </c>
      <c r="B1239" s="524" t="s">
        <v>611</v>
      </c>
      <c r="C1239" s="525" t="s">
        <v>546</v>
      </c>
      <c r="D1239" s="524" t="s">
        <v>32</v>
      </c>
      <c r="E1239" s="524" t="s">
        <v>1657</v>
      </c>
      <c r="F1239" s="528" t="s">
        <v>1646</v>
      </c>
      <c r="G1239" s="252">
        <f t="shared" si="21"/>
        <v>0.42</v>
      </c>
    </row>
    <row r="1240" spans="1:7" x14ac:dyDescent="0.3">
      <c r="A1240" s="524" t="s">
        <v>522</v>
      </c>
      <c r="B1240" s="524" t="s">
        <v>610</v>
      </c>
      <c r="C1240" s="525" t="s">
        <v>543</v>
      </c>
      <c r="D1240" s="524" t="s">
        <v>32</v>
      </c>
      <c r="E1240" s="524" t="s">
        <v>1657</v>
      </c>
      <c r="F1240" s="528" t="s">
        <v>1647</v>
      </c>
      <c r="G1240" s="252">
        <f t="shared" si="21"/>
        <v>0.55000000000000004</v>
      </c>
    </row>
    <row r="1241" spans="1:7" x14ac:dyDescent="0.3">
      <c r="A1241" s="680" t="s">
        <v>1152</v>
      </c>
      <c r="B1241" s="681"/>
      <c r="C1241" s="681"/>
      <c r="D1241" s="681"/>
      <c r="E1241" s="681"/>
      <c r="F1241" s="682"/>
      <c r="G1241" s="527">
        <f>SUM(G1237:G1240)</f>
        <v>3</v>
      </c>
    </row>
    <row r="1242" spans="1:7" x14ac:dyDescent="0.3">
      <c r="A1242" s="683">
        <f>TRUNC(E1242*F1242,2)</f>
        <v>0</v>
      </c>
      <c r="B1242" s="684"/>
      <c r="C1242" s="684"/>
      <c r="D1242" s="684"/>
      <c r="E1242" s="684"/>
      <c r="F1242" s="684"/>
      <c r="G1242" s="685"/>
    </row>
    <row r="1243" spans="1:7" ht="28.8" x14ac:dyDescent="0.3">
      <c r="A1243" s="529" t="s">
        <v>238</v>
      </c>
      <c r="B1243" s="529">
        <v>90447</v>
      </c>
      <c r="C1243" s="530" t="s">
        <v>127</v>
      </c>
      <c r="D1243" s="529" t="s">
        <v>55</v>
      </c>
      <c r="E1243" s="252"/>
      <c r="F1243" s="531">
        <v>4.45</v>
      </c>
      <c r="G1243" s="252">
        <f t="shared" si="21"/>
        <v>0</v>
      </c>
    </row>
    <row r="1244" spans="1:7" x14ac:dyDescent="0.3">
      <c r="A1244" s="524" t="s">
        <v>522</v>
      </c>
      <c r="B1244" s="524" t="s">
        <v>611</v>
      </c>
      <c r="C1244" s="525" t="s">
        <v>546</v>
      </c>
      <c r="D1244" s="524" t="s">
        <v>32</v>
      </c>
      <c r="E1244" s="524" t="s">
        <v>1658</v>
      </c>
      <c r="F1244" s="528" t="s">
        <v>1646</v>
      </c>
      <c r="G1244" s="252">
        <f t="shared" si="21"/>
        <v>0.48</v>
      </c>
    </row>
    <row r="1245" spans="1:7" x14ac:dyDescent="0.3">
      <c r="A1245" s="524" t="s">
        <v>522</v>
      </c>
      <c r="B1245" s="524" t="s">
        <v>610</v>
      </c>
      <c r="C1245" s="525" t="s">
        <v>543</v>
      </c>
      <c r="D1245" s="524" t="s">
        <v>32</v>
      </c>
      <c r="E1245" s="524" t="s">
        <v>1659</v>
      </c>
      <c r="F1245" s="528" t="s">
        <v>1647</v>
      </c>
      <c r="G1245" s="252">
        <f t="shared" si="21"/>
        <v>3.97</v>
      </c>
    </row>
    <row r="1246" spans="1:7" x14ac:dyDescent="0.3">
      <c r="A1246" s="680" t="s">
        <v>1152</v>
      </c>
      <c r="B1246" s="681"/>
      <c r="C1246" s="681"/>
      <c r="D1246" s="681"/>
      <c r="E1246" s="681"/>
      <c r="F1246" s="682"/>
      <c r="G1246" s="527">
        <f>SUM(G1242:G1245)</f>
        <v>4.45</v>
      </c>
    </row>
    <row r="1247" spans="1:7" x14ac:dyDescent="0.3">
      <c r="A1247" s="683">
        <f>TRUNC(E1247*F1247,2)</f>
        <v>0</v>
      </c>
      <c r="B1247" s="684"/>
      <c r="C1247" s="684"/>
      <c r="D1247" s="684"/>
      <c r="E1247" s="684"/>
      <c r="F1247" s="684"/>
      <c r="G1247" s="685"/>
    </row>
    <row r="1248" spans="1:7" ht="28.8" x14ac:dyDescent="0.3">
      <c r="A1248" s="529" t="s">
        <v>239</v>
      </c>
      <c r="B1248" s="529">
        <v>91836</v>
      </c>
      <c r="C1248" s="530" t="s">
        <v>130</v>
      </c>
      <c r="D1248" s="529" t="s">
        <v>55</v>
      </c>
      <c r="E1248" s="252"/>
      <c r="F1248" s="531">
        <v>7.55</v>
      </c>
      <c r="G1248" s="252">
        <f t="shared" si="21"/>
        <v>0</v>
      </c>
    </row>
    <row r="1249" spans="1:7" x14ac:dyDescent="0.3">
      <c r="A1249" s="524" t="s">
        <v>508</v>
      </c>
      <c r="B1249" s="524" t="s">
        <v>1660</v>
      </c>
      <c r="C1249" s="525" t="s">
        <v>1661</v>
      </c>
      <c r="D1249" s="524" t="s">
        <v>55</v>
      </c>
      <c r="E1249" s="524" t="s">
        <v>1662</v>
      </c>
      <c r="F1249" s="528" t="s">
        <v>1663</v>
      </c>
      <c r="G1249" s="252">
        <f t="shared" si="21"/>
        <v>2.46</v>
      </c>
    </row>
    <row r="1250" spans="1:7" x14ac:dyDescent="0.3">
      <c r="A1250" s="524" t="s">
        <v>522</v>
      </c>
      <c r="B1250" s="524" t="s">
        <v>611</v>
      </c>
      <c r="C1250" s="525" t="s">
        <v>546</v>
      </c>
      <c r="D1250" s="524" t="s">
        <v>32</v>
      </c>
      <c r="E1250" s="524" t="s">
        <v>1664</v>
      </c>
      <c r="F1250" s="528" t="s">
        <v>1646</v>
      </c>
      <c r="G1250" s="252">
        <f t="shared" si="21"/>
        <v>1.28</v>
      </c>
    </row>
    <row r="1251" spans="1:7" x14ac:dyDescent="0.3">
      <c r="A1251" s="524" t="s">
        <v>522</v>
      </c>
      <c r="B1251" s="524" t="s">
        <v>610</v>
      </c>
      <c r="C1251" s="525" t="s">
        <v>543</v>
      </c>
      <c r="D1251" s="524" t="s">
        <v>32</v>
      </c>
      <c r="E1251" s="524" t="s">
        <v>1664</v>
      </c>
      <c r="F1251" s="528" t="s">
        <v>1647</v>
      </c>
      <c r="G1251" s="252">
        <f t="shared" si="21"/>
        <v>1.65</v>
      </c>
    </row>
    <row r="1252" spans="1:7" ht="43.2" x14ac:dyDescent="0.3">
      <c r="A1252" s="524" t="s">
        <v>522</v>
      </c>
      <c r="B1252" s="524" t="s">
        <v>959</v>
      </c>
      <c r="C1252" s="525" t="s">
        <v>960</v>
      </c>
      <c r="D1252" s="524" t="s">
        <v>55</v>
      </c>
      <c r="E1252" s="524" t="s">
        <v>1122</v>
      </c>
      <c r="F1252" s="528" t="s">
        <v>962</v>
      </c>
      <c r="G1252" s="252">
        <f t="shared" si="21"/>
        <v>2.16</v>
      </c>
    </row>
    <row r="1253" spans="1:7" x14ac:dyDescent="0.3">
      <c r="A1253" s="680" t="s">
        <v>1152</v>
      </c>
      <c r="B1253" s="681"/>
      <c r="C1253" s="681"/>
      <c r="D1253" s="681"/>
      <c r="E1253" s="681"/>
      <c r="F1253" s="682"/>
      <c r="G1253" s="527">
        <f>SUM(G1249:G1252)</f>
        <v>7.5500000000000007</v>
      </c>
    </row>
    <row r="1254" spans="1:7" x14ac:dyDescent="0.3">
      <c r="A1254" s="683">
        <f>TRUNC(E1254*F1254,2)</f>
        <v>0</v>
      </c>
      <c r="B1254" s="684"/>
      <c r="C1254" s="684"/>
      <c r="D1254" s="684"/>
      <c r="E1254" s="684"/>
      <c r="F1254" s="684"/>
      <c r="G1254" s="685"/>
    </row>
    <row r="1255" spans="1:7" ht="28.8" x14ac:dyDescent="0.3">
      <c r="A1255" s="529" t="s">
        <v>240</v>
      </c>
      <c r="B1255" s="529">
        <v>91869</v>
      </c>
      <c r="C1255" s="530" t="s">
        <v>132</v>
      </c>
      <c r="D1255" s="529" t="s">
        <v>55</v>
      </c>
      <c r="E1255" s="252"/>
      <c r="F1255" s="531">
        <v>10.32</v>
      </c>
      <c r="G1255" s="252">
        <f t="shared" si="21"/>
        <v>0</v>
      </c>
    </row>
    <row r="1256" spans="1:7" x14ac:dyDescent="0.3">
      <c r="A1256" s="524" t="s">
        <v>508</v>
      </c>
      <c r="B1256" s="524" t="s">
        <v>1665</v>
      </c>
      <c r="C1256" s="525" t="s">
        <v>1666</v>
      </c>
      <c r="D1256" s="524" t="s">
        <v>55</v>
      </c>
      <c r="E1256" s="524" t="s">
        <v>1667</v>
      </c>
      <c r="F1256" s="528" t="s">
        <v>1668</v>
      </c>
      <c r="G1256" s="252">
        <f t="shared" si="21"/>
        <v>5.26</v>
      </c>
    </row>
    <row r="1257" spans="1:7" ht="28.8" x14ac:dyDescent="0.3">
      <c r="A1257" s="524" t="s">
        <v>508</v>
      </c>
      <c r="B1257" s="524" t="s">
        <v>1669</v>
      </c>
      <c r="C1257" s="525" t="s">
        <v>1670</v>
      </c>
      <c r="D1257" s="524" t="s">
        <v>426</v>
      </c>
      <c r="E1257" s="524" t="s">
        <v>1671</v>
      </c>
      <c r="F1257" s="528" t="s">
        <v>1672</v>
      </c>
      <c r="G1257" s="252">
        <f t="shared" si="21"/>
        <v>0.03</v>
      </c>
    </row>
    <row r="1258" spans="1:7" x14ac:dyDescent="0.3">
      <c r="A1258" s="524" t="s">
        <v>522</v>
      </c>
      <c r="B1258" s="524" t="s">
        <v>611</v>
      </c>
      <c r="C1258" s="525" t="s">
        <v>546</v>
      </c>
      <c r="D1258" s="524" t="s">
        <v>32</v>
      </c>
      <c r="E1258" s="524" t="s">
        <v>1673</v>
      </c>
      <c r="F1258" s="528" t="s">
        <v>1646</v>
      </c>
      <c r="G1258" s="252">
        <f t="shared" si="21"/>
        <v>2.2000000000000002</v>
      </c>
    </row>
    <row r="1259" spans="1:7" x14ac:dyDescent="0.3">
      <c r="A1259" s="524" t="s">
        <v>522</v>
      </c>
      <c r="B1259" s="524" t="s">
        <v>610</v>
      </c>
      <c r="C1259" s="525" t="s">
        <v>543</v>
      </c>
      <c r="D1259" s="524" t="s">
        <v>32</v>
      </c>
      <c r="E1259" s="524" t="s">
        <v>1673</v>
      </c>
      <c r="F1259" s="528" t="s">
        <v>1647</v>
      </c>
      <c r="G1259" s="252">
        <f t="shared" si="21"/>
        <v>2.83</v>
      </c>
    </row>
    <row r="1260" spans="1:7" x14ac:dyDescent="0.3">
      <c r="A1260" s="680" t="s">
        <v>1152</v>
      </c>
      <c r="B1260" s="681"/>
      <c r="C1260" s="681"/>
      <c r="D1260" s="681"/>
      <c r="E1260" s="681"/>
      <c r="F1260" s="682"/>
      <c r="G1260" s="527">
        <f>SUM(G1256:G1259)</f>
        <v>10.32</v>
      </c>
    </row>
    <row r="1261" spans="1:7" x14ac:dyDescent="0.3">
      <c r="A1261" s="683">
        <f>TRUNC(E1261*F1261,2)</f>
        <v>0</v>
      </c>
      <c r="B1261" s="684"/>
      <c r="C1261" s="684"/>
      <c r="D1261" s="684"/>
      <c r="E1261" s="684"/>
      <c r="F1261" s="684"/>
      <c r="G1261" s="685"/>
    </row>
    <row r="1262" spans="1:7" x14ac:dyDescent="0.3">
      <c r="A1262" s="529" t="s">
        <v>241</v>
      </c>
      <c r="B1262" s="529">
        <v>91990</v>
      </c>
      <c r="C1262" s="530" t="s">
        <v>134</v>
      </c>
      <c r="D1262" s="529" t="s">
        <v>44</v>
      </c>
      <c r="E1262" s="252"/>
      <c r="F1262" s="531">
        <v>20.73</v>
      </c>
      <c r="G1262" s="252">
        <f t="shared" si="21"/>
        <v>0</v>
      </c>
    </row>
    <row r="1263" spans="1:7" x14ac:dyDescent="0.3">
      <c r="A1263" s="524" t="s">
        <v>508</v>
      </c>
      <c r="B1263" s="524" t="s">
        <v>1674</v>
      </c>
      <c r="C1263" s="525" t="s">
        <v>1675</v>
      </c>
      <c r="D1263" s="524" t="s">
        <v>397</v>
      </c>
      <c r="E1263" s="524" t="s">
        <v>1122</v>
      </c>
      <c r="F1263" s="528" t="s">
        <v>1676</v>
      </c>
      <c r="G1263" s="252">
        <f t="shared" si="21"/>
        <v>4.5199999999999996</v>
      </c>
    </row>
    <row r="1264" spans="1:7" x14ac:dyDescent="0.3">
      <c r="A1264" s="524" t="s">
        <v>522</v>
      </c>
      <c r="B1264" s="524" t="s">
        <v>611</v>
      </c>
      <c r="C1264" s="525" t="s">
        <v>546</v>
      </c>
      <c r="D1264" s="524" t="s">
        <v>32</v>
      </c>
      <c r="E1264" s="524" t="s">
        <v>1677</v>
      </c>
      <c r="F1264" s="528" t="s">
        <v>1646</v>
      </c>
      <c r="G1264" s="252">
        <f t="shared" si="21"/>
        <v>7.1</v>
      </c>
    </row>
    <row r="1265" spans="1:7" x14ac:dyDescent="0.3">
      <c r="A1265" s="524" t="s">
        <v>522</v>
      </c>
      <c r="B1265" s="524" t="s">
        <v>610</v>
      </c>
      <c r="C1265" s="525" t="s">
        <v>543</v>
      </c>
      <c r="D1265" s="524" t="s">
        <v>32</v>
      </c>
      <c r="E1265" s="524" t="s">
        <v>1677</v>
      </c>
      <c r="F1265" s="528" t="s">
        <v>1647</v>
      </c>
      <c r="G1265" s="252">
        <f t="shared" si="21"/>
        <v>9.11</v>
      </c>
    </row>
    <row r="1266" spans="1:7" x14ac:dyDescent="0.3">
      <c r="A1266" s="680" t="s">
        <v>1152</v>
      </c>
      <c r="B1266" s="681"/>
      <c r="C1266" s="681"/>
      <c r="D1266" s="681"/>
      <c r="E1266" s="681"/>
      <c r="F1266" s="682"/>
      <c r="G1266" s="527">
        <f>SUM(G1262:G1265)</f>
        <v>20.729999999999997</v>
      </c>
    </row>
    <row r="1267" spans="1:7" x14ac:dyDescent="0.3">
      <c r="A1267" s="683">
        <f>TRUNC(E1267*F1267,2)</f>
        <v>0</v>
      </c>
      <c r="B1267" s="684"/>
      <c r="C1267" s="684"/>
      <c r="D1267" s="684"/>
      <c r="E1267" s="684"/>
      <c r="F1267" s="684"/>
      <c r="G1267" s="685"/>
    </row>
    <row r="1268" spans="1:7" x14ac:dyDescent="0.3">
      <c r="A1268" s="529" t="s">
        <v>242</v>
      </c>
      <c r="B1268" s="529">
        <v>91991</v>
      </c>
      <c r="C1268" s="530" t="s">
        <v>137</v>
      </c>
      <c r="D1268" s="529" t="s">
        <v>44</v>
      </c>
      <c r="E1268" s="252"/>
      <c r="F1268" s="531">
        <v>21.99</v>
      </c>
      <c r="G1268" s="252">
        <f t="shared" si="21"/>
        <v>0</v>
      </c>
    </row>
    <row r="1269" spans="1:7" x14ac:dyDescent="0.3">
      <c r="A1269" s="524" t="s">
        <v>508</v>
      </c>
      <c r="B1269" s="524" t="s">
        <v>1678</v>
      </c>
      <c r="C1269" s="525" t="s">
        <v>1679</v>
      </c>
      <c r="D1269" s="524" t="s">
        <v>397</v>
      </c>
      <c r="E1269" s="524" t="s">
        <v>1122</v>
      </c>
      <c r="F1269" s="528" t="s">
        <v>1680</v>
      </c>
      <c r="G1269" s="252">
        <f t="shared" si="21"/>
        <v>5.78</v>
      </c>
    </row>
    <row r="1270" spans="1:7" x14ac:dyDescent="0.3">
      <c r="A1270" s="524" t="s">
        <v>522</v>
      </c>
      <c r="B1270" s="524" t="s">
        <v>611</v>
      </c>
      <c r="C1270" s="525" t="s">
        <v>546</v>
      </c>
      <c r="D1270" s="524" t="s">
        <v>32</v>
      </c>
      <c r="E1270" s="524" t="s">
        <v>1677</v>
      </c>
      <c r="F1270" s="528" t="s">
        <v>1646</v>
      </c>
      <c r="G1270" s="252">
        <f t="shared" si="21"/>
        <v>7.1</v>
      </c>
    </row>
    <row r="1271" spans="1:7" x14ac:dyDescent="0.3">
      <c r="A1271" s="524" t="s">
        <v>522</v>
      </c>
      <c r="B1271" s="524" t="s">
        <v>610</v>
      </c>
      <c r="C1271" s="525" t="s">
        <v>543</v>
      </c>
      <c r="D1271" s="524" t="s">
        <v>32</v>
      </c>
      <c r="E1271" s="524" t="s">
        <v>1677</v>
      </c>
      <c r="F1271" s="528" t="s">
        <v>1647</v>
      </c>
      <c r="G1271" s="252">
        <f t="shared" si="21"/>
        <v>9.11</v>
      </c>
    </row>
    <row r="1272" spans="1:7" x14ac:dyDescent="0.3">
      <c r="A1272" s="680" t="s">
        <v>1152</v>
      </c>
      <c r="B1272" s="681"/>
      <c r="C1272" s="681"/>
      <c r="D1272" s="681"/>
      <c r="E1272" s="681"/>
      <c r="F1272" s="682"/>
      <c r="G1272" s="527">
        <f>SUM(G1268:G1271)</f>
        <v>21.99</v>
      </c>
    </row>
    <row r="1273" spans="1:7" x14ac:dyDescent="0.3">
      <c r="A1273" s="683">
        <f>TRUNC(E1273*F1273,2)</f>
        <v>0</v>
      </c>
      <c r="B1273" s="684"/>
      <c r="C1273" s="684"/>
      <c r="D1273" s="684"/>
      <c r="E1273" s="684"/>
      <c r="F1273" s="684"/>
      <c r="G1273" s="685"/>
    </row>
    <row r="1274" spans="1:7" ht="28.8" x14ac:dyDescent="0.3">
      <c r="A1274" s="529" t="s">
        <v>243</v>
      </c>
      <c r="B1274" s="529">
        <v>91953</v>
      </c>
      <c r="C1274" s="530" t="s">
        <v>139</v>
      </c>
      <c r="D1274" s="529" t="s">
        <v>44</v>
      </c>
      <c r="E1274" s="252"/>
      <c r="F1274" s="531">
        <v>16.14</v>
      </c>
      <c r="G1274" s="252">
        <f t="shared" si="21"/>
        <v>0</v>
      </c>
    </row>
    <row r="1275" spans="1:7" ht="28.8" x14ac:dyDescent="0.3">
      <c r="A1275" s="524" t="s">
        <v>522</v>
      </c>
      <c r="B1275" s="524" t="s">
        <v>1885</v>
      </c>
      <c r="C1275" s="525" t="s">
        <v>1886</v>
      </c>
      <c r="D1275" s="524" t="s">
        <v>397</v>
      </c>
      <c r="E1275" s="524" t="s">
        <v>1122</v>
      </c>
      <c r="F1275" s="528" t="s">
        <v>1887</v>
      </c>
      <c r="G1275" s="252">
        <f t="shared" si="21"/>
        <v>4.82</v>
      </c>
    </row>
    <row r="1276" spans="1:7" ht="28.8" x14ac:dyDescent="0.3">
      <c r="A1276" s="524" t="s">
        <v>522</v>
      </c>
      <c r="B1276" s="524" t="s">
        <v>1888</v>
      </c>
      <c r="C1276" s="525" t="s">
        <v>1889</v>
      </c>
      <c r="D1276" s="524" t="s">
        <v>397</v>
      </c>
      <c r="E1276" s="524" t="s">
        <v>1122</v>
      </c>
      <c r="F1276" s="528" t="s">
        <v>1890</v>
      </c>
      <c r="G1276" s="252">
        <f t="shared" si="21"/>
        <v>11.32</v>
      </c>
    </row>
    <row r="1277" spans="1:7" x14ac:dyDescent="0.3">
      <c r="A1277" s="680" t="s">
        <v>1152</v>
      </c>
      <c r="B1277" s="681"/>
      <c r="C1277" s="681"/>
      <c r="D1277" s="681"/>
      <c r="E1277" s="681"/>
      <c r="F1277" s="682"/>
      <c r="G1277" s="252">
        <f>SUM(G1274:G1276)</f>
        <v>16.14</v>
      </c>
    </row>
    <row r="1278" spans="1:7" x14ac:dyDescent="0.3">
      <c r="A1278" s="683">
        <f>TRUNC(E1278*F1278,2)</f>
        <v>0</v>
      </c>
      <c r="B1278" s="684"/>
      <c r="C1278" s="684"/>
      <c r="D1278" s="684"/>
      <c r="E1278" s="684"/>
      <c r="F1278" s="684"/>
      <c r="G1278" s="685"/>
    </row>
    <row r="1279" spans="1:7" ht="28.8" x14ac:dyDescent="0.3">
      <c r="A1279" s="529" t="s">
        <v>244</v>
      </c>
      <c r="B1279" s="529">
        <v>91959</v>
      </c>
      <c r="C1279" s="530" t="s">
        <v>2445</v>
      </c>
      <c r="D1279" s="529" t="s">
        <v>44</v>
      </c>
      <c r="E1279" s="252"/>
      <c r="F1279" s="531">
        <v>25.5</v>
      </c>
      <c r="G1279" s="252">
        <f t="shared" si="21"/>
        <v>0</v>
      </c>
    </row>
    <row r="1280" spans="1:7" ht="28.8" x14ac:dyDescent="0.3">
      <c r="A1280" s="524" t="s">
        <v>522</v>
      </c>
      <c r="B1280" s="524" t="s">
        <v>1885</v>
      </c>
      <c r="C1280" s="525" t="s">
        <v>1886</v>
      </c>
      <c r="D1280" s="524" t="s">
        <v>397</v>
      </c>
      <c r="E1280" s="524" t="s">
        <v>1122</v>
      </c>
      <c r="F1280" s="528" t="s">
        <v>1887</v>
      </c>
      <c r="G1280" s="252">
        <f t="shared" si="21"/>
        <v>4.82</v>
      </c>
    </row>
    <row r="1281" spans="1:7" ht="28.8" x14ac:dyDescent="0.3">
      <c r="A1281" s="524" t="s">
        <v>522</v>
      </c>
      <c r="B1281" s="524" t="s">
        <v>1891</v>
      </c>
      <c r="C1281" s="525" t="s">
        <v>1892</v>
      </c>
      <c r="D1281" s="524" t="s">
        <v>397</v>
      </c>
      <c r="E1281" s="524" t="s">
        <v>1122</v>
      </c>
      <c r="F1281" s="528" t="s">
        <v>1893</v>
      </c>
      <c r="G1281" s="252">
        <f t="shared" si="21"/>
        <v>20.68</v>
      </c>
    </row>
    <row r="1282" spans="1:7" x14ac:dyDescent="0.3">
      <c r="A1282" s="680" t="s">
        <v>1152</v>
      </c>
      <c r="B1282" s="681"/>
      <c r="C1282" s="681"/>
      <c r="D1282" s="681"/>
      <c r="E1282" s="681"/>
      <c r="F1282" s="682"/>
      <c r="G1282" s="252">
        <f>SUM(G1279:G1281)</f>
        <v>25.5</v>
      </c>
    </row>
    <row r="1283" spans="1:7" x14ac:dyDescent="0.3">
      <c r="A1283" s="683">
        <f>TRUNC(E1283*F1283,2)</f>
        <v>0</v>
      </c>
      <c r="B1283" s="684"/>
      <c r="C1283" s="684"/>
      <c r="D1283" s="684"/>
      <c r="E1283" s="684"/>
      <c r="F1283" s="684"/>
      <c r="G1283" s="685"/>
    </row>
    <row r="1284" spans="1:7" ht="28.8" x14ac:dyDescent="0.3">
      <c r="A1284" s="529" t="s">
        <v>368</v>
      </c>
      <c r="B1284" s="529">
        <v>93653</v>
      </c>
      <c r="C1284" s="530" t="s">
        <v>141</v>
      </c>
      <c r="D1284" s="529" t="s">
        <v>44</v>
      </c>
      <c r="E1284" s="252"/>
      <c r="F1284" s="531">
        <v>9.3699999999999992</v>
      </c>
      <c r="G1284" s="252">
        <f t="shared" si="21"/>
        <v>0</v>
      </c>
    </row>
    <row r="1285" spans="1:7" ht="28.8" x14ac:dyDescent="0.3">
      <c r="A1285" s="524" t="s">
        <v>508</v>
      </c>
      <c r="B1285" s="524" t="s">
        <v>1894</v>
      </c>
      <c r="C1285" s="525" t="s">
        <v>1895</v>
      </c>
      <c r="D1285" s="524" t="s">
        <v>397</v>
      </c>
      <c r="E1285" s="524" t="s">
        <v>1122</v>
      </c>
      <c r="F1285" s="528" t="s">
        <v>1896</v>
      </c>
      <c r="G1285" s="252">
        <f t="shared" si="21"/>
        <v>0.69</v>
      </c>
    </row>
    <row r="1286" spans="1:7" x14ac:dyDescent="0.3">
      <c r="A1286" s="524" t="s">
        <v>508</v>
      </c>
      <c r="B1286" s="524" t="s">
        <v>1897</v>
      </c>
      <c r="C1286" s="525" t="s">
        <v>1898</v>
      </c>
      <c r="D1286" s="524" t="s">
        <v>397</v>
      </c>
      <c r="E1286" s="524" t="s">
        <v>1122</v>
      </c>
      <c r="F1286" s="528" t="s">
        <v>1899</v>
      </c>
      <c r="G1286" s="252">
        <f t="shared" si="21"/>
        <v>7.54</v>
      </c>
    </row>
    <row r="1287" spans="1:7" x14ac:dyDescent="0.3">
      <c r="A1287" s="524" t="s">
        <v>522</v>
      </c>
      <c r="B1287" s="524" t="s">
        <v>611</v>
      </c>
      <c r="C1287" s="525" t="s">
        <v>546</v>
      </c>
      <c r="D1287" s="524" t="s">
        <v>32</v>
      </c>
      <c r="E1287" s="524" t="s">
        <v>1900</v>
      </c>
      <c r="F1287" s="528" t="s">
        <v>1646</v>
      </c>
      <c r="G1287" s="252">
        <f t="shared" si="21"/>
        <v>0.5</v>
      </c>
    </row>
    <row r="1288" spans="1:7" x14ac:dyDescent="0.3">
      <c r="A1288" s="524" t="s">
        <v>522</v>
      </c>
      <c r="B1288" s="524" t="s">
        <v>610</v>
      </c>
      <c r="C1288" s="525" t="s">
        <v>543</v>
      </c>
      <c r="D1288" s="524" t="s">
        <v>32</v>
      </c>
      <c r="E1288" s="524" t="s">
        <v>1900</v>
      </c>
      <c r="F1288" s="528" t="s">
        <v>1647</v>
      </c>
      <c r="G1288" s="252">
        <f t="shared" si="21"/>
        <v>0.64</v>
      </c>
    </row>
    <row r="1289" spans="1:7" x14ac:dyDescent="0.3">
      <c r="A1289" s="680" t="s">
        <v>1152</v>
      </c>
      <c r="B1289" s="681"/>
      <c r="C1289" s="681"/>
      <c r="D1289" s="681"/>
      <c r="E1289" s="681"/>
      <c r="F1289" s="682"/>
      <c r="G1289" s="252">
        <f>SUM(G1284:G1288)</f>
        <v>9.370000000000001</v>
      </c>
    </row>
    <row r="1290" spans="1:7" x14ac:dyDescent="0.3">
      <c r="A1290" s="683">
        <f>TRUNC(E1290*F1290,2)</f>
        <v>0</v>
      </c>
      <c r="B1290" s="684"/>
      <c r="C1290" s="684"/>
      <c r="D1290" s="684"/>
      <c r="E1290" s="684"/>
      <c r="F1290" s="684"/>
      <c r="G1290" s="685"/>
    </row>
    <row r="1291" spans="1:7" ht="28.8" x14ac:dyDescent="0.3">
      <c r="A1291" s="529" t="s">
        <v>339</v>
      </c>
      <c r="B1291" s="529">
        <v>93655</v>
      </c>
      <c r="C1291" s="530" t="s">
        <v>142</v>
      </c>
      <c r="D1291" s="529" t="s">
        <v>44</v>
      </c>
      <c r="E1291" s="252"/>
      <c r="F1291" s="531">
        <v>10.59</v>
      </c>
      <c r="G1291" s="252">
        <f t="shared" si="21"/>
        <v>0</v>
      </c>
    </row>
    <row r="1292" spans="1:7" ht="28.8" x14ac:dyDescent="0.3">
      <c r="A1292" s="524" t="s">
        <v>508</v>
      </c>
      <c r="B1292" s="524" t="s">
        <v>1901</v>
      </c>
      <c r="C1292" s="525" t="s">
        <v>1902</v>
      </c>
      <c r="D1292" s="524" t="s">
        <v>397</v>
      </c>
      <c r="E1292" s="524" t="s">
        <v>1122</v>
      </c>
      <c r="F1292" s="528" t="s">
        <v>1903</v>
      </c>
      <c r="G1292" s="252">
        <f t="shared" si="21"/>
        <v>0.9</v>
      </c>
    </row>
    <row r="1293" spans="1:7" x14ac:dyDescent="0.3">
      <c r="A1293" s="524" t="s">
        <v>508</v>
      </c>
      <c r="B1293" s="524" t="s">
        <v>1897</v>
      </c>
      <c r="C1293" s="525" t="s">
        <v>1898</v>
      </c>
      <c r="D1293" s="524" t="s">
        <v>397</v>
      </c>
      <c r="E1293" s="524" t="s">
        <v>1122</v>
      </c>
      <c r="F1293" s="528" t="s">
        <v>1899</v>
      </c>
      <c r="G1293" s="252">
        <f t="shared" si="21"/>
        <v>7.54</v>
      </c>
    </row>
    <row r="1294" spans="1:7" x14ac:dyDescent="0.3">
      <c r="A1294" s="524" t="s">
        <v>522</v>
      </c>
      <c r="B1294" s="524" t="s">
        <v>611</v>
      </c>
      <c r="C1294" s="525" t="s">
        <v>546</v>
      </c>
      <c r="D1294" s="524" t="s">
        <v>32</v>
      </c>
      <c r="E1294" s="524" t="s">
        <v>1904</v>
      </c>
      <c r="F1294" s="528" t="s">
        <v>1646</v>
      </c>
      <c r="G1294" s="252">
        <f t="shared" si="21"/>
        <v>0.94</v>
      </c>
    </row>
    <row r="1295" spans="1:7" x14ac:dyDescent="0.3">
      <c r="A1295" s="524" t="s">
        <v>522</v>
      </c>
      <c r="B1295" s="524" t="s">
        <v>610</v>
      </c>
      <c r="C1295" s="525" t="s">
        <v>543</v>
      </c>
      <c r="D1295" s="524" t="s">
        <v>32</v>
      </c>
      <c r="E1295" s="524" t="s">
        <v>1904</v>
      </c>
      <c r="F1295" s="528" t="s">
        <v>1647</v>
      </c>
      <c r="G1295" s="252">
        <f t="shared" si="21"/>
        <v>1.21</v>
      </c>
    </row>
    <row r="1296" spans="1:7" x14ac:dyDescent="0.3">
      <c r="A1296" s="680" t="s">
        <v>1152</v>
      </c>
      <c r="B1296" s="681"/>
      <c r="C1296" s="681"/>
      <c r="D1296" s="681"/>
      <c r="E1296" s="681"/>
      <c r="F1296" s="682"/>
      <c r="G1296" s="252">
        <f>SUM(G1291:G1295)</f>
        <v>10.59</v>
      </c>
    </row>
    <row r="1297" spans="1:7" x14ac:dyDescent="0.3">
      <c r="A1297" s="683">
        <f>TRUNC(E1297*F1297,2)</f>
        <v>0</v>
      </c>
      <c r="B1297" s="684"/>
      <c r="C1297" s="684"/>
      <c r="D1297" s="684"/>
      <c r="E1297" s="684"/>
      <c r="F1297" s="684"/>
      <c r="G1297" s="685"/>
    </row>
    <row r="1298" spans="1:7" ht="28.8" x14ac:dyDescent="0.3">
      <c r="A1298" s="529" t="s">
        <v>340</v>
      </c>
      <c r="B1298" s="529">
        <v>93657</v>
      </c>
      <c r="C1298" s="530" t="s">
        <v>143</v>
      </c>
      <c r="D1298" s="529" t="s">
        <v>44</v>
      </c>
      <c r="E1298" s="252"/>
      <c r="F1298" s="531">
        <v>11.59</v>
      </c>
      <c r="G1298" s="252">
        <f t="shared" si="21"/>
        <v>0</v>
      </c>
    </row>
    <row r="1299" spans="1:7" ht="28.8" x14ac:dyDescent="0.3">
      <c r="A1299" s="524" t="s">
        <v>508</v>
      </c>
      <c r="B1299" s="524" t="s">
        <v>1905</v>
      </c>
      <c r="C1299" s="525" t="s">
        <v>1906</v>
      </c>
      <c r="D1299" s="524" t="s">
        <v>397</v>
      </c>
      <c r="E1299" s="524" t="s">
        <v>1122</v>
      </c>
      <c r="F1299" s="528" t="s">
        <v>1907</v>
      </c>
      <c r="G1299" s="252">
        <f t="shared" si="21"/>
        <v>1.08</v>
      </c>
    </row>
    <row r="1300" spans="1:7" x14ac:dyDescent="0.3">
      <c r="A1300" s="524" t="s">
        <v>508</v>
      </c>
      <c r="B1300" s="524" t="s">
        <v>1897</v>
      </c>
      <c r="C1300" s="525" t="s">
        <v>1898</v>
      </c>
      <c r="D1300" s="524" t="s">
        <v>397</v>
      </c>
      <c r="E1300" s="524" t="s">
        <v>1122</v>
      </c>
      <c r="F1300" s="528" t="s">
        <v>1899</v>
      </c>
      <c r="G1300" s="252">
        <f t="shared" si="21"/>
        <v>7.54</v>
      </c>
    </row>
    <row r="1301" spans="1:7" x14ac:dyDescent="0.3">
      <c r="A1301" s="524" t="s">
        <v>522</v>
      </c>
      <c r="B1301" s="524" t="s">
        <v>611</v>
      </c>
      <c r="C1301" s="525" t="s">
        <v>546</v>
      </c>
      <c r="D1301" s="524" t="s">
        <v>32</v>
      </c>
      <c r="E1301" s="524" t="s">
        <v>1908</v>
      </c>
      <c r="F1301" s="528" t="s">
        <v>1646</v>
      </c>
      <c r="G1301" s="252">
        <f t="shared" si="21"/>
        <v>1.3</v>
      </c>
    </row>
    <row r="1302" spans="1:7" x14ac:dyDescent="0.3">
      <c r="A1302" s="524" t="s">
        <v>522</v>
      </c>
      <c r="B1302" s="524" t="s">
        <v>610</v>
      </c>
      <c r="C1302" s="525" t="s">
        <v>543</v>
      </c>
      <c r="D1302" s="524" t="s">
        <v>32</v>
      </c>
      <c r="E1302" s="524" t="s">
        <v>1908</v>
      </c>
      <c r="F1302" s="528" t="s">
        <v>1647</v>
      </c>
      <c r="G1302" s="252">
        <f t="shared" si="21"/>
        <v>1.67</v>
      </c>
    </row>
    <row r="1303" spans="1:7" x14ac:dyDescent="0.3">
      <c r="A1303" s="680" t="s">
        <v>1152</v>
      </c>
      <c r="B1303" s="681"/>
      <c r="C1303" s="681"/>
      <c r="D1303" s="681"/>
      <c r="E1303" s="681"/>
      <c r="F1303" s="682"/>
      <c r="G1303" s="252">
        <f>SUM(G1298:G1302)</f>
        <v>11.590000000000002</v>
      </c>
    </row>
    <row r="1304" spans="1:7" x14ac:dyDescent="0.3">
      <c r="A1304" s="683">
        <f>TRUNC(E1304*F1304,2)</f>
        <v>0</v>
      </c>
      <c r="B1304" s="684"/>
      <c r="C1304" s="684"/>
      <c r="D1304" s="684"/>
      <c r="E1304" s="684"/>
      <c r="F1304" s="684"/>
      <c r="G1304" s="685"/>
    </row>
    <row r="1305" spans="1:7" ht="28.8" x14ac:dyDescent="0.3">
      <c r="A1305" s="529" t="s">
        <v>343</v>
      </c>
      <c r="B1305" s="529">
        <v>93660</v>
      </c>
      <c r="C1305" s="530" t="s">
        <v>144</v>
      </c>
      <c r="D1305" s="529" t="s">
        <v>44</v>
      </c>
      <c r="E1305" s="252"/>
      <c r="F1305" s="531">
        <v>46.9</v>
      </c>
      <c r="G1305" s="252">
        <f t="shared" si="21"/>
        <v>0</v>
      </c>
    </row>
    <row r="1306" spans="1:7" ht="28.8" x14ac:dyDescent="0.3">
      <c r="A1306" s="524" t="s">
        <v>508</v>
      </c>
      <c r="B1306" s="524" t="s">
        <v>1894</v>
      </c>
      <c r="C1306" s="525" t="s">
        <v>1895</v>
      </c>
      <c r="D1306" s="524" t="s">
        <v>397</v>
      </c>
      <c r="E1306" s="524" t="s">
        <v>1523</v>
      </c>
      <c r="F1306" s="528" t="s">
        <v>1896</v>
      </c>
      <c r="G1306" s="252">
        <f t="shared" si="21"/>
        <v>1.38</v>
      </c>
    </row>
    <row r="1307" spans="1:7" x14ac:dyDescent="0.3">
      <c r="A1307" s="524" t="s">
        <v>508</v>
      </c>
      <c r="B1307" s="524" t="s">
        <v>1909</v>
      </c>
      <c r="C1307" s="525" t="s">
        <v>1910</v>
      </c>
      <c r="D1307" s="524" t="s">
        <v>397</v>
      </c>
      <c r="E1307" s="524" t="s">
        <v>1122</v>
      </c>
      <c r="F1307" s="528" t="s">
        <v>1911</v>
      </c>
      <c r="G1307" s="252">
        <f t="shared" si="21"/>
        <v>43.24</v>
      </c>
    </row>
    <row r="1308" spans="1:7" x14ac:dyDescent="0.3">
      <c r="A1308" s="524" t="s">
        <v>522</v>
      </c>
      <c r="B1308" s="524" t="s">
        <v>611</v>
      </c>
      <c r="C1308" s="525" t="s">
        <v>546</v>
      </c>
      <c r="D1308" s="524" t="s">
        <v>32</v>
      </c>
      <c r="E1308" s="524" t="s">
        <v>1728</v>
      </c>
      <c r="F1308" s="528" t="s">
        <v>1646</v>
      </c>
      <c r="G1308" s="252">
        <f t="shared" si="21"/>
        <v>1</v>
      </c>
    </row>
    <row r="1309" spans="1:7" x14ac:dyDescent="0.3">
      <c r="A1309" s="524" t="s">
        <v>522</v>
      </c>
      <c r="B1309" s="524" t="s">
        <v>610</v>
      </c>
      <c r="C1309" s="525" t="s">
        <v>543</v>
      </c>
      <c r="D1309" s="524" t="s">
        <v>32</v>
      </c>
      <c r="E1309" s="524" t="s">
        <v>1728</v>
      </c>
      <c r="F1309" s="528" t="s">
        <v>1647</v>
      </c>
      <c r="G1309" s="252">
        <f t="shared" si="21"/>
        <v>1.28</v>
      </c>
    </row>
    <row r="1310" spans="1:7" x14ac:dyDescent="0.3">
      <c r="A1310" s="680" t="s">
        <v>1152</v>
      </c>
      <c r="B1310" s="681"/>
      <c r="C1310" s="681"/>
      <c r="D1310" s="681"/>
      <c r="E1310" s="681"/>
      <c r="F1310" s="682"/>
      <c r="G1310" s="252">
        <f>SUM(G1305:G1309)</f>
        <v>46.900000000000006</v>
      </c>
    </row>
    <row r="1311" spans="1:7" x14ac:dyDescent="0.3">
      <c r="A1311" s="683">
        <f>TRUNC(E1311*F1311,2)</f>
        <v>0</v>
      </c>
      <c r="B1311" s="684"/>
      <c r="C1311" s="684"/>
      <c r="D1311" s="684"/>
      <c r="E1311" s="684"/>
      <c r="F1311" s="684"/>
      <c r="G1311" s="685"/>
    </row>
    <row r="1312" spans="1:7" ht="28.8" x14ac:dyDescent="0.3">
      <c r="A1312" s="529" t="s">
        <v>346</v>
      </c>
      <c r="B1312" s="529">
        <v>93662</v>
      </c>
      <c r="C1312" s="530" t="s">
        <v>145</v>
      </c>
      <c r="D1312" s="529" t="s">
        <v>44</v>
      </c>
      <c r="E1312" s="252"/>
      <c r="F1312" s="531">
        <v>49.38</v>
      </c>
      <c r="G1312" s="252">
        <f t="shared" si="21"/>
        <v>0</v>
      </c>
    </row>
    <row r="1313" spans="1:7" ht="28.8" x14ac:dyDescent="0.3">
      <c r="A1313" s="524" t="s">
        <v>508</v>
      </c>
      <c r="B1313" s="524" t="s">
        <v>1901</v>
      </c>
      <c r="C1313" s="525" t="s">
        <v>1902</v>
      </c>
      <c r="D1313" s="524" t="s">
        <v>397</v>
      </c>
      <c r="E1313" s="524" t="s">
        <v>1523</v>
      </c>
      <c r="F1313" s="528" t="s">
        <v>1903</v>
      </c>
      <c r="G1313" s="252">
        <f t="shared" si="21"/>
        <v>1.8</v>
      </c>
    </row>
    <row r="1314" spans="1:7" x14ac:dyDescent="0.3">
      <c r="A1314" s="524" t="s">
        <v>508</v>
      </c>
      <c r="B1314" s="524" t="s">
        <v>1909</v>
      </c>
      <c r="C1314" s="525" t="s">
        <v>1910</v>
      </c>
      <c r="D1314" s="524" t="s">
        <v>397</v>
      </c>
      <c r="E1314" s="524" t="s">
        <v>1122</v>
      </c>
      <c r="F1314" s="528" t="s">
        <v>1911</v>
      </c>
      <c r="G1314" s="252">
        <f t="shared" si="21"/>
        <v>43.24</v>
      </c>
    </row>
    <row r="1315" spans="1:7" x14ac:dyDescent="0.3">
      <c r="A1315" s="524" t="s">
        <v>522</v>
      </c>
      <c r="B1315" s="524" t="s">
        <v>611</v>
      </c>
      <c r="C1315" s="525" t="s">
        <v>546</v>
      </c>
      <c r="D1315" s="524" t="s">
        <v>32</v>
      </c>
      <c r="E1315" s="524" t="s">
        <v>1912</v>
      </c>
      <c r="F1315" s="528" t="s">
        <v>1646</v>
      </c>
      <c r="G1315" s="252">
        <f t="shared" si="21"/>
        <v>1.9</v>
      </c>
    </row>
    <row r="1316" spans="1:7" x14ac:dyDescent="0.3">
      <c r="A1316" s="524" t="s">
        <v>522</v>
      </c>
      <c r="B1316" s="524" t="s">
        <v>610</v>
      </c>
      <c r="C1316" s="525" t="s">
        <v>543</v>
      </c>
      <c r="D1316" s="524" t="s">
        <v>32</v>
      </c>
      <c r="E1316" s="524" t="s">
        <v>1912</v>
      </c>
      <c r="F1316" s="528" t="s">
        <v>1647</v>
      </c>
      <c r="G1316" s="252">
        <f t="shared" si="21"/>
        <v>2.44</v>
      </c>
    </row>
    <row r="1317" spans="1:7" x14ac:dyDescent="0.3">
      <c r="A1317" s="680" t="s">
        <v>1152</v>
      </c>
      <c r="B1317" s="681"/>
      <c r="C1317" s="681"/>
      <c r="D1317" s="681"/>
      <c r="E1317" s="681"/>
      <c r="F1317" s="682"/>
      <c r="G1317" s="252">
        <f>SUM(G1312:G1316)</f>
        <v>49.379999999999995</v>
      </c>
    </row>
    <row r="1318" spans="1:7" x14ac:dyDescent="0.3">
      <c r="A1318" s="683">
        <f>TRUNC(E1318*F1318,2)</f>
        <v>0</v>
      </c>
      <c r="B1318" s="684"/>
      <c r="C1318" s="684"/>
      <c r="D1318" s="684"/>
      <c r="E1318" s="684"/>
      <c r="F1318" s="684"/>
      <c r="G1318" s="685"/>
    </row>
    <row r="1319" spans="1:7" ht="28.8" x14ac:dyDescent="0.3">
      <c r="A1319" s="529" t="s">
        <v>245</v>
      </c>
      <c r="B1319" s="529">
        <v>93664</v>
      </c>
      <c r="C1319" s="530" t="s">
        <v>146</v>
      </c>
      <c r="D1319" s="529" t="s">
        <v>44</v>
      </c>
      <c r="E1319" s="252"/>
      <c r="F1319" s="531">
        <v>51.34</v>
      </c>
      <c r="G1319" s="252">
        <f t="shared" si="21"/>
        <v>0</v>
      </c>
    </row>
    <row r="1320" spans="1:7" ht="28.8" x14ac:dyDescent="0.3">
      <c r="A1320" s="524" t="s">
        <v>508</v>
      </c>
      <c r="B1320" s="524" t="s">
        <v>1905</v>
      </c>
      <c r="C1320" s="525" t="s">
        <v>1906</v>
      </c>
      <c r="D1320" s="524" t="s">
        <v>397</v>
      </c>
      <c r="E1320" s="524" t="s">
        <v>1523</v>
      </c>
      <c r="F1320" s="528" t="s">
        <v>1907</v>
      </c>
      <c r="G1320" s="252">
        <f t="shared" si="21"/>
        <v>2.16</v>
      </c>
    </row>
    <row r="1321" spans="1:7" x14ac:dyDescent="0.3">
      <c r="A1321" s="524" t="s">
        <v>508</v>
      </c>
      <c r="B1321" s="524" t="s">
        <v>1909</v>
      </c>
      <c r="C1321" s="525" t="s">
        <v>1910</v>
      </c>
      <c r="D1321" s="524" t="s">
        <v>397</v>
      </c>
      <c r="E1321" s="524" t="s">
        <v>1122</v>
      </c>
      <c r="F1321" s="528" t="s">
        <v>1911</v>
      </c>
      <c r="G1321" s="252">
        <f t="shared" si="21"/>
        <v>43.24</v>
      </c>
    </row>
    <row r="1322" spans="1:7" x14ac:dyDescent="0.3">
      <c r="A1322" s="524" t="s">
        <v>522</v>
      </c>
      <c r="B1322" s="524" t="s">
        <v>611</v>
      </c>
      <c r="C1322" s="525" t="s">
        <v>546</v>
      </c>
      <c r="D1322" s="524" t="s">
        <v>32</v>
      </c>
      <c r="E1322" s="524" t="s">
        <v>1082</v>
      </c>
      <c r="F1322" s="528" t="s">
        <v>1646</v>
      </c>
      <c r="G1322" s="252">
        <f t="shared" si="21"/>
        <v>2.6</v>
      </c>
    </row>
    <row r="1323" spans="1:7" x14ac:dyDescent="0.3">
      <c r="A1323" s="524" t="s">
        <v>522</v>
      </c>
      <c r="B1323" s="524" t="s">
        <v>610</v>
      </c>
      <c r="C1323" s="525" t="s">
        <v>543</v>
      </c>
      <c r="D1323" s="524" t="s">
        <v>32</v>
      </c>
      <c r="E1323" s="524" t="s">
        <v>1082</v>
      </c>
      <c r="F1323" s="528" t="s">
        <v>1647</v>
      </c>
      <c r="G1323" s="252">
        <f t="shared" si="21"/>
        <v>3.34</v>
      </c>
    </row>
    <row r="1324" spans="1:7" x14ac:dyDescent="0.3">
      <c r="A1324" s="680" t="s">
        <v>1152</v>
      </c>
      <c r="B1324" s="681"/>
      <c r="C1324" s="681"/>
      <c r="D1324" s="681"/>
      <c r="E1324" s="681"/>
      <c r="F1324" s="682"/>
      <c r="G1324" s="252">
        <f>SUM(G1319:G1323)</f>
        <v>51.34</v>
      </c>
    </row>
    <row r="1325" spans="1:7" x14ac:dyDescent="0.3">
      <c r="A1325" s="683">
        <f>TRUNC(E1325*F1325,2)</f>
        <v>0</v>
      </c>
      <c r="B1325" s="684"/>
      <c r="C1325" s="684"/>
      <c r="D1325" s="684"/>
      <c r="E1325" s="684"/>
      <c r="F1325" s="684"/>
      <c r="G1325" s="685"/>
    </row>
    <row r="1326" spans="1:7" ht="28.8" x14ac:dyDescent="0.3">
      <c r="A1326" s="529" t="s">
        <v>246</v>
      </c>
      <c r="B1326" s="529">
        <v>93673</v>
      </c>
      <c r="C1326" s="530" t="s">
        <v>147</v>
      </c>
      <c r="D1326" s="529" t="s">
        <v>44</v>
      </c>
      <c r="E1326" s="252"/>
      <c r="F1326" s="531">
        <v>75.680000000000007</v>
      </c>
      <c r="G1326" s="252">
        <f t="shared" si="21"/>
        <v>0</v>
      </c>
    </row>
    <row r="1327" spans="1:7" ht="28.8" x14ac:dyDescent="0.3">
      <c r="A1327" s="524" t="s">
        <v>508</v>
      </c>
      <c r="B1327" s="524" t="s">
        <v>1913</v>
      </c>
      <c r="C1327" s="525" t="s">
        <v>1914</v>
      </c>
      <c r="D1327" s="524" t="s">
        <v>397</v>
      </c>
      <c r="E1327" s="524" t="s">
        <v>1915</v>
      </c>
      <c r="F1327" s="528" t="s">
        <v>1916</v>
      </c>
      <c r="G1327" s="252">
        <f t="shared" si="21"/>
        <v>4.1399999999999997</v>
      </c>
    </row>
    <row r="1328" spans="1:7" x14ac:dyDescent="0.3">
      <c r="A1328" s="524" t="s">
        <v>508</v>
      </c>
      <c r="B1328" s="524" t="s">
        <v>1917</v>
      </c>
      <c r="C1328" s="525" t="s">
        <v>1918</v>
      </c>
      <c r="D1328" s="524" t="s">
        <v>397</v>
      </c>
      <c r="E1328" s="524" t="s">
        <v>1122</v>
      </c>
      <c r="F1328" s="528" t="s">
        <v>1919</v>
      </c>
      <c r="G1328" s="252">
        <f t="shared" si="21"/>
        <v>52.98</v>
      </c>
    </row>
    <row r="1329" spans="1:7" x14ac:dyDescent="0.3">
      <c r="A1329" s="524" t="s">
        <v>522</v>
      </c>
      <c r="B1329" s="524" t="s">
        <v>611</v>
      </c>
      <c r="C1329" s="525" t="s">
        <v>546</v>
      </c>
      <c r="D1329" s="524" t="s">
        <v>32</v>
      </c>
      <c r="E1329" s="524" t="s">
        <v>1920</v>
      </c>
      <c r="F1329" s="528" t="s">
        <v>1646</v>
      </c>
      <c r="G1329" s="252">
        <f t="shared" si="21"/>
        <v>8.1300000000000008</v>
      </c>
    </row>
    <row r="1330" spans="1:7" x14ac:dyDescent="0.3">
      <c r="A1330" s="524" t="s">
        <v>522</v>
      </c>
      <c r="B1330" s="524" t="s">
        <v>610</v>
      </c>
      <c r="C1330" s="525" t="s">
        <v>543</v>
      </c>
      <c r="D1330" s="524" t="s">
        <v>32</v>
      </c>
      <c r="E1330" s="524" t="s">
        <v>1920</v>
      </c>
      <c r="F1330" s="528" t="s">
        <v>1647</v>
      </c>
      <c r="G1330" s="252">
        <f t="shared" si="21"/>
        <v>10.43</v>
      </c>
    </row>
    <row r="1331" spans="1:7" x14ac:dyDescent="0.3">
      <c r="A1331" s="680" t="s">
        <v>1152</v>
      </c>
      <c r="B1331" s="681"/>
      <c r="C1331" s="681"/>
      <c r="D1331" s="681"/>
      <c r="E1331" s="681"/>
      <c r="F1331" s="682"/>
      <c r="G1331" s="252">
        <f>SUM(G1326:G1330)</f>
        <v>75.680000000000007</v>
      </c>
    </row>
    <row r="1332" spans="1:7" x14ac:dyDescent="0.3">
      <c r="A1332" s="683">
        <f>TRUNC(E1332*F1332,2)</f>
        <v>0</v>
      </c>
      <c r="B1332" s="684"/>
      <c r="C1332" s="684"/>
      <c r="D1332" s="684"/>
      <c r="E1332" s="684"/>
      <c r="F1332" s="684"/>
      <c r="G1332" s="685"/>
    </row>
    <row r="1333" spans="1:7" ht="28.8" x14ac:dyDescent="0.3">
      <c r="A1333" s="529" t="s">
        <v>247</v>
      </c>
      <c r="B1333" s="529">
        <v>93667</v>
      </c>
      <c r="C1333" s="530" t="s">
        <v>148</v>
      </c>
      <c r="D1333" s="529" t="s">
        <v>44</v>
      </c>
      <c r="E1333" s="252"/>
      <c r="F1333" s="531">
        <v>58.47</v>
      </c>
      <c r="G1333" s="252">
        <f t="shared" si="21"/>
        <v>0</v>
      </c>
    </row>
    <row r="1334" spans="1:7" ht="28.8" x14ac:dyDescent="0.3">
      <c r="A1334" s="524" t="s">
        <v>508</v>
      </c>
      <c r="B1334" s="524" t="s">
        <v>1894</v>
      </c>
      <c r="C1334" s="525" t="s">
        <v>1895</v>
      </c>
      <c r="D1334" s="524" t="s">
        <v>397</v>
      </c>
      <c r="E1334" s="524" t="s">
        <v>1915</v>
      </c>
      <c r="F1334" s="528" t="s">
        <v>1896</v>
      </c>
      <c r="G1334" s="252">
        <f t="shared" si="21"/>
        <v>2.0699999999999998</v>
      </c>
    </row>
    <row r="1335" spans="1:7" x14ac:dyDescent="0.3">
      <c r="A1335" s="524" t="s">
        <v>508</v>
      </c>
      <c r="B1335" s="524" t="s">
        <v>1917</v>
      </c>
      <c r="C1335" s="525" t="s">
        <v>1918</v>
      </c>
      <c r="D1335" s="524" t="s">
        <v>397</v>
      </c>
      <c r="E1335" s="524" t="s">
        <v>1122</v>
      </c>
      <c r="F1335" s="528" t="s">
        <v>1919</v>
      </c>
      <c r="G1335" s="252">
        <f t="shared" si="21"/>
        <v>52.98</v>
      </c>
    </row>
    <row r="1336" spans="1:7" x14ac:dyDescent="0.3">
      <c r="A1336" s="524" t="s">
        <v>522</v>
      </c>
      <c r="B1336" s="524" t="s">
        <v>611</v>
      </c>
      <c r="C1336" s="525" t="s">
        <v>546</v>
      </c>
      <c r="D1336" s="524" t="s">
        <v>32</v>
      </c>
      <c r="E1336" s="524" t="s">
        <v>1921</v>
      </c>
      <c r="F1336" s="528" t="s">
        <v>1646</v>
      </c>
      <c r="G1336" s="252">
        <f t="shared" si="21"/>
        <v>1.5</v>
      </c>
    </row>
    <row r="1337" spans="1:7" x14ac:dyDescent="0.3">
      <c r="A1337" s="524" t="s">
        <v>522</v>
      </c>
      <c r="B1337" s="524" t="s">
        <v>610</v>
      </c>
      <c r="C1337" s="525" t="s">
        <v>543</v>
      </c>
      <c r="D1337" s="524" t="s">
        <v>32</v>
      </c>
      <c r="E1337" s="524" t="s">
        <v>1921</v>
      </c>
      <c r="F1337" s="528" t="s">
        <v>1647</v>
      </c>
      <c r="G1337" s="252">
        <f t="shared" si="21"/>
        <v>1.92</v>
      </c>
    </row>
    <row r="1338" spans="1:7" x14ac:dyDescent="0.3">
      <c r="A1338" s="680" t="s">
        <v>1152</v>
      </c>
      <c r="B1338" s="681"/>
      <c r="C1338" s="681"/>
      <c r="D1338" s="681"/>
      <c r="E1338" s="681"/>
      <c r="F1338" s="682"/>
      <c r="G1338" s="252">
        <f>SUM(G1333:G1337)</f>
        <v>58.47</v>
      </c>
    </row>
    <row r="1339" spans="1:7" x14ac:dyDescent="0.3">
      <c r="A1339" s="683">
        <f>TRUNC(E1339*F1339,2)</f>
        <v>0</v>
      </c>
      <c r="B1339" s="684"/>
      <c r="C1339" s="684"/>
      <c r="D1339" s="684"/>
      <c r="E1339" s="684"/>
      <c r="F1339" s="684"/>
      <c r="G1339" s="685"/>
    </row>
    <row r="1340" spans="1:7" ht="28.8" x14ac:dyDescent="0.3">
      <c r="A1340" s="529" t="s">
        <v>248</v>
      </c>
      <c r="B1340" s="529">
        <v>93669</v>
      </c>
      <c r="C1340" s="530" t="s">
        <v>149</v>
      </c>
      <c r="D1340" s="529" t="s">
        <v>44</v>
      </c>
      <c r="E1340" s="252"/>
      <c r="F1340" s="531">
        <v>62.18</v>
      </c>
      <c r="G1340" s="252">
        <f t="shared" si="21"/>
        <v>0</v>
      </c>
    </row>
    <row r="1341" spans="1:7" ht="28.8" x14ac:dyDescent="0.3">
      <c r="A1341" s="524" t="s">
        <v>508</v>
      </c>
      <c r="B1341" s="524" t="s">
        <v>1901</v>
      </c>
      <c r="C1341" s="525" t="s">
        <v>1902</v>
      </c>
      <c r="D1341" s="524" t="s">
        <v>397</v>
      </c>
      <c r="E1341" s="524" t="s">
        <v>1915</v>
      </c>
      <c r="F1341" s="528" t="s">
        <v>1903</v>
      </c>
      <c r="G1341" s="252">
        <f t="shared" si="21"/>
        <v>2.7</v>
      </c>
    </row>
    <row r="1342" spans="1:7" x14ac:dyDescent="0.3">
      <c r="A1342" s="524" t="s">
        <v>508</v>
      </c>
      <c r="B1342" s="524" t="s">
        <v>1917</v>
      </c>
      <c r="C1342" s="525" t="s">
        <v>1918</v>
      </c>
      <c r="D1342" s="524" t="s">
        <v>397</v>
      </c>
      <c r="E1342" s="524" t="s">
        <v>1122</v>
      </c>
      <c r="F1342" s="528" t="s">
        <v>1919</v>
      </c>
      <c r="G1342" s="252">
        <f t="shared" si="21"/>
        <v>52.98</v>
      </c>
    </row>
    <row r="1343" spans="1:7" x14ac:dyDescent="0.3">
      <c r="A1343" s="524" t="s">
        <v>522</v>
      </c>
      <c r="B1343" s="524" t="s">
        <v>611</v>
      </c>
      <c r="C1343" s="525" t="s">
        <v>546</v>
      </c>
      <c r="D1343" s="524" t="s">
        <v>32</v>
      </c>
      <c r="E1343" s="524" t="s">
        <v>1922</v>
      </c>
      <c r="F1343" s="528" t="s">
        <v>1646</v>
      </c>
      <c r="G1343" s="252">
        <f t="shared" si="21"/>
        <v>2.85</v>
      </c>
    </row>
    <row r="1344" spans="1:7" x14ac:dyDescent="0.3">
      <c r="A1344" s="524" t="s">
        <v>522</v>
      </c>
      <c r="B1344" s="524" t="s">
        <v>610</v>
      </c>
      <c r="C1344" s="525" t="s">
        <v>543</v>
      </c>
      <c r="D1344" s="524" t="s">
        <v>32</v>
      </c>
      <c r="E1344" s="524" t="s">
        <v>1922</v>
      </c>
      <c r="F1344" s="528" t="s">
        <v>1647</v>
      </c>
      <c r="G1344" s="252">
        <f t="shared" si="21"/>
        <v>3.65</v>
      </c>
    </row>
    <row r="1345" spans="1:7" x14ac:dyDescent="0.3">
      <c r="A1345" s="680" t="s">
        <v>1152</v>
      </c>
      <c r="B1345" s="681"/>
      <c r="C1345" s="681"/>
      <c r="D1345" s="681"/>
      <c r="E1345" s="681"/>
      <c r="F1345" s="682"/>
      <c r="G1345" s="252">
        <f>SUM(G1340:G1344)</f>
        <v>62.18</v>
      </c>
    </row>
    <row r="1346" spans="1:7" x14ac:dyDescent="0.3">
      <c r="A1346" s="683">
        <f>TRUNC(E1346*F1346,2)</f>
        <v>0</v>
      </c>
      <c r="B1346" s="684"/>
      <c r="C1346" s="684"/>
      <c r="D1346" s="684"/>
      <c r="E1346" s="684"/>
      <c r="F1346" s="684"/>
      <c r="G1346" s="685"/>
    </row>
    <row r="1347" spans="1:7" ht="28.8" x14ac:dyDescent="0.3">
      <c r="A1347" s="529" t="s">
        <v>249</v>
      </c>
      <c r="B1347" s="529">
        <v>91944</v>
      </c>
      <c r="C1347" s="530" t="s">
        <v>151</v>
      </c>
      <c r="D1347" s="529" t="s">
        <v>44</v>
      </c>
      <c r="E1347" s="252"/>
      <c r="F1347" s="531">
        <v>9.06</v>
      </c>
      <c r="G1347" s="252">
        <f t="shared" si="21"/>
        <v>0</v>
      </c>
    </row>
    <row r="1348" spans="1:7" x14ac:dyDescent="0.3">
      <c r="A1348" s="524" t="s">
        <v>508</v>
      </c>
      <c r="B1348" s="524" t="s">
        <v>1923</v>
      </c>
      <c r="C1348" s="525" t="s">
        <v>1924</v>
      </c>
      <c r="D1348" s="524" t="s">
        <v>397</v>
      </c>
      <c r="E1348" s="524" t="s">
        <v>1122</v>
      </c>
      <c r="F1348" s="528">
        <v>3.13</v>
      </c>
      <c r="G1348" s="252">
        <f t="shared" si="21"/>
        <v>3.13</v>
      </c>
    </row>
    <row r="1349" spans="1:7" x14ac:dyDescent="0.3">
      <c r="A1349" s="524" t="s">
        <v>522</v>
      </c>
      <c r="B1349" s="524" t="s">
        <v>611</v>
      </c>
      <c r="C1349" s="525" t="s">
        <v>546</v>
      </c>
      <c r="D1349" s="524" t="s">
        <v>32</v>
      </c>
      <c r="E1349" s="524" t="s">
        <v>1925</v>
      </c>
      <c r="F1349" s="528" t="s">
        <v>1646</v>
      </c>
      <c r="G1349" s="252">
        <f t="shared" si="21"/>
        <v>2.37</v>
      </c>
    </row>
    <row r="1350" spans="1:7" x14ac:dyDescent="0.3">
      <c r="A1350" s="524" t="s">
        <v>522</v>
      </c>
      <c r="B1350" s="524" t="s">
        <v>610</v>
      </c>
      <c r="C1350" s="525" t="s">
        <v>543</v>
      </c>
      <c r="D1350" s="524" t="s">
        <v>32</v>
      </c>
      <c r="E1350" s="524" t="s">
        <v>1925</v>
      </c>
      <c r="F1350" s="528" t="s">
        <v>1647</v>
      </c>
      <c r="G1350" s="252">
        <f t="shared" si="21"/>
        <v>3.05</v>
      </c>
    </row>
    <row r="1351" spans="1:7" ht="28.8" x14ac:dyDescent="0.3">
      <c r="A1351" s="524" t="s">
        <v>522</v>
      </c>
      <c r="B1351" s="524" t="s">
        <v>1685</v>
      </c>
      <c r="C1351" s="525" t="s">
        <v>1686</v>
      </c>
      <c r="D1351" s="524" t="s">
        <v>41</v>
      </c>
      <c r="E1351" s="524" t="s">
        <v>1926</v>
      </c>
      <c r="F1351" s="528" t="s">
        <v>1688</v>
      </c>
      <c r="G1351" s="252">
        <f t="shared" si="21"/>
        <v>0.51</v>
      </c>
    </row>
    <row r="1352" spans="1:7" x14ac:dyDescent="0.3">
      <c r="A1352" s="680" t="s">
        <v>1152</v>
      </c>
      <c r="B1352" s="681"/>
      <c r="C1352" s="681"/>
      <c r="D1352" s="681"/>
      <c r="E1352" s="681"/>
      <c r="F1352" s="682"/>
      <c r="G1352" s="527">
        <f>SUM(G1348:G1351)</f>
        <v>9.06</v>
      </c>
    </row>
    <row r="1353" spans="1:7" x14ac:dyDescent="0.3">
      <c r="A1353" s="683">
        <f>TRUNC(E1353*F1353,2)</f>
        <v>0</v>
      </c>
      <c r="B1353" s="684"/>
      <c r="C1353" s="684"/>
      <c r="D1353" s="684"/>
      <c r="E1353" s="684"/>
      <c r="F1353" s="684"/>
      <c r="G1353" s="685"/>
    </row>
    <row r="1354" spans="1:7" ht="43.2" x14ac:dyDescent="0.3">
      <c r="A1354" s="529" t="s">
        <v>250</v>
      </c>
      <c r="B1354" s="529">
        <v>83463</v>
      </c>
      <c r="C1354" s="530" t="s">
        <v>152</v>
      </c>
      <c r="D1354" s="529" t="s">
        <v>44</v>
      </c>
      <c r="E1354" s="252"/>
      <c r="F1354" s="531">
        <v>356.52</v>
      </c>
      <c r="G1354" s="252">
        <f t="shared" si="21"/>
        <v>0</v>
      </c>
    </row>
    <row r="1355" spans="1:7" ht="28.8" x14ac:dyDescent="0.3">
      <c r="A1355" s="524" t="s">
        <v>508</v>
      </c>
      <c r="B1355" s="524" t="s">
        <v>1927</v>
      </c>
      <c r="C1355" s="525" t="s">
        <v>1928</v>
      </c>
      <c r="D1355" s="524" t="s">
        <v>397</v>
      </c>
      <c r="E1355" s="524" t="s">
        <v>1122</v>
      </c>
      <c r="F1355" s="528" t="s">
        <v>1929</v>
      </c>
      <c r="G1355" s="252">
        <f t="shared" si="21"/>
        <v>291.10000000000002</v>
      </c>
    </row>
    <row r="1356" spans="1:7" x14ac:dyDescent="0.3">
      <c r="A1356" s="524" t="s">
        <v>522</v>
      </c>
      <c r="B1356" s="524" t="s">
        <v>611</v>
      </c>
      <c r="C1356" s="525" t="s">
        <v>546</v>
      </c>
      <c r="D1356" s="524" t="s">
        <v>32</v>
      </c>
      <c r="E1356" s="524" t="s">
        <v>1523</v>
      </c>
      <c r="F1356" s="528" t="s">
        <v>1646</v>
      </c>
      <c r="G1356" s="252">
        <f t="shared" si="21"/>
        <v>28.66</v>
      </c>
    </row>
    <row r="1357" spans="1:7" x14ac:dyDescent="0.3">
      <c r="A1357" s="524" t="s">
        <v>522</v>
      </c>
      <c r="B1357" s="524" t="s">
        <v>610</v>
      </c>
      <c r="C1357" s="525" t="s">
        <v>543</v>
      </c>
      <c r="D1357" s="524" t="s">
        <v>32</v>
      </c>
      <c r="E1357" s="524" t="s">
        <v>1523</v>
      </c>
      <c r="F1357" s="528" t="s">
        <v>1647</v>
      </c>
      <c r="G1357" s="252">
        <f t="shared" si="21"/>
        <v>36.76</v>
      </c>
    </row>
    <row r="1358" spans="1:7" x14ac:dyDescent="0.3">
      <c r="A1358" s="680" t="s">
        <v>1152</v>
      </c>
      <c r="B1358" s="681"/>
      <c r="C1358" s="681"/>
      <c r="D1358" s="681"/>
      <c r="E1358" s="681"/>
      <c r="F1358" s="682"/>
      <c r="G1358" s="527">
        <f>SUM(G1354:G1357)</f>
        <v>356.52000000000004</v>
      </c>
    </row>
    <row r="1359" spans="1:7" x14ac:dyDescent="0.3">
      <c r="A1359" s="683">
        <f>TRUNC(E1359*F1359,2)</f>
        <v>0</v>
      </c>
      <c r="B1359" s="684"/>
      <c r="C1359" s="684"/>
      <c r="D1359" s="684"/>
      <c r="E1359" s="684"/>
      <c r="F1359" s="684"/>
      <c r="G1359" s="685"/>
    </row>
    <row r="1360" spans="1:7" ht="43.2" x14ac:dyDescent="0.3">
      <c r="A1360" s="529" t="s">
        <v>251</v>
      </c>
      <c r="B1360" s="529" t="s">
        <v>153</v>
      </c>
      <c r="C1360" s="530" t="s">
        <v>154</v>
      </c>
      <c r="D1360" s="529" t="s">
        <v>44</v>
      </c>
      <c r="E1360" s="252"/>
      <c r="F1360" s="531">
        <v>606.13</v>
      </c>
      <c r="G1360" s="252">
        <f t="shared" si="21"/>
        <v>0</v>
      </c>
    </row>
    <row r="1361" spans="1:7" ht="28.8" x14ac:dyDescent="0.3">
      <c r="A1361" s="524" t="s">
        <v>508</v>
      </c>
      <c r="B1361" s="524" t="s">
        <v>1930</v>
      </c>
      <c r="C1361" s="525" t="s">
        <v>1931</v>
      </c>
      <c r="D1361" s="524" t="s">
        <v>397</v>
      </c>
      <c r="E1361" s="524" t="s">
        <v>1122</v>
      </c>
      <c r="F1361" s="528" t="s">
        <v>1932</v>
      </c>
      <c r="G1361" s="252">
        <f t="shared" si="21"/>
        <v>491.65</v>
      </c>
    </row>
    <row r="1362" spans="1:7" x14ac:dyDescent="0.3">
      <c r="A1362" s="524" t="s">
        <v>522</v>
      </c>
      <c r="B1362" s="524" t="s">
        <v>611</v>
      </c>
      <c r="C1362" s="525" t="s">
        <v>546</v>
      </c>
      <c r="D1362" s="524" t="s">
        <v>32</v>
      </c>
      <c r="E1362" s="524" t="s">
        <v>1933</v>
      </c>
      <c r="F1362" s="528" t="s">
        <v>1646</v>
      </c>
      <c r="G1362" s="252">
        <f t="shared" si="21"/>
        <v>50.15</v>
      </c>
    </row>
    <row r="1363" spans="1:7" x14ac:dyDescent="0.3">
      <c r="A1363" s="524" t="s">
        <v>522</v>
      </c>
      <c r="B1363" s="524" t="s">
        <v>610</v>
      </c>
      <c r="C1363" s="525" t="s">
        <v>543</v>
      </c>
      <c r="D1363" s="524" t="s">
        <v>32</v>
      </c>
      <c r="E1363" s="524" t="s">
        <v>1933</v>
      </c>
      <c r="F1363" s="528" t="s">
        <v>1647</v>
      </c>
      <c r="G1363" s="252">
        <f t="shared" si="21"/>
        <v>64.33</v>
      </c>
    </row>
    <row r="1364" spans="1:7" x14ac:dyDescent="0.3">
      <c r="A1364" s="680" t="s">
        <v>1152</v>
      </c>
      <c r="B1364" s="681"/>
      <c r="C1364" s="681"/>
      <c r="D1364" s="681"/>
      <c r="E1364" s="681"/>
      <c r="F1364" s="682"/>
      <c r="G1364" s="527">
        <f>SUM(G1360:G1363)</f>
        <v>606.13</v>
      </c>
    </row>
    <row r="1365" spans="1:7" x14ac:dyDescent="0.3">
      <c r="A1365" s="683">
        <f>TRUNC(E1365*F1365,2)</f>
        <v>0</v>
      </c>
      <c r="B1365" s="684"/>
      <c r="C1365" s="684"/>
      <c r="D1365" s="684"/>
      <c r="E1365" s="684"/>
      <c r="F1365" s="684"/>
      <c r="G1365" s="685"/>
    </row>
    <row r="1366" spans="1:7" ht="28.8" x14ac:dyDescent="0.3">
      <c r="A1366" s="529" t="s">
        <v>702</v>
      </c>
      <c r="B1366" s="529">
        <v>91941</v>
      </c>
      <c r="C1366" s="530" t="s">
        <v>150</v>
      </c>
      <c r="D1366" s="529" t="s">
        <v>44</v>
      </c>
      <c r="E1366" s="252"/>
      <c r="F1366" s="531">
        <v>6.8</v>
      </c>
      <c r="G1366" s="252">
        <f t="shared" si="21"/>
        <v>0</v>
      </c>
    </row>
    <row r="1367" spans="1:7" x14ac:dyDescent="0.3">
      <c r="A1367" s="524" t="s">
        <v>508</v>
      </c>
      <c r="B1367" s="524" t="s">
        <v>1681</v>
      </c>
      <c r="C1367" s="525" t="s">
        <v>1682</v>
      </c>
      <c r="D1367" s="524" t="s">
        <v>397</v>
      </c>
      <c r="E1367" s="524" t="s">
        <v>1122</v>
      </c>
      <c r="F1367" s="526" t="s">
        <v>1683</v>
      </c>
      <c r="G1367" s="252">
        <f t="shared" si="21"/>
        <v>1.69</v>
      </c>
    </row>
    <row r="1368" spans="1:7" x14ac:dyDescent="0.3">
      <c r="A1368" s="524" t="s">
        <v>522</v>
      </c>
      <c r="B1368" s="524" t="s">
        <v>611</v>
      </c>
      <c r="C1368" s="525" t="s">
        <v>546</v>
      </c>
      <c r="D1368" s="524" t="s">
        <v>32</v>
      </c>
      <c r="E1368" s="524" t="s">
        <v>1684</v>
      </c>
      <c r="F1368" s="526" t="s">
        <v>1646</v>
      </c>
      <c r="G1368" s="252">
        <f t="shared" si="21"/>
        <v>2.0699999999999998</v>
      </c>
    </row>
    <row r="1369" spans="1:7" x14ac:dyDescent="0.3">
      <c r="A1369" s="524" t="s">
        <v>522</v>
      </c>
      <c r="B1369" s="524" t="s">
        <v>610</v>
      </c>
      <c r="C1369" s="525" t="s">
        <v>543</v>
      </c>
      <c r="D1369" s="524" t="s">
        <v>32</v>
      </c>
      <c r="E1369" s="524" t="s">
        <v>1684</v>
      </c>
      <c r="F1369" s="526" t="s">
        <v>1647</v>
      </c>
      <c r="G1369" s="252">
        <f t="shared" si="21"/>
        <v>2.66</v>
      </c>
    </row>
    <row r="1370" spans="1:7" ht="28.8" x14ac:dyDescent="0.3">
      <c r="A1370" s="524" t="s">
        <v>522</v>
      </c>
      <c r="B1370" s="524" t="s">
        <v>1685</v>
      </c>
      <c r="C1370" s="525" t="s">
        <v>1686</v>
      </c>
      <c r="D1370" s="524" t="s">
        <v>41</v>
      </c>
      <c r="E1370" s="524" t="s">
        <v>1687</v>
      </c>
      <c r="F1370" s="526" t="s">
        <v>1688</v>
      </c>
      <c r="G1370" s="252">
        <f t="shared" si="21"/>
        <v>0.38</v>
      </c>
    </row>
    <row r="1371" spans="1:7" x14ac:dyDescent="0.3">
      <c r="A1371" s="680" t="s">
        <v>1152</v>
      </c>
      <c r="B1371" s="681"/>
      <c r="C1371" s="681"/>
      <c r="D1371" s="681"/>
      <c r="E1371" s="681"/>
      <c r="F1371" s="682"/>
      <c r="G1371" s="527">
        <f>SUM(G1367:G1370)</f>
        <v>6.8</v>
      </c>
    </row>
    <row r="1372" spans="1:7" x14ac:dyDescent="0.3">
      <c r="A1372" s="683">
        <f>TRUNC(E1372*F1372,2)</f>
        <v>0</v>
      </c>
      <c r="B1372" s="684"/>
      <c r="C1372" s="684"/>
      <c r="D1372" s="684"/>
      <c r="E1372" s="684"/>
      <c r="F1372" s="684"/>
      <c r="G1372" s="685"/>
    </row>
    <row r="1373" spans="1:7" ht="28.8" x14ac:dyDescent="0.3">
      <c r="A1373" s="529" t="s">
        <v>703</v>
      </c>
      <c r="B1373" s="529">
        <v>93012</v>
      </c>
      <c r="C1373" s="530" t="s">
        <v>155</v>
      </c>
      <c r="D1373" s="529" t="s">
        <v>55</v>
      </c>
      <c r="E1373" s="252"/>
      <c r="F1373" s="531">
        <v>36.47</v>
      </c>
      <c r="G1373" s="252">
        <f t="shared" si="21"/>
        <v>0</v>
      </c>
    </row>
    <row r="1374" spans="1:7" x14ac:dyDescent="0.3">
      <c r="A1374" s="524" t="s">
        <v>508</v>
      </c>
      <c r="B1374" s="524" t="s">
        <v>1934</v>
      </c>
      <c r="C1374" s="525" t="s">
        <v>1935</v>
      </c>
      <c r="D1374" s="524" t="s">
        <v>55</v>
      </c>
      <c r="E1374" s="524" t="s">
        <v>1662</v>
      </c>
      <c r="F1374" s="528" t="s">
        <v>1936</v>
      </c>
      <c r="G1374" s="252">
        <f t="shared" si="21"/>
        <v>29.51</v>
      </c>
    </row>
    <row r="1375" spans="1:7" x14ac:dyDescent="0.3">
      <c r="A1375" s="524" t="s">
        <v>522</v>
      </c>
      <c r="B1375" s="524" t="s">
        <v>611</v>
      </c>
      <c r="C1375" s="525" t="s">
        <v>546</v>
      </c>
      <c r="D1375" s="524" t="s">
        <v>32</v>
      </c>
      <c r="E1375" s="524" t="s">
        <v>1937</v>
      </c>
      <c r="F1375" s="528" t="s">
        <v>1646</v>
      </c>
      <c r="G1375" s="252">
        <f t="shared" si="21"/>
        <v>3.05</v>
      </c>
    </row>
    <row r="1376" spans="1:7" x14ac:dyDescent="0.3">
      <c r="A1376" s="524" t="s">
        <v>522</v>
      </c>
      <c r="B1376" s="524" t="s">
        <v>610</v>
      </c>
      <c r="C1376" s="525" t="s">
        <v>543</v>
      </c>
      <c r="D1376" s="524" t="s">
        <v>32</v>
      </c>
      <c r="E1376" s="524" t="s">
        <v>1937</v>
      </c>
      <c r="F1376" s="528" t="s">
        <v>1647</v>
      </c>
      <c r="G1376" s="252">
        <f t="shared" si="21"/>
        <v>3.91</v>
      </c>
    </row>
    <row r="1377" spans="1:7" x14ac:dyDescent="0.3">
      <c r="A1377" s="680" t="s">
        <v>1152</v>
      </c>
      <c r="B1377" s="681"/>
      <c r="C1377" s="681"/>
      <c r="D1377" s="681"/>
      <c r="E1377" s="681"/>
      <c r="F1377" s="682"/>
      <c r="G1377" s="527">
        <f>SUM(G1373:G1376)</f>
        <v>36.47</v>
      </c>
    </row>
    <row r="1378" spans="1:7" x14ac:dyDescent="0.3">
      <c r="A1378" s="683">
        <f>TRUNC(E1378*F1378,2)</f>
        <v>0</v>
      </c>
      <c r="B1378" s="684"/>
      <c r="C1378" s="684"/>
      <c r="D1378" s="684"/>
      <c r="E1378" s="684"/>
      <c r="F1378" s="684"/>
      <c r="G1378" s="685"/>
    </row>
    <row r="1379" spans="1:7" ht="43.2" x14ac:dyDescent="0.3">
      <c r="A1379" s="529" t="s">
        <v>704</v>
      </c>
      <c r="B1379" s="529" t="s">
        <v>156</v>
      </c>
      <c r="C1379" s="530" t="s">
        <v>157</v>
      </c>
      <c r="D1379" s="529" t="s">
        <v>44</v>
      </c>
      <c r="E1379" s="252"/>
      <c r="F1379" s="531">
        <v>852.27</v>
      </c>
      <c r="G1379" s="252">
        <f t="shared" si="21"/>
        <v>0</v>
      </c>
    </row>
    <row r="1380" spans="1:7" ht="28.8" x14ac:dyDescent="0.3">
      <c r="A1380" s="524" t="s">
        <v>508</v>
      </c>
      <c r="B1380" s="524" t="s">
        <v>1938</v>
      </c>
      <c r="C1380" s="525" t="s">
        <v>1939</v>
      </c>
      <c r="D1380" s="524" t="s">
        <v>397</v>
      </c>
      <c r="E1380" s="524" t="s">
        <v>1122</v>
      </c>
      <c r="F1380" s="528" t="s">
        <v>1940</v>
      </c>
      <c r="G1380" s="252">
        <f t="shared" si="21"/>
        <v>721.43</v>
      </c>
    </row>
    <row r="1381" spans="1:7" x14ac:dyDescent="0.3">
      <c r="A1381" s="524" t="s">
        <v>522</v>
      </c>
      <c r="B1381" s="524" t="s">
        <v>611</v>
      </c>
      <c r="C1381" s="525" t="s">
        <v>546</v>
      </c>
      <c r="D1381" s="524" t="s">
        <v>32</v>
      </c>
      <c r="E1381" s="524" t="s">
        <v>1941</v>
      </c>
      <c r="F1381" s="528" t="s">
        <v>1646</v>
      </c>
      <c r="G1381" s="252">
        <f t="shared" si="21"/>
        <v>57.32</v>
      </c>
    </row>
    <row r="1382" spans="1:7" x14ac:dyDescent="0.3">
      <c r="A1382" s="524" t="s">
        <v>522</v>
      </c>
      <c r="B1382" s="524" t="s">
        <v>610</v>
      </c>
      <c r="C1382" s="525" t="s">
        <v>543</v>
      </c>
      <c r="D1382" s="524" t="s">
        <v>32</v>
      </c>
      <c r="E1382" s="524" t="s">
        <v>1941</v>
      </c>
      <c r="F1382" s="528" t="s">
        <v>1647</v>
      </c>
      <c r="G1382" s="252">
        <f t="shared" si="21"/>
        <v>73.52</v>
      </c>
    </row>
    <row r="1383" spans="1:7" x14ac:dyDescent="0.3">
      <c r="A1383" s="680" t="s">
        <v>1152</v>
      </c>
      <c r="B1383" s="681"/>
      <c r="C1383" s="681"/>
      <c r="D1383" s="681"/>
      <c r="E1383" s="681"/>
      <c r="F1383" s="682"/>
      <c r="G1383" s="527">
        <f>SUM(G1379:G1382)</f>
        <v>852.27</v>
      </c>
    </row>
    <row r="1384" spans="1:7" x14ac:dyDescent="0.3">
      <c r="A1384" s="683">
        <f>TRUNC(E1384*F1384,2)</f>
        <v>0</v>
      </c>
      <c r="B1384" s="684"/>
      <c r="C1384" s="684"/>
      <c r="D1384" s="684"/>
      <c r="E1384" s="684"/>
      <c r="F1384" s="684"/>
      <c r="G1384" s="685"/>
    </row>
    <row r="1385" spans="1:7" ht="43.2" x14ac:dyDescent="0.3">
      <c r="A1385" s="529" t="s">
        <v>705</v>
      </c>
      <c r="B1385" s="529" t="s">
        <v>158</v>
      </c>
      <c r="C1385" s="530" t="s">
        <v>159</v>
      </c>
      <c r="D1385" s="529" t="s">
        <v>55</v>
      </c>
      <c r="E1385" s="252"/>
      <c r="F1385" s="531">
        <v>60.92</v>
      </c>
      <c r="G1385" s="252">
        <f t="shared" si="21"/>
        <v>0</v>
      </c>
    </row>
    <row r="1386" spans="1:7" x14ac:dyDescent="0.3">
      <c r="A1386" s="596" t="s">
        <v>541</v>
      </c>
      <c r="B1386" s="596" t="s">
        <v>542</v>
      </c>
      <c r="C1386" s="592" t="s">
        <v>543</v>
      </c>
      <c r="D1386" s="596" t="s">
        <v>32</v>
      </c>
      <c r="E1386" s="608">
        <v>0.4</v>
      </c>
      <c r="F1386" s="598">
        <v>18.38</v>
      </c>
      <c r="G1386" s="252">
        <f t="shared" ref="G1386:G1392" si="24">TRUNC(E1386*F1386,2)</f>
        <v>7.35</v>
      </c>
    </row>
    <row r="1387" spans="1:7" x14ac:dyDescent="0.3">
      <c r="A1387" s="596" t="s">
        <v>541</v>
      </c>
      <c r="B1387" s="596" t="s">
        <v>545</v>
      </c>
      <c r="C1387" s="592" t="s">
        <v>546</v>
      </c>
      <c r="D1387" s="596" t="s">
        <v>32</v>
      </c>
      <c r="E1387" s="608">
        <v>0.4</v>
      </c>
      <c r="F1387" s="598">
        <v>14.33</v>
      </c>
      <c r="G1387" s="252">
        <f t="shared" si="24"/>
        <v>5.73</v>
      </c>
    </row>
    <row r="1388" spans="1:7" x14ac:dyDescent="0.3">
      <c r="A1388" s="596" t="s">
        <v>547</v>
      </c>
      <c r="B1388" s="596" t="s">
        <v>548</v>
      </c>
      <c r="C1388" s="592" t="s">
        <v>549</v>
      </c>
      <c r="D1388" s="596" t="s">
        <v>55</v>
      </c>
      <c r="E1388" s="608">
        <v>1</v>
      </c>
      <c r="F1388" s="598" t="s">
        <v>551</v>
      </c>
      <c r="G1388" s="252">
        <f t="shared" si="24"/>
        <v>10.8</v>
      </c>
    </row>
    <row r="1389" spans="1:7" x14ac:dyDescent="0.3">
      <c r="A1389" s="596" t="s">
        <v>547</v>
      </c>
      <c r="B1389" s="596" t="s">
        <v>552</v>
      </c>
      <c r="C1389" s="592" t="s">
        <v>536</v>
      </c>
      <c r="D1389" s="596" t="s">
        <v>55</v>
      </c>
      <c r="E1389" s="608">
        <v>1</v>
      </c>
      <c r="F1389" s="598">
        <v>30</v>
      </c>
      <c r="G1389" s="252">
        <f t="shared" si="24"/>
        <v>30</v>
      </c>
    </row>
    <row r="1390" spans="1:7" x14ac:dyDescent="0.3">
      <c r="A1390" s="596" t="s">
        <v>554</v>
      </c>
      <c r="B1390" s="596" t="s">
        <v>555</v>
      </c>
      <c r="C1390" s="592" t="s">
        <v>556</v>
      </c>
      <c r="D1390" s="596" t="s">
        <v>55</v>
      </c>
      <c r="E1390" s="608">
        <v>0.5</v>
      </c>
      <c r="F1390" s="598" t="s">
        <v>559</v>
      </c>
      <c r="G1390" s="252">
        <f t="shared" si="24"/>
        <v>2.75</v>
      </c>
    </row>
    <row r="1391" spans="1:7" x14ac:dyDescent="0.3">
      <c r="A1391" s="596" t="s">
        <v>554</v>
      </c>
      <c r="B1391" s="596" t="s">
        <v>560</v>
      </c>
      <c r="C1391" s="592" t="s">
        <v>561</v>
      </c>
      <c r="D1391" s="596" t="s">
        <v>55</v>
      </c>
      <c r="E1391" s="608">
        <v>1</v>
      </c>
      <c r="F1391" s="598" t="s">
        <v>562</v>
      </c>
      <c r="G1391" s="252">
        <f t="shared" si="24"/>
        <v>2.1</v>
      </c>
    </row>
    <row r="1392" spans="1:7" x14ac:dyDescent="0.3">
      <c r="A1392" s="596" t="s">
        <v>554</v>
      </c>
      <c r="B1392" s="596" t="s">
        <v>563</v>
      </c>
      <c r="C1392" s="592" t="s">
        <v>564</v>
      </c>
      <c r="D1392" s="596" t="s">
        <v>55</v>
      </c>
      <c r="E1392" s="608">
        <v>0.3</v>
      </c>
      <c r="F1392" s="598" t="s">
        <v>567</v>
      </c>
      <c r="G1392" s="252">
        <f t="shared" si="24"/>
        <v>2.19</v>
      </c>
    </row>
    <row r="1393" spans="1:7" x14ac:dyDescent="0.3">
      <c r="A1393" s="680" t="s">
        <v>1152</v>
      </c>
      <c r="B1393" s="681"/>
      <c r="C1393" s="681"/>
      <c r="D1393" s="681"/>
      <c r="E1393" s="681"/>
      <c r="F1393" s="682"/>
      <c r="G1393" s="527">
        <f>SUM(G1385:G1392)</f>
        <v>60.92</v>
      </c>
    </row>
    <row r="1394" spans="1:7" x14ac:dyDescent="0.3">
      <c r="A1394" s="686"/>
      <c r="B1394" s="687"/>
      <c r="C1394" s="687"/>
      <c r="D1394" s="687"/>
      <c r="E1394" s="687"/>
      <c r="F1394" s="687"/>
      <c r="G1394" s="688"/>
    </row>
    <row r="1395" spans="1:7" x14ac:dyDescent="0.3">
      <c r="A1395" s="529" t="s">
        <v>206</v>
      </c>
      <c r="B1395" s="529"/>
      <c r="C1395" s="530" t="s">
        <v>161</v>
      </c>
      <c r="D1395" s="529"/>
      <c r="E1395" s="252"/>
      <c r="F1395" s="531"/>
      <c r="G1395" s="252">
        <f t="shared" ref="G1395:G1775" si="25">TRUNC(E1395*F1395,2)</f>
        <v>0</v>
      </c>
    </row>
    <row r="1396" spans="1:7" ht="28.8" x14ac:dyDescent="0.3">
      <c r="A1396" s="529" t="s">
        <v>208</v>
      </c>
      <c r="B1396" s="529">
        <v>91944</v>
      </c>
      <c r="C1396" s="530" t="s">
        <v>151</v>
      </c>
      <c r="D1396" s="529" t="s">
        <v>44</v>
      </c>
      <c r="E1396" s="252"/>
      <c r="F1396" s="531">
        <v>9.06</v>
      </c>
      <c r="G1396" s="252">
        <f t="shared" si="25"/>
        <v>0</v>
      </c>
    </row>
    <row r="1397" spans="1:7" x14ac:dyDescent="0.3">
      <c r="A1397" s="524" t="s">
        <v>508</v>
      </c>
      <c r="B1397" s="524" t="s">
        <v>1923</v>
      </c>
      <c r="C1397" s="525" t="s">
        <v>1924</v>
      </c>
      <c r="D1397" s="524" t="s">
        <v>397</v>
      </c>
      <c r="E1397" s="524" t="s">
        <v>1122</v>
      </c>
      <c r="F1397" s="528">
        <v>3.13</v>
      </c>
      <c r="G1397" s="252">
        <f t="shared" si="25"/>
        <v>3.13</v>
      </c>
    </row>
    <row r="1398" spans="1:7" x14ac:dyDescent="0.3">
      <c r="A1398" s="524" t="s">
        <v>522</v>
      </c>
      <c r="B1398" s="524" t="s">
        <v>611</v>
      </c>
      <c r="C1398" s="525" t="s">
        <v>546</v>
      </c>
      <c r="D1398" s="524" t="s">
        <v>32</v>
      </c>
      <c r="E1398" s="524" t="s">
        <v>1925</v>
      </c>
      <c r="F1398" s="528" t="s">
        <v>1646</v>
      </c>
      <c r="G1398" s="252">
        <f t="shared" si="25"/>
        <v>2.37</v>
      </c>
    </row>
    <row r="1399" spans="1:7" x14ac:dyDescent="0.3">
      <c r="A1399" s="524" t="s">
        <v>522</v>
      </c>
      <c r="B1399" s="524" t="s">
        <v>610</v>
      </c>
      <c r="C1399" s="525" t="s">
        <v>543</v>
      </c>
      <c r="D1399" s="524" t="s">
        <v>32</v>
      </c>
      <c r="E1399" s="524" t="s">
        <v>1925</v>
      </c>
      <c r="F1399" s="528" t="s">
        <v>1647</v>
      </c>
      <c r="G1399" s="252">
        <f t="shared" si="25"/>
        <v>3.05</v>
      </c>
    </row>
    <row r="1400" spans="1:7" ht="28.8" x14ac:dyDescent="0.3">
      <c r="A1400" s="524" t="s">
        <v>522</v>
      </c>
      <c r="B1400" s="524" t="s">
        <v>1685</v>
      </c>
      <c r="C1400" s="525" t="s">
        <v>1686</v>
      </c>
      <c r="D1400" s="524" t="s">
        <v>41</v>
      </c>
      <c r="E1400" s="524" t="s">
        <v>1926</v>
      </c>
      <c r="F1400" s="528" t="s">
        <v>1688</v>
      </c>
      <c r="G1400" s="252">
        <f t="shared" si="25"/>
        <v>0.51</v>
      </c>
    </row>
    <row r="1401" spans="1:7" x14ac:dyDescent="0.3">
      <c r="A1401" s="680" t="s">
        <v>1152</v>
      </c>
      <c r="B1401" s="681"/>
      <c r="C1401" s="681"/>
      <c r="D1401" s="681"/>
      <c r="E1401" s="681"/>
      <c r="F1401" s="682"/>
      <c r="G1401" s="527">
        <f>SUM(G1397:G1400)</f>
        <v>9.06</v>
      </c>
    </row>
    <row r="1402" spans="1:7" x14ac:dyDescent="0.3">
      <c r="A1402" s="683">
        <f>TRUNC(E1402*F1402,2)</f>
        <v>0</v>
      </c>
      <c r="B1402" s="684"/>
      <c r="C1402" s="684"/>
      <c r="D1402" s="684"/>
      <c r="E1402" s="684"/>
      <c r="F1402" s="684"/>
      <c r="G1402" s="685"/>
    </row>
    <row r="1403" spans="1:7" ht="28.8" x14ac:dyDescent="0.3">
      <c r="A1403" s="529" t="s">
        <v>252</v>
      </c>
      <c r="B1403" s="529">
        <v>90447</v>
      </c>
      <c r="C1403" s="530" t="s">
        <v>127</v>
      </c>
      <c r="D1403" s="529" t="s">
        <v>55</v>
      </c>
      <c r="E1403" s="252"/>
      <c r="F1403" s="531">
        <v>4.45</v>
      </c>
      <c r="G1403" s="252">
        <f t="shared" si="25"/>
        <v>0</v>
      </c>
    </row>
    <row r="1404" spans="1:7" x14ac:dyDescent="0.3">
      <c r="A1404" s="524" t="s">
        <v>522</v>
      </c>
      <c r="B1404" s="524" t="s">
        <v>611</v>
      </c>
      <c r="C1404" s="525" t="s">
        <v>546</v>
      </c>
      <c r="D1404" s="524" t="s">
        <v>32</v>
      </c>
      <c r="E1404" s="524" t="s">
        <v>1658</v>
      </c>
      <c r="F1404" s="528" t="s">
        <v>1646</v>
      </c>
      <c r="G1404" s="252">
        <f t="shared" si="25"/>
        <v>0.48</v>
      </c>
    </row>
    <row r="1405" spans="1:7" x14ac:dyDescent="0.3">
      <c r="A1405" s="524" t="s">
        <v>522</v>
      </c>
      <c r="B1405" s="524" t="s">
        <v>610</v>
      </c>
      <c r="C1405" s="525" t="s">
        <v>543</v>
      </c>
      <c r="D1405" s="524" t="s">
        <v>32</v>
      </c>
      <c r="E1405" s="524" t="s">
        <v>1659</v>
      </c>
      <c r="F1405" s="528" t="s">
        <v>1647</v>
      </c>
      <c r="G1405" s="252">
        <f t="shared" si="25"/>
        <v>3.97</v>
      </c>
    </row>
    <row r="1406" spans="1:7" x14ac:dyDescent="0.3">
      <c r="A1406" s="680" t="s">
        <v>1152</v>
      </c>
      <c r="B1406" s="681"/>
      <c r="C1406" s="681"/>
      <c r="D1406" s="681"/>
      <c r="E1406" s="681"/>
      <c r="F1406" s="682"/>
      <c r="G1406" s="527">
        <f>SUM(G1397:G1405)</f>
        <v>22.57</v>
      </c>
    </row>
    <row r="1407" spans="1:7" x14ac:dyDescent="0.3">
      <c r="A1407" s="683">
        <f>TRUNC(E1407*F1407,2)</f>
        <v>0</v>
      </c>
      <c r="B1407" s="684"/>
      <c r="C1407" s="684"/>
      <c r="D1407" s="684"/>
      <c r="E1407" s="684"/>
      <c r="F1407" s="684"/>
      <c r="G1407" s="685"/>
    </row>
    <row r="1408" spans="1:7" ht="28.8" x14ac:dyDescent="0.3">
      <c r="A1408" s="529" t="s">
        <v>209</v>
      </c>
      <c r="B1408" s="529">
        <v>91836</v>
      </c>
      <c r="C1408" s="530" t="s">
        <v>130</v>
      </c>
      <c r="D1408" s="529" t="s">
        <v>55</v>
      </c>
      <c r="E1408" s="252"/>
      <c r="F1408" s="531">
        <v>7.55</v>
      </c>
      <c r="G1408" s="252">
        <f t="shared" si="25"/>
        <v>0</v>
      </c>
    </row>
    <row r="1409" spans="1:7" x14ac:dyDescent="0.3">
      <c r="A1409" s="524" t="s">
        <v>508</v>
      </c>
      <c r="B1409" s="524" t="s">
        <v>1660</v>
      </c>
      <c r="C1409" s="525" t="s">
        <v>1661</v>
      </c>
      <c r="D1409" s="524" t="s">
        <v>55</v>
      </c>
      <c r="E1409" s="524" t="s">
        <v>1662</v>
      </c>
      <c r="F1409" s="528" t="s">
        <v>1663</v>
      </c>
      <c r="G1409" s="252">
        <f t="shared" si="25"/>
        <v>2.46</v>
      </c>
    </row>
    <row r="1410" spans="1:7" x14ac:dyDescent="0.3">
      <c r="A1410" s="524" t="s">
        <v>522</v>
      </c>
      <c r="B1410" s="524" t="s">
        <v>611</v>
      </c>
      <c r="C1410" s="525" t="s">
        <v>546</v>
      </c>
      <c r="D1410" s="524" t="s">
        <v>32</v>
      </c>
      <c r="E1410" s="524" t="s">
        <v>1664</v>
      </c>
      <c r="F1410" s="528" t="s">
        <v>1646</v>
      </c>
      <c r="G1410" s="252">
        <f t="shared" si="25"/>
        <v>1.28</v>
      </c>
    </row>
    <row r="1411" spans="1:7" x14ac:dyDescent="0.3">
      <c r="A1411" s="524" t="s">
        <v>522</v>
      </c>
      <c r="B1411" s="524" t="s">
        <v>610</v>
      </c>
      <c r="C1411" s="525" t="s">
        <v>543</v>
      </c>
      <c r="D1411" s="524" t="s">
        <v>32</v>
      </c>
      <c r="E1411" s="524" t="s">
        <v>1664</v>
      </c>
      <c r="F1411" s="528" t="s">
        <v>1647</v>
      </c>
      <c r="G1411" s="252">
        <f t="shared" si="25"/>
        <v>1.65</v>
      </c>
    </row>
    <row r="1412" spans="1:7" ht="43.2" x14ac:dyDescent="0.3">
      <c r="A1412" s="524" t="s">
        <v>522</v>
      </c>
      <c r="B1412" s="524" t="s">
        <v>959</v>
      </c>
      <c r="C1412" s="525" t="s">
        <v>960</v>
      </c>
      <c r="D1412" s="524" t="s">
        <v>55</v>
      </c>
      <c r="E1412" s="524" t="s">
        <v>1122</v>
      </c>
      <c r="F1412" s="528" t="s">
        <v>962</v>
      </c>
      <c r="G1412" s="252">
        <f t="shared" si="25"/>
        <v>2.16</v>
      </c>
    </row>
    <row r="1413" spans="1:7" x14ac:dyDescent="0.3">
      <c r="A1413" s="680" t="s">
        <v>1152</v>
      </c>
      <c r="B1413" s="681"/>
      <c r="C1413" s="681"/>
      <c r="D1413" s="681"/>
      <c r="E1413" s="681"/>
      <c r="F1413" s="682"/>
      <c r="G1413" s="527">
        <f>SUM(G1409:G1412)</f>
        <v>7.5500000000000007</v>
      </c>
    </row>
    <row r="1414" spans="1:7" x14ac:dyDescent="0.3">
      <c r="A1414" s="683">
        <f>TRUNC(E1414*F1414,2)</f>
        <v>0</v>
      </c>
      <c r="B1414" s="684"/>
      <c r="C1414" s="684"/>
      <c r="D1414" s="684"/>
      <c r="E1414" s="684"/>
      <c r="F1414" s="684"/>
      <c r="G1414" s="685"/>
    </row>
    <row r="1415" spans="1:7" ht="28.8" x14ac:dyDescent="0.3">
      <c r="A1415" s="529" t="s">
        <v>253</v>
      </c>
      <c r="B1415" s="529">
        <v>91869</v>
      </c>
      <c r="C1415" s="530" t="s">
        <v>132</v>
      </c>
      <c r="D1415" s="529" t="s">
        <v>55</v>
      </c>
      <c r="E1415" s="252"/>
      <c r="F1415" s="531">
        <v>10.32</v>
      </c>
      <c r="G1415" s="252">
        <f t="shared" si="25"/>
        <v>0</v>
      </c>
    </row>
    <row r="1416" spans="1:7" x14ac:dyDescent="0.3">
      <c r="A1416" s="524" t="s">
        <v>508</v>
      </c>
      <c r="B1416" s="524" t="s">
        <v>1665</v>
      </c>
      <c r="C1416" s="525" t="s">
        <v>1666</v>
      </c>
      <c r="D1416" s="524" t="s">
        <v>55</v>
      </c>
      <c r="E1416" s="524" t="s">
        <v>1667</v>
      </c>
      <c r="F1416" s="528" t="s">
        <v>1668</v>
      </c>
      <c r="G1416" s="252">
        <f t="shared" si="25"/>
        <v>5.26</v>
      </c>
    </row>
    <row r="1417" spans="1:7" ht="28.8" x14ac:dyDescent="0.3">
      <c r="A1417" s="524" t="s">
        <v>508</v>
      </c>
      <c r="B1417" s="524" t="s">
        <v>1669</v>
      </c>
      <c r="C1417" s="525" t="s">
        <v>1670</v>
      </c>
      <c r="D1417" s="524" t="s">
        <v>426</v>
      </c>
      <c r="E1417" s="524" t="s">
        <v>1671</v>
      </c>
      <c r="F1417" s="528" t="s">
        <v>1672</v>
      </c>
      <c r="G1417" s="252">
        <f t="shared" si="25"/>
        <v>0.03</v>
      </c>
    </row>
    <row r="1418" spans="1:7" x14ac:dyDescent="0.3">
      <c r="A1418" s="524" t="s">
        <v>522</v>
      </c>
      <c r="B1418" s="524" t="s">
        <v>611</v>
      </c>
      <c r="C1418" s="525" t="s">
        <v>546</v>
      </c>
      <c r="D1418" s="524" t="s">
        <v>32</v>
      </c>
      <c r="E1418" s="524" t="s">
        <v>1673</v>
      </c>
      <c r="F1418" s="528" t="s">
        <v>1646</v>
      </c>
      <c r="G1418" s="252">
        <f t="shared" si="25"/>
        <v>2.2000000000000002</v>
      </c>
    </row>
    <row r="1419" spans="1:7" x14ac:dyDescent="0.3">
      <c r="A1419" s="524" t="s">
        <v>522</v>
      </c>
      <c r="B1419" s="524" t="s">
        <v>610</v>
      </c>
      <c r="C1419" s="525" t="s">
        <v>543</v>
      </c>
      <c r="D1419" s="524" t="s">
        <v>32</v>
      </c>
      <c r="E1419" s="524" t="s">
        <v>1673</v>
      </c>
      <c r="F1419" s="528" t="s">
        <v>1647</v>
      </c>
      <c r="G1419" s="252">
        <f t="shared" si="25"/>
        <v>2.83</v>
      </c>
    </row>
    <row r="1420" spans="1:7" x14ac:dyDescent="0.3">
      <c r="A1420" s="680" t="s">
        <v>1152</v>
      </c>
      <c r="B1420" s="681"/>
      <c r="C1420" s="681"/>
      <c r="D1420" s="681"/>
      <c r="E1420" s="681"/>
      <c r="F1420" s="682"/>
      <c r="G1420" s="527">
        <f>SUM(G1416:G1419)</f>
        <v>10.32</v>
      </c>
    </row>
    <row r="1421" spans="1:7" x14ac:dyDescent="0.3">
      <c r="A1421" s="683">
        <f>TRUNC(E1421*F1421,2)</f>
        <v>0</v>
      </c>
      <c r="B1421" s="684"/>
      <c r="C1421" s="684"/>
      <c r="D1421" s="684"/>
      <c r="E1421" s="684"/>
      <c r="F1421" s="684"/>
      <c r="G1421" s="685"/>
    </row>
    <row r="1422" spans="1:7" ht="28.8" x14ac:dyDescent="0.3">
      <c r="A1422" s="529" t="s">
        <v>254</v>
      </c>
      <c r="B1422" s="529">
        <v>91941</v>
      </c>
      <c r="C1422" s="530" t="s">
        <v>150</v>
      </c>
      <c r="D1422" s="529" t="s">
        <v>44</v>
      </c>
      <c r="E1422" s="252"/>
      <c r="F1422" s="531">
        <v>6.8</v>
      </c>
      <c r="G1422" s="252">
        <f t="shared" si="25"/>
        <v>0</v>
      </c>
    </row>
    <row r="1423" spans="1:7" x14ac:dyDescent="0.3">
      <c r="A1423" s="524" t="s">
        <v>508</v>
      </c>
      <c r="B1423" s="524" t="s">
        <v>1681</v>
      </c>
      <c r="C1423" s="525" t="s">
        <v>1682</v>
      </c>
      <c r="D1423" s="524" t="s">
        <v>397</v>
      </c>
      <c r="E1423" s="524" t="s">
        <v>1122</v>
      </c>
      <c r="F1423" s="526" t="s">
        <v>1683</v>
      </c>
      <c r="G1423" s="252">
        <f t="shared" si="25"/>
        <v>1.69</v>
      </c>
    </row>
    <row r="1424" spans="1:7" x14ac:dyDescent="0.3">
      <c r="A1424" s="524" t="s">
        <v>522</v>
      </c>
      <c r="B1424" s="524" t="s">
        <v>611</v>
      </c>
      <c r="C1424" s="525" t="s">
        <v>546</v>
      </c>
      <c r="D1424" s="524" t="s">
        <v>32</v>
      </c>
      <c r="E1424" s="524" t="s">
        <v>1684</v>
      </c>
      <c r="F1424" s="526" t="s">
        <v>1646</v>
      </c>
      <c r="G1424" s="252">
        <f t="shared" si="25"/>
        <v>2.0699999999999998</v>
      </c>
    </row>
    <row r="1425" spans="1:7" x14ac:dyDescent="0.3">
      <c r="A1425" s="524" t="s">
        <v>522</v>
      </c>
      <c r="B1425" s="524" t="s">
        <v>610</v>
      </c>
      <c r="C1425" s="525" t="s">
        <v>543</v>
      </c>
      <c r="D1425" s="524" t="s">
        <v>32</v>
      </c>
      <c r="E1425" s="524" t="s">
        <v>1684</v>
      </c>
      <c r="F1425" s="526" t="s">
        <v>1647</v>
      </c>
      <c r="G1425" s="252">
        <f t="shared" si="25"/>
        <v>2.66</v>
      </c>
    </row>
    <row r="1426" spans="1:7" ht="28.8" x14ac:dyDescent="0.3">
      <c r="A1426" s="524" t="s">
        <v>522</v>
      </c>
      <c r="B1426" s="524" t="s">
        <v>1685</v>
      </c>
      <c r="C1426" s="525" t="s">
        <v>1686</v>
      </c>
      <c r="D1426" s="524" t="s">
        <v>41</v>
      </c>
      <c r="E1426" s="524" t="s">
        <v>1687</v>
      </c>
      <c r="F1426" s="526" t="s">
        <v>1688</v>
      </c>
      <c r="G1426" s="252">
        <f t="shared" si="25"/>
        <v>0.38</v>
      </c>
    </row>
    <row r="1427" spans="1:7" x14ac:dyDescent="0.3">
      <c r="A1427" s="680" t="s">
        <v>1152</v>
      </c>
      <c r="B1427" s="681"/>
      <c r="C1427" s="681"/>
      <c r="D1427" s="681"/>
      <c r="E1427" s="681"/>
      <c r="F1427" s="682"/>
      <c r="G1427" s="527">
        <f>SUM(G1423:G1426)</f>
        <v>6.8</v>
      </c>
    </row>
    <row r="1428" spans="1:7" x14ac:dyDescent="0.3">
      <c r="A1428" s="683">
        <f>TRUNC(E1428*F1428,2)</f>
        <v>0</v>
      </c>
      <c r="B1428" s="684"/>
      <c r="C1428" s="684"/>
      <c r="D1428" s="684"/>
      <c r="E1428" s="684"/>
      <c r="F1428" s="684"/>
      <c r="G1428" s="685"/>
    </row>
    <row r="1429" spans="1:7" ht="28.8" x14ac:dyDescent="0.3">
      <c r="A1429" s="529" t="s">
        <v>255</v>
      </c>
      <c r="B1429" s="529">
        <v>95778</v>
      </c>
      <c r="C1429" s="530" t="s">
        <v>168</v>
      </c>
      <c r="D1429" s="529" t="s">
        <v>55</v>
      </c>
      <c r="E1429" s="252"/>
      <c r="F1429" s="531">
        <v>20.28</v>
      </c>
      <c r="G1429" s="252">
        <f t="shared" si="25"/>
        <v>0</v>
      </c>
    </row>
    <row r="1430" spans="1:7" ht="28.8" x14ac:dyDescent="0.3">
      <c r="A1430" s="524" t="s">
        <v>508</v>
      </c>
      <c r="B1430" s="524" t="s">
        <v>1689</v>
      </c>
      <c r="C1430" s="525" t="s">
        <v>1690</v>
      </c>
      <c r="D1430" s="524" t="s">
        <v>397</v>
      </c>
      <c r="E1430" s="524" t="s">
        <v>1122</v>
      </c>
      <c r="F1430" s="526" t="s">
        <v>1691</v>
      </c>
      <c r="G1430" s="252">
        <f t="shared" si="25"/>
        <v>8.69</v>
      </c>
    </row>
    <row r="1431" spans="1:7" ht="28.8" x14ac:dyDescent="0.3">
      <c r="A1431" s="524" t="s">
        <v>508</v>
      </c>
      <c r="B1431" s="524" t="s">
        <v>1692</v>
      </c>
      <c r="C1431" s="525" t="s">
        <v>1693</v>
      </c>
      <c r="D1431" s="524" t="s">
        <v>397</v>
      </c>
      <c r="E1431" s="524" t="s">
        <v>1523</v>
      </c>
      <c r="F1431" s="526" t="s">
        <v>1694</v>
      </c>
      <c r="G1431" s="252">
        <f t="shared" si="25"/>
        <v>0.36</v>
      </c>
    </row>
    <row r="1432" spans="1:7" x14ac:dyDescent="0.3">
      <c r="A1432" s="524" t="s">
        <v>522</v>
      </c>
      <c r="B1432" s="524" t="s">
        <v>611</v>
      </c>
      <c r="C1432" s="525" t="s">
        <v>546</v>
      </c>
      <c r="D1432" s="524" t="s">
        <v>32</v>
      </c>
      <c r="E1432" s="524" t="s">
        <v>1695</v>
      </c>
      <c r="F1432" s="526" t="s">
        <v>1646</v>
      </c>
      <c r="G1432" s="252">
        <f t="shared" si="25"/>
        <v>4.92</v>
      </c>
    </row>
    <row r="1433" spans="1:7" x14ac:dyDescent="0.3">
      <c r="A1433" s="524" t="s">
        <v>522</v>
      </c>
      <c r="B1433" s="524" t="s">
        <v>610</v>
      </c>
      <c r="C1433" s="525" t="s">
        <v>543</v>
      </c>
      <c r="D1433" s="524" t="s">
        <v>32</v>
      </c>
      <c r="E1433" s="524" t="s">
        <v>1695</v>
      </c>
      <c r="F1433" s="526" t="s">
        <v>1647</v>
      </c>
      <c r="G1433" s="252">
        <f t="shared" si="25"/>
        <v>6.31</v>
      </c>
    </row>
    <row r="1434" spans="1:7" x14ac:dyDescent="0.3">
      <c r="A1434" s="680" t="s">
        <v>1152</v>
      </c>
      <c r="B1434" s="681"/>
      <c r="C1434" s="681"/>
      <c r="D1434" s="681"/>
      <c r="E1434" s="681"/>
      <c r="F1434" s="682"/>
      <c r="G1434" s="527">
        <f>SUM(G1430:G1433)</f>
        <v>20.279999999999998</v>
      </c>
    </row>
    <row r="1435" spans="1:7" x14ac:dyDescent="0.3">
      <c r="A1435" s="683">
        <f>TRUNC(E1435*F1435,2)</f>
        <v>0</v>
      </c>
      <c r="B1435" s="684"/>
      <c r="C1435" s="684"/>
      <c r="D1435" s="684"/>
      <c r="E1435" s="684"/>
      <c r="F1435" s="684"/>
      <c r="G1435" s="685"/>
    </row>
    <row r="1436" spans="1:7" ht="28.8" x14ac:dyDescent="0.3">
      <c r="A1436" s="529" t="s">
        <v>256</v>
      </c>
      <c r="B1436" s="529">
        <v>98296</v>
      </c>
      <c r="C1436" s="530" t="s">
        <v>172</v>
      </c>
      <c r="D1436" s="529" t="s">
        <v>55</v>
      </c>
      <c r="E1436" s="252"/>
      <c r="F1436" s="531">
        <v>2.52</v>
      </c>
      <c r="G1436" s="252">
        <f t="shared" si="25"/>
        <v>0</v>
      </c>
    </row>
    <row r="1437" spans="1:7" x14ac:dyDescent="0.3">
      <c r="A1437" s="524" t="s">
        <v>508</v>
      </c>
      <c r="B1437" s="524" t="s">
        <v>1700</v>
      </c>
      <c r="C1437" s="525" t="s">
        <v>1701</v>
      </c>
      <c r="D1437" s="524" t="s">
        <v>55</v>
      </c>
      <c r="E1437" s="524" t="s">
        <v>1697</v>
      </c>
      <c r="F1437" s="526" t="s">
        <v>1702</v>
      </c>
      <c r="G1437" s="252">
        <f t="shared" si="25"/>
        <v>1.65</v>
      </c>
    </row>
    <row r="1438" spans="1:7" x14ac:dyDescent="0.3">
      <c r="A1438" s="524" t="s">
        <v>522</v>
      </c>
      <c r="B1438" s="524" t="s">
        <v>611</v>
      </c>
      <c r="C1438" s="525" t="s">
        <v>546</v>
      </c>
      <c r="D1438" s="524" t="s">
        <v>32</v>
      </c>
      <c r="E1438" s="524" t="s">
        <v>1151</v>
      </c>
      <c r="F1438" s="526" t="s">
        <v>1646</v>
      </c>
      <c r="G1438" s="252">
        <f t="shared" si="25"/>
        <v>0.38</v>
      </c>
    </row>
    <row r="1439" spans="1:7" x14ac:dyDescent="0.3">
      <c r="A1439" s="524" t="s">
        <v>522</v>
      </c>
      <c r="B1439" s="524" t="s">
        <v>610</v>
      </c>
      <c r="C1439" s="525" t="s">
        <v>543</v>
      </c>
      <c r="D1439" s="524" t="s">
        <v>32</v>
      </c>
      <c r="E1439" s="524" t="s">
        <v>1151</v>
      </c>
      <c r="F1439" s="526" t="s">
        <v>1647</v>
      </c>
      <c r="G1439" s="252">
        <f t="shared" si="25"/>
        <v>0.49</v>
      </c>
    </row>
    <row r="1440" spans="1:7" x14ac:dyDescent="0.3">
      <c r="A1440" s="680" t="s">
        <v>1152</v>
      </c>
      <c r="B1440" s="681"/>
      <c r="C1440" s="681"/>
      <c r="D1440" s="681"/>
      <c r="E1440" s="681"/>
      <c r="F1440" s="682"/>
      <c r="G1440" s="527">
        <f>SUM(G1436:G1439)</f>
        <v>2.5199999999999996</v>
      </c>
    </row>
    <row r="1441" spans="1:13" x14ac:dyDescent="0.3">
      <c r="A1441" s="683">
        <f>TRUNC(E1441*F1441,2)</f>
        <v>0</v>
      </c>
      <c r="B1441" s="684"/>
      <c r="C1441" s="684"/>
      <c r="D1441" s="684"/>
      <c r="E1441" s="684"/>
      <c r="F1441" s="684"/>
      <c r="G1441" s="685"/>
    </row>
    <row r="1442" spans="1:13" x14ac:dyDescent="0.3">
      <c r="A1442" s="529" t="s">
        <v>257</v>
      </c>
      <c r="B1442" s="529">
        <v>98302</v>
      </c>
      <c r="C1442" s="530" t="s">
        <v>174</v>
      </c>
      <c r="D1442" s="529" t="s">
        <v>44</v>
      </c>
      <c r="E1442" s="252"/>
      <c r="F1442" s="531">
        <v>497.66</v>
      </c>
      <c r="G1442" s="252">
        <f t="shared" si="25"/>
        <v>0</v>
      </c>
    </row>
    <row r="1443" spans="1:13" x14ac:dyDescent="0.3">
      <c r="A1443" s="524" t="s">
        <v>508</v>
      </c>
      <c r="B1443" s="524" t="s">
        <v>1703</v>
      </c>
      <c r="C1443" s="525" t="s">
        <v>1704</v>
      </c>
      <c r="D1443" s="524" t="s">
        <v>397</v>
      </c>
      <c r="E1443" s="524" t="s">
        <v>1122</v>
      </c>
      <c r="F1443" s="526" t="s">
        <v>1706</v>
      </c>
      <c r="G1443" s="252">
        <f t="shared" si="25"/>
        <v>294.85000000000002</v>
      </c>
    </row>
    <row r="1444" spans="1:13" x14ac:dyDescent="0.3">
      <c r="A1444" s="524" t="s">
        <v>522</v>
      </c>
      <c r="B1444" s="524" t="s">
        <v>611</v>
      </c>
      <c r="C1444" s="525" t="s">
        <v>546</v>
      </c>
      <c r="D1444" s="524" t="s">
        <v>32</v>
      </c>
      <c r="E1444" s="524" t="s">
        <v>1705</v>
      </c>
      <c r="F1444" s="526" t="s">
        <v>1646</v>
      </c>
      <c r="G1444" s="252">
        <f t="shared" si="25"/>
        <v>88.85</v>
      </c>
    </row>
    <row r="1445" spans="1:13" x14ac:dyDescent="0.3">
      <c r="A1445" s="524" t="s">
        <v>522</v>
      </c>
      <c r="B1445" s="524" t="s">
        <v>610</v>
      </c>
      <c r="C1445" s="525" t="s">
        <v>543</v>
      </c>
      <c r="D1445" s="524" t="s">
        <v>32</v>
      </c>
      <c r="E1445" s="524" t="s">
        <v>1705</v>
      </c>
      <c r="F1445" s="526" t="s">
        <v>1647</v>
      </c>
      <c r="G1445" s="252">
        <f t="shared" si="25"/>
        <v>113.96</v>
      </c>
    </row>
    <row r="1446" spans="1:13" x14ac:dyDescent="0.3">
      <c r="A1446" s="680" t="s">
        <v>1152</v>
      </c>
      <c r="B1446" s="681"/>
      <c r="C1446" s="681"/>
      <c r="D1446" s="681"/>
      <c r="E1446" s="681"/>
      <c r="F1446" s="682"/>
      <c r="G1446" s="527">
        <f>SUM(G1442:G1445)</f>
        <v>497.66</v>
      </c>
    </row>
    <row r="1447" spans="1:13" x14ac:dyDescent="0.3">
      <c r="A1447" s="683">
        <f>TRUNC(E1447*F1447,2)</f>
        <v>0</v>
      </c>
      <c r="B1447" s="684"/>
      <c r="C1447" s="684"/>
      <c r="D1447" s="684"/>
      <c r="E1447" s="684"/>
      <c r="F1447" s="684"/>
      <c r="G1447" s="685"/>
    </row>
    <row r="1448" spans="1:13" x14ac:dyDescent="0.3">
      <c r="A1448" s="529" t="s">
        <v>258</v>
      </c>
      <c r="B1448" s="529">
        <v>98593</v>
      </c>
      <c r="C1448" s="530" t="s">
        <v>176</v>
      </c>
      <c r="D1448" s="529" t="s">
        <v>44</v>
      </c>
      <c r="E1448" s="252"/>
      <c r="F1448" s="531">
        <v>650.59</v>
      </c>
      <c r="G1448" s="252">
        <f t="shared" si="25"/>
        <v>0</v>
      </c>
    </row>
    <row r="1449" spans="1:13" x14ac:dyDescent="0.3">
      <c r="A1449" s="524" t="s">
        <v>508</v>
      </c>
      <c r="B1449" s="524" t="s">
        <v>1707</v>
      </c>
      <c r="C1449" s="525" t="s">
        <v>1708</v>
      </c>
      <c r="D1449" s="524" t="s">
        <v>397</v>
      </c>
      <c r="E1449" s="524" t="s">
        <v>1122</v>
      </c>
      <c r="F1449" s="526" t="s">
        <v>1709</v>
      </c>
      <c r="G1449" s="252">
        <f t="shared" si="25"/>
        <v>247.5</v>
      </c>
    </row>
    <row r="1450" spans="1:13" x14ac:dyDescent="0.3">
      <c r="A1450" s="524" t="s">
        <v>522</v>
      </c>
      <c r="B1450" s="524" t="s">
        <v>611</v>
      </c>
      <c r="C1450" s="525" t="s">
        <v>546</v>
      </c>
      <c r="D1450" s="524" t="s">
        <v>32</v>
      </c>
      <c r="E1450" s="524" t="s">
        <v>1710</v>
      </c>
      <c r="F1450" s="526" t="s">
        <v>1646</v>
      </c>
      <c r="G1450" s="252">
        <f t="shared" si="25"/>
        <v>176.59</v>
      </c>
    </row>
    <row r="1451" spans="1:13" x14ac:dyDescent="0.3">
      <c r="A1451" s="524" t="s">
        <v>522</v>
      </c>
      <c r="B1451" s="524" t="s">
        <v>610</v>
      </c>
      <c r="C1451" s="525" t="s">
        <v>543</v>
      </c>
      <c r="D1451" s="524" t="s">
        <v>32</v>
      </c>
      <c r="E1451" s="524" t="s">
        <v>1710</v>
      </c>
      <c r="F1451" s="526" t="s">
        <v>1647</v>
      </c>
      <c r="G1451" s="252">
        <f t="shared" si="25"/>
        <v>226.5</v>
      </c>
    </row>
    <row r="1452" spans="1:13" x14ac:dyDescent="0.3">
      <c r="A1452" s="680" t="s">
        <v>1152</v>
      </c>
      <c r="B1452" s="681"/>
      <c r="C1452" s="681"/>
      <c r="D1452" s="681"/>
      <c r="E1452" s="681"/>
      <c r="F1452" s="682"/>
      <c r="G1452" s="527">
        <f>SUM(G1448:G1451)</f>
        <v>650.59</v>
      </c>
    </row>
    <row r="1453" spans="1:13" x14ac:dyDescent="0.3">
      <c r="A1453" s="683">
        <f>TRUNC(E1453*F1453,2)</f>
        <v>0</v>
      </c>
      <c r="B1453" s="684"/>
      <c r="C1453" s="684"/>
      <c r="D1453" s="684"/>
      <c r="E1453" s="684"/>
      <c r="F1453" s="684"/>
      <c r="G1453" s="685"/>
    </row>
    <row r="1454" spans="1:13" ht="43.2" x14ac:dyDescent="0.3">
      <c r="A1454" s="529" t="s">
        <v>259</v>
      </c>
      <c r="B1454" s="529" t="s">
        <v>178</v>
      </c>
      <c r="C1454" s="530" t="s">
        <v>179</v>
      </c>
      <c r="D1454" s="529" t="s">
        <v>44</v>
      </c>
      <c r="E1454" s="252"/>
      <c r="F1454" s="531">
        <v>1488.24</v>
      </c>
      <c r="G1454" s="252">
        <f t="shared" si="25"/>
        <v>0</v>
      </c>
    </row>
    <row r="1455" spans="1:13" x14ac:dyDescent="0.3">
      <c r="A1455" s="529"/>
      <c r="B1455" s="529" t="s">
        <v>570</v>
      </c>
      <c r="C1455" s="530" t="s">
        <v>571</v>
      </c>
      <c r="D1455" s="529" t="s">
        <v>397</v>
      </c>
      <c r="E1455" s="609">
        <v>1</v>
      </c>
      <c r="F1455" s="531">
        <v>164.45</v>
      </c>
      <c r="G1455" s="252">
        <f t="shared" si="25"/>
        <v>164.45</v>
      </c>
      <c r="J1455" s="196">
        <v>1</v>
      </c>
      <c r="K1455" s="131">
        <v>164.45</v>
      </c>
      <c r="L1455" s="215">
        <f>TRUNC(J1455*K1455,2)</f>
        <v>164.45</v>
      </c>
      <c r="M1455" s="222">
        <f>J1455*K1455</f>
        <v>164.45</v>
      </c>
    </row>
    <row r="1456" spans="1:13" x14ac:dyDescent="0.3">
      <c r="A1456" s="529"/>
      <c r="B1456" s="529" t="s">
        <v>807</v>
      </c>
      <c r="C1456" s="530" t="s">
        <v>573</v>
      </c>
      <c r="D1456" s="529" t="s">
        <v>397</v>
      </c>
      <c r="E1456" s="609">
        <v>1</v>
      </c>
      <c r="F1456" s="531">
        <v>75.58</v>
      </c>
      <c r="G1456" s="252">
        <f t="shared" si="25"/>
        <v>75.58</v>
      </c>
      <c r="J1456" s="196">
        <v>1</v>
      </c>
      <c r="K1456" s="131">
        <v>75.58</v>
      </c>
      <c r="L1456" s="215">
        <f t="shared" ref="L1456:L1461" si="26">TRUNC(J1456*K1456,2)</f>
        <v>75.58</v>
      </c>
      <c r="M1456" s="222">
        <f t="shared" ref="M1456:M1459" si="27">J1456*K1456</f>
        <v>75.58</v>
      </c>
    </row>
    <row r="1457" spans="1:13" x14ac:dyDescent="0.3">
      <c r="A1457" s="529"/>
      <c r="B1457" s="529" t="s">
        <v>807</v>
      </c>
      <c r="C1457" s="530" t="s">
        <v>574</v>
      </c>
      <c r="D1457" s="529" t="s">
        <v>397</v>
      </c>
      <c r="E1457" s="609">
        <v>1</v>
      </c>
      <c r="F1457" s="531">
        <v>62.05</v>
      </c>
      <c r="G1457" s="252">
        <f t="shared" si="25"/>
        <v>62.05</v>
      </c>
      <c r="J1457" s="196">
        <v>1</v>
      </c>
      <c r="K1457" s="131">
        <v>62.69</v>
      </c>
      <c r="L1457" s="215">
        <f t="shared" si="26"/>
        <v>62.69</v>
      </c>
      <c r="M1457" s="222">
        <f t="shared" si="27"/>
        <v>62.69</v>
      </c>
    </row>
    <row r="1458" spans="1:13" ht="28.8" x14ac:dyDescent="0.3">
      <c r="A1458" s="529"/>
      <c r="B1458" s="529" t="s">
        <v>807</v>
      </c>
      <c r="C1458" s="530" t="s">
        <v>575</v>
      </c>
      <c r="D1458" s="529" t="s">
        <v>397</v>
      </c>
      <c r="E1458" s="609">
        <v>1</v>
      </c>
      <c r="F1458" s="531">
        <v>922.58</v>
      </c>
      <c r="G1458" s="252">
        <f t="shared" si="25"/>
        <v>922.58</v>
      </c>
      <c r="J1458" s="196">
        <v>1</v>
      </c>
      <c r="K1458" s="131">
        <v>922.58</v>
      </c>
      <c r="L1458" s="215">
        <f t="shared" si="26"/>
        <v>922.58</v>
      </c>
      <c r="M1458" s="222">
        <f t="shared" si="27"/>
        <v>922.58</v>
      </c>
    </row>
    <row r="1459" spans="1:13" x14ac:dyDescent="0.3">
      <c r="A1459" s="529"/>
      <c r="B1459" s="529" t="s">
        <v>807</v>
      </c>
      <c r="C1459" s="530" t="s">
        <v>576</v>
      </c>
      <c r="D1459" s="529" t="s">
        <v>397</v>
      </c>
      <c r="E1459" s="609">
        <v>2</v>
      </c>
      <c r="F1459" s="531">
        <v>66.37</v>
      </c>
      <c r="G1459" s="252">
        <f t="shared" si="25"/>
        <v>132.74</v>
      </c>
      <c r="I1459" s="129"/>
      <c r="J1459" s="196">
        <v>2</v>
      </c>
      <c r="K1459" s="131">
        <v>66.37</v>
      </c>
      <c r="L1459" s="215">
        <f t="shared" si="26"/>
        <v>132.74</v>
      </c>
      <c r="M1459" s="222">
        <f t="shared" si="27"/>
        <v>132.74</v>
      </c>
    </row>
    <row r="1460" spans="1:13" x14ac:dyDescent="0.3">
      <c r="A1460" s="529"/>
      <c r="B1460" s="524" t="s">
        <v>610</v>
      </c>
      <c r="C1460" s="525" t="s">
        <v>543</v>
      </c>
      <c r="D1460" s="529" t="s">
        <v>32</v>
      </c>
      <c r="E1460" s="609">
        <v>4</v>
      </c>
      <c r="F1460" s="531">
        <v>18.38</v>
      </c>
      <c r="G1460" s="252">
        <f t="shared" si="25"/>
        <v>73.52</v>
      </c>
      <c r="I1460" s="129" t="s">
        <v>1647</v>
      </c>
      <c r="J1460" s="216">
        <v>4</v>
      </c>
      <c r="K1460" s="134" t="s">
        <v>530</v>
      </c>
      <c r="L1460" s="215">
        <f t="shared" si="26"/>
        <v>70.56</v>
      </c>
      <c r="M1460" s="222">
        <f>TRUNC(I1460*J1460,2)</f>
        <v>73.52</v>
      </c>
    </row>
    <row r="1461" spans="1:13" x14ac:dyDescent="0.3">
      <c r="A1461" s="529"/>
      <c r="B1461" s="524" t="s">
        <v>611</v>
      </c>
      <c r="C1461" s="525" t="s">
        <v>546</v>
      </c>
      <c r="D1461" s="529" t="s">
        <v>32</v>
      </c>
      <c r="E1461" s="609">
        <v>4</v>
      </c>
      <c r="F1461" s="531">
        <v>14.33</v>
      </c>
      <c r="G1461" s="252">
        <f t="shared" si="25"/>
        <v>57.32</v>
      </c>
      <c r="I1461" s="129" t="s">
        <v>1646</v>
      </c>
      <c r="J1461" s="216">
        <v>4</v>
      </c>
      <c r="K1461" s="134" t="s">
        <v>526</v>
      </c>
      <c r="L1461" s="215">
        <f t="shared" si="26"/>
        <v>59.64</v>
      </c>
      <c r="M1461" s="222">
        <f>TRUNC(I1461*J1461,2)</f>
        <v>57.32</v>
      </c>
    </row>
    <row r="1462" spans="1:13" x14ac:dyDescent="0.3">
      <c r="A1462" s="680" t="s">
        <v>1152</v>
      </c>
      <c r="B1462" s="681"/>
      <c r="C1462" s="681"/>
      <c r="D1462" s="681"/>
      <c r="E1462" s="681"/>
      <c r="F1462" s="682"/>
      <c r="G1462" s="527">
        <f>SUM(G1454:G1461)</f>
        <v>1488.24</v>
      </c>
      <c r="I1462" s="129"/>
      <c r="L1462" s="215">
        <f>SUM(L1455:L1461)</f>
        <v>1488.24</v>
      </c>
      <c r="M1462" s="222">
        <f>SUM(M1455:M1461)</f>
        <v>1488.8799999999999</v>
      </c>
    </row>
    <row r="1463" spans="1:13" x14ac:dyDescent="0.3">
      <c r="A1463" s="686"/>
      <c r="B1463" s="687"/>
      <c r="C1463" s="687"/>
      <c r="D1463" s="687"/>
      <c r="E1463" s="687"/>
      <c r="F1463" s="687"/>
      <c r="G1463" s="688"/>
      <c r="M1463" s="222">
        <f>M1462-L1462</f>
        <v>0.63999999999987267</v>
      </c>
    </row>
    <row r="1464" spans="1:13" x14ac:dyDescent="0.3">
      <c r="A1464" s="529" t="s">
        <v>260</v>
      </c>
      <c r="B1464" s="529">
        <v>98307</v>
      </c>
      <c r="C1464" s="530" t="s">
        <v>182</v>
      </c>
      <c r="D1464" s="529" t="s">
        <v>44</v>
      </c>
      <c r="E1464" s="252"/>
      <c r="F1464" s="531">
        <v>27.38</v>
      </c>
      <c r="G1464" s="252">
        <f t="shared" si="25"/>
        <v>0</v>
      </c>
      <c r="M1464" s="222">
        <v>62.69</v>
      </c>
    </row>
    <row r="1465" spans="1:13" ht="28.8" x14ac:dyDescent="0.3">
      <c r="A1465" s="524" t="s">
        <v>508</v>
      </c>
      <c r="B1465" s="524" t="s">
        <v>1715</v>
      </c>
      <c r="C1465" s="525" t="s">
        <v>1716</v>
      </c>
      <c r="D1465" s="524" t="s">
        <v>397</v>
      </c>
      <c r="E1465" s="524" t="s">
        <v>1122</v>
      </c>
      <c r="F1465" s="526" t="s">
        <v>1717</v>
      </c>
      <c r="G1465" s="252">
        <f t="shared" si="25"/>
        <v>20.65</v>
      </c>
      <c r="M1465" s="222">
        <f>M1464-M1463</f>
        <v>62.050000000000125</v>
      </c>
    </row>
    <row r="1466" spans="1:13" x14ac:dyDescent="0.3">
      <c r="A1466" s="524" t="s">
        <v>522</v>
      </c>
      <c r="B1466" s="524" t="s">
        <v>611</v>
      </c>
      <c r="C1466" s="525" t="s">
        <v>546</v>
      </c>
      <c r="D1466" s="524" t="s">
        <v>32</v>
      </c>
      <c r="E1466" s="524" t="s">
        <v>1714</v>
      </c>
      <c r="F1466" s="526" t="s">
        <v>1646</v>
      </c>
      <c r="G1466" s="252">
        <f t="shared" si="25"/>
        <v>2.95</v>
      </c>
    </row>
    <row r="1467" spans="1:13" x14ac:dyDescent="0.3">
      <c r="A1467" s="524" t="s">
        <v>522</v>
      </c>
      <c r="B1467" s="524" t="s">
        <v>610</v>
      </c>
      <c r="C1467" s="525" t="s">
        <v>543</v>
      </c>
      <c r="D1467" s="524" t="s">
        <v>32</v>
      </c>
      <c r="E1467" s="524" t="s">
        <v>1714</v>
      </c>
      <c r="F1467" s="526" t="s">
        <v>1647</v>
      </c>
      <c r="G1467" s="252">
        <f t="shared" si="25"/>
        <v>3.78</v>
      </c>
    </row>
    <row r="1468" spans="1:13" x14ac:dyDescent="0.3">
      <c r="A1468" s="680" t="s">
        <v>1152</v>
      </c>
      <c r="B1468" s="681"/>
      <c r="C1468" s="681"/>
      <c r="D1468" s="681"/>
      <c r="E1468" s="681"/>
      <c r="F1468" s="682"/>
      <c r="G1468" s="527">
        <f>SUM(G1464:G1467)</f>
        <v>27.38</v>
      </c>
    </row>
    <row r="1469" spans="1:13" x14ac:dyDescent="0.3">
      <c r="A1469" s="683">
        <f>TRUNC(E1469*F1469,2)</f>
        <v>0</v>
      </c>
      <c r="B1469" s="684"/>
      <c r="C1469" s="684"/>
      <c r="D1469" s="684"/>
      <c r="E1469" s="684"/>
      <c r="F1469" s="684"/>
      <c r="G1469" s="685"/>
    </row>
    <row r="1470" spans="1:13" x14ac:dyDescent="0.3">
      <c r="A1470" s="529" t="s">
        <v>261</v>
      </c>
      <c r="B1470" s="529">
        <v>98308</v>
      </c>
      <c r="C1470" s="530" t="s">
        <v>180</v>
      </c>
      <c r="D1470" s="529" t="s">
        <v>44</v>
      </c>
      <c r="E1470" s="252"/>
      <c r="F1470" s="531">
        <v>18.43</v>
      </c>
      <c r="G1470" s="252">
        <f t="shared" si="25"/>
        <v>0</v>
      </c>
    </row>
    <row r="1471" spans="1:13" ht="28.8" x14ac:dyDescent="0.3">
      <c r="A1471" s="524" t="s">
        <v>508</v>
      </c>
      <c r="B1471" s="524" t="s">
        <v>1711</v>
      </c>
      <c r="C1471" s="525" t="s">
        <v>1712</v>
      </c>
      <c r="D1471" s="524" t="s">
        <v>397</v>
      </c>
      <c r="E1471" s="524" t="s">
        <v>1122</v>
      </c>
      <c r="F1471" s="526" t="s">
        <v>1713</v>
      </c>
      <c r="G1471" s="252">
        <f t="shared" si="25"/>
        <v>11.7</v>
      </c>
    </row>
    <row r="1472" spans="1:13" x14ac:dyDescent="0.3">
      <c r="A1472" s="524" t="s">
        <v>522</v>
      </c>
      <c r="B1472" s="524" t="s">
        <v>611</v>
      </c>
      <c r="C1472" s="525" t="s">
        <v>546</v>
      </c>
      <c r="D1472" s="524" t="s">
        <v>32</v>
      </c>
      <c r="E1472" s="524" t="s">
        <v>1714</v>
      </c>
      <c r="F1472" s="526" t="s">
        <v>1646</v>
      </c>
      <c r="G1472" s="252">
        <f t="shared" si="25"/>
        <v>2.95</v>
      </c>
    </row>
    <row r="1473" spans="1:7" x14ac:dyDescent="0.3">
      <c r="A1473" s="524" t="s">
        <v>522</v>
      </c>
      <c r="B1473" s="524" t="s">
        <v>610</v>
      </c>
      <c r="C1473" s="525" t="s">
        <v>543</v>
      </c>
      <c r="D1473" s="524" t="s">
        <v>32</v>
      </c>
      <c r="E1473" s="524" t="s">
        <v>1714</v>
      </c>
      <c r="F1473" s="526" t="s">
        <v>1647</v>
      </c>
      <c r="G1473" s="252">
        <f t="shared" si="25"/>
        <v>3.78</v>
      </c>
    </row>
    <row r="1474" spans="1:7" x14ac:dyDescent="0.3">
      <c r="A1474" s="680" t="s">
        <v>1152</v>
      </c>
      <c r="B1474" s="681"/>
      <c r="C1474" s="681"/>
      <c r="D1474" s="681"/>
      <c r="E1474" s="681"/>
      <c r="F1474" s="682"/>
      <c r="G1474" s="527">
        <f>SUM(G1470:G1473)</f>
        <v>18.43</v>
      </c>
    </row>
    <row r="1475" spans="1:7" x14ac:dyDescent="0.3">
      <c r="A1475" s="683">
        <f>TRUNC(E1475*F1475,2)</f>
        <v>0</v>
      </c>
      <c r="B1475" s="684"/>
      <c r="C1475" s="684"/>
      <c r="D1475" s="684"/>
      <c r="E1475" s="684"/>
      <c r="F1475" s="684"/>
      <c r="G1475" s="685"/>
    </row>
    <row r="1476" spans="1:7" ht="28.8" x14ac:dyDescent="0.3">
      <c r="A1476" s="529" t="s">
        <v>262</v>
      </c>
      <c r="B1476" s="529">
        <v>100560</v>
      </c>
      <c r="C1476" s="530" t="s">
        <v>184</v>
      </c>
      <c r="D1476" s="529" t="s">
        <v>185</v>
      </c>
      <c r="E1476" s="252"/>
      <c r="F1476" s="531">
        <v>80.44</v>
      </c>
      <c r="G1476" s="252">
        <f t="shared" si="25"/>
        <v>0</v>
      </c>
    </row>
    <row r="1477" spans="1:7" ht="28.8" x14ac:dyDescent="0.3">
      <c r="A1477" s="524" t="s">
        <v>508</v>
      </c>
      <c r="B1477" s="524" t="s">
        <v>1718</v>
      </c>
      <c r="C1477" s="525" t="s">
        <v>1719</v>
      </c>
      <c r="D1477" s="524" t="s">
        <v>397</v>
      </c>
      <c r="E1477" s="524" t="s">
        <v>1122</v>
      </c>
      <c r="F1477" s="526" t="s">
        <v>1720</v>
      </c>
      <c r="G1477" s="252">
        <f t="shared" si="25"/>
        <v>49.76</v>
      </c>
    </row>
    <row r="1478" spans="1:7" ht="43.2" x14ac:dyDescent="0.3">
      <c r="A1478" s="524" t="s">
        <v>522</v>
      </c>
      <c r="B1478" s="524" t="s">
        <v>1721</v>
      </c>
      <c r="C1478" s="525" t="s">
        <v>1722</v>
      </c>
      <c r="D1478" s="524" t="s">
        <v>41</v>
      </c>
      <c r="E1478" s="524" t="s">
        <v>1723</v>
      </c>
      <c r="F1478" s="526" t="s">
        <v>1724</v>
      </c>
      <c r="G1478" s="252">
        <f t="shared" si="25"/>
        <v>1.9</v>
      </c>
    </row>
    <row r="1479" spans="1:7" x14ac:dyDescent="0.3">
      <c r="A1479" s="524" t="s">
        <v>522</v>
      </c>
      <c r="B1479" s="524" t="s">
        <v>611</v>
      </c>
      <c r="C1479" s="525" t="s">
        <v>546</v>
      </c>
      <c r="D1479" s="524" t="s">
        <v>32</v>
      </c>
      <c r="E1479" s="524" t="s">
        <v>1725</v>
      </c>
      <c r="F1479" s="526" t="s">
        <v>1646</v>
      </c>
      <c r="G1479" s="252">
        <f t="shared" si="25"/>
        <v>12.61</v>
      </c>
    </row>
    <row r="1480" spans="1:7" x14ac:dyDescent="0.3">
      <c r="A1480" s="524" t="s">
        <v>522</v>
      </c>
      <c r="B1480" s="524" t="s">
        <v>610</v>
      </c>
      <c r="C1480" s="525" t="s">
        <v>543</v>
      </c>
      <c r="D1480" s="524" t="s">
        <v>32</v>
      </c>
      <c r="E1480" s="524" t="s">
        <v>1725</v>
      </c>
      <c r="F1480" s="526" t="s">
        <v>1647</v>
      </c>
      <c r="G1480" s="252">
        <f t="shared" si="25"/>
        <v>16.170000000000002</v>
      </c>
    </row>
    <row r="1481" spans="1:7" x14ac:dyDescent="0.3">
      <c r="A1481" s="680" t="s">
        <v>1152</v>
      </c>
      <c r="B1481" s="681"/>
      <c r="C1481" s="681"/>
      <c r="D1481" s="681"/>
      <c r="E1481" s="681"/>
      <c r="F1481" s="682"/>
      <c r="G1481" s="527">
        <f>SUM(G1477:G1480)</f>
        <v>80.44</v>
      </c>
    </row>
    <row r="1482" spans="1:7" x14ac:dyDescent="0.3">
      <c r="A1482" s="683">
        <f>TRUNC(E1482*F1482,2)</f>
        <v>0</v>
      </c>
      <c r="B1482" s="684"/>
      <c r="C1482" s="684"/>
      <c r="D1482" s="684"/>
      <c r="E1482" s="684"/>
      <c r="F1482" s="684"/>
      <c r="G1482" s="685"/>
    </row>
    <row r="1483" spans="1:7" x14ac:dyDescent="0.3">
      <c r="A1483" s="529" t="s">
        <v>211</v>
      </c>
      <c r="B1483" s="529"/>
      <c r="C1483" s="530" t="s">
        <v>187</v>
      </c>
      <c r="D1483" s="529"/>
      <c r="E1483" s="252"/>
      <c r="F1483" s="531"/>
      <c r="G1483" s="252">
        <f t="shared" si="25"/>
        <v>0</v>
      </c>
    </row>
    <row r="1484" spans="1:7" x14ac:dyDescent="0.3">
      <c r="A1484" s="529" t="s">
        <v>213</v>
      </c>
      <c r="B1484" s="529"/>
      <c r="C1484" s="530" t="s">
        <v>189</v>
      </c>
      <c r="D1484" s="529"/>
      <c r="E1484" s="252"/>
      <c r="F1484" s="531"/>
      <c r="G1484" s="252">
        <f t="shared" si="25"/>
        <v>0</v>
      </c>
    </row>
    <row r="1485" spans="1:7" ht="28.8" x14ac:dyDescent="0.3">
      <c r="A1485" s="529" t="s">
        <v>263</v>
      </c>
      <c r="B1485" s="529">
        <v>90443</v>
      </c>
      <c r="C1485" s="530" t="s">
        <v>190</v>
      </c>
      <c r="D1485" s="529" t="s">
        <v>55</v>
      </c>
      <c r="E1485" s="252"/>
      <c r="F1485" s="531">
        <v>8.9499999999999993</v>
      </c>
      <c r="G1485" s="252">
        <f t="shared" si="25"/>
        <v>0</v>
      </c>
    </row>
    <row r="1486" spans="1:7" ht="28.8" x14ac:dyDescent="0.3">
      <c r="A1486" s="524" t="s">
        <v>522</v>
      </c>
      <c r="B1486" s="524" t="s">
        <v>1726</v>
      </c>
      <c r="C1486" s="525" t="s">
        <v>1727</v>
      </c>
      <c r="D1486" s="524" t="s">
        <v>32</v>
      </c>
      <c r="E1486" s="524" t="s">
        <v>1728</v>
      </c>
      <c r="F1486" s="526" t="s">
        <v>1729</v>
      </c>
      <c r="G1486" s="252">
        <f t="shared" si="25"/>
        <v>0.97</v>
      </c>
    </row>
    <row r="1487" spans="1:7" x14ac:dyDescent="0.3">
      <c r="A1487" s="524" t="s">
        <v>522</v>
      </c>
      <c r="B1487" s="524" t="s">
        <v>1367</v>
      </c>
      <c r="C1487" s="525" t="s">
        <v>1368</v>
      </c>
      <c r="D1487" s="524" t="s">
        <v>32</v>
      </c>
      <c r="E1487" s="524" t="s">
        <v>1730</v>
      </c>
      <c r="F1487" s="526" t="s">
        <v>1370</v>
      </c>
      <c r="G1487" s="252">
        <f t="shared" si="25"/>
        <v>7.98</v>
      </c>
    </row>
    <row r="1488" spans="1:7" x14ac:dyDescent="0.3">
      <c r="A1488" s="680" t="s">
        <v>1152</v>
      </c>
      <c r="B1488" s="681"/>
      <c r="C1488" s="681"/>
      <c r="D1488" s="681"/>
      <c r="E1488" s="681"/>
      <c r="F1488" s="682"/>
      <c r="G1488" s="527">
        <f>SUM(G1484:G1487)</f>
        <v>8.9500000000000011</v>
      </c>
    </row>
    <row r="1489" spans="1:7" x14ac:dyDescent="0.3">
      <c r="A1489" s="683">
        <f>TRUNC(E1489*F1489,2)</f>
        <v>0</v>
      </c>
      <c r="B1489" s="684"/>
      <c r="C1489" s="684"/>
      <c r="D1489" s="684"/>
      <c r="E1489" s="684"/>
      <c r="F1489" s="684"/>
      <c r="G1489" s="685"/>
    </row>
    <row r="1490" spans="1:7" ht="28.8" x14ac:dyDescent="0.3">
      <c r="A1490" s="529" t="s">
        <v>264</v>
      </c>
      <c r="B1490" s="529">
        <v>86895</v>
      </c>
      <c r="C1490" s="530" t="s">
        <v>191</v>
      </c>
      <c r="D1490" s="529" t="s">
        <v>44</v>
      </c>
      <c r="E1490" s="252"/>
      <c r="F1490" s="531">
        <v>269.19</v>
      </c>
      <c r="G1490" s="252">
        <f t="shared" si="25"/>
        <v>0</v>
      </c>
    </row>
    <row r="1491" spans="1:7" x14ac:dyDescent="0.3">
      <c r="A1491" s="524" t="s">
        <v>508</v>
      </c>
      <c r="B1491" s="524" t="s">
        <v>1731</v>
      </c>
      <c r="C1491" s="525" t="s">
        <v>1732</v>
      </c>
      <c r="D1491" s="524" t="s">
        <v>426</v>
      </c>
      <c r="E1491" s="524" t="s">
        <v>1733</v>
      </c>
      <c r="F1491" s="526" t="s">
        <v>1734</v>
      </c>
      <c r="G1491" s="252">
        <f t="shared" si="25"/>
        <v>14.23</v>
      </c>
    </row>
    <row r="1492" spans="1:7" ht="28.8" x14ac:dyDescent="0.3">
      <c r="A1492" s="524" t="s">
        <v>508</v>
      </c>
      <c r="B1492" s="524" t="s">
        <v>1425</v>
      </c>
      <c r="C1492" s="525" t="s">
        <v>1426</v>
      </c>
      <c r="D1492" s="524" t="s">
        <v>397</v>
      </c>
      <c r="E1492" s="524" t="s">
        <v>1397</v>
      </c>
      <c r="F1492" s="526" t="s">
        <v>1428</v>
      </c>
      <c r="G1492" s="252">
        <f t="shared" si="25"/>
        <v>3.3</v>
      </c>
    </row>
    <row r="1493" spans="1:7" ht="28.8" x14ac:dyDescent="0.3">
      <c r="A1493" s="524" t="s">
        <v>508</v>
      </c>
      <c r="B1493" s="524" t="s">
        <v>1735</v>
      </c>
      <c r="C1493" s="525" t="s">
        <v>1736</v>
      </c>
      <c r="D1493" s="524" t="s">
        <v>24</v>
      </c>
      <c r="E1493" s="524" t="s">
        <v>1737</v>
      </c>
      <c r="F1493" s="526" t="s">
        <v>1738</v>
      </c>
      <c r="G1493" s="252">
        <f t="shared" si="25"/>
        <v>182.09</v>
      </c>
    </row>
    <row r="1494" spans="1:7" x14ac:dyDescent="0.3">
      <c r="A1494" s="524" t="s">
        <v>508</v>
      </c>
      <c r="B1494" s="524" t="s">
        <v>1739</v>
      </c>
      <c r="C1494" s="525" t="s">
        <v>1740</v>
      </c>
      <c r="D1494" s="524" t="s">
        <v>426</v>
      </c>
      <c r="E1494" s="524" t="s">
        <v>1741</v>
      </c>
      <c r="F1494" s="526" t="s">
        <v>1742</v>
      </c>
      <c r="G1494" s="252">
        <f t="shared" si="25"/>
        <v>1.23</v>
      </c>
    </row>
    <row r="1495" spans="1:7" ht="28.8" x14ac:dyDescent="0.3">
      <c r="A1495" s="524" t="s">
        <v>508</v>
      </c>
      <c r="B1495" s="524" t="s">
        <v>1743</v>
      </c>
      <c r="C1495" s="525" t="s">
        <v>1744</v>
      </c>
      <c r="D1495" s="524" t="s">
        <v>397</v>
      </c>
      <c r="E1495" s="524" t="s">
        <v>1523</v>
      </c>
      <c r="F1495" s="526" t="s">
        <v>1745</v>
      </c>
      <c r="G1495" s="252">
        <f t="shared" si="25"/>
        <v>19.72</v>
      </c>
    </row>
    <row r="1496" spans="1:7" x14ac:dyDescent="0.3">
      <c r="A1496" s="524" t="s">
        <v>522</v>
      </c>
      <c r="B1496" s="524" t="s">
        <v>1746</v>
      </c>
      <c r="C1496" s="525" t="s">
        <v>1747</v>
      </c>
      <c r="D1496" s="524" t="s">
        <v>32</v>
      </c>
      <c r="E1496" s="524" t="s">
        <v>1748</v>
      </c>
      <c r="F1496" s="526" t="s">
        <v>1749</v>
      </c>
      <c r="G1496" s="252">
        <f t="shared" si="25"/>
        <v>34.53</v>
      </c>
    </row>
    <row r="1497" spans="1:7" x14ac:dyDescent="0.3">
      <c r="A1497" s="524" t="s">
        <v>522</v>
      </c>
      <c r="B1497" s="524" t="s">
        <v>1359</v>
      </c>
      <c r="C1497" s="525" t="s">
        <v>801</v>
      </c>
      <c r="D1497" s="524" t="s">
        <v>32</v>
      </c>
      <c r="E1497" s="524" t="s">
        <v>1750</v>
      </c>
      <c r="F1497" s="526" t="s">
        <v>1361</v>
      </c>
      <c r="G1497" s="252">
        <f t="shared" si="25"/>
        <v>14.09</v>
      </c>
    </row>
    <row r="1498" spans="1:7" x14ac:dyDescent="0.3">
      <c r="A1498" s="680" t="s">
        <v>1152</v>
      </c>
      <c r="B1498" s="681"/>
      <c r="C1498" s="681"/>
      <c r="D1498" s="681"/>
      <c r="E1498" s="681"/>
      <c r="F1498" s="682"/>
      <c r="G1498" s="527">
        <f>SUM(G1490:G1497)</f>
        <v>269.19</v>
      </c>
    </row>
    <row r="1499" spans="1:7" x14ac:dyDescent="0.3">
      <c r="A1499" s="683">
        <f>TRUNC(E1499*F1499,2)</f>
        <v>0</v>
      </c>
      <c r="B1499" s="684"/>
      <c r="C1499" s="684"/>
      <c r="D1499" s="684"/>
      <c r="E1499" s="684"/>
      <c r="F1499" s="684"/>
      <c r="G1499" s="685"/>
    </row>
    <row r="1500" spans="1:7" ht="57.6" x14ac:dyDescent="0.3">
      <c r="A1500" s="529" t="s">
        <v>265</v>
      </c>
      <c r="B1500" s="529">
        <v>93441</v>
      </c>
      <c r="C1500" s="530" t="s">
        <v>266</v>
      </c>
      <c r="D1500" s="529" t="s">
        <v>44</v>
      </c>
      <c r="E1500" s="252"/>
      <c r="F1500" s="531">
        <v>843.67</v>
      </c>
      <c r="G1500" s="252">
        <f t="shared" si="25"/>
        <v>0</v>
      </c>
    </row>
    <row r="1501" spans="1:7" ht="28.8" x14ac:dyDescent="0.3">
      <c r="A1501" s="524" t="s">
        <v>522</v>
      </c>
      <c r="B1501" s="524" t="s">
        <v>1969</v>
      </c>
      <c r="C1501" s="525" t="s">
        <v>1970</v>
      </c>
      <c r="D1501" s="524" t="s">
        <v>397</v>
      </c>
      <c r="E1501" s="524" t="s">
        <v>1122</v>
      </c>
      <c r="F1501" s="528" t="s">
        <v>1971</v>
      </c>
      <c r="G1501" s="252">
        <f t="shared" si="25"/>
        <v>7.08</v>
      </c>
    </row>
    <row r="1502" spans="1:7" ht="28.8" x14ac:dyDescent="0.3">
      <c r="A1502" s="524" t="s">
        <v>522</v>
      </c>
      <c r="B1502" s="524" t="s">
        <v>1972</v>
      </c>
      <c r="C1502" s="525" t="s">
        <v>1973</v>
      </c>
      <c r="D1502" s="524" t="s">
        <v>397</v>
      </c>
      <c r="E1502" s="524" t="s">
        <v>1122</v>
      </c>
      <c r="F1502" s="528" t="s">
        <v>1974</v>
      </c>
      <c r="G1502" s="252">
        <f t="shared" si="25"/>
        <v>574.45000000000005</v>
      </c>
    </row>
    <row r="1503" spans="1:7" ht="28.8" x14ac:dyDescent="0.3">
      <c r="A1503" s="524" t="s">
        <v>522</v>
      </c>
      <c r="B1503" s="524" t="s">
        <v>1975</v>
      </c>
      <c r="C1503" s="525" t="s">
        <v>1976</v>
      </c>
      <c r="D1503" s="524" t="s">
        <v>397</v>
      </c>
      <c r="E1503" s="524" t="s">
        <v>1122</v>
      </c>
      <c r="F1503" s="528" t="s">
        <v>1977</v>
      </c>
      <c r="G1503" s="252">
        <f t="shared" si="25"/>
        <v>42.42</v>
      </c>
    </row>
    <row r="1504" spans="1:7" ht="43.2" x14ac:dyDescent="0.3">
      <c r="A1504" s="524" t="s">
        <v>522</v>
      </c>
      <c r="B1504" s="524" t="s">
        <v>1978</v>
      </c>
      <c r="C1504" s="525" t="s">
        <v>1979</v>
      </c>
      <c r="D1504" s="524" t="s">
        <v>397</v>
      </c>
      <c r="E1504" s="524" t="s">
        <v>1122</v>
      </c>
      <c r="F1504" s="528" t="s">
        <v>1980</v>
      </c>
      <c r="G1504" s="252">
        <f t="shared" si="25"/>
        <v>219.72</v>
      </c>
    </row>
    <row r="1505" spans="1:7" x14ac:dyDescent="0.3">
      <c r="A1505" s="680" t="s">
        <v>1152</v>
      </c>
      <c r="B1505" s="681"/>
      <c r="C1505" s="681"/>
      <c r="D1505" s="681"/>
      <c r="E1505" s="681"/>
      <c r="F1505" s="682"/>
      <c r="G1505" s="527">
        <f>SUM(G1500:G1504)</f>
        <v>843.67000000000007</v>
      </c>
    </row>
    <row r="1506" spans="1:7" x14ac:dyDescent="0.3">
      <c r="A1506" s="683">
        <f>TRUNC(E1506*F1506,2)</f>
        <v>0</v>
      </c>
      <c r="B1506" s="684"/>
      <c r="C1506" s="684"/>
      <c r="D1506" s="684"/>
      <c r="E1506" s="684"/>
      <c r="F1506" s="684"/>
      <c r="G1506" s="685"/>
    </row>
    <row r="1507" spans="1:7" ht="28.8" x14ac:dyDescent="0.3">
      <c r="A1507" s="529" t="s">
        <v>267</v>
      </c>
      <c r="B1507" s="529">
        <v>86889</v>
      </c>
      <c r="C1507" s="530" t="s">
        <v>268</v>
      </c>
      <c r="D1507" s="529" t="s">
        <v>44</v>
      </c>
      <c r="E1507" s="252"/>
      <c r="F1507" s="531">
        <v>574.45000000000005</v>
      </c>
      <c r="G1507" s="252">
        <f t="shared" si="25"/>
        <v>0</v>
      </c>
    </row>
    <row r="1508" spans="1:7" x14ac:dyDescent="0.3">
      <c r="A1508" s="524" t="s">
        <v>508</v>
      </c>
      <c r="B1508" s="524" t="s">
        <v>1731</v>
      </c>
      <c r="C1508" s="525" t="s">
        <v>1732</v>
      </c>
      <c r="D1508" s="524" t="s">
        <v>426</v>
      </c>
      <c r="E1508" s="524" t="s">
        <v>1981</v>
      </c>
      <c r="F1508" s="528" t="s">
        <v>1734</v>
      </c>
      <c r="G1508" s="252">
        <f t="shared" si="25"/>
        <v>19.350000000000001</v>
      </c>
    </row>
    <row r="1509" spans="1:7" ht="28.8" x14ac:dyDescent="0.3">
      <c r="A1509" s="524" t="s">
        <v>508</v>
      </c>
      <c r="B1509" s="524" t="s">
        <v>1425</v>
      </c>
      <c r="C1509" s="525" t="s">
        <v>1426</v>
      </c>
      <c r="D1509" s="524" t="s">
        <v>397</v>
      </c>
      <c r="E1509" s="524" t="s">
        <v>1397</v>
      </c>
      <c r="F1509" s="528" t="s">
        <v>1428</v>
      </c>
      <c r="G1509" s="252">
        <f t="shared" si="25"/>
        <v>3.3</v>
      </c>
    </row>
    <row r="1510" spans="1:7" ht="28.8" x14ac:dyDescent="0.3">
      <c r="A1510" s="524" t="s">
        <v>508</v>
      </c>
      <c r="B1510" s="524" t="s">
        <v>1735</v>
      </c>
      <c r="C1510" s="525" t="s">
        <v>1736</v>
      </c>
      <c r="D1510" s="524" t="s">
        <v>24</v>
      </c>
      <c r="E1510" s="524" t="s">
        <v>1982</v>
      </c>
      <c r="F1510" s="528" t="s">
        <v>1738</v>
      </c>
      <c r="G1510" s="252">
        <f t="shared" si="25"/>
        <v>485.42</v>
      </c>
    </row>
    <row r="1511" spans="1:7" x14ac:dyDescent="0.3">
      <c r="A1511" s="524" t="s">
        <v>508</v>
      </c>
      <c r="B1511" s="524" t="s">
        <v>1739</v>
      </c>
      <c r="C1511" s="525" t="s">
        <v>1740</v>
      </c>
      <c r="D1511" s="524" t="s">
        <v>426</v>
      </c>
      <c r="E1511" s="524" t="s">
        <v>1983</v>
      </c>
      <c r="F1511" s="528" t="s">
        <v>1742</v>
      </c>
      <c r="G1511" s="252">
        <f t="shared" si="25"/>
        <v>1.69</v>
      </c>
    </row>
    <row r="1512" spans="1:7" ht="28.8" x14ac:dyDescent="0.3">
      <c r="A1512" s="524" t="s">
        <v>508</v>
      </c>
      <c r="B1512" s="524" t="s">
        <v>1984</v>
      </c>
      <c r="C1512" s="525" t="s">
        <v>1985</v>
      </c>
      <c r="D1512" s="524" t="s">
        <v>397</v>
      </c>
      <c r="E1512" s="524" t="s">
        <v>1523</v>
      </c>
      <c r="F1512" s="528" t="s">
        <v>1986</v>
      </c>
      <c r="G1512" s="252">
        <f t="shared" si="25"/>
        <v>23.7</v>
      </c>
    </row>
    <row r="1513" spans="1:7" x14ac:dyDescent="0.3">
      <c r="A1513" s="524" t="s">
        <v>522</v>
      </c>
      <c r="B1513" s="524" t="s">
        <v>1746</v>
      </c>
      <c r="C1513" s="525" t="s">
        <v>1747</v>
      </c>
      <c r="D1513" s="524" t="s">
        <v>32</v>
      </c>
      <c r="E1513" s="524" t="s">
        <v>1987</v>
      </c>
      <c r="F1513" s="528" t="s">
        <v>1749</v>
      </c>
      <c r="G1513" s="252">
        <f t="shared" si="25"/>
        <v>26.86</v>
      </c>
    </row>
    <row r="1514" spans="1:7" x14ac:dyDescent="0.3">
      <c r="A1514" s="524" t="s">
        <v>522</v>
      </c>
      <c r="B1514" s="524" t="s">
        <v>1359</v>
      </c>
      <c r="C1514" s="525" t="s">
        <v>801</v>
      </c>
      <c r="D1514" s="524" t="s">
        <v>32</v>
      </c>
      <c r="E1514" s="524" t="s">
        <v>1988</v>
      </c>
      <c r="F1514" s="528" t="s">
        <v>1361</v>
      </c>
      <c r="G1514" s="252">
        <f t="shared" si="25"/>
        <v>14.13</v>
      </c>
    </row>
    <row r="1515" spans="1:7" x14ac:dyDescent="0.3">
      <c r="A1515" s="680" t="s">
        <v>1152</v>
      </c>
      <c r="B1515" s="681"/>
      <c r="C1515" s="681"/>
      <c r="D1515" s="681"/>
      <c r="E1515" s="681"/>
      <c r="F1515" s="682"/>
      <c r="G1515" s="527">
        <f>SUM(G1507:G1514)</f>
        <v>574.45000000000005</v>
      </c>
    </row>
    <row r="1516" spans="1:7" x14ac:dyDescent="0.3">
      <c r="A1516" s="683">
        <f>TRUNC(E1516*F1516,2)</f>
        <v>0</v>
      </c>
      <c r="B1516" s="684"/>
      <c r="C1516" s="684"/>
      <c r="D1516" s="684"/>
      <c r="E1516" s="684"/>
      <c r="F1516" s="684"/>
      <c r="G1516" s="685"/>
    </row>
    <row r="1517" spans="1:7" ht="28.8" x14ac:dyDescent="0.3">
      <c r="A1517" s="529" t="s">
        <v>269</v>
      </c>
      <c r="B1517" s="529">
        <v>86901</v>
      </c>
      <c r="C1517" s="530" t="s">
        <v>192</v>
      </c>
      <c r="D1517" s="529" t="s">
        <v>44</v>
      </c>
      <c r="E1517" s="252"/>
      <c r="F1517" s="531">
        <v>108.45</v>
      </c>
      <c r="G1517" s="252">
        <f t="shared" si="25"/>
        <v>0</v>
      </c>
    </row>
    <row r="1518" spans="1:7" x14ac:dyDescent="0.3">
      <c r="A1518" s="524" t="s">
        <v>508</v>
      </c>
      <c r="B1518" s="524" t="s">
        <v>1731</v>
      </c>
      <c r="C1518" s="525" t="s">
        <v>1732</v>
      </c>
      <c r="D1518" s="524" t="s">
        <v>426</v>
      </c>
      <c r="E1518" s="524" t="s">
        <v>1751</v>
      </c>
      <c r="F1518" s="526" t="s">
        <v>1734</v>
      </c>
      <c r="G1518" s="252">
        <f t="shared" si="25"/>
        <v>19.510000000000002</v>
      </c>
    </row>
    <row r="1519" spans="1:7" x14ac:dyDescent="0.3">
      <c r="A1519" s="524" t="s">
        <v>508</v>
      </c>
      <c r="B1519" s="524" t="s">
        <v>1752</v>
      </c>
      <c r="C1519" s="525" t="s">
        <v>1753</v>
      </c>
      <c r="D1519" s="524" t="s">
        <v>397</v>
      </c>
      <c r="E1519" s="524" t="s">
        <v>1122</v>
      </c>
      <c r="F1519" s="526" t="s">
        <v>1754</v>
      </c>
      <c r="G1519" s="252">
        <f t="shared" si="25"/>
        <v>69.92</v>
      </c>
    </row>
    <row r="1520" spans="1:7" x14ac:dyDescent="0.3">
      <c r="A1520" s="524" t="s">
        <v>522</v>
      </c>
      <c r="B1520" s="524" t="s">
        <v>1746</v>
      </c>
      <c r="C1520" s="525" t="s">
        <v>1747</v>
      </c>
      <c r="D1520" s="524" t="s">
        <v>32</v>
      </c>
      <c r="E1520" s="524" t="s">
        <v>1755</v>
      </c>
      <c r="F1520" s="526" t="s">
        <v>1749</v>
      </c>
      <c r="G1520" s="252">
        <f t="shared" si="25"/>
        <v>15.2</v>
      </c>
    </row>
    <row r="1521" spans="1:7" x14ac:dyDescent="0.3">
      <c r="A1521" s="524" t="s">
        <v>522</v>
      </c>
      <c r="B1521" s="524" t="s">
        <v>1359</v>
      </c>
      <c r="C1521" s="525" t="s">
        <v>801</v>
      </c>
      <c r="D1521" s="524" t="s">
        <v>32</v>
      </c>
      <c r="E1521" s="524" t="s">
        <v>1756</v>
      </c>
      <c r="F1521" s="526" t="s">
        <v>1361</v>
      </c>
      <c r="G1521" s="252">
        <f t="shared" si="25"/>
        <v>3.82</v>
      </c>
    </row>
    <row r="1522" spans="1:7" x14ac:dyDescent="0.3">
      <c r="A1522" s="680" t="s">
        <v>1152</v>
      </c>
      <c r="B1522" s="681"/>
      <c r="C1522" s="681"/>
      <c r="D1522" s="681"/>
      <c r="E1522" s="681"/>
      <c r="F1522" s="682"/>
      <c r="G1522" s="527">
        <f>SUM(G1517:G1521)</f>
        <v>108.45</v>
      </c>
    </row>
    <row r="1523" spans="1:7" x14ac:dyDescent="0.3">
      <c r="A1523" s="683">
        <f>TRUNC(E1523*F1523,2)</f>
        <v>0</v>
      </c>
      <c r="B1523" s="684"/>
      <c r="C1523" s="684"/>
      <c r="D1523" s="684"/>
      <c r="E1523" s="684"/>
      <c r="F1523" s="684"/>
      <c r="G1523" s="685"/>
    </row>
    <row r="1524" spans="1:7" ht="28.8" x14ac:dyDescent="0.3">
      <c r="A1524" s="529" t="s">
        <v>270</v>
      </c>
      <c r="B1524" s="529">
        <v>86915</v>
      </c>
      <c r="C1524" s="530" t="s">
        <v>193</v>
      </c>
      <c r="D1524" s="529" t="s">
        <v>44</v>
      </c>
      <c r="E1524" s="252"/>
      <c r="F1524" s="531">
        <v>84.78</v>
      </c>
      <c r="G1524" s="252">
        <f t="shared" si="25"/>
        <v>0</v>
      </c>
    </row>
    <row r="1525" spans="1:7" x14ac:dyDescent="0.3">
      <c r="A1525" s="524" t="s">
        <v>508</v>
      </c>
      <c r="B1525" s="524" t="s">
        <v>1757</v>
      </c>
      <c r="C1525" s="525" t="s">
        <v>1758</v>
      </c>
      <c r="D1525" s="524" t="s">
        <v>397</v>
      </c>
      <c r="E1525" s="524" t="s">
        <v>1759</v>
      </c>
      <c r="F1525" s="526" t="s">
        <v>1760</v>
      </c>
      <c r="G1525" s="252">
        <f t="shared" si="25"/>
        <v>0.08</v>
      </c>
    </row>
    <row r="1526" spans="1:7" x14ac:dyDescent="0.3">
      <c r="A1526" s="524" t="s">
        <v>508</v>
      </c>
      <c r="B1526" s="524" t="s">
        <v>1761</v>
      </c>
      <c r="C1526" s="525" t="s">
        <v>1762</v>
      </c>
      <c r="D1526" s="524" t="s">
        <v>397</v>
      </c>
      <c r="E1526" s="524" t="s">
        <v>1122</v>
      </c>
      <c r="F1526" s="526" t="s">
        <v>1763</v>
      </c>
      <c r="G1526" s="252">
        <f t="shared" si="25"/>
        <v>82.57</v>
      </c>
    </row>
    <row r="1527" spans="1:7" x14ac:dyDescent="0.3">
      <c r="A1527" s="524" t="s">
        <v>522</v>
      </c>
      <c r="B1527" s="524" t="s">
        <v>1367</v>
      </c>
      <c r="C1527" s="525" t="s">
        <v>1368</v>
      </c>
      <c r="D1527" s="524" t="s">
        <v>32</v>
      </c>
      <c r="E1527" s="524" t="s">
        <v>1764</v>
      </c>
      <c r="F1527" s="526" t="s">
        <v>1370</v>
      </c>
      <c r="G1527" s="252">
        <f t="shared" si="25"/>
        <v>1.7</v>
      </c>
    </row>
    <row r="1528" spans="1:7" x14ac:dyDescent="0.3">
      <c r="A1528" s="524" t="s">
        <v>522</v>
      </c>
      <c r="B1528" s="524" t="s">
        <v>1359</v>
      </c>
      <c r="C1528" s="525" t="s">
        <v>801</v>
      </c>
      <c r="D1528" s="524" t="s">
        <v>32</v>
      </c>
      <c r="E1528" s="524" t="s">
        <v>1765</v>
      </c>
      <c r="F1528" s="526" t="s">
        <v>1361</v>
      </c>
      <c r="G1528" s="252">
        <f t="shared" si="25"/>
        <v>0.43</v>
      </c>
    </row>
    <row r="1529" spans="1:7" x14ac:dyDescent="0.3">
      <c r="A1529" s="680" t="s">
        <v>1152</v>
      </c>
      <c r="B1529" s="681"/>
      <c r="C1529" s="681"/>
      <c r="D1529" s="681"/>
      <c r="E1529" s="681"/>
      <c r="F1529" s="682"/>
      <c r="G1529" s="527">
        <f>SUM(G1524:G1528)</f>
        <v>84.78</v>
      </c>
    </row>
    <row r="1530" spans="1:7" x14ac:dyDescent="0.3">
      <c r="A1530" s="683">
        <f>TRUNC(E1530*F1530,2)</f>
        <v>0</v>
      </c>
      <c r="B1530" s="684"/>
      <c r="C1530" s="684"/>
      <c r="D1530" s="684"/>
      <c r="E1530" s="684"/>
      <c r="F1530" s="684"/>
      <c r="G1530" s="685"/>
    </row>
    <row r="1531" spans="1:7" ht="28.8" x14ac:dyDescent="0.3">
      <c r="A1531" s="529" t="s">
        <v>271</v>
      </c>
      <c r="B1531" s="529">
        <v>99635</v>
      </c>
      <c r="C1531" s="530" t="s">
        <v>194</v>
      </c>
      <c r="D1531" s="529" t="s">
        <v>44</v>
      </c>
      <c r="E1531" s="252"/>
      <c r="F1531" s="531">
        <v>184.35</v>
      </c>
      <c r="G1531" s="252">
        <f t="shared" si="25"/>
        <v>0</v>
      </c>
    </row>
    <row r="1532" spans="1:7" x14ac:dyDescent="0.3">
      <c r="A1532" s="524" t="s">
        <v>508</v>
      </c>
      <c r="B1532" s="524" t="s">
        <v>1766</v>
      </c>
      <c r="C1532" s="525" t="s">
        <v>1767</v>
      </c>
      <c r="D1532" s="524" t="s">
        <v>397</v>
      </c>
      <c r="E1532" s="524" t="s">
        <v>1768</v>
      </c>
      <c r="F1532" s="526" t="s">
        <v>1769</v>
      </c>
      <c r="G1532" s="252">
        <f t="shared" si="25"/>
        <v>0.28999999999999998</v>
      </c>
    </row>
    <row r="1533" spans="1:7" ht="28.8" x14ac:dyDescent="0.3">
      <c r="A1533" s="524" t="s">
        <v>508</v>
      </c>
      <c r="B1533" s="524" t="s">
        <v>1770</v>
      </c>
      <c r="C1533" s="525" t="s">
        <v>1771</v>
      </c>
      <c r="D1533" s="524" t="s">
        <v>397</v>
      </c>
      <c r="E1533" s="524" t="s">
        <v>1122</v>
      </c>
      <c r="F1533" s="526" t="s">
        <v>1772</v>
      </c>
      <c r="G1533" s="252">
        <f t="shared" si="25"/>
        <v>159.09</v>
      </c>
    </row>
    <row r="1534" spans="1:7" ht="28.8" x14ac:dyDescent="0.3">
      <c r="A1534" s="524" t="s">
        <v>522</v>
      </c>
      <c r="B1534" s="524" t="s">
        <v>1726</v>
      </c>
      <c r="C1534" s="525" t="s">
        <v>1727</v>
      </c>
      <c r="D1534" s="524" t="s">
        <v>32</v>
      </c>
      <c r="E1534" s="524" t="s">
        <v>1773</v>
      </c>
      <c r="F1534" s="526" t="s">
        <v>1729</v>
      </c>
      <c r="G1534" s="252">
        <f t="shared" si="25"/>
        <v>10.94</v>
      </c>
    </row>
    <row r="1535" spans="1:7" x14ac:dyDescent="0.3">
      <c r="A1535" s="524" t="s">
        <v>522</v>
      </c>
      <c r="B1535" s="524" t="s">
        <v>1367</v>
      </c>
      <c r="C1535" s="525" t="s">
        <v>1368</v>
      </c>
      <c r="D1535" s="524" t="s">
        <v>32</v>
      </c>
      <c r="E1535" s="524" t="s">
        <v>1773</v>
      </c>
      <c r="F1535" s="526" t="s">
        <v>1370</v>
      </c>
      <c r="G1535" s="252">
        <f t="shared" si="25"/>
        <v>14.03</v>
      </c>
    </row>
    <row r="1536" spans="1:7" x14ac:dyDescent="0.3">
      <c r="A1536" s="680" t="s">
        <v>1152</v>
      </c>
      <c r="B1536" s="681"/>
      <c r="C1536" s="681"/>
      <c r="D1536" s="681"/>
      <c r="E1536" s="681"/>
      <c r="F1536" s="682"/>
      <c r="G1536" s="527">
        <f>SUM(G1531:G1535)</f>
        <v>184.35</v>
      </c>
    </row>
    <row r="1537" spans="1:7" x14ac:dyDescent="0.3">
      <c r="A1537" s="683">
        <f>TRUNC(E1537*F1537,2)</f>
        <v>0</v>
      </c>
      <c r="B1537" s="684"/>
      <c r="C1537" s="684"/>
      <c r="D1537" s="684"/>
      <c r="E1537" s="684"/>
      <c r="F1537" s="684"/>
      <c r="G1537" s="685"/>
    </row>
    <row r="1538" spans="1:7" ht="28.8" x14ac:dyDescent="0.3">
      <c r="A1538" s="529" t="s">
        <v>272</v>
      </c>
      <c r="B1538" s="529">
        <v>100860</v>
      </c>
      <c r="C1538" s="530" t="s">
        <v>273</v>
      </c>
      <c r="D1538" s="529" t="s">
        <v>44</v>
      </c>
      <c r="E1538" s="252"/>
      <c r="F1538" s="531">
        <v>73.790000000000006</v>
      </c>
      <c r="G1538" s="252">
        <f t="shared" si="25"/>
        <v>0</v>
      </c>
    </row>
    <row r="1539" spans="1:7" ht="28.8" x14ac:dyDescent="0.3">
      <c r="A1539" s="524" t="s">
        <v>508</v>
      </c>
      <c r="B1539" s="524" t="s">
        <v>1989</v>
      </c>
      <c r="C1539" s="525" t="s">
        <v>1990</v>
      </c>
      <c r="D1539" s="524" t="s">
        <v>397</v>
      </c>
      <c r="E1539" s="524" t="s">
        <v>1122</v>
      </c>
      <c r="F1539" s="528" t="s">
        <v>1991</v>
      </c>
      <c r="G1539" s="252">
        <f t="shared" si="25"/>
        <v>63.75</v>
      </c>
    </row>
    <row r="1540" spans="1:7" x14ac:dyDescent="0.3">
      <c r="A1540" s="524" t="s">
        <v>508</v>
      </c>
      <c r="B1540" s="524" t="s">
        <v>1757</v>
      </c>
      <c r="C1540" s="525" t="s">
        <v>1758</v>
      </c>
      <c r="D1540" s="524" t="s">
        <v>397</v>
      </c>
      <c r="E1540" s="524" t="s">
        <v>1759</v>
      </c>
      <c r="F1540" s="528" t="s">
        <v>1760</v>
      </c>
      <c r="G1540" s="252">
        <f t="shared" si="25"/>
        <v>0.08</v>
      </c>
    </row>
    <row r="1541" spans="1:7" x14ac:dyDescent="0.3">
      <c r="A1541" s="524" t="s">
        <v>522</v>
      </c>
      <c r="B1541" s="524" t="s">
        <v>1367</v>
      </c>
      <c r="C1541" s="525" t="s">
        <v>1368</v>
      </c>
      <c r="D1541" s="524" t="s">
        <v>32</v>
      </c>
      <c r="E1541" s="524" t="s">
        <v>1992</v>
      </c>
      <c r="F1541" s="528" t="s">
        <v>1370</v>
      </c>
      <c r="G1541" s="252">
        <f t="shared" si="25"/>
        <v>7.94</v>
      </c>
    </row>
    <row r="1542" spans="1:7" x14ac:dyDescent="0.3">
      <c r="A1542" s="524" t="s">
        <v>522</v>
      </c>
      <c r="B1542" s="524" t="s">
        <v>1359</v>
      </c>
      <c r="C1542" s="525" t="s">
        <v>801</v>
      </c>
      <c r="D1542" s="524" t="s">
        <v>32</v>
      </c>
      <c r="E1542" s="524" t="s">
        <v>1993</v>
      </c>
      <c r="F1542" s="528" t="s">
        <v>1361</v>
      </c>
      <c r="G1542" s="252">
        <f t="shared" si="25"/>
        <v>2.02</v>
      </c>
    </row>
    <row r="1543" spans="1:7" x14ac:dyDescent="0.3">
      <c r="A1543" s="680" t="s">
        <v>1152</v>
      </c>
      <c r="B1543" s="681"/>
      <c r="C1543" s="681"/>
      <c r="D1543" s="681"/>
      <c r="E1543" s="681"/>
      <c r="F1543" s="682"/>
      <c r="G1543" s="527">
        <f>SUM(G1538:G1542)</f>
        <v>73.789999999999992</v>
      </c>
    </row>
    <row r="1544" spans="1:7" x14ac:dyDescent="0.3">
      <c r="A1544" s="683">
        <f>TRUNC(E1544*F1544,2)</f>
        <v>0</v>
      </c>
      <c r="B1544" s="684"/>
      <c r="C1544" s="684"/>
      <c r="D1544" s="684"/>
      <c r="E1544" s="684"/>
      <c r="F1544" s="684"/>
      <c r="G1544" s="685"/>
    </row>
    <row r="1545" spans="1:7" ht="28.8" x14ac:dyDescent="0.3">
      <c r="A1545" s="529" t="s">
        <v>274</v>
      </c>
      <c r="B1545" s="529">
        <v>89986</v>
      </c>
      <c r="C1545" s="530" t="s">
        <v>275</v>
      </c>
      <c r="D1545" s="529" t="s">
        <v>44</v>
      </c>
      <c r="E1545" s="252"/>
      <c r="F1545" s="531">
        <v>52.15</v>
      </c>
      <c r="G1545" s="252">
        <f t="shared" si="25"/>
        <v>0</v>
      </c>
    </row>
    <row r="1546" spans="1:7" x14ac:dyDescent="0.3">
      <c r="A1546" s="524" t="s">
        <v>508</v>
      </c>
      <c r="B1546" s="524" t="s">
        <v>1766</v>
      </c>
      <c r="C1546" s="525" t="s">
        <v>1767</v>
      </c>
      <c r="D1546" s="524" t="s">
        <v>397</v>
      </c>
      <c r="E1546" s="524" t="s">
        <v>1994</v>
      </c>
      <c r="F1546" s="528" t="s">
        <v>1769</v>
      </c>
      <c r="G1546" s="252">
        <f t="shared" si="25"/>
        <v>0.2</v>
      </c>
    </row>
    <row r="1547" spans="1:7" ht="28.8" x14ac:dyDescent="0.3">
      <c r="A1547" s="524" t="s">
        <v>508</v>
      </c>
      <c r="B1547" s="524" t="s">
        <v>1995</v>
      </c>
      <c r="C1547" s="525" t="s">
        <v>1996</v>
      </c>
      <c r="D1547" s="524" t="s">
        <v>397</v>
      </c>
      <c r="E1547" s="524" t="s">
        <v>1122</v>
      </c>
      <c r="F1547" s="528" t="s">
        <v>1997</v>
      </c>
      <c r="G1547" s="252">
        <f t="shared" si="25"/>
        <v>43.43</v>
      </c>
    </row>
    <row r="1548" spans="1:7" ht="28.8" x14ac:dyDescent="0.3">
      <c r="A1548" s="524" t="s">
        <v>522</v>
      </c>
      <c r="B1548" s="524" t="s">
        <v>1726</v>
      </c>
      <c r="C1548" s="525" t="s">
        <v>1727</v>
      </c>
      <c r="D1548" s="524" t="s">
        <v>32</v>
      </c>
      <c r="E1548" s="524" t="s">
        <v>1998</v>
      </c>
      <c r="F1548" s="528" t="s">
        <v>1729</v>
      </c>
      <c r="G1548" s="252">
        <f t="shared" si="25"/>
        <v>3.19</v>
      </c>
    </row>
    <row r="1549" spans="1:7" x14ac:dyDescent="0.3">
      <c r="A1549" s="524" t="s">
        <v>522</v>
      </c>
      <c r="B1549" s="524" t="s">
        <v>1367</v>
      </c>
      <c r="C1549" s="525" t="s">
        <v>1368</v>
      </c>
      <c r="D1549" s="524" t="s">
        <v>32</v>
      </c>
      <c r="E1549" s="524" t="s">
        <v>1518</v>
      </c>
      <c r="F1549" s="528" t="s">
        <v>1370</v>
      </c>
      <c r="G1549" s="252">
        <f t="shared" si="25"/>
        <v>5.33</v>
      </c>
    </row>
    <row r="1550" spans="1:7" x14ac:dyDescent="0.3">
      <c r="A1550" s="680" t="s">
        <v>1152</v>
      </c>
      <c r="B1550" s="681"/>
      <c r="C1550" s="681"/>
      <c r="D1550" s="681"/>
      <c r="E1550" s="681"/>
      <c r="F1550" s="682"/>
      <c r="G1550" s="527">
        <f>SUM(G1545:G1549)</f>
        <v>52.15</v>
      </c>
    </row>
    <row r="1551" spans="1:7" x14ac:dyDescent="0.3">
      <c r="A1551" s="683">
        <f>TRUNC(E1551*F1551,2)</f>
        <v>0</v>
      </c>
      <c r="B1551" s="684"/>
      <c r="C1551" s="684"/>
      <c r="D1551" s="684"/>
      <c r="E1551" s="684"/>
      <c r="F1551" s="684"/>
      <c r="G1551" s="685"/>
    </row>
    <row r="1552" spans="1:7" ht="28.8" x14ac:dyDescent="0.3">
      <c r="A1552" s="529" t="s">
        <v>276</v>
      </c>
      <c r="B1552" s="529">
        <v>89984</v>
      </c>
      <c r="C1552" s="530" t="s">
        <v>277</v>
      </c>
      <c r="D1552" s="529" t="s">
        <v>44</v>
      </c>
      <c r="E1552" s="252"/>
      <c r="F1552" s="531">
        <v>53.43</v>
      </c>
      <c r="G1552" s="252">
        <f t="shared" si="25"/>
        <v>0</v>
      </c>
    </row>
    <row r="1553" spans="1:7" x14ac:dyDescent="0.3">
      <c r="A1553" s="524" t="s">
        <v>508</v>
      </c>
      <c r="B1553" s="524" t="s">
        <v>1766</v>
      </c>
      <c r="C1553" s="525" t="s">
        <v>1767</v>
      </c>
      <c r="D1553" s="524" t="s">
        <v>397</v>
      </c>
      <c r="E1553" s="524" t="s">
        <v>1994</v>
      </c>
      <c r="F1553" s="528" t="s">
        <v>1769</v>
      </c>
      <c r="G1553" s="252">
        <f t="shared" si="25"/>
        <v>0.2</v>
      </c>
    </row>
    <row r="1554" spans="1:7" ht="28.8" x14ac:dyDescent="0.3">
      <c r="A1554" s="524" t="s">
        <v>508</v>
      </c>
      <c r="B1554" s="524" t="s">
        <v>1999</v>
      </c>
      <c r="C1554" s="525" t="s">
        <v>2000</v>
      </c>
      <c r="D1554" s="524" t="s">
        <v>397</v>
      </c>
      <c r="E1554" s="524" t="s">
        <v>1122</v>
      </c>
      <c r="F1554" s="528" t="s">
        <v>2001</v>
      </c>
      <c r="G1554" s="252">
        <f t="shared" si="25"/>
        <v>44.71</v>
      </c>
    </row>
    <row r="1555" spans="1:7" ht="28.8" x14ac:dyDescent="0.3">
      <c r="A1555" s="524" t="s">
        <v>522</v>
      </c>
      <c r="B1555" s="524" t="s">
        <v>1726</v>
      </c>
      <c r="C1555" s="525" t="s">
        <v>1727</v>
      </c>
      <c r="D1555" s="524" t="s">
        <v>32</v>
      </c>
      <c r="E1555" s="524" t="s">
        <v>1998</v>
      </c>
      <c r="F1555" s="528" t="s">
        <v>1729</v>
      </c>
      <c r="G1555" s="252">
        <f t="shared" si="25"/>
        <v>3.19</v>
      </c>
    </row>
    <row r="1556" spans="1:7" x14ac:dyDescent="0.3">
      <c r="A1556" s="524" t="s">
        <v>522</v>
      </c>
      <c r="B1556" s="524" t="s">
        <v>1367</v>
      </c>
      <c r="C1556" s="525" t="s">
        <v>1368</v>
      </c>
      <c r="D1556" s="524" t="s">
        <v>32</v>
      </c>
      <c r="E1556" s="524" t="s">
        <v>1518</v>
      </c>
      <c r="F1556" s="528" t="s">
        <v>1370</v>
      </c>
      <c r="G1556" s="252">
        <f t="shared" si="25"/>
        <v>5.33</v>
      </c>
    </row>
    <row r="1557" spans="1:7" x14ac:dyDescent="0.3">
      <c r="A1557" s="680" t="s">
        <v>1152</v>
      </c>
      <c r="B1557" s="681"/>
      <c r="C1557" s="681"/>
      <c r="D1557" s="681"/>
      <c r="E1557" s="681"/>
      <c r="F1557" s="682"/>
      <c r="G1557" s="527">
        <f>SUM(G1552:G1556)</f>
        <v>53.43</v>
      </c>
    </row>
    <row r="1558" spans="1:7" x14ac:dyDescent="0.3">
      <c r="A1558" s="683">
        <f>TRUNC(E1558*F1558,2)</f>
        <v>0</v>
      </c>
      <c r="B1558" s="684"/>
      <c r="C1558" s="684"/>
      <c r="D1558" s="684"/>
      <c r="E1558" s="684"/>
      <c r="F1558" s="684"/>
      <c r="G1558" s="685"/>
    </row>
    <row r="1559" spans="1:7" x14ac:dyDescent="0.3">
      <c r="A1559" s="529" t="s">
        <v>278</v>
      </c>
      <c r="B1559" s="529"/>
      <c r="C1559" s="530" t="s">
        <v>201</v>
      </c>
      <c r="D1559" s="529"/>
      <c r="E1559" s="252"/>
      <c r="F1559" s="531"/>
      <c r="G1559" s="252">
        <f t="shared" si="25"/>
        <v>0</v>
      </c>
    </row>
    <row r="1560" spans="1:7" ht="43.2" x14ac:dyDescent="0.3">
      <c r="A1560" s="529" t="s">
        <v>279</v>
      </c>
      <c r="B1560" s="529">
        <v>95471</v>
      </c>
      <c r="C1560" s="530" t="s">
        <v>280</v>
      </c>
      <c r="D1560" s="529" t="s">
        <v>44</v>
      </c>
      <c r="E1560" s="252"/>
      <c r="F1560" s="531">
        <v>611.63</v>
      </c>
      <c r="G1560" s="252">
        <f t="shared" si="25"/>
        <v>0</v>
      </c>
    </row>
    <row r="1561" spans="1:7" ht="28.8" x14ac:dyDescent="0.3">
      <c r="A1561" s="524" t="s">
        <v>508</v>
      </c>
      <c r="B1561" s="524" t="s">
        <v>1824</v>
      </c>
      <c r="C1561" s="525" t="s">
        <v>1825</v>
      </c>
      <c r="D1561" s="524" t="s">
        <v>397</v>
      </c>
      <c r="E1561" s="524" t="s">
        <v>1523</v>
      </c>
      <c r="F1561" s="526" t="s">
        <v>1826</v>
      </c>
      <c r="G1561" s="252">
        <f t="shared" si="25"/>
        <v>31.16</v>
      </c>
    </row>
    <row r="1562" spans="1:7" x14ac:dyDescent="0.3">
      <c r="A1562" s="524" t="s">
        <v>508</v>
      </c>
      <c r="B1562" s="524" t="s">
        <v>1827</v>
      </c>
      <c r="C1562" s="525" t="s">
        <v>1828</v>
      </c>
      <c r="D1562" s="524" t="s">
        <v>397</v>
      </c>
      <c r="E1562" s="524" t="s">
        <v>1122</v>
      </c>
      <c r="F1562" s="526" t="s">
        <v>1829</v>
      </c>
      <c r="G1562" s="252">
        <f t="shared" si="25"/>
        <v>1.83</v>
      </c>
    </row>
    <row r="1563" spans="1:7" ht="28.8" x14ac:dyDescent="0.3">
      <c r="A1563" s="524" t="s">
        <v>508</v>
      </c>
      <c r="B1563" s="524" t="s">
        <v>1830</v>
      </c>
      <c r="C1563" s="525" t="s">
        <v>1831</v>
      </c>
      <c r="D1563" s="524" t="s">
        <v>397</v>
      </c>
      <c r="E1563" s="524" t="s">
        <v>1122</v>
      </c>
      <c r="F1563" s="526" t="s">
        <v>1832</v>
      </c>
      <c r="G1563" s="252">
        <f t="shared" si="25"/>
        <v>543.04999999999995</v>
      </c>
    </row>
    <row r="1564" spans="1:7" x14ac:dyDescent="0.3">
      <c r="A1564" s="524" t="s">
        <v>508</v>
      </c>
      <c r="B1564" s="524" t="s">
        <v>1739</v>
      </c>
      <c r="C1564" s="525" t="s">
        <v>1740</v>
      </c>
      <c r="D1564" s="524" t="s">
        <v>426</v>
      </c>
      <c r="E1564" s="524" t="s">
        <v>1833</v>
      </c>
      <c r="F1564" s="526" t="s">
        <v>1742</v>
      </c>
      <c r="G1564" s="252">
        <f t="shared" si="25"/>
        <v>7.08</v>
      </c>
    </row>
    <row r="1565" spans="1:7" x14ac:dyDescent="0.3">
      <c r="A1565" s="524" t="s">
        <v>522</v>
      </c>
      <c r="B1565" s="524" t="s">
        <v>1367</v>
      </c>
      <c r="C1565" s="525" t="s">
        <v>1368</v>
      </c>
      <c r="D1565" s="524" t="s">
        <v>32</v>
      </c>
      <c r="E1565" s="524" t="s">
        <v>1834</v>
      </c>
      <c r="F1565" s="526" t="s">
        <v>1370</v>
      </c>
      <c r="G1565" s="252">
        <f t="shared" si="25"/>
        <v>20.52</v>
      </c>
    </row>
    <row r="1566" spans="1:7" x14ac:dyDescent="0.3">
      <c r="A1566" s="524" t="s">
        <v>522</v>
      </c>
      <c r="B1566" s="524" t="s">
        <v>1359</v>
      </c>
      <c r="C1566" s="525" t="s">
        <v>801</v>
      </c>
      <c r="D1566" s="524" t="s">
        <v>32</v>
      </c>
      <c r="E1566" s="524" t="s">
        <v>1835</v>
      </c>
      <c r="F1566" s="526" t="s">
        <v>1361</v>
      </c>
      <c r="G1566" s="252">
        <f t="shared" si="25"/>
        <v>7.99</v>
      </c>
    </row>
    <row r="1567" spans="1:7" x14ac:dyDescent="0.3">
      <c r="A1567" s="680" t="s">
        <v>1152</v>
      </c>
      <c r="B1567" s="681"/>
      <c r="C1567" s="681"/>
      <c r="D1567" s="681"/>
      <c r="E1567" s="681"/>
      <c r="F1567" s="682"/>
      <c r="G1567" s="527">
        <f>SUM(G1560:G1566)</f>
        <v>611.63</v>
      </c>
    </row>
    <row r="1568" spans="1:7" x14ac:dyDescent="0.3">
      <c r="A1568" s="683">
        <f>TRUNC(E1568*F1568,2)</f>
        <v>0</v>
      </c>
      <c r="B1568" s="684"/>
      <c r="C1568" s="684"/>
      <c r="D1568" s="684"/>
      <c r="E1568" s="684"/>
      <c r="F1568" s="684"/>
      <c r="G1568" s="685"/>
    </row>
    <row r="1569" spans="1:14" ht="43.2" x14ac:dyDescent="0.3">
      <c r="A1569" s="529" t="s">
        <v>281</v>
      </c>
      <c r="B1569" s="529">
        <v>95470</v>
      </c>
      <c r="C1569" s="530" t="s">
        <v>205</v>
      </c>
      <c r="D1569" s="529" t="s">
        <v>44</v>
      </c>
      <c r="E1569" s="252"/>
      <c r="F1569" s="531">
        <v>169.53</v>
      </c>
      <c r="G1569" s="252">
        <f t="shared" si="25"/>
        <v>0</v>
      </c>
    </row>
    <row r="1570" spans="1:14" ht="28.8" x14ac:dyDescent="0.3">
      <c r="A1570" s="524" t="s">
        <v>508</v>
      </c>
      <c r="B1570" s="524" t="s">
        <v>1837</v>
      </c>
      <c r="C1570" s="525" t="s">
        <v>1838</v>
      </c>
      <c r="D1570" s="524" t="s">
        <v>397</v>
      </c>
      <c r="E1570" s="524" t="s">
        <v>1122</v>
      </c>
      <c r="F1570" s="526" t="s">
        <v>1839</v>
      </c>
      <c r="G1570" s="252">
        <f t="shared" si="25"/>
        <v>6.61</v>
      </c>
    </row>
    <row r="1571" spans="1:14" ht="28.8" x14ac:dyDescent="0.3">
      <c r="A1571" s="524" t="s">
        <v>522</v>
      </c>
      <c r="B1571" s="524" t="s">
        <v>1840</v>
      </c>
      <c r="C1571" s="525" t="s">
        <v>1841</v>
      </c>
      <c r="D1571" s="524" t="s">
        <v>397</v>
      </c>
      <c r="E1571" s="524" t="s">
        <v>1122</v>
      </c>
      <c r="F1571" s="526" t="s">
        <v>1842</v>
      </c>
      <c r="G1571" s="252">
        <f t="shared" si="25"/>
        <v>162.91999999999999</v>
      </c>
    </row>
    <row r="1572" spans="1:14" x14ac:dyDescent="0.3">
      <c r="A1572" s="680" t="s">
        <v>1152</v>
      </c>
      <c r="B1572" s="681"/>
      <c r="C1572" s="681"/>
      <c r="D1572" s="681"/>
      <c r="E1572" s="681"/>
      <c r="F1572" s="682"/>
      <c r="G1572" s="527">
        <f>SUM(G1568:G1571)</f>
        <v>169.53</v>
      </c>
    </row>
    <row r="1573" spans="1:14" x14ac:dyDescent="0.3">
      <c r="A1573" s="683">
        <f>TRUNC(E1573*F1573,2)</f>
        <v>0</v>
      </c>
      <c r="B1573" s="684"/>
      <c r="C1573" s="684"/>
      <c r="D1573" s="684"/>
      <c r="E1573" s="684"/>
      <c r="F1573" s="684"/>
      <c r="G1573" s="685"/>
    </row>
    <row r="1574" spans="1:14" x14ac:dyDescent="0.3">
      <c r="A1574" s="529" t="s">
        <v>282</v>
      </c>
      <c r="B1574" s="529" t="s">
        <v>283</v>
      </c>
      <c r="C1574" s="530" t="s">
        <v>284</v>
      </c>
      <c r="D1574" s="529" t="s">
        <v>44</v>
      </c>
      <c r="E1574" s="252"/>
      <c r="F1574" s="531">
        <v>690.14</v>
      </c>
      <c r="G1574" s="252">
        <f t="shared" si="25"/>
        <v>0</v>
      </c>
    </row>
    <row r="1575" spans="1:14" ht="28.8" x14ac:dyDescent="0.3">
      <c r="A1575" s="529"/>
      <c r="B1575" s="249">
        <v>4384</v>
      </c>
      <c r="C1575" s="202" t="s">
        <v>600</v>
      </c>
      <c r="D1575" s="249" t="s">
        <v>44</v>
      </c>
      <c r="E1575" s="250">
        <v>2</v>
      </c>
      <c r="F1575" s="251">
        <v>16.309999999999999</v>
      </c>
      <c r="G1575" s="252">
        <f t="shared" si="25"/>
        <v>32.619999999999997</v>
      </c>
      <c r="K1575" s="220">
        <v>2</v>
      </c>
      <c r="L1575" s="209">
        <v>16.309999999999999</v>
      </c>
      <c r="M1575" s="222">
        <f>K1575*L1575</f>
        <v>32.619999999999997</v>
      </c>
      <c r="N1575" s="222">
        <f>TRUNC(K1575*L1575,2)</f>
        <v>32.619999999999997</v>
      </c>
    </row>
    <row r="1576" spans="1:14" x14ac:dyDescent="0.3">
      <c r="A1576" s="529"/>
      <c r="B1576" s="249"/>
      <c r="C1576" s="202" t="s">
        <v>284</v>
      </c>
      <c r="D1576" s="249" t="s">
        <v>44</v>
      </c>
      <c r="E1576" s="250">
        <v>1</v>
      </c>
      <c r="F1576" s="251">
        <v>647.71</v>
      </c>
      <c r="G1576" s="252">
        <f t="shared" si="25"/>
        <v>647.71</v>
      </c>
      <c r="K1576" s="220">
        <v>1</v>
      </c>
      <c r="L1576" s="209">
        <v>647.71</v>
      </c>
      <c r="M1576" s="222">
        <f t="shared" ref="M1576:M1579" si="28">K1576*L1576</f>
        <v>647.71</v>
      </c>
      <c r="N1576" s="222">
        <f t="shared" ref="N1576:N1577" si="29">TRUNC(K1576*L1576,2)</f>
        <v>647.71</v>
      </c>
    </row>
    <row r="1577" spans="1:14" x14ac:dyDescent="0.3">
      <c r="A1577" s="529"/>
      <c r="B1577" s="249">
        <v>34356</v>
      </c>
      <c r="C1577" s="202" t="s">
        <v>601</v>
      </c>
      <c r="D1577" s="249" t="s">
        <v>426</v>
      </c>
      <c r="E1577" s="250">
        <v>5.0700000000000002E-2</v>
      </c>
      <c r="F1577" s="251">
        <v>3.15</v>
      </c>
      <c r="G1577" s="252">
        <f t="shared" si="25"/>
        <v>0.15</v>
      </c>
      <c r="K1577" s="220">
        <v>5.0700000000000002E-2</v>
      </c>
      <c r="L1577" s="209">
        <v>3.15</v>
      </c>
      <c r="M1577" s="222">
        <f t="shared" si="28"/>
        <v>0.15970500000000001</v>
      </c>
      <c r="N1577" s="222">
        <f t="shared" si="29"/>
        <v>0.15</v>
      </c>
    </row>
    <row r="1578" spans="1:14" x14ac:dyDescent="0.3">
      <c r="A1578" s="529"/>
      <c r="B1578" s="524" t="s">
        <v>1367</v>
      </c>
      <c r="C1578" s="525" t="s">
        <v>1368</v>
      </c>
      <c r="D1578" s="249" t="s">
        <v>32</v>
      </c>
      <c r="E1578" s="250">
        <v>0.39</v>
      </c>
      <c r="F1578" s="251">
        <v>17.79</v>
      </c>
      <c r="G1578" s="252">
        <f t="shared" si="25"/>
        <v>6.93</v>
      </c>
      <c r="I1578" s="129" t="s">
        <v>1370</v>
      </c>
      <c r="J1578" s="219">
        <v>17.86</v>
      </c>
      <c r="K1578" s="221">
        <v>0.39</v>
      </c>
      <c r="L1578" s="219">
        <v>17.86</v>
      </c>
      <c r="M1578" s="222">
        <f t="shared" si="28"/>
        <v>6.9653999999999998</v>
      </c>
      <c r="N1578" s="222">
        <f>TRUNC(I1578*K1578,2)</f>
        <v>6.93</v>
      </c>
    </row>
    <row r="1579" spans="1:14" x14ac:dyDescent="0.3">
      <c r="A1579" s="529"/>
      <c r="B1579" s="524" t="s">
        <v>1359</v>
      </c>
      <c r="C1579" s="525" t="s">
        <v>801</v>
      </c>
      <c r="D1579" s="249" t="s">
        <v>32</v>
      </c>
      <c r="E1579" s="250">
        <v>0.19</v>
      </c>
      <c r="F1579" s="251">
        <v>14.37</v>
      </c>
      <c r="G1579" s="252">
        <f t="shared" si="25"/>
        <v>2.73</v>
      </c>
      <c r="I1579" s="129" t="s">
        <v>1361</v>
      </c>
      <c r="J1579" s="219">
        <v>14.42</v>
      </c>
      <c r="K1579" s="221">
        <v>0.19</v>
      </c>
      <c r="L1579" s="219">
        <v>14.42</v>
      </c>
      <c r="M1579" s="222">
        <f t="shared" si="28"/>
        <v>2.7398000000000002</v>
      </c>
      <c r="N1579" s="222">
        <f>TRUNC(I1579*K1579,2)</f>
        <v>2.73</v>
      </c>
    </row>
    <row r="1580" spans="1:14" x14ac:dyDescent="0.3">
      <c r="A1580" s="680" t="s">
        <v>1152</v>
      </c>
      <c r="B1580" s="681"/>
      <c r="C1580" s="681"/>
      <c r="D1580" s="681"/>
      <c r="E1580" s="681"/>
      <c r="F1580" s="682"/>
      <c r="G1580" s="527">
        <f>SUM(G1574:G1579)</f>
        <v>690.14</v>
      </c>
      <c r="M1580" s="222">
        <f>SUM(M1575:M1579)</f>
        <v>690.19490500000006</v>
      </c>
      <c r="N1580" s="222">
        <f>SUM(N1575:N1579)</f>
        <v>690.14</v>
      </c>
    </row>
    <row r="1581" spans="1:14" x14ac:dyDescent="0.3">
      <c r="A1581" s="683">
        <f>TRUNC(E1581*F1581,2)</f>
        <v>0</v>
      </c>
      <c r="B1581" s="684"/>
      <c r="C1581" s="684"/>
      <c r="D1581" s="684"/>
      <c r="E1581" s="684"/>
      <c r="F1581" s="684"/>
      <c r="G1581" s="685"/>
    </row>
    <row r="1582" spans="1:14" ht="28.8" x14ac:dyDescent="0.3">
      <c r="A1582" s="529" t="s">
        <v>285</v>
      </c>
      <c r="B1582" s="529">
        <v>86881</v>
      </c>
      <c r="C1582" s="530" t="s">
        <v>286</v>
      </c>
      <c r="D1582" s="529" t="s">
        <v>44</v>
      </c>
      <c r="E1582" s="252"/>
      <c r="F1582" s="531">
        <v>155.91999999999999</v>
      </c>
      <c r="G1582" s="252">
        <f t="shared" si="25"/>
        <v>0</v>
      </c>
    </row>
    <row r="1583" spans="1:14" x14ac:dyDescent="0.3">
      <c r="A1583" s="524" t="s">
        <v>508</v>
      </c>
      <c r="B1583" s="524" t="s">
        <v>1757</v>
      </c>
      <c r="C1583" s="525" t="s">
        <v>1758</v>
      </c>
      <c r="D1583" s="524" t="s">
        <v>397</v>
      </c>
      <c r="E1583" s="524" t="s">
        <v>2002</v>
      </c>
      <c r="F1583" s="526" t="s">
        <v>1760</v>
      </c>
      <c r="G1583" s="252">
        <f t="shared" si="25"/>
        <v>0.14000000000000001</v>
      </c>
    </row>
    <row r="1584" spans="1:14" x14ac:dyDescent="0.3">
      <c r="A1584" s="524" t="s">
        <v>508</v>
      </c>
      <c r="B1584" s="524" t="s">
        <v>2003</v>
      </c>
      <c r="C1584" s="525" t="s">
        <v>2004</v>
      </c>
      <c r="D1584" s="524" t="s">
        <v>397</v>
      </c>
      <c r="E1584" s="524" t="s">
        <v>1122</v>
      </c>
      <c r="F1584" s="526" t="s">
        <v>2005</v>
      </c>
      <c r="G1584" s="252">
        <f t="shared" si="25"/>
        <v>149.69</v>
      </c>
    </row>
    <row r="1585" spans="1:7" x14ac:dyDescent="0.3">
      <c r="A1585" s="524" t="s">
        <v>522</v>
      </c>
      <c r="B1585" s="524" t="s">
        <v>1367</v>
      </c>
      <c r="C1585" s="525" t="s">
        <v>1368</v>
      </c>
      <c r="D1585" s="524" t="s">
        <v>32</v>
      </c>
      <c r="E1585" s="524" t="s">
        <v>2006</v>
      </c>
      <c r="F1585" s="526" t="s">
        <v>1370</v>
      </c>
      <c r="G1585" s="252">
        <f t="shared" si="25"/>
        <v>4.8600000000000003</v>
      </c>
    </row>
    <row r="1586" spans="1:7" x14ac:dyDescent="0.3">
      <c r="A1586" s="524" t="s">
        <v>522</v>
      </c>
      <c r="B1586" s="524" t="s">
        <v>1359</v>
      </c>
      <c r="C1586" s="525" t="s">
        <v>801</v>
      </c>
      <c r="D1586" s="524" t="s">
        <v>32</v>
      </c>
      <c r="E1586" s="524" t="s">
        <v>2007</v>
      </c>
      <c r="F1586" s="526" t="s">
        <v>1361</v>
      </c>
      <c r="G1586" s="252">
        <f t="shared" ref="G1586" si="30">TRUNC(E1586*F1586,2)</f>
        <v>1.23</v>
      </c>
    </row>
    <row r="1587" spans="1:7" x14ac:dyDescent="0.3">
      <c r="A1587" s="680" t="s">
        <v>1152</v>
      </c>
      <c r="B1587" s="681"/>
      <c r="C1587" s="681"/>
      <c r="D1587" s="681"/>
      <c r="E1587" s="681"/>
      <c r="F1587" s="682"/>
      <c r="G1587" s="527">
        <f>SUM(G1581:G1586)</f>
        <v>155.91999999999999</v>
      </c>
    </row>
    <row r="1588" spans="1:7" x14ac:dyDescent="0.3">
      <c r="A1588" s="683">
        <f>TRUNC(E1588*F1588,2)</f>
        <v>0</v>
      </c>
      <c r="B1588" s="684"/>
      <c r="C1588" s="684"/>
      <c r="D1588" s="684"/>
      <c r="E1588" s="684"/>
      <c r="F1588" s="684"/>
      <c r="G1588" s="685"/>
    </row>
    <row r="1589" spans="1:7" ht="28.8" x14ac:dyDescent="0.3">
      <c r="A1589" s="529" t="s">
        <v>287</v>
      </c>
      <c r="B1589" s="529">
        <v>86877</v>
      </c>
      <c r="C1589" s="530" t="s">
        <v>288</v>
      </c>
      <c r="D1589" s="529" t="s">
        <v>44</v>
      </c>
      <c r="E1589" s="252"/>
      <c r="F1589" s="531">
        <v>25.76</v>
      </c>
      <c r="G1589" s="252">
        <f t="shared" si="25"/>
        <v>0</v>
      </c>
    </row>
    <row r="1590" spans="1:7" x14ac:dyDescent="0.3">
      <c r="A1590" s="524" t="s">
        <v>508</v>
      </c>
      <c r="B1590" s="524" t="s">
        <v>1757</v>
      </c>
      <c r="C1590" s="525" t="s">
        <v>1758</v>
      </c>
      <c r="D1590" s="524" t="s">
        <v>397</v>
      </c>
      <c r="E1590" s="524" t="s">
        <v>2008</v>
      </c>
      <c r="F1590" s="526" t="s">
        <v>1760</v>
      </c>
      <c r="G1590" s="252">
        <f t="shared" si="25"/>
        <v>0.2</v>
      </c>
    </row>
    <row r="1591" spans="1:7" x14ac:dyDescent="0.3">
      <c r="A1591" s="524" t="s">
        <v>508</v>
      </c>
      <c r="B1591" s="524" t="s">
        <v>2009</v>
      </c>
      <c r="C1591" s="525" t="s">
        <v>2010</v>
      </c>
      <c r="D1591" s="524" t="s">
        <v>397</v>
      </c>
      <c r="E1591" s="524" t="s">
        <v>1122</v>
      </c>
      <c r="F1591" s="526" t="s">
        <v>2011</v>
      </c>
      <c r="G1591" s="252">
        <f t="shared" ref="G1591:G1593" si="31">TRUNC(E1591*F1591,2)</f>
        <v>21.69</v>
      </c>
    </row>
    <row r="1592" spans="1:7" x14ac:dyDescent="0.3">
      <c r="A1592" s="524" t="s">
        <v>522</v>
      </c>
      <c r="B1592" s="524" t="s">
        <v>1367</v>
      </c>
      <c r="C1592" s="525" t="s">
        <v>1368</v>
      </c>
      <c r="D1592" s="524" t="s">
        <v>32</v>
      </c>
      <c r="E1592" s="524" t="s">
        <v>1196</v>
      </c>
      <c r="F1592" s="526" t="s">
        <v>1370</v>
      </c>
      <c r="G1592" s="252">
        <f t="shared" si="31"/>
        <v>3.09</v>
      </c>
    </row>
    <row r="1593" spans="1:7" x14ac:dyDescent="0.3">
      <c r="A1593" s="524" t="s">
        <v>522</v>
      </c>
      <c r="B1593" s="524" t="s">
        <v>1359</v>
      </c>
      <c r="C1593" s="525" t="s">
        <v>801</v>
      </c>
      <c r="D1593" s="524" t="s">
        <v>32</v>
      </c>
      <c r="E1593" s="524" t="s">
        <v>1625</v>
      </c>
      <c r="F1593" s="526" t="s">
        <v>1361</v>
      </c>
      <c r="G1593" s="252">
        <f t="shared" si="31"/>
        <v>0.78</v>
      </c>
    </row>
    <row r="1594" spans="1:7" x14ac:dyDescent="0.3">
      <c r="A1594" s="680" t="s">
        <v>1152</v>
      </c>
      <c r="B1594" s="681"/>
      <c r="C1594" s="681"/>
      <c r="D1594" s="681"/>
      <c r="E1594" s="681"/>
      <c r="F1594" s="682"/>
      <c r="G1594" s="527">
        <f>SUM(G1588:G1593)</f>
        <v>25.76</v>
      </c>
    </row>
    <row r="1595" spans="1:7" x14ac:dyDescent="0.3">
      <c r="A1595" s="683">
        <f>TRUNC(E1595*F1595,2)</f>
        <v>0</v>
      </c>
      <c r="B1595" s="684"/>
      <c r="C1595" s="684"/>
      <c r="D1595" s="684"/>
      <c r="E1595" s="684"/>
      <c r="F1595" s="684"/>
      <c r="G1595" s="685"/>
    </row>
    <row r="1596" spans="1:7" ht="28.8" x14ac:dyDescent="0.3">
      <c r="A1596" s="529" t="s">
        <v>289</v>
      </c>
      <c r="B1596" s="529">
        <v>86887</v>
      </c>
      <c r="C1596" s="530" t="s">
        <v>290</v>
      </c>
      <c r="D1596" s="529" t="s">
        <v>44</v>
      </c>
      <c r="E1596" s="252"/>
      <c r="F1596" s="531">
        <v>41.05</v>
      </c>
      <c r="G1596" s="252">
        <f t="shared" si="25"/>
        <v>0</v>
      </c>
    </row>
    <row r="1597" spans="1:7" x14ac:dyDescent="0.3">
      <c r="A1597" s="524" t="s">
        <v>508</v>
      </c>
      <c r="B1597" s="524" t="s">
        <v>1757</v>
      </c>
      <c r="C1597" s="525" t="s">
        <v>1758</v>
      </c>
      <c r="D1597" s="524" t="s">
        <v>397</v>
      </c>
      <c r="E1597" s="524" t="s">
        <v>1759</v>
      </c>
      <c r="F1597" s="526" t="s">
        <v>1760</v>
      </c>
      <c r="G1597" s="252">
        <f t="shared" ref="G1597:G1600" si="32">TRUNC(E1597*F1597,2)</f>
        <v>0.08</v>
      </c>
    </row>
    <row r="1598" spans="1:7" x14ac:dyDescent="0.3">
      <c r="A1598" s="524" t="s">
        <v>508</v>
      </c>
      <c r="B1598" s="524" t="s">
        <v>2012</v>
      </c>
      <c r="C1598" s="525" t="s">
        <v>2013</v>
      </c>
      <c r="D1598" s="524" t="s">
        <v>397</v>
      </c>
      <c r="E1598" s="524" t="s">
        <v>1122</v>
      </c>
      <c r="F1598" s="526" t="s">
        <v>2014</v>
      </c>
      <c r="G1598" s="252">
        <f t="shared" si="32"/>
        <v>37.57</v>
      </c>
    </row>
    <row r="1599" spans="1:7" x14ac:dyDescent="0.3">
      <c r="A1599" s="524" t="s">
        <v>522</v>
      </c>
      <c r="B1599" s="524" t="s">
        <v>1367</v>
      </c>
      <c r="C1599" s="525" t="s">
        <v>1368</v>
      </c>
      <c r="D1599" s="524" t="s">
        <v>32</v>
      </c>
      <c r="E1599" s="524" t="s">
        <v>2015</v>
      </c>
      <c r="F1599" s="526" t="s">
        <v>1370</v>
      </c>
      <c r="G1599" s="252">
        <f t="shared" si="32"/>
        <v>2.71</v>
      </c>
    </row>
    <row r="1600" spans="1:7" x14ac:dyDescent="0.3">
      <c r="A1600" s="524" t="s">
        <v>522</v>
      </c>
      <c r="B1600" s="524" t="s">
        <v>1359</v>
      </c>
      <c r="C1600" s="525" t="s">
        <v>801</v>
      </c>
      <c r="D1600" s="524" t="s">
        <v>32</v>
      </c>
      <c r="E1600" s="524" t="s">
        <v>2016</v>
      </c>
      <c r="F1600" s="526" t="s">
        <v>1361</v>
      </c>
      <c r="G1600" s="252">
        <f t="shared" si="32"/>
        <v>0.69</v>
      </c>
    </row>
    <row r="1601" spans="1:7" x14ac:dyDescent="0.3">
      <c r="A1601" s="680" t="s">
        <v>1152</v>
      </c>
      <c r="B1601" s="681"/>
      <c r="C1601" s="681"/>
      <c r="D1601" s="681"/>
      <c r="E1601" s="681"/>
      <c r="F1601" s="682"/>
      <c r="G1601" s="527">
        <f>SUM(G1595:G1600)</f>
        <v>41.05</v>
      </c>
    </row>
    <row r="1602" spans="1:7" x14ac:dyDescent="0.3">
      <c r="A1602" s="683">
        <f>TRUNC(E1602*F1602,2)</f>
        <v>0</v>
      </c>
      <c r="B1602" s="684"/>
      <c r="C1602" s="684"/>
      <c r="D1602" s="684"/>
      <c r="E1602" s="684"/>
      <c r="F1602" s="684"/>
      <c r="G1602" s="685"/>
    </row>
    <row r="1603" spans="1:7" ht="43.2" x14ac:dyDescent="0.3">
      <c r="A1603" s="529" t="s">
        <v>291</v>
      </c>
      <c r="B1603" s="529">
        <v>89707</v>
      </c>
      <c r="C1603" s="530" t="s">
        <v>292</v>
      </c>
      <c r="D1603" s="529" t="s">
        <v>44</v>
      </c>
      <c r="E1603" s="252"/>
      <c r="F1603" s="531">
        <v>25.09</v>
      </c>
      <c r="G1603" s="252">
        <f t="shared" si="25"/>
        <v>0</v>
      </c>
    </row>
    <row r="1604" spans="1:7" x14ac:dyDescent="0.3">
      <c r="A1604" s="524" t="s">
        <v>508</v>
      </c>
      <c r="B1604" s="524" t="s">
        <v>1774</v>
      </c>
      <c r="C1604" s="525" t="s">
        <v>1775</v>
      </c>
      <c r="D1604" s="524" t="s">
        <v>397</v>
      </c>
      <c r="E1604" s="524" t="s">
        <v>2017</v>
      </c>
      <c r="F1604" s="526" t="s">
        <v>1777</v>
      </c>
      <c r="G1604" s="252">
        <f t="shared" ref="G1604:G1611" si="33">TRUNC(E1604*F1604,2)</f>
        <v>1.22</v>
      </c>
    </row>
    <row r="1605" spans="1:7" x14ac:dyDescent="0.3">
      <c r="A1605" s="524" t="s">
        <v>508</v>
      </c>
      <c r="B1605" s="524" t="s">
        <v>1806</v>
      </c>
      <c r="C1605" s="525" t="s">
        <v>1807</v>
      </c>
      <c r="D1605" s="524" t="s">
        <v>397</v>
      </c>
      <c r="E1605" s="524" t="s">
        <v>1122</v>
      </c>
      <c r="F1605" s="526" t="s">
        <v>1455</v>
      </c>
      <c r="G1605" s="252">
        <f t="shared" si="33"/>
        <v>2.0499999999999998</v>
      </c>
    </row>
    <row r="1606" spans="1:7" x14ac:dyDescent="0.3">
      <c r="A1606" s="524" t="s">
        <v>508</v>
      </c>
      <c r="B1606" s="524" t="s">
        <v>2018</v>
      </c>
      <c r="C1606" s="525" t="s">
        <v>2019</v>
      </c>
      <c r="D1606" s="524" t="s">
        <v>397</v>
      </c>
      <c r="E1606" s="524" t="s">
        <v>1122</v>
      </c>
      <c r="F1606" s="526" t="s">
        <v>2020</v>
      </c>
      <c r="G1606" s="252">
        <f t="shared" si="33"/>
        <v>11.59</v>
      </c>
    </row>
    <row r="1607" spans="1:7" ht="28.8" x14ac:dyDescent="0.3">
      <c r="A1607" s="524" t="s">
        <v>508</v>
      </c>
      <c r="B1607" s="524" t="s">
        <v>1798</v>
      </c>
      <c r="C1607" s="525" t="s">
        <v>1799</v>
      </c>
      <c r="D1607" s="524" t="s">
        <v>397</v>
      </c>
      <c r="E1607" s="524" t="s">
        <v>1515</v>
      </c>
      <c r="F1607" s="526" t="s">
        <v>1801</v>
      </c>
      <c r="G1607" s="252">
        <f t="shared" si="33"/>
        <v>0.6</v>
      </c>
    </row>
    <row r="1608" spans="1:7" x14ac:dyDescent="0.3">
      <c r="A1608" s="524" t="s">
        <v>508</v>
      </c>
      <c r="B1608" s="524" t="s">
        <v>1781</v>
      </c>
      <c r="C1608" s="525" t="s">
        <v>1782</v>
      </c>
      <c r="D1608" s="524" t="s">
        <v>397</v>
      </c>
      <c r="E1608" s="524" t="s">
        <v>2021</v>
      </c>
      <c r="F1608" s="526" t="s">
        <v>1784</v>
      </c>
      <c r="G1608" s="252">
        <f t="shared" si="33"/>
        <v>1.61</v>
      </c>
    </row>
    <row r="1609" spans="1:7" x14ac:dyDescent="0.3">
      <c r="A1609" s="524" t="s">
        <v>508</v>
      </c>
      <c r="B1609" s="524" t="s">
        <v>1785</v>
      </c>
      <c r="C1609" s="525" t="s">
        <v>1786</v>
      </c>
      <c r="D1609" s="524" t="s">
        <v>397</v>
      </c>
      <c r="E1609" s="524" t="s">
        <v>2022</v>
      </c>
      <c r="F1609" s="526" t="s">
        <v>1563</v>
      </c>
      <c r="G1609" s="252">
        <f t="shared" si="33"/>
        <v>0.12</v>
      </c>
    </row>
    <row r="1610" spans="1:7" ht="28.8" x14ac:dyDescent="0.3">
      <c r="A1610" s="524" t="s">
        <v>522</v>
      </c>
      <c r="B1610" s="524" t="s">
        <v>1726</v>
      </c>
      <c r="C1610" s="525" t="s">
        <v>1727</v>
      </c>
      <c r="D1610" s="524" t="s">
        <v>32</v>
      </c>
      <c r="E1610" s="524" t="s">
        <v>1438</v>
      </c>
      <c r="F1610" s="526" t="s">
        <v>1729</v>
      </c>
      <c r="G1610" s="252">
        <f t="shared" si="33"/>
        <v>3.46</v>
      </c>
    </row>
    <row r="1611" spans="1:7" x14ac:dyDescent="0.3">
      <c r="A1611" s="524" t="s">
        <v>522</v>
      </c>
      <c r="B1611" s="524" t="s">
        <v>1367</v>
      </c>
      <c r="C1611" s="525" t="s">
        <v>1368</v>
      </c>
      <c r="D1611" s="524" t="s">
        <v>32</v>
      </c>
      <c r="E1611" s="524" t="s">
        <v>1438</v>
      </c>
      <c r="F1611" s="526" t="s">
        <v>1370</v>
      </c>
      <c r="G1611" s="252">
        <f t="shared" si="33"/>
        <v>4.4400000000000004</v>
      </c>
    </row>
    <row r="1612" spans="1:7" x14ac:dyDescent="0.3">
      <c r="A1612" s="680" t="s">
        <v>1152</v>
      </c>
      <c r="B1612" s="681"/>
      <c r="C1612" s="681"/>
      <c r="D1612" s="681"/>
      <c r="E1612" s="681"/>
      <c r="F1612" s="682"/>
      <c r="G1612" s="527">
        <f>SUM(G1603:G1611)</f>
        <v>25.090000000000003</v>
      </c>
    </row>
    <row r="1613" spans="1:7" x14ac:dyDescent="0.3">
      <c r="A1613" s="683">
        <f>TRUNC(E1613*F1613,2)</f>
        <v>0</v>
      </c>
      <c r="B1613" s="684"/>
      <c r="C1613" s="684"/>
      <c r="D1613" s="684"/>
      <c r="E1613" s="684"/>
      <c r="F1613" s="684"/>
      <c r="G1613" s="685"/>
    </row>
    <row r="1614" spans="1:7" ht="28.8" x14ac:dyDescent="0.3">
      <c r="A1614" s="529" t="s">
        <v>293</v>
      </c>
      <c r="B1614" s="529">
        <v>95544</v>
      </c>
      <c r="C1614" s="530" t="s">
        <v>202</v>
      </c>
      <c r="D1614" s="529" t="s">
        <v>44</v>
      </c>
      <c r="E1614" s="252"/>
      <c r="F1614" s="531">
        <v>30.21</v>
      </c>
      <c r="G1614" s="252">
        <f t="shared" si="25"/>
        <v>0</v>
      </c>
    </row>
    <row r="1615" spans="1:7" x14ac:dyDescent="0.3">
      <c r="A1615" s="524" t="s">
        <v>508</v>
      </c>
      <c r="B1615" s="524" t="s">
        <v>1816</v>
      </c>
      <c r="C1615" s="525" t="s">
        <v>1817</v>
      </c>
      <c r="D1615" s="524" t="s">
        <v>397</v>
      </c>
      <c r="E1615" s="524" t="s">
        <v>1122</v>
      </c>
      <c r="F1615" s="526" t="s">
        <v>1818</v>
      </c>
      <c r="G1615" s="252">
        <f t="shared" si="25"/>
        <v>23.16</v>
      </c>
    </row>
    <row r="1616" spans="1:7" x14ac:dyDescent="0.3">
      <c r="A1616" s="524" t="s">
        <v>522</v>
      </c>
      <c r="B1616" s="524" t="s">
        <v>1367</v>
      </c>
      <c r="C1616" s="525" t="s">
        <v>1368</v>
      </c>
      <c r="D1616" s="524" t="s">
        <v>32</v>
      </c>
      <c r="E1616" s="524" t="s">
        <v>1819</v>
      </c>
      <c r="F1616" s="526" t="s">
        <v>1370</v>
      </c>
      <c r="G1616" s="252">
        <f t="shared" si="25"/>
        <v>5.62</v>
      </c>
    </row>
    <row r="1617" spans="1:7" x14ac:dyDescent="0.3">
      <c r="A1617" s="524" t="s">
        <v>522</v>
      </c>
      <c r="B1617" s="524" t="s">
        <v>1359</v>
      </c>
      <c r="C1617" s="525" t="s">
        <v>801</v>
      </c>
      <c r="D1617" s="524" t="s">
        <v>32</v>
      </c>
      <c r="E1617" s="524" t="s">
        <v>1820</v>
      </c>
      <c r="F1617" s="526" t="s">
        <v>1361</v>
      </c>
      <c r="G1617" s="252">
        <f t="shared" si="25"/>
        <v>1.43</v>
      </c>
    </row>
    <row r="1618" spans="1:7" x14ac:dyDescent="0.3">
      <c r="A1618" s="680" t="s">
        <v>1152</v>
      </c>
      <c r="B1618" s="681"/>
      <c r="C1618" s="681"/>
      <c r="D1618" s="681"/>
      <c r="E1618" s="681"/>
      <c r="F1618" s="682"/>
      <c r="G1618" s="527">
        <f>SUM(G1614:G1617)</f>
        <v>30.21</v>
      </c>
    </row>
    <row r="1619" spans="1:7" x14ac:dyDescent="0.3">
      <c r="A1619" s="683">
        <f>TRUNC(E1619*F1619,2)</f>
        <v>0</v>
      </c>
      <c r="B1619" s="684"/>
      <c r="C1619" s="684"/>
      <c r="D1619" s="684"/>
      <c r="E1619" s="684"/>
      <c r="F1619" s="684"/>
      <c r="G1619" s="685"/>
    </row>
    <row r="1620" spans="1:7" ht="28.8" x14ac:dyDescent="0.3">
      <c r="A1620" s="529" t="s">
        <v>294</v>
      </c>
      <c r="B1620" s="529">
        <v>89714</v>
      </c>
      <c r="C1620" s="530" t="s">
        <v>195</v>
      </c>
      <c r="D1620" s="529" t="s">
        <v>55</v>
      </c>
      <c r="E1620" s="252"/>
      <c r="F1620" s="531">
        <v>42.17</v>
      </c>
      <c r="G1620" s="252">
        <f t="shared" si="25"/>
        <v>0</v>
      </c>
    </row>
    <row r="1621" spans="1:7" x14ac:dyDescent="0.3">
      <c r="A1621" s="524" t="s">
        <v>508</v>
      </c>
      <c r="B1621" s="524" t="s">
        <v>1774</v>
      </c>
      <c r="C1621" s="525" t="s">
        <v>1775</v>
      </c>
      <c r="D1621" s="524" t="s">
        <v>397</v>
      </c>
      <c r="E1621" s="524" t="s">
        <v>1776</v>
      </c>
      <c r="F1621" s="526" t="s">
        <v>1777</v>
      </c>
      <c r="G1621" s="252">
        <f t="shared" si="25"/>
        <v>3</v>
      </c>
    </row>
    <row r="1622" spans="1:7" x14ac:dyDescent="0.3">
      <c r="A1622" s="524" t="s">
        <v>508</v>
      </c>
      <c r="B1622" s="524" t="s">
        <v>1778</v>
      </c>
      <c r="C1622" s="525" t="s">
        <v>1779</v>
      </c>
      <c r="D1622" s="524" t="s">
        <v>55</v>
      </c>
      <c r="E1622" s="524" t="s">
        <v>1697</v>
      </c>
      <c r="F1622" s="526" t="s">
        <v>1780</v>
      </c>
      <c r="G1622" s="252">
        <f t="shared" si="25"/>
        <v>11.01</v>
      </c>
    </row>
    <row r="1623" spans="1:7" x14ac:dyDescent="0.3">
      <c r="A1623" s="524" t="s">
        <v>508</v>
      </c>
      <c r="B1623" s="524" t="s">
        <v>1781</v>
      </c>
      <c r="C1623" s="525" t="s">
        <v>1782</v>
      </c>
      <c r="D1623" s="524" t="s">
        <v>397</v>
      </c>
      <c r="E1623" s="524" t="s">
        <v>1783</v>
      </c>
      <c r="F1623" s="526" t="s">
        <v>1784</v>
      </c>
      <c r="G1623" s="252">
        <f t="shared" si="25"/>
        <v>4.25</v>
      </c>
    </row>
    <row r="1624" spans="1:7" x14ac:dyDescent="0.3">
      <c r="A1624" s="524" t="s">
        <v>508</v>
      </c>
      <c r="B1624" s="524" t="s">
        <v>1785</v>
      </c>
      <c r="C1624" s="525" t="s">
        <v>1786</v>
      </c>
      <c r="D1624" s="524" t="s">
        <v>397</v>
      </c>
      <c r="E1624" s="524" t="s">
        <v>1094</v>
      </c>
      <c r="F1624" s="526" t="s">
        <v>1563</v>
      </c>
      <c r="G1624" s="252">
        <f t="shared" si="25"/>
        <v>0.49</v>
      </c>
    </row>
    <row r="1625" spans="1:7" ht="28.8" x14ac:dyDescent="0.3">
      <c r="A1625" s="524" t="s">
        <v>522</v>
      </c>
      <c r="B1625" s="524" t="s">
        <v>1726</v>
      </c>
      <c r="C1625" s="525" t="s">
        <v>1727</v>
      </c>
      <c r="D1625" s="524" t="s">
        <v>32</v>
      </c>
      <c r="E1625" s="524" t="s">
        <v>1787</v>
      </c>
      <c r="F1625" s="526" t="s">
        <v>1729</v>
      </c>
      <c r="G1625" s="252">
        <f t="shared" si="25"/>
        <v>10.26</v>
      </c>
    </row>
    <row r="1626" spans="1:7" x14ac:dyDescent="0.3">
      <c r="A1626" s="524" t="s">
        <v>522</v>
      </c>
      <c r="B1626" s="524" t="s">
        <v>1367</v>
      </c>
      <c r="C1626" s="525" t="s">
        <v>1368</v>
      </c>
      <c r="D1626" s="524" t="s">
        <v>32</v>
      </c>
      <c r="E1626" s="524" t="s">
        <v>1787</v>
      </c>
      <c r="F1626" s="526" t="s">
        <v>1370</v>
      </c>
      <c r="G1626" s="252">
        <f t="shared" si="25"/>
        <v>13.16</v>
      </c>
    </row>
    <row r="1627" spans="1:7" x14ac:dyDescent="0.3">
      <c r="A1627" s="680" t="s">
        <v>1152</v>
      </c>
      <c r="B1627" s="681"/>
      <c r="C1627" s="681"/>
      <c r="D1627" s="681"/>
      <c r="E1627" s="681"/>
      <c r="F1627" s="682"/>
      <c r="G1627" s="527">
        <f>SUM(G1620:G1626)</f>
        <v>42.17</v>
      </c>
    </row>
    <row r="1628" spans="1:7" x14ac:dyDescent="0.3">
      <c r="A1628" s="683">
        <f>TRUNC(E1628*F1628,2)</f>
        <v>0</v>
      </c>
      <c r="B1628" s="684"/>
      <c r="C1628" s="684"/>
      <c r="D1628" s="684"/>
      <c r="E1628" s="684"/>
      <c r="F1628" s="684"/>
      <c r="G1628" s="685"/>
    </row>
    <row r="1629" spans="1:7" ht="28.8" x14ac:dyDescent="0.3">
      <c r="A1629" s="529" t="s">
        <v>295</v>
      </c>
      <c r="B1629" s="529">
        <v>89712</v>
      </c>
      <c r="C1629" s="530" t="s">
        <v>196</v>
      </c>
      <c r="D1629" s="529" t="s">
        <v>55</v>
      </c>
      <c r="E1629" s="252"/>
      <c r="F1629" s="531">
        <v>21.1</v>
      </c>
      <c r="G1629" s="252">
        <f t="shared" si="25"/>
        <v>0</v>
      </c>
    </row>
    <row r="1630" spans="1:7" x14ac:dyDescent="0.3">
      <c r="A1630" s="524" t="s">
        <v>508</v>
      </c>
      <c r="B1630" s="524" t="s">
        <v>1774</v>
      </c>
      <c r="C1630" s="525" t="s">
        <v>1775</v>
      </c>
      <c r="D1630" s="524" t="s">
        <v>397</v>
      </c>
      <c r="E1630" s="524" t="s">
        <v>1788</v>
      </c>
      <c r="F1630" s="526" t="s">
        <v>1777</v>
      </c>
      <c r="G1630" s="252">
        <f t="shared" si="25"/>
        <v>0.89</v>
      </c>
    </row>
    <row r="1631" spans="1:7" x14ac:dyDescent="0.3">
      <c r="A1631" s="524" t="s">
        <v>508</v>
      </c>
      <c r="B1631" s="524" t="s">
        <v>1789</v>
      </c>
      <c r="C1631" s="525" t="s">
        <v>1790</v>
      </c>
      <c r="D1631" s="524" t="s">
        <v>55</v>
      </c>
      <c r="E1631" s="524" t="s">
        <v>1697</v>
      </c>
      <c r="F1631" s="526" t="s">
        <v>1791</v>
      </c>
      <c r="G1631" s="252">
        <f t="shared" si="25"/>
        <v>6.76</v>
      </c>
    </row>
    <row r="1632" spans="1:7" x14ac:dyDescent="0.3">
      <c r="A1632" s="524" t="s">
        <v>508</v>
      </c>
      <c r="B1632" s="524" t="s">
        <v>1781</v>
      </c>
      <c r="C1632" s="525" t="s">
        <v>1782</v>
      </c>
      <c r="D1632" s="524" t="s">
        <v>397</v>
      </c>
      <c r="E1632" s="524" t="s">
        <v>1792</v>
      </c>
      <c r="F1632" s="526" t="s">
        <v>1784</v>
      </c>
      <c r="G1632" s="252">
        <f t="shared" si="25"/>
        <v>1.17</v>
      </c>
    </row>
    <row r="1633" spans="1:7" x14ac:dyDescent="0.3">
      <c r="A1633" s="524" t="s">
        <v>508</v>
      </c>
      <c r="B1633" s="524" t="s">
        <v>1785</v>
      </c>
      <c r="C1633" s="525" t="s">
        <v>1786</v>
      </c>
      <c r="D1633" s="524" t="s">
        <v>397</v>
      </c>
      <c r="E1633" s="524" t="s">
        <v>1793</v>
      </c>
      <c r="F1633" s="526" t="s">
        <v>1563</v>
      </c>
      <c r="G1633" s="252">
        <f t="shared" si="25"/>
        <v>0.25</v>
      </c>
    </row>
    <row r="1634" spans="1:7" ht="28.8" x14ac:dyDescent="0.3">
      <c r="A1634" s="524" t="s">
        <v>522</v>
      </c>
      <c r="B1634" s="524" t="s">
        <v>1726</v>
      </c>
      <c r="C1634" s="525" t="s">
        <v>1727</v>
      </c>
      <c r="D1634" s="524" t="s">
        <v>32</v>
      </c>
      <c r="E1634" s="524" t="s">
        <v>1794</v>
      </c>
      <c r="F1634" s="526" t="s">
        <v>1729</v>
      </c>
      <c r="G1634" s="252">
        <f t="shared" si="25"/>
        <v>5.27</v>
      </c>
    </row>
    <row r="1635" spans="1:7" x14ac:dyDescent="0.3">
      <c r="A1635" s="524" t="s">
        <v>522</v>
      </c>
      <c r="B1635" s="524" t="s">
        <v>1367</v>
      </c>
      <c r="C1635" s="525" t="s">
        <v>1368</v>
      </c>
      <c r="D1635" s="524" t="s">
        <v>32</v>
      </c>
      <c r="E1635" s="524" t="s">
        <v>1794</v>
      </c>
      <c r="F1635" s="526" t="s">
        <v>1370</v>
      </c>
      <c r="G1635" s="252">
        <f t="shared" si="25"/>
        <v>6.76</v>
      </c>
    </row>
    <row r="1636" spans="1:7" x14ac:dyDescent="0.3">
      <c r="A1636" s="680" t="s">
        <v>1152</v>
      </c>
      <c r="B1636" s="681"/>
      <c r="C1636" s="681"/>
      <c r="D1636" s="681"/>
      <c r="E1636" s="681"/>
      <c r="F1636" s="682"/>
      <c r="G1636" s="527">
        <f>SUM(G1629:G1635)</f>
        <v>21.1</v>
      </c>
    </row>
    <row r="1637" spans="1:7" x14ac:dyDescent="0.3">
      <c r="A1637" s="683">
        <f>TRUNC(E1637*F1637,2)</f>
        <v>0</v>
      </c>
      <c r="B1637" s="684"/>
      <c r="C1637" s="684"/>
      <c r="D1637" s="684"/>
      <c r="E1637" s="684"/>
      <c r="F1637" s="684"/>
      <c r="G1637" s="685"/>
    </row>
    <row r="1638" spans="1:7" ht="28.8" x14ac:dyDescent="0.3">
      <c r="A1638" s="529" t="s">
        <v>296</v>
      </c>
      <c r="B1638" s="529">
        <v>89567</v>
      </c>
      <c r="C1638" s="530" t="s">
        <v>197</v>
      </c>
      <c r="D1638" s="529" t="s">
        <v>44</v>
      </c>
      <c r="E1638" s="252"/>
      <c r="F1638" s="531">
        <v>57.95</v>
      </c>
      <c r="G1638" s="252">
        <f t="shared" si="25"/>
        <v>0</v>
      </c>
    </row>
    <row r="1639" spans="1:7" x14ac:dyDescent="0.3">
      <c r="A1639" s="524" t="s">
        <v>508</v>
      </c>
      <c r="B1639" s="524" t="s">
        <v>1795</v>
      </c>
      <c r="C1639" s="525" t="s">
        <v>1796</v>
      </c>
      <c r="D1639" s="524" t="s">
        <v>397</v>
      </c>
      <c r="E1639" s="524" t="s">
        <v>1523</v>
      </c>
      <c r="F1639" s="526" t="s">
        <v>1797</v>
      </c>
      <c r="G1639" s="252">
        <f t="shared" si="25"/>
        <v>7.26</v>
      </c>
    </row>
    <row r="1640" spans="1:7" ht="28.8" x14ac:dyDescent="0.3">
      <c r="A1640" s="524" t="s">
        <v>508</v>
      </c>
      <c r="B1640" s="524" t="s">
        <v>1798</v>
      </c>
      <c r="C1640" s="525" t="s">
        <v>1799</v>
      </c>
      <c r="D1640" s="524" t="s">
        <v>397</v>
      </c>
      <c r="E1640" s="524" t="s">
        <v>1800</v>
      </c>
      <c r="F1640" s="526" t="s">
        <v>1801</v>
      </c>
      <c r="G1640" s="252">
        <f t="shared" si="25"/>
        <v>2.78</v>
      </c>
    </row>
    <row r="1641" spans="1:7" x14ac:dyDescent="0.3">
      <c r="A1641" s="524" t="s">
        <v>508</v>
      </c>
      <c r="B1641" s="524" t="s">
        <v>1802</v>
      </c>
      <c r="C1641" s="525" t="s">
        <v>1803</v>
      </c>
      <c r="D1641" s="524" t="s">
        <v>397</v>
      </c>
      <c r="E1641" s="524" t="s">
        <v>1122</v>
      </c>
      <c r="F1641" s="526" t="s">
        <v>1804</v>
      </c>
      <c r="G1641" s="252">
        <f t="shared" si="25"/>
        <v>42.06</v>
      </c>
    </row>
    <row r="1642" spans="1:7" ht="28.8" x14ac:dyDescent="0.3">
      <c r="A1642" s="524" t="s">
        <v>522</v>
      </c>
      <c r="B1642" s="524" t="s">
        <v>1726</v>
      </c>
      <c r="C1642" s="525" t="s">
        <v>1727</v>
      </c>
      <c r="D1642" s="524" t="s">
        <v>32</v>
      </c>
      <c r="E1642" s="524" t="s">
        <v>1805</v>
      </c>
      <c r="F1642" s="526" t="s">
        <v>1729</v>
      </c>
      <c r="G1642" s="252">
        <f t="shared" si="25"/>
        <v>2.56</v>
      </c>
    </row>
    <row r="1643" spans="1:7" x14ac:dyDescent="0.3">
      <c r="A1643" s="524" t="s">
        <v>522</v>
      </c>
      <c r="B1643" s="524" t="s">
        <v>1367</v>
      </c>
      <c r="C1643" s="525" t="s">
        <v>1368</v>
      </c>
      <c r="D1643" s="524" t="s">
        <v>32</v>
      </c>
      <c r="E1643" s="524" t="s">
        <v>1805</v>
      </c>
      <c r="F1643" s="526" t="s">
        <v>1370</v>
      </c>
      <c r="G1643" s="252">
        <f t="shared" si="25"/>
        <v>3.29</v>
      </c>
    </row>
    <row r="1644" spans="1:7" x14ac:dyDescent="0.3">
      <c r="A1644" s="680" t="s">
        <v>1152</v>
      </c>
      <c r="B1644" s="681"/>
      <c r="C1644" s="681"/>
      <c r="D1644" s="681"/>
      <c r="E1644" s="681"/>
      <c r="F1644" s="682"/>
      <c r="G1644" s="527">
        <f>SUM(G1637:G1643)</f>
        <v>57.95</v>
      </c>
    </row>
    <row r="1645" spans="1:7" x14ac:dyDescent="0.3">
      <c r="A1645" s="683">
        <f>TRUNC(E1645*F1645,2)</f>
        <v>0</v>
      </c>
      <c r="B1645" s="684"/>
      <c r="C1645" s="684"/>
      <c r="D1645" s="684"/>
      <c r="E1645" s="684"/>
      <c r="F1645" s="684"/>
      <c r="G1645" s="685"/>
    </row>
    <row r="1646" spans="1:7" ht="43.2" x14ac:dyDescent="0.3">
      <c r="A1646" s="529" t="s">
        <v>706</v>
      </c>
      <c r="B1646" s="529">
        <v>89731</v>
      </c>
      <c r="C1646" s="530" t="s">
        <v>198</v>
      </c>
      <c r="D1646" s="529" t="s">
        <v>44</v>
      </c>
      <c r="E1646" s="252"/>
      <c r="F1646" s="531">
        <v>8.56</v>
      </c>
      <c r="G1646" s="252">
        <f t="shared" si="25"/>
        <v>0</v>
      </c>
    </row>
    <row r="1647" spans="1:7" x14ac:dyDescent="0.3">
      <c r="A1647" s="524" t="s">
        <v>508</v>
      </c>
      <c r="B1647" s="524" t="s">
        <v>1806</v>
      </c>
      <c r="C1647" s="525" t="s">
        <v>1807</v>
      </c>
      <c r="D1647" s="524" t="s">
        <v>397</v>
      </c>
      <c r="E1647" s="524" t="s">
        <v>1122</v>
      </c>
      <c r="F1647" s="526" t="s">
        <v>1455</v>
      </c>
      <c r="G1647" s="252">
        <f t="shared" si="25"/>
        <v>2.0499999999999998</v>
      </c>
    </row>
    <row r="1648" spans="1:7" x14ac:dyDescent="0.3">
      <c r="A1648" s="524" t="s">
        <v>508</v>
      </c>
      <c r="B1648" s="524" t="s">
        <v>1808</v>
      </c>
      <c r="C1648" s="525" t="s">
        <v>1809</v>
      </c>
      <c r="D1648" s="524" t="s">
        <v>397</v>
      </c>
      <c r="E1648" s="524" t="s">
        <v>1122</v>
      </c>
      <c r="F1648" s="526" t="s">
        <v>1810</v>
      </c>
      <c r="G1648" s="252">
        <f t="shared" si="25"/>
        <v>1.8</v>
      </c>
    </row>
    <row r="1649" spans="1:7" ht="28.8" x14ac:dyDescent="0.3">
      <c r="A1649" s="524" t="s">
        <v>508</v>
      </c>
      <c r="B1649" s="524" t="s">
        <v>1798</v>
      </c>
      <c r="C1649" s="525" t="s">
        <v>1799</v>
      </c>
      <c r="D1649" s="524" t="s">
        <v>397</v>
      </c>
      <c r="E1649" s="524" t="s">
        <v>1515</v>
      </c>
      <c r="F1649" s="526" t="s">
        <v>1801</v>
      </c>
      <c r="G1649" s="252">
        <f t="shared" si="25"/>
        <v>0.6</v>
      </c>
    </row>
    <row r="1650" spans="1:7" ht="28.8" x14ac:dyDescent="0.3">
      <c r="A1650" s="524" t="s">
        <v>522</v>
      </c>
      <c r="B1650" s="524" t="s">
        <v>1726</v>
      </c>
      <c r="C1650" s="525" t="s">
        <v>1727</v>
      </c>
      <c r="D1650" s="524" t="s">
        <v>32</v>
      </c>
      <c r="E1650" s="524" t="s">
        <v>1811</v>
      </c>
      <c r="F1650" s="526" t="s">
        <v>1729</v>
      </c>
      <c r="G1650" s="252">
        <f t="shared" si="25"/>
        <v>1.8</v>
      </c>
    </row>
    <row r="1651" spans="1:7" x14ac:dyDescent="0.3">
      <c r="A1651" s="524" t="s">
        <v>522</v>
      </c>
      <c r="B1651" s="524" t="s">
        <v>1367</v>
      </c>
      <c r="C1651" s="525" t="s">
        <v>1368</v>
      </c>
      <c r="D1651" s="524" t="s">
        <v>32</v>
      </c>
      <c r="E1651" s="524" t="s">
        <v>1811</v>
      </c>
      <c r="F1651" s="526" t="s">
        <v>1370</v>
      </c>
      <c r="G1651" s="252">
        <f t="shared" si="25"/>
        <v>2.31</v>
      </c>
    </row>
    <row r="1652" spans="1:7" x14ac:dyDescent="0.3">
      <c r="A1652" s="680" t="s">
        <v>1152</v>
      </c>
      <c r="B1652" s="681"/>
      <c r="C1652" s="681"/>
      <c r="D1652" s="681"/>
      <c r="E1652" s="681"/>
      <c r="F1652" s="682"/>
      <c r="G1652" s="527">
        <f>SUM(G1645:G1651)</f>
        <v>8.5599999999999987</v>
      </c>
    </row>
    <row r="1653" spans="1:7" x14ac:dyDescent="0.3">
      <c r="A1653" s="683">
        <f>TRUNC(E1653*F1653,2)</f>
        <v>0</v>
      </c>
      <c r="B1653" s="684"/>
      <c r="C1653" s="684"/>
      <c r="D1653" s="684"/>
      <c r="E1653" s="684"/>
      <c r="F1653" s="684"/>
      <c r="G1653" s="685"/>
    </row>
    <row r="1654" spans="1:7" ht="28.8" x14ac:dyDescent="0.3">
      <c r="A1654" s="529" t="s">
        <v>297</v>
      </c>
      <c r="B1654" s="529" t="s">
        <v>810</v>
      </c>
      <c r="C1654" s="530" t="s">
        <v>808</v>
      </c>
      <c r="D1654" s="529" t="s">
        <v>185</v>
      </c>
      <c r="E1654" s="252"/>
      <c r="F1654" s="531">
        <v>234.28</v>
      </c>
      <c r="G1654" s="252">
        <f t="shared" si="25"/>
        <v>0</v>
      </c>
    </row>
    <row r="1655" spans="1:7" x14ac:dyDescent="0.3">
      <c r="A1655" s="529"/>
      <c r="B1655" s="529">
        <v>88316</v>
      </c>
      <c r="C1655" s="525" t="s">
        <v>801</v>
      </c>
      <c r="D1655" s="529" t="s">
        <v>580</v>
      </c>
      <c r="E1655" s="609">
        <v>0.1</v>
      </c>
      <c r="F1655" s="526" t="s">
        <v>1361</v>
      </c>
      <c r="G1655" s="252">
        <f t="shared" si="25"/>
        <v>1.43</v>
      </c>
    </row>
    <row r="1656" spans="1:7" x14ac:dyDescent="0.3">
      <c r="A1656" s="529"/>
      <c r="B1656" s="529">
        <v>88309</v>
      </c>
      <c r="C1656" s="610" t="s">
        <v>1363</v>
      </c>
      <c r="D1656" s="529" t="s">
        <v>580</v>
      </c>
      <c r="E1656" s="609">
        <v>0.24560000000000001</v>
      </c>
      <c r="F1656" s="531">
        <v>17.760000000000002</v>
      </c>
      <c r="G1656" s="252">
        <f t="shared" si="25"/>
        <v>4.3600000000000003</v>
      </c>
    </row>
    <row r="1657" spans="1:7" ht="28.8" x14ac:dyDescent="0.3">
      <c r="A1657" s="529"/>
      <c r="B1657" s="529" t="s">
        <v>807</v>
      </c>
      <c r="C1657" s="530" t="s">
        <v>808</v>
      </c>
      <c r="D1657" s="529" t="s">
        <v>397</v>
      </c>
      <c r="E1657" s="609">
        <v>1</v>
      </c>
      <c r="F1657" s="531">
        <v>228.49</v>
      </c>
      <c r="G1657" s="252">
        <f t="shared" si="25"/>
        <v>228.49</v>
      </c>
    </row>
    <row r="1658" spans="1:7" x14ac:dyDescent="0.3">
      <c r="A1658" s="680" t="s">
        <v>1152</v>
      </c>
      <c r="B1658" s="681"/>
      <c r="C1658" s="681"/>
      <c r="D1658" s="681"/>
      <c r="E1658" s="681"/>
      <c r="F1658" s="682"/>
      <c r="G1658" s="527">
        <f>SUM(G1654:G1657)</f>
        <v>234.28</v>
      </c>
    </row>
    <row r="1659" spans="1:7" x14ac:dyDescent="0.3">
      <c r="A1659" s="683">
        <f>TRUNC(E1659*F1659,2)</f>
        <v>0</v>
      </c>
      <c r="B1659" s="684"/>
      <c r="C1659" s="684"/>
      <c r="D1659" s="684"/>
      <c r="E1659" s="684"/>
      <c r="F1659" s="684"/>
      <c r="G1659" s="685"/>
    </row>
    <row r="1660" spans="1:7" ht="28.8" x14ac:dyDescent="0.3">
      <c r="A1660" s="529" t="s">
        <v>298</v>
      </c>
      <c r="B1660" s="529" t="s">
        <v>811</v>
      </c>
      <c r="C1660" s="530" t="s">
        <v>809</v>
      </c>
      <c r="D1660" s="529" t="s">
        <v>185</v>
      </c>
      <c r="E1660" s="252"/>
      <c r="F1660" s="531">
        <v>198.74</v>
      </c>
      <c r="G1660" s="252">
        <f t="shared" si="25"/>
        <v>0</v>
      </c>
    </row>
    <row r="1661" spans="1:7" x14ac:dyDescent="0.3">
      <c r="A1661" s="529"/>
      <c r="B1661" s="200">
        <v>88316</v>
      </c>
      <c r="C1661" s="202" t="s">
        <v>801</v>
      </c>
      <c r="D1661" s="200" t="s">
        <v>32</v>
      </c>
      <c r="E1661" s="203">
        <v>0.1</v>
      </c>
      <c r="F1661" s="526" t="s">
        <v>1361</v>
      </c>
      <c r="G1661" s="252">
        <f t="shared" si="25"/>
        <v>1.43</v>
      </c>
    </row>
    <row r="1662" spans="1:7" x14ac:dyDescent="0.3">
      <c r="A1662" s="529"/>
      <c r="B1662" s="200">
        <v>88309</v>
      </c>
      <c r="C1662" s="525" t="s">
        <v>1363</v>
      </c>
      <c r="D1662" s="200" t="s">
        <v>32</v>
      </c>
      <c r="E1662" s="203">
        <v>0.24560000000000001</v>
      </c>
      <c r="F1662" s="531">
        <v>17.760000000000002</v>
      </c>
      <c r="G1662" s="252">
        <f t="shared" si="25"/>
        <v>4.3600000000000003</v>
      </c>
    </row>
    <row r="1663" spans="1:7" ht="28.8" x14ac:dyDescent="0.3">
      <c r="A1663" s="529"/>
      <c r="B1663" s="201" t="s">
        <v>807</v>
      </c>
      <c r="C1663" s="202" t="s">
        <v>808</v>
      </c>
      <c r="D1663" s="201" t="s">
        <v>397</v>
      </c>
      <c r="E1663" s="204">
        <v>1</v>
      </c>
      <c r="F1663" s="205">
        <v>192.95</v>
      </c>
      <c r="G1663" s="252">
        <f t="shared" si="25"/>
        <v>192.95</v>
      </c>
    </row>
    <row r="1664" spans="1:7" x14ac:dyDescent="0.3">
      <c r="A1664" s="680" t="s">
        <v>1152</v>
      </c>
      <c r="B1664" s="681"/>
      <c r="C1664" s="681"/>
      <c r="D1664" s="681"/>
      <c r="E1664" s="681"/>
      <c r="F1664" s="682"/>
      <c r="G1664" s="527">
        <f>SUM(G1660:G1663)</f>
        <v>198.73999999999998</v>
      </c>
    </row>
    <row r="1665" spans="1:7" x14ac:dyDescent="0.3">
      <c r="A1665" s="683">
        <f>TRUNC(E1665*F1665,2)</f>
        <v>0</v>
      </c>
      <c r="B1665" s="684"/>
      <c r="C1665" s="684"/>
      <c r="D1665" s="684"/>
      <c r="E1665" s="684"/>
      <c r="F1665" s="684"/>
      <c r="G1665" s="685"/>
    </row>
    <row r="1666" spans="1:7" ht="43.2" x14ac:dyDescent="0.3">
      <c r="A1666" s="529" t="s">
        <v>818</v>
      </c>
      <c r="B1666" s="529">
        <v>89744</v>
      </c>
      <c r="C1666" s="530" t="s">
        <v>199</v>
      </c>
      <c r="D1666" s="529" t="s">
        <v>44</v>
      </c>
      <c r="E1666" s="252"/>
      <c r="F1666" s="531">
        <v>18.88</v>
      </c>
      <c r="G1666" s="252">
        <f t="shared" si="25"/>
        <v>0</v>
      </c>
    </row>
    <row r="1667" spans="1:7" x14ac:dyDescent="0.3">
      <c r="A1667" s="524" t="s">
        <v>508</v>
      </c>
      <c r="B1667" s="524" t="s">
        <v>1795</v>
      </c>
      <c r="C1667" s="525" t="s">
        <v>1796</v>
      </c>
      <c r="D1667" s="524" t="s">
        <v>397</v>
      </c>
      <c r="E1667" s="524" t="s">
        <v>1122</v>
      </c>
      <c r="F1667" s="526" t="s">
        <v>1797</v>
      </c>
      <c r="G1667" s="252">
        <f t="shared" si="25"/>
        <v>3.63</v>
      </c>
    </row>
    <row r="1668" spans="1:7" x14ac:dyDescent="0.3">
      <c r="A1668" s="524" t="s">
        <v>508</v>
      </c>
      <c r="B1668" s="524" t="s">
        <v>1812</v>
      </c>
      <c r="C1668" s="525" t="s">
        <v>1813</v>
      </c>
      <c r="D1668" s="524" t="s">
        <v>397</v>
      </c>
      <c r="E1668" s="524" t="s">
        <v>1122</v>
      </c>
      <c r="F1668" s="526" t="s">
        <v>1814</v>
      </c>
      <c r="G1668" s="252">
        <f t="shared" si="25"/>
        <v>5.96</v>
      </c>
    </row>
    <row r="1669" spans="1:7" ht="28.8" x14ac:dyDescent="0.3">
      <c r="A1669" s="524" t="s">
        <v>508</v>
      </c>
      <c r="B1669" s="524" t="s">
        <v>1798</v>
      </c>
      <c r="C1669" s="525" t="s">
        <v>1799</v>
      </c>
      <c r="D1669" s="524" t="s">
        <v>397</v>
      </c>
      <c r="E1669" s="524" t="s">
        <v>1815</v>
      </c>
      <c r="F1669" s="526" t="s">
        <v>1801</v>
      </c>
      <c r="G1669" s="252">
        <f t="shared" si="25"/>
        <v>1.39</v>
      </c>
    </row>
    <row r="1670" spans="1:7" ht="28.8" x14ac:dyDescent="0.3">
      <c r="A1670" s="524" t="s">
        <v>522</v>
      </c>
      <c r="B1670" s="524" t="s">
        <v>1726</v>
      </c>
      <c r="C1670" s="525" t="s">
        <v>1727</v>
      </c>
      <c r="D1670" s="524" t="s">
        <v>32</v>
      </c>
      <c r="E1670" s="524" t="s">
        <v>1438</v>
      </c>
      <c r="F1670" s="526" t="s">
        <v>1729</v>
      </c>
      <c r="G1670" s="252">
        <f t="shared" si="25"/>
        <v>3.46</v>
      </c>
    </row>
    <row r="1671" spans="1:7" x14ac:dyDescent="0.3">
      <c r="A1671" s="524" t="s">
        <v>522</v>
      </c>
      <c r="B1671" s="524" t="s">
        <v>1367</v>
      </c>
      <c r="C1671" s="525" t="s">
        <v>1368</v>
      </c>
      <c r="D1671" s="524" t="s">
        <v>32</v>
      </c>
      <c r="E1671" s="524" t="s">
        <v>1438</v>
      </c>
      <c r="F1671" s="526" t="s">
        <v>1370</v>
      </c>
      <c r="G1671" s="252">
        <f t="shared" si="25"/>
        <v>4.4400000000000004</v>
      </c>
    </row>
    <row r="1672" spans="1:7" x14ac:dyDescent="0.3">
      <c r="A1672" s="680" t="s">
        <v>1152</v>
      </c>
      <c r="B1672" s="681"/>
      <c r="C1672" s="681"/>
      <c r="D1672" s="681"/>
      <c r="E1672" s="681"/>
      <c r="F1672" s="682"/>
      <c r="G1672" s="527">
        <f>SUM(G1666:G1671)</f>
        <v>18.880000000000003</v>
      </c>
    </row>
    <row r="1673" spans="1:7" x14ac:dyDescent="0.3">
      <c r="A1673" s="683">
        <f>TRUNC(E1673*F1673,2)</f>
        <v>0</v>
      </c>
      <c r="B1673" s="684"/>
      <c r="C1673" s="684"/>
      <c r="D1673" s="684"/>
      <c r="E1673" s="684"/>
      <c r="F1673" s="684"/>
      <c r="G1673" s="685"/>
    </row>
    <row r="1674" spans="1:7" x14ac:dyDescent="0.3">
      <c r="A1674" s="529" t="s">
        <v>819</v>
      </c>
      <c r="B1674" s="529">
        <v>95545</v>
      </c>
      <c r="C1674" s="530" t="s">
        <v>203</v>
      </c>
      <c r="D1674" s="529" t="s">
        <v>44</v>
      </c>
      <c r="E1674" s="252"/>
      <c r="F1674" s="531">
        <v>29.63</v>
      </c>
      <c r="G1674" s="252">
        <f t="shared" si="25"/>
        <v>0</v>
      </c>
    </row>
    <row r="1675" spans="1:7" x14ac:dyDescent="0.3">
      <c r="A1675" s="524" t="s">
        <v>508</v>
      </c>
      <c r="B1675" s="524" t="s">
        <v>1821</v>
      </c>
      <c r="C1675" s="525" t="s">
        <v>1822</v>
      </c>
      <c r="D1675" s="524" t="s">
        <v>397</v>
      </c>
      <c r="E1675" s="524" t="s">
        <v>1122</v>
      </c>
      <c r="F1675" s="526" t="s">
        <v>1823</v>
      </c>
      <c r="G1675" s="252">
        <f t="shared" si="25"/>
        <v>22.58</v>
      </c>
    </row>
    <row r="1676" spans="1:7" x14ac:dyDescent="0.3">
      <c r="A1676" s="524" t="s">
        <v>522</v>
      </c>
      <c r="B1676" s="524" t="s">
        <v>1367</v>
      </c>
      <c r="C1676" s="525" t="s">
        <v>1368</v>
      </c>
      <c r="D1676" s="524" t="s">
        <v>32</v>
      </c>
      <c r="E1676" s="524" t="s">
        <v>1819</v>
      </c>
      <c r="F1676" s="526" t="s">
        <v>1370</v>
      </c>
      <c r="G1676" s="252">
        <f t="shared" si="25"/>
        <v>5.62</v>
      </c>
    </row>
    <row r="1677" spans="1:7" x14ac:dyDescent="0.3">
      <c r="A1677" s="524" t="s">
        <v>522</v>
      </c>
      <c r="B1677" s="524" t="s">
        <v>1359</v>
      </c>
      <c r="C1677" s="525" t="s">
        <v>801</v>
      </c>
      <c r="D1677" s="524" t="s">
        <v>32</v>
      </c>
      <c r="E1677" s="524" t="s">
        <v>1820</v>
      </c>
      <c r="F1677" s="526" t="s">
        <v>1361</v>
      </c>
      <c r="G1677" s="252">
        <f t="shared" si="25"/>
        <v>1.43</v>
      </c>
    </row>
    <row r="1678" spans="1:7" x14ac:dyDescent="0.3">
      <c r="A1678" s="680" t="s">
        <v>1152</v>
      </c>
      <c r="B1678" s="681"/>
      <c r="C1678" s="681"/>
      <c r="D1678" s="681"/>
      <c r="E1678" s="681"/>
      <c r="F1678" s="682"/>
      <c r="G1678" s="527">
        <f>SUM(G1673:G1677)</f>
        <v>29.63</v>
      </c>
    </row>
    <row r="1679" spans="1:7" x14ac:dyDescent="0.3">
      <c r="A1679" s="683">
        <f>TRUNC(E1679*F1679,2)</f>
        <v>0</v>
      </c>
      <c r="B1679" s="684"/>
      <c r="C1679" s="684"/>
      <c r="D1679" s="684"/>
      <c r="E1679" s="684"/>
      <c r="F1679" s="684"/>
      <c r="G1679" s="685"/>
    </row>
    <row r="1680" spans="1:7" x14ac:dyDescent="0.3">
      <c r="A1680" s="529" t="s">
        <v>299</v>
      </c>
      <c r="B1680" s="529"/>
      <c r="C1680" s="530" t="s">
        <v>207</v>
      </c>
      <c r="D1680" s="529"/>
      <c r="E1680" s="252"/>
      <c r="F1680" s="531"/>
      <c r="G1680" s="252">
        <f t="shared" si="25"/>
        <v>0</v>
      </c>
    </row>
    <row r="1681" spans="1:7" x14ac:dyDescent="0.3">
      <c r="A1681" s="529" t="s">
        <v>300</v>
      </c>
      <c r="B1681" s="529">
        <v>72178</v>
      </c>
      <c r="C1681" s="530" t="s">
        <v>50</v>
      </c>
      <c r="D1681" s="529" t="s">
        <v>24</v>
      </c>
      <c r="E1681" s="252"/>
      <c r="F1681" s="531">
        <v>22.6</v>
      </c>
      <c r="G1681" s="252">
        <f t="shared" si="25"/>
        <v>0</v>
      </c>
    </row>
    <row r="1682" spans="1:7" x14ac:dyDescent="0.3">
      <c r="A1682" s="524" t="s">
        <v>522</v>
      </c>
      <c r="B1682" s="524" t="s">
        <v>1376</v>
      </c>
      <c r="C1682" s="525" t="s">
        <v>1377</v>
      </c>
      <c r="D1682" s="524" t="s">
        <v>32</v>
      </c>
      <c r="E1682" s="524" t="s">
        <v>1378</v>
      </c>
      <c r="F1682" s="526" t="s">
        <v>1379</v>
      </c>
      <c r="G1682" s="252">
        <f t="shared" si="25"/>
        <v>22.6</v>
      </c>
    </row>
    <row r="1683" spans="1:7" x14ac:dyDescent="0.3">
      <c r="A1683" s="680" t="s">
        <v>1152</v>
      </c>
      <c r="B1683" s="681"/>
      <c r="C1683" s="681"/>
      <c r="D1683" s="681"/>
      <c r="E1683" s="681"/>
      <c r="F1683" s="682"/>
      <c r="G1683" s="527">
        <f>SUM(G1681:G1682)</f>
        <v>22.6</v>
      </c>
    </row>
    <row r="1684" spans="1:7" x14ac:dyDescent="0.3">
      <c r="A1684" s="683">
        <f>TRUNC(E1684*F1684,2)</f>
        <v>0</v>
      </c>
      <c r="B1684" s="684"/>
      <c r="C1684" s="684"/>
      <c r="D1684" s="684"/>
      <c r="E1684" s="684"/>
      <c r="F1684" s="684"/>
      <c r="G1684" s="685"/>
    </row>
    <row r="1685" spans="1:7" ht="43.2" x14ac:dyDescent="0.3">
      <c r="A1685" s="529" t="s">
        <v>301</v>
      </c>
      <c r="B1685" s="529">
        <v>72181</v>
      </c>
      <c r="C1685" s="530" t="s">
        <v>210</v>
      </c>
      <c r="D1685" s="529" t="s">
        <v>24</v>
      </c>
      <c r="E1685" s="252"/>
      <c r="F1685" s="531">
        <v>28.84</v>
      </c>
      <c r="G1685" s="252">
        <f t="shared" si="25"/>
        <v>0</v>
      </c>
    </row>
    <row r="1686" spans="1:7" x14ac:dyDescent="0.3">
      <c r="A1686" s="524" t="s">
        <v>508</v>
      </c>
      <c r="B1686" s="524" t="s">
        <v>518</v>
      </c>
      <c r="C1686" s="525" t="s">
        <v>519</v>
      </c>
      <c r="D1686" s="524" t="s">
        <v>426</v>
      </c>
      <c r="E1686" s="524" t="s">
        <v>1528</v>
      </c>
      <c r="F1686" s="526" t="s">
        <v>521</v>
      </c>
      <c r="G1686" s="252">
        <f t="shared" si="25"/>
        <v>2.2799999999999998</v>
      </c>
    </row>
    <row r="1687" spans="1:7" x14ac:dyDescent="0.3">
      <c r="A1687" s="524" t="s">
        <v>522</v>
      </c>
      <c r="B1687" s="524" t="s">
        <v>1376</v>
      </c>
      <c r="C1687" s="525" t="s">
        <v>1377</v>
      </c>
      <c r="D1687" s="524" t="s">
        <v>32</v>
      </c>
      <c r="E1687" s="524" t="s">
        <v>1452</v>
      </c>
      <c r="F1687" s="526" t="s">
        <v>1379</v>
      </c>
      <c r="G1687" s="252">
        <f t="shared" si="25"/>
        <v>15.07</v>
      </c>
    </row>
    <row r="1688" spans="1:7" x14ac:dyDescent="0.3">
      <c r="A1688" s="524" t="s">
        <v>522</v>
      </c>
      <c r="B1688" s="524" t="s">
        <v>1359</v>
      </c>
      <c r="C1688" s="525" t="s">
        <v>801</v>
      </c>
      <c r="D1688" s="524" t="s">
        <v>32</v>
      </c>
      <c r="E1688" s="524" t="s">
        <v>1452</v>
      </c>
      <c r="F1688" s="526" t="s">
        <v>1361</v>
      </c>
      <c r="G1688" s="252">
        <f t="shared" si="25"/>
        <v>11.49</v>
      </c>
    </row>
    <row r="1689" spans="1:7" x14ac:dyDescent="0.3">
      <c r="A1689" s="680" t="s">
        <v>1152</v>
      </c>
      <c r="B1689" s="681"/>
      <c r="C1689" s="681"/>
      <c r="D1689" s="681"/>
      <c r="E1689" s="681"/>
      <c r="F1689" s="682"/>
      <c r="G1689" s="527">
        <f>SUM(G1686:G1688)</f>
        <v>28.840000000000003</v>
      </c>
    </row>
    <row r="1690" spans="1:7" x14ac:dyDescent="0.3">
      <c r="A1690" s="683">
        <f>TRUNC(E1690*F1690,2)</f>
        <v>0</v>
      </c>
      <c r="B1690" s="684"/>
      <c r="C1690" s="684"/>
      <c r="D1690" s="684"/>
      <c r="E1690" s="684"/>
      <c r="F1690" s="684"/>
      <c r="G1690" s="685"/>
    </row>
    <row r="1691" spans="1:7" x14ac:dyDescent="0.3">
      <c r="A1691" s="529">
        <v>12</v>
      </c>
      <c r="B1691" s="529"/>
      <c r="C1691" s="530" t="s">
        <v>212</v>
      </c>
      <c r="D1691" s="529"/>
      <c r="E1691" s="252"/>
      <c r="F1691" s="531"/>
      <c r="G1691" s="252">
        <f t="shared" si="25"/>
        <v>0</v>
      </c>
    </row>
    <row r="1692" spans="1:7" ht="28.8" x14ac:dyDescent="0.3">
      <c r="A1692" s="529" t="s">
        <v>388</v>
      </c>
      <c r="B1692" s="529">
        <v>96114</v>
      </c>
      <c r="C1692" s="530" t="s">
        <v>639</v>
      </c>
      <c r="D1692" s="529" t="s">
        <v>24</v>
      </c>
      <c r="E1692" s="252"/>
      <c r="F1692" s="531">
        <v>49.24</v>
      </c>
      <c r="G1692" s="252">
        <f t="shared" si="25"/>
        <v>0</v>
      </c>
    </row>
    <row r="1693" spans="1:7" ht="28.8" x14ac:dyDescent="0.3">
      <c r="A1693" s="524" t="s">
        <v>508</v>
      </c>
      <c r="B1693" s="524" t="s">
        <v>1843</v>
      </c>
      <c r="C1693" s="525" t="s">
        <v>1844</v>
      </c>
      <c r="D1693" s="524" t="s">
        <v>24</v>
      </c>
      <c r="E1693" s="606">
        <v>1</v>
      </c>
      <c r="F1693" s="526" t="s">
        <v>1845</v>
      </c>
      <c r="G1693" s="252">
        <f t="shared" si="25"/>
        <v>19.97</v>
      </c>
    </row>
    <row r="1694" spans="1:7" ht="28.8" x14ac:dyDescent="0.3">
      <c r="A1694" s="524" t="s">
        <v>508</v>
      </c>
      <c r="B1694" s="524" t="s">
        <v>1846</v>
      </c>
      <c r="C1694" s="525" t="s">
        <v>1847</v>
      </c>
      <c r="D1694" s="524" t="s">
        <v>55</v>
      </c>
      <c r="E1694" s="606">
        <v>3</v>
      </c>
      <c r="F1694" s="526" t="s">
        <v>1848</v>
      </c>
      <c r="G1694" s="252">
        <f t="shared" si="25"/>
        <v>11.79</v>
      </c>
    </row>
    <row r="1695" spans="1:7" ht="28.8" x14ac:dyDescent="0.3">
      <c r="A1695" s="524" t="s">
        <v>508</v>
      </c>
      <c r="B1695" s="524" t="s">
        <v>1849</v>
      </c>
      <c r="C1695" s="525" t="s">
        <v>1850</v>
      </c>
      <c r="D1695" s="524" t="s">
        <v>397</v>
      </c>
      <c r="E1695" s="606">
        <v>1</v>
      </c>
      <c r="F1695" s="526" t="s">
        <v>1851</v>
      </c>
      <c r="G1695" s="252">
        <f t="shared" si="25"/>
        <v>1.48</v>
      </c>
    </row>
    <row r="1696" spans="1:7" ht="28.8" x14ac:dyDescent="0.3">
      <c r="A1696" s="524" t="s">
        <v>508</v>
      </c>
      <c r="B1696" s="524" t="s">
        <v>1852</v>
      </c>
      <c r="C1696" s="525" t="s">
        <v>1853</v>
      </c>
      <c r="D1696" s="524" t="s">
        <v>55</v>
      </c>
      <c r="E1696" s="606">
        <v>1.4</v>
      </c>
      <c r="F1696" s="526" t="s">
        <v>1854</v>
      </c>
      <c r="G1696" s="252">
        <f t="shared" si="25"/>
        <v>4.1399999999999997</v>
      </c>
    </row>
    <row r="1697" spans="1:7" ht="28.8" x14ac:dyDescent="0.3">
      <c r="A1697" s="524" t="s">
        <v>508</v>
      </c>
      <c r="B1697" s="524" t="s">
        <v>1855</v>
      </c>
      <c r="C1697" s="525" t="s">
        <v>1856</v>
      </c>
      <c r="D1697" s="524" t="s">
        <v>426</v>
      </c>
      <c r="E1697" s="606">
        <v>0.5</v>
      </c>
      <c r="F1697" s="526" t="s">
        <v>1501</v>
      </c>
      <c r="G1697" s="252">
        <f t="shared" si="25"/>
        <v>1.98</v>
      </c>
    </row>
    <row r="1698" spans="1:7" ht="28.8" x14ac:dyDescent="0.3">
      <c r="A1698" s="524" t="s">
        <v>508</v>
      </c>
      <c r="B1698" s="524" t="s">
        <v>1857</v>
      </c>
      <c r="C1698" s="525" t="s">
        <v>1858</v>
      </c>
      <c r="D1698" s="524" t="s">
        <v>397</v>
      </c>
      <c r="E1698" s="606">
        <v>7</v>
      </c>
      <c r="F1698" s="526" t="s">
        <v>1327</v>
      </c>
      <c r="G1698" s="252">
        <f t="shared" si="25"/>
        <v>0.49</v>
      </c>
    </row>
    <row r="1699" spans="1:7" ht="28.8" x14ac:dyDescent="0.3">
      <c r="A1699" s="524" t="s">
        <v>508</v>
      </c>
      <c r="B1699" s="524" t="s">
        <v>1859</v>
      </c>
      <c r="C1699" s="525" t="s">
        <v>1860</v>
      </c>
      <c r="D1699" s="524" t="s">
        <v>397</v>
      </c>
      <c r="E1699" s="606">
        <v>2</v>
      </c>
      <c r="F1699" s="526" t="s">
        <v>1861</v>
      </c>
      <c r="G1699" s="252">
        <f t="shared" si="25"/>
        <v>0.32</v>
      </c>
    </row>
    <row r="1700" spans="1:7" x14ac:dyDescent="0.3">
      <c r="A1700" s="524" t="s">
        <v>508</v>
      </c>
      <c r="B1700" s="524" t="s">
        <v>1862</v>
      </c>
      <c r="C1700" s="525" t="s">
        <v>1863</v>
      </c>
      <c r="D1700" s="524" t="s">
        <v>1458</v>
      </c>
      <c r="E1700" s="524" t="s">
        <v>1864</v>
      </c>
      <c r="F1700" s="526" t="s">
        <v>1865</v>
      </c>
      <c r="G1700" s="252">
        <f t="shared" si="25"/>
        <v>0.24</v>
      </c>
    </row>
    <row r="1701" spans="1:7" ht="28.8" x14ac:dyDescent="0.3">
      <c r="A1701" s="524" t="s">
        <v>508</v>
      </c>
      <c r="B1701" s="524" t="s">
        <v>1866</v>
      </c>
      <c r="C1701" s="525" t="s">
        <v>1867</v>
      </c>
      <c r="D1701" s="524" t="s">
        <v>426</v>
      </c>
      <c r="E1701" s="524" t="s">
        <v>1868</v>
      </c>
      <c r="F1701" s="526" t="s">
        <v>1869</v>
      </c>
      <c r="G1701" s="252">
        <f t="shared" si="25"/>
        <v>0.68</v>
      </c>
    </row>
    <row r="1702" spans="1:7" x14ac:dyDescent="0.3">
      <c r="A1702" s="524" t="s">
        <v>522</v>
      </c>
      <c r="B1702" s="524" t="s">
        <v>1870</v>
      </c>
      <c r="C1702" s="525" t="s">
        <v>1871</v>
      </c>
      <c r="D1702" s="524" t="s">
        <v>32</v>
      </c>
      <c r="E1702" s="607">
        <v>0.3</v>
      </c>
      <c r="F1702" s="526" t="s">
        <v>1872</v>
      </c>
      <c r="G1702" s="252">
        <f t="shared" si="25"/>
        <v>3.84</v>
      </c>
    </row>
    <row r="1703" spans="1:7" x14ac:dyDescent="0.3">
      <c r="A1703" s="524" t="s">
        <v>522</v>
      </c>
      <c r="B1703" s="524" t="s">
        <v>1359</v>
      </c>
      <c r="C1703" s="525" t="s">
        <v>801</v>
      </c>
      <c r="D1703" s="524" t="s">
        <v>32</v>
      </c>
      <c r="E1703" s="607">
        <v>0.3</v>
      </c>
      <c r="F1703" s="526" t="s">
        <v>1361</v>
      </c>
      <c r="G1703" s="252">
        <f t="shared" si="25"/>
        <v>4.3099999999999996</v>
      </c>
    </row>
    <row r="1704" spans="1:7" x14ac:dyDescent="0.3">
      <c r="A1704" s="680" t="s">
        <v>1152</v>
      </c>
      <c r="B1704" s="681"/>
      <c r="C1704" s="681"/>
      <c r="D1704" s="681"/>
      <c r="E1704" s="681"/>
      <c r="F1704" s="682"/>
      <c r="G1704" s="527">
        <f>SUM(G1691:G1703)</f>
        <v>49.239999999999995</v>
      </c>
    </row>
    <row r="1705" spans="1:7" x14ac:dyDescent="0.3">
      <c r="A1705" s="683">
        <f>TRUNC(E1705*F1705,2)</f>
        <v>0</v>
      </c>
      <c r="B1705" s="684"/>
      <c r="C1705" s="684"/>
      <c r="D1705" s="684"/>
      <c r="E1705" s="684"/>
      <c r="F1705" s="684"/>
      <c r="G1705" s="685"/>
    </row>
    <row r="1706" spans="1:7" x14ac:dyDescent="0.3">
      <c r="A1706" s="529" t="s">
        <v>20</v>
      </c>
      <c r="B1706" s="529"/>
      <c r="C1706" s="530" t="s">
        <v>37</v>
      </c>
      <c r="D1706" s="529"/>
      <c r="E1706" s="252"/>
      <c r="F1706" s="531"/>
      <c r="G1706" s="252">
        <f t="shared" si="25"/>
        <v>0</v>
      </c>
    </row>
    <row r="1707" spans="1:7" ht="28.8" x14ac:dyDescent="0.3">
      <c r="A1707" s="529" t="s">
        <v>22</v>
      </c>
      <c r="B1707" s="529">
        <v>97622</v>
      </c>
      <c r="C1707" s="530" t="s">
        <v>303</v>
      </c>
      <c r="D1707" s="529" t="s">
        <v>41</v>
      </c>
      <c r="E1707" s="252"/>
      <c r="F1707" s="531">
        <v>37.39</v>
      </c>
      <c r="G1707" s="252">
        <f t="shared" si="25"/>
        <v>0</v>
      </c>
    </row>
    <row r="1708" spans="1:7" x14ac:dyDescent="0.3">
      <c r="A1708" s="524" t="s">
        <v>522</v>
      </c>
      <c r="B1708" s="524" t="s">
        <v>1362</v>
      </c>
      <c r="C1708" s="525" t="s">
        <v>1363</v>
      </c>
      <c r="D1708" s="524" t="s">
        <v>32</v>
      </c>
      <c r="E1708" s="524" t="s">
        <v>1374</v>
      </c>
      <c r="F1708" s="528" t="s">
        <v>1365</v>
      </c>
      <c r="G1708" s="252">
        <f t="shared" si="25"/>
        <v>3.99</v>
      </c>
    </row>
    <row r="1709" spans="1:7" x14ac:dyDescent="0.3">
      <c r="A1709" s="524" t="s">
        <v>522</v>
      </c>
      <c r="B1709" s="524" t="s">
        <v>1359</v>
      </c>
      <c r="C1709" s="525" t="s">
        <v>801</v>
      </c>
      <c r="D1709" s="524" t="s">
        <v>32</v>
      </c>
      <c r="E1709" s="524" t="s">
        <v>1375</v>
      </c>
      <c r="F1709" s="528" t="s">
        <v>1361</v>
      </c>
      <c r="G1709" s="252">
        <f t="shared" si="25"/>
        <v>33.4</v>
      </c>
    </row>
    <row r="1710" spans="1:7" x14ac:dyDescent="0.3">
      <c r="A1710" s="680" t="s">
        <v>1152</v>
      </c>
      <c r="B1710" s="681"/>
      <c r="C1710" s="681"/>
      <c r="D1710" s="681"/>
      <c r="E1710" s="681"/>
      <c r="F1710" s="682"/>
      <c r="G1710" s="527">
        <f>SUM(G1706:G1709)</f>
        <v>37.39</v>
      </c>
    </row>
    <row r="1711" spans="1:7" x14ac:dyDescent="0.3">
      <c r="A1711" s="683">
        <f>TRUNC(E1711*F1711,2)</f>
        <v>0</v>
      </c>
      <c r="B1711" s="684"/>
      <c r="C1711" s="684"/>
      <c r="D1711" s="684"/>
      <c r="E1711" s="684"/>
      <c r="F1711" s="684"/>
      <c r="G1711" s="685"/>
    </row>
    <row r="1712" spans="1:7" x14ac:dyDescent="0.3">
      <c r="A1712" s="529" t="s">
        <v>25</v>
      </c>
      <c r="B1712" s="529">
        <v>97644</v>
      </c>
      <c r="C1712" s="530" t="s">
        <v>43</v>
      </c>
      <c r="D1712" s="529" t="s">
        <v>24</v>
      </c>
      <c r="E1712" s="252"/>
      <c r="F1712" s="531">
        <v>6.04</v>
      </c>
      <c r="G1712" s="252">
        <f t="shared" si="25"/>
        <v>0</v>
      </c>
    </row>
    <row r="1713" spans="1:7" x14ac:dyDescent="0.3">
      <c r="A1713" s="524" t="s">
        <v>522</v>
      </c>
      <c r="B1713" s="524" t="s">
        <v>1362</v>
      </c>
      <c r="C1713" s="525" t="s">
        <v>1363</v>
      </c>
      <c r="D1713" s="524" t="s">
        <v>32</v>
      </c>
      <c r="E1713" s="524" t="s">
        <v>1364</v>
      </c>
      <c r="F1713" s="528" t="s">
        <v>1365</v>
      </c>
      <c r="G1713" s="252">
        <f t="shared" si="25"/>
        <v>2.33</v>
      </c>
    </row>
    <row r="1714" spans="1:7" x14ac:dyDescent="0.3">
      <c r="A1714" s="524" t="s">
        <v>522</v>
      </c>
      <c r="B1714" s="524" t="s">
        <v>1359</v>
      </c>
      <c r="C1714" s="525" t="s">
        <v>801</v>
      </c>
      <c r="D1714" s="524" t="s">
        <v>32</v>
      </c>
      <c r="E1714" s="524" t="s">
        <v>1366</v>
      </c>
      <c r="F1714" s="528" t="s">
        <v>1361</v>
      </c>
      <c r="G1714" s="252">
        <f t="shared" si="25"/>
        <v>3.71</v>
      </c>
    </row>
    <row r="1715" spans="1:7" x14ac:dyDescent="0.3">
      <c r="A1715" s="680" t="s">
        <v>1152</v>
      </c>
      <c r="B1715" s="681"/>
      <c r="C1715" s="681"/>
      <c r="D1715" s="681"/>
      <c r="E1715" s="681"/>
      <c r="F1715" s="682"/>
      <c r="G1715" s="527">
        <f>SUM(G1712:G1714)</f>
        <v>6.04</v>
      </c>
    </row>
    <row r="1716" spans="1:7" x14ac:dyDescent="0.3">
      <c r="A1716" s="683">
        <f>TRUNC(E1716*F1716,2)</f>
        <v>0</v>
      </c>
      <c r="B1716" s="684"/>
      <c r="C1716" s="684"/>
      <c r="D1716" s="684"/>
      <c r="E1716" s="684"/>
      <c r="F1716" s="684"/>
      <c r="G1716" s="685"/>
    </row>
    <row r="1717" spans="1:7" x14ac:dyDescent="0.3">
      <c r="A1717" s="529" t="s">
        <v>216</v>
      </c>
      <c r="B1717" s="529" t="s">
        <v>39</v>
      </c>
      <c r="C1717" s="530" t="s">
        <v>40</v>
      </c>
      <c r="D1717" s="529" t="s">
        <v>41</v>
      </c>
      <c r="E1717" s="252"/>
      <c r="F1717" s="531">
        <v>209.74</v>
      </c>
      <c r="G1717" s="252">
        <f t="shared" si="25"/>
        <v>0</v>
      </c>
    </row>
    <row r="1718" spans="1:7" x14ac:dyDescent="0.3">
      <c r="A1718" s="524" t="s">
        <v>522</v>
      </c>
      <c r="B1718" s="524" t="s">
        <v>1362</v>
      </c>
      <c r="C1718" s="525" t="s">
        <v>1363</v>
      </c>
      <c r="D1718" s="524" t="s">
        <v>32</v>
      </c>
      <c r="E1718" s="603">
        <v>1.3</v>
      </c>
      <c r="F1718" s="528">
        <v>17.64</v>
      </c>
      <c r="G1718" s="252">
        <f t="shared" si="25"/>
        <v>22.93</v>
      </c>
    </row>
    <row r="1719" spans="1:7" x14ac:dyDescent="0.3">
      <c r="A1719" s="524" t="s">
        <v>522</v>
      </c>
      <c r="B1719" s="524" t="s">
        <v>1359</v>
      </c>
      <c r="C1719" s="525" t="s">
        <v>801</v>
      </c>
      <c r="D1719" s="524" t="s">
        <v>32</v>
      </c>
      <c r="E1719" s="603">
        <v>13</v>
      </c>
      <c r="F1719" s="528">
        <v>14.37</v>
      </c>
      <c r="G1719" s="252">
        <f t="shared" si="25"/>
        <v>186.81</v>
      </c>
    </row>
    <row r="1720" spans="1:7" x14ac:dyDescent="0.3">
      <c r="A1720" s="680" t="s">
        <v>1152</v>
      </c>
      <c r="B1720" s="681"/>
      <c r="C1720" s="681"/>
      <c r="D1720" s="681"/>
      <c r="E1720" s="681"/>
      <c r="F1720" s="682"/>
      <c r="G1720" s="527">
        <f>SUM(G1716:G1719)</f>
        <v>209.74</v>
      </c>
    </row>
    <row r="1721" spans="1:7" x14ac:dyDescent="0.3">
      <c r="A1721" s="683">
        <f>TRUNC(E1721*F1721,2)</f>
        <v>0</v>
      </c>
      <c r="B1721" s="684"/>
      <c r="C1721" s="684"/>
      <c r="D1721" s="684"/>
      <c r="E1721" s="684"/>
      <c r="F1721" s="684"/>
      <c r="G1721" s="685"/>
    </row>
    <row r="1722" spans="1:7" x14ac:dyDescent="0.3">
      <c r="A1722" s="529" t="s">
        <v>217</v>
      </c>
      <c r="B1722" s="529">
        <v>97663</v>
      </c>
      <c r="C1722" s="530" t="s">
        <v>45</v>
      </c>
      <c r="D1722" s="529" t="s">
        <v>44</v>
      </c>
      <c r="E1722" s="252"/>
      <c r="F1722" s="531">
        <v>8.07</v>
      </c>
      <c r="G1722" s="252">
        <f t="shared" si="25"/>
        <v>0</v>
      </c>
    </row>
    <row r="1723" spans="1:7" x14ac:dyDescent="0.3">
      <c r="A1723" s="524" t="s">
        <v>522</v>
      </c>
      <c r="B1723" s="524" t="s">
        <v>1367</v>
      </c>
      <c r="C1723" s="525" t="s">
        <v>1368</v>
      </c>
      <c r="D1723" s="524" t="s">
        <v>32</v>
      </c>
      <c r="E1723" s="524" t="s">
        <v>1369</v>
      </c>
      <c r="F1723" s="528" t="s">
        <v>1370</v>
      </c>
      <c r="G1723" s="252">
        <f t="shared" si="25"/>
        <v>3.12</v>
      </c>
    </row>
    <row r="1724" spans="1:7" x14ac:dyDescent="0.3">
      <c r="A1724" s="524" t="s">
        <v>522</v>
      </c>
      <c r="B1724" s="524" t="s">
        <v>1359</v>
      </c>
      <c r="C1724" s="525" t="s">
        <v>801</v>
      </c>
      <c r="D1724" s="524" t="s">
        <v>32</v>
      </c>
      <c r="E1724" s="524" t="s">
        <v>1371</v>
      </c>
      <c r="F1724" s="528" t="s">
        <v>1361</v>
      </c>
      <c r="G1724" s="252">
        <f t="shared" si="25"/>
        <v>4.95</v>
      </c>
    </row>
    <row r="1725" spans="1:7" x14ac:dyDescent="0.3">
      <c r="A1725" s="680" t="s">
        <v>1152</v>
      </c>
      <c r="B1725" s="681"/>
      <c r="C1725" s="681"/>
      <c r="D1725" s="681"/>
      <c r="E1725" s="681"/>
      <c r="F1725" s="682"/>
      <c r="G1725" s="527">
        <f>SUM(G1722:G1724)</f>
        <v>8.07</v>
      </c>
    </row>
    <row r="1726" spans="1:7" x14ac:dyDescent="0.3">
      <c r="A1726" s="683">
        <f>TRUNC(E1726*F1726,2)</f>
        <v>0</v>
      </c>
      <c r="B1726" s="684"/>
      <c r="C1726" s="684"/>
      <c r="D1726" s="684"/>
      <c r="E1726" s="684"/>
      <c r="F1726" s="684"/>
      <c r="G1726" s="685"/>
    </row>
    <row r="1727" spans="1:7" ht="28.8" x14ac:dyDescent="0.3">
      <c r="A1727" s="529" t="s">
        <v>218</v>
      </c>
      <c r="B1727" s="529">
        <v>97666</v>
      </c>
      <c r="C1727" s="530" t="s">
        <v>46</v>
      </c>
      <c r="D1727" s="529" t="s">
        <v>44</v>
      </c>
      <c r="E1727" s="252"/>
      <c r="F1727" s="531">
        <v>5.88</v>
      </c>
      <c r="G1727" s="252">
        <f t="shared" si="25"/>
        <v>0</v>
      </c>
    </row>
    <row r="1728" spans="1:7" x14ac:dyDescent="0.3">
      <c r="A1728" s="524" t="s">
        <v>522</v>
      </c>
      <c r="B1728" s="524" t="s">
        <v>1367</v>
      </c>
      <c r="C1728" s="525" t="s">
        <v>1368</v>
      </c>
      <c r="D1728" s="524" t="s">
        <v>32</v>
      </c>
      <c r="E1728" s="524" t="s">
        <v>1372</v>
      </c>
      <c r="F1728" s="528" t="s">
        <v>1370</v>
      </c>
      <c r="G1728" s="252">
        <f t="shared" si="25"/>
        <v>2.27</v>
      </c>
    </row>
    <row r="1729" spans="1:7" x14ac:dyDescent="0.3">
      <c r="A1729" s="524" t="s">
        <v>522</v>
      </c>
      <c r="B1729" s="524" t="s">
        <v>1359</v>
      </c>
      <c r="C1729" s="525" t="s">
        <v>801</v>
      </c>
      <c r="D1729" s="524" t="s">
        <v>32</v>
      </c>
      <c r="E1729" s="524" t="s">
        <v>1373</v>
      </c>
      <c r="F1729" s="528" t="s">
        <v>1361</v>
      </c>
      <c r="G1729" s="252">
        <f t="shared" si="25"/>
        <v>3.61</v>
      </c>
    </row>
    <row r="1730" spans="1:7" x14ac:dyDescent="0.3">
      <c r="A1730" s="680" t="s">
        <v>1152</v>
      </c>
      <c r="B1730" s="681"/>
      <c r="C1730" s="681"/>
      <c r="D1730" s="681"/>
      <c r="E1730" s="681"/>
      <c r="F1730" s="682"/>
      <c r="G1730" s="527">
        <f>SUM(G1726:G1729)</f>
        <v>5.88</v>
      </c>
    </row>
    <row r="1731" spans="1:7" x14ac:dyDescent="0.3">
      <c r="A1731" s="683">
        <f>TRUNC(E1731*F1731,2)</f>
        <v>0</v>
      </c>
      <c r="B1731" s="684"/>
      <c r="C1731" s="684"/>
      <c r="D1731" s="684"/>
      <c r="E1731" s="684"/>
      <c r="F1731" s="684"/>
      <c r="G1731" s="685"/>
    </row>
    <row r="1732" spans="1:7" x14ac:dyDescent="0.3">
      <c r="A1732" s="529" t="s">
        <v>219</v>
      </c>
      <c r="B1732" s="529" t="s">
        <v>48</v>
      </c>
      <c r="C1732" s="530" t="s">
        <v>49</v>
      </c>
      <c r="D1732" s="529" t="s">
        <v>24</v>
      </c>
      <c r="E1732" s="252"/>
      <c r="F1732" s="531">
        <v>16.2</v>
      </c>
      <c r="G1732" s="252">
        <f t="shared" si="25"/>
        <v>0</v>
      </c>
    </row>
    <row r="1733" spans="1:7" x14ac:dyDescent="0.3">
      <c r="A1733" s="524" t="s">
        <v>522</v>
      </c>
      <c r="B1733" s="524" t="s">
        <v>1362</v>
      </c>
      <c r="C1733" s="525" t="s">
        <v>1363</v>
      </c>
      <c r="D1733" s="524" t="s">
        <v>32</v>
      </c>
      <c r="E1733" s="605">
        <v>0.5</v>
      </c>
      <c r="F1733" s="528" t="s">
        <v>1365</v>
      </c>
      <c r="G1733" s="252">
        <f t="shared" si="25"/>
        <v>8.8800000000000008</v>
      </c>
    </row>
    <row r="1734" spans="1:7" x14ac:dyDescent="0.3">
      <c r="A1734" s="524" t="s">
        <v>522</v>
      </c>
      <c r="B1734" s="524" t="s">
        <v>1359</v>
      </c>
      <c r="C1734" s="525" t="s">
        <v>801</v>
      </c>
      <c r="D1734" s="524" t="s">
        <v>32</v>
      </c>
      <c r="E1734" s="605">
        <v>0.51</v>
      </c>
      <c r="F1734" s="528" t="s">
        <v>1361</v>
      </c>
      <c r="G1734" s="252">
        <f t="shared" si="25"/>
        <v>7.32</v>
      </c>
    </row>
    <row r="1735" spans="1:7" x14ac:dyDescent="0.3">
      <c r="A1735" s="680" t="s">
        <v>1152</v>
      </c>
      <c r="B1735" s="681"/>
      <c r="C1735" s="681"/>
      <c r="D1735" s="681"/>
      <c r="E1735" s="681"/>
      <c r="F1735" s="682"/>
      <c r="G1735" s="527">
        <f>SUM(G1732:G1734)</f>
        <v>16.200000000000003</v>
      </c>
    </row>
    <row r="1736" spans="1:7" x14ac:dyDescent="0.3">
      <c r="A1736" s="683">
        <f>TRUNC(E1736*F1736,2)</f>
        <v>0</v>
      </c>
      <c r="B1736" s="684"/>
      <c r="C1736" s="684"/>
      <c r="D1736" s="684"/>
      <c r="E1736" s="684"/>
      <c r="F1736" s="684"/>
      <c r="G1736" s="685"/>
    </row>
    <row r="1737" spans="1:7" ht="28.8" x14ac:dyDescent="0.3">
      <c r="A1737" s="529" t="s">
        <v>220</v>
      </c>
      <c r="B1737" s="529">
        <v>97633</v>
      </c>
      <c r="C1737" s="530" t="s">
        <v>42</v>
      </c>
      <c r="D1737" s="529" t="s">
        <v>24</v>
      </c>
      <c r="E1737" s="252"/>
      <c r="F1737" s="531">
        <v>14.85</v>
      </c>
      <c r="G1737" s="252">
        <f t="shared" si="25"/>
        <v>0</v>
      </c>
    </row>
    <row r="1738" spans="1:7" x14ac:dyDescent="0.3">
      <c r="A1738" s="524" t="s">
        <v>522</v>
      </c>
      <c r="B1738" s="524" t="s">
        <v>1355</v>
      </c>
      <c r="C1738" s="525" t="s">
        <v>1356</v>
      </c>
      <c r="D1738" s="524" t="s">
        <v>32</v>
      </c>
      <c r="E1738" s="524" t="s">
        <v>1357</v>
      </c>
      <c r="F1738" s="528" t="s">
        <v>1358</v>
      </c>
      <c r="G1738" s="252">
        <f t="shared" si="25"/>
        <v>4.5199999999999996</v>
      </c>
    </row>
    <row r="1739" spans="1:7" x14ac:dyDescent="0.3">
      <c r="A1739" s="524" t="s">
        <v>522</v>
      </c>
      <c r="B1739" s="524" t="s">
        <v>1359</v>
      </c>
      <c r="C1739" s="525" t="s">
        <v>801</v>
      </c>
      <c r="D1739" s="524" t="s">
        <v>32</v>
      </c>
      <c r="E1739" s="524" t="s">
        <v>1360</v>
      </c>
      <c r="F1739" s="528" t="s">
        <v>1361</v>
      </c>
      <c r="G1739" s="252">
        <f t="shared" si="25"/>
        <v>10.33</v>
      </c>
    </row>
    <row r="1740" spans="1:7" x14ac:dyDescent="0.3">
      <c r="A1740" s="680" t="s">
        <v>1152</v>
      </c>
      <c r="B1740" s="681"/>
      <c r="C1740" s="681"/>
      <c r="D1740" s="681"/>
      <c r="E1740" s="681"/>
      <c r="F1740" s="682"/>
      <c r="G1740" s="527">
        <f>SUM(G1737:G1739)</f>
        <v>14.85</v>
      </c>
    </row>
    <row r="1741" spans="1:7" x14ac:dyDescent="0.3">
      <c r="A1741" s="683">
        <f>TRUNC(E1741*F1741,2)</f>
        <v>0</v>
      </c>
      <c r="B1741" s="684"/>
      <c r="C1741" s="684"/>
      <c r="D1741" s="684"/>
      <c r="E1741" s="684"/>
      <c r="F1741" s="684"/>
      <c r="G1741" s="685"/>
    </row>
    <row r="1742" spans="1:7" x14ac:dyDescent="0.3">
      <c r="A1742" s="529" t="s">
        <v>60</v>
      </c>
      <c r="B1742" s="529"/>
      <c r="C1742" s="530" t="s">
        <v>221</v>
      </c>
      <c r="D1742" s="529"/>
      <c r="E1742" s="252"/>
      <c r="F1742" s="531"/>
      <c r="G1742" s="252">
        <f t="shared" si="25"/>
        <v>0</v>
      </c>
    </row>
    <row r="1743" spans="1:7" ht="43.2" x14ac:dyDescent="0.3">
      <c r="A1743" s="529" t="s">
        <v>64</v>
      </c>
      <c r="B1743" s="529">
        <v>87471</v>
      </c>
      <c r="C1743" s="530" t="s">
        <v>306</v>
      </c>
      <c r="D1743" s="529" t="s">
        <v>24</v>
      </c>
      <c r="E1743" s="252"/>
      <c r="F1743" s="531">
        <v>40.9</v>
      </c>
      <c r="G1743" s="252">
        <f t="shared" si="25"/>
        <v>0</v>
      </c>
    </row>
    <row r="1744" spans="1:7" ht="28.8" x14ac:dyDescent="0.3">
      <c r="A1744" s="524" t="s">
        <v>508</v>
      </c>
      <c r="B1744" s="524" t="s">
        <v>1453</v>
      </c>
      <c r="C1744" s="525" t="s">
        <v>1454</v>
      </c>
      <c r="D1744" s="524" t="s">
        <v>55</v>
      </c>
      <c r="E1744" s="524" t="s">
        <v>2023</v>
      </c>
      <c r="F1744" s="526" t="s">
        <v>1455</v>
      </c>
      <c r="G1744" s="252">
        <f t="shared" ref="G1744:G1749" si="34">TRUNC(E1744*F1744,2)</f>
        <v>1.6</v>
      </c>
    </row>
    <row r="1745" spans="1:8" x14ac:dyDescent="0.3">
      <c r="A1745" s="524" t="s">
        <v>508</v>
      </c>
      <c r="B1745" s="524" t="s">
        <v>1456</v>
      </c>
      <c r="C1745" s="525" t="s">
        <v>1457</v>
      </c>
      <c r="D1745" s="524" t="s">
        <v>1458</v>
      </c>
      <c r="E1745" s="524" t="s">
        <v>2024</v>
      </c>
      <c r="F1745" s="526" t="s">
        <v>1459</v>
      </c>
      <c r="G1745" s="252">
        <f t="shared" si="34"/>
        <v>0.32</v>
      </c>
    </row>
    <row r="1746" spans="1:8" ht="28.8" x14ac:dyDescent="0.3">
      <c r="A1746" s="524" t="s">
        <v>508</v>
      </c>
      <c r="B1746" s="524" t="s">
        <v>1460</v>
      </c>
      <c r="C1746" s="525" t="s">
        <v>1461</v>
      </c>
      <c r="D1746" s="524" t="s">
        <v>397</v>
      </c>
      <c r="E1746" s="524" t="s">
        <v>1462</v>
      </c>
      <c r="F1746" s="526" t="s">
        <v>1463</v>
      </c>
      <c r="G1746" s="252">
        <f t="shared" si="34"/>
        <v>24.29</v>
      </c>
    </row>
    <row r="1747" spans="1:8" ht="43.2" x14ac:dyDescent="0.3">
      <c r="A1747" s="524" t="s">
        <v>522</v>
      </c>
      <c r="B1747" s="524" t="s">
        <v>1464</v>
      </c>
      <c r="C1747" s="525" t="s">
        <v>1465</v>
      </c>
      <c r="D1747" s="524" t="s">
        <v>41</v>
      </c>
      <c r="E1747" s="524" t="s">
        <v>1466</v>
      </c>
      <c r="F1747" s="526" t="s">
        <v>1467</v>
      </c>
      <c r="G1747" s="252">
        <f t="shared" si="34"/>
        <v>3.62</v>
      </c>
    </row>
    <row r="1748" spans="1:8" x14ac:dyDescent="0.3">
      <c r="A1748" s="524" t="s">
        <v>522</v>
      </c>
      <c r="B1748" s="524" t="s">
        <v>1362</v>
      </c>
      <c r="C1748" s="525" t="s">
        <v>1363</v>
      </c>
      <c r="D1748" s="524" t="s">
        <v>32</v>
      </c>
      <c r="E1748" s="606">
        <v>0.46200000000000002</v>
      </c>
      <c r="F1748" s="526" t="s">
        <v>1365</v>
      </c>
      <c r="G1748" s="252">
        <f t="shared" si="34"/>
        <v>8.1999999999999993</v>
      </c>
    </row>
    <row r="1749" spans="1:8" x14ac:dyDescent="0.3">
      <c r="A1749" s="524" t="s">
        <v>522</v>
      </c>
      <c r="B1749" s="524" t="s">
        <v>1359</v>
      </c>
      <c r="C1749" s="525" t="s">
        <v>801</v>
      </c>
      <c r="D1749" s="524" t="s">
        <v>32</v>
      </c>
      <c r="E1749" s="606">
        <v>0.2</v>
      </c>
      <c r="F1749" s="526" t="s">
        <v>1361</v>
      </c>
      <c r="G1749" s="252">
        <f t="shared" si="34"/>
        <v>2.87</v>
      </c>
      <c r="H1749" s="120">
        <f>TRUNC(E1743*F1743,2)</f>
        <v>0</v>
      </c>
    </row>
    <row r="1750" spans="1:8" x14ac:dyDescent="0.3">
      <c r="A1750" s="680" t="s">
        <v>1152</v>
      </c>
      <c r="B1750" s="681"/>
      <c r="C1750" s="681"/>
      <c r="D1750" s="681"/>
      <c r="E1750" s="681"/>
      <c r="F1750" s="682"/>
      <c r="G1750" s="527">
        <f>SUM(G1742:G1749)</f>
        <v>40.9</v>
      </c>
    </row>
    <row r="1751" spans="1:8" x14ac:dyDescent="0.3">
      <c r="A1751" s="683">
        <f>TRUNC(E1751*F1751,2)</f>
        <v>0</v>
      </c>
      <c r="B1751" s="684"/>
      <c r="C1751" s="684"/>
      <c r="D1751" s="684"/>
      <c r="E1751" s="684"/>
      <c r="F1751" s="684"/>
      <c r="G1751" s="685"/>
    </row>
    <row r="1752" spans="1:8" ht="43.2" x14ac:dyDescent="0.3">
      <c r="A1752" s="529" t="s">
        <v>69</v>
      </c>
      <c r="B1752" s="529">
        <v>96359</v>
      </c>
      <c r="C1752" s="530" t="s">
        <v>223</v>
      </c>
      <c r="D1752" s="529" t="s">
        <v>24</v>
      </c>
      <c r="E1752" s="252"/>
      <c r="F1752" s="531">
        <v>79.260000000000005</v>
      </c>
      <c r="G1752" s="252">
        <f t="shared" si="25"/>
        <v>0</v>
      </c>
    </row>
    <row r="1753" spans="1:8" ht="28.8" x14ac:dyDescent="0.3">
      <c r="A1753" s="524" t="s">
        <v>508</v>
      </c>
      <c r="B1753" s="524" t="s">
        <v>1942</v>
      </c>
      <c r="C1753" s="525" t="s">
        <v>1943</v>
      </c>
      <c r="D1753" s="524" t="s">
        <v>1458</v>
      </c>
      <c r="E1753" s="524" t="s">
        <v>1944</v>
      </c>
      <c r="F1753" s="528" t="s">
        <v>1945</v>
      </c>
      <c r="G1753" s="252">
        <f t="shared" ref="G1753:G1763" si="35">TRUNC(E1753*F1753,2)</f>
        <v>1.1499999999999999</v>
      </c>
    </row>
    <row r="1754" spans="1:8" ht="28.8" x14ac:dyDescent="0.3">
      <c r="A1754" s="524" t="s">
        <v>508</v>
      </c>
      <c r="B1754" s="524" t="s">
        <v>1843</v>
      </c>
      <c r="C1754" s="525" t="s">
        <v>1844</v>
      </c>
      <c r="D1754" s="524" t="s">
        <v>24</v>
      </c>
      <c r="E1754" s="611">
        <v>2</v>
      </c>
      <c r="F1754" s="528" t="s">
        <v>1845</v>
      </c>
      <c r="G1754" s="252">
        <f t="shared" si="35"/>
        <v>39.94</v>
      </c>
    </row>
    <row r="1755" spans="1:8" ht="28.8" x14ac:dyDescent="0.3">
      <c r="A1755" s="524" t="s">
        <v>508</v>
      </c>
      <c r="B1755" s="524" t="s">
        <v>1946</v>
      </c>
      <c r="C1755" s="525" t="s">
        <v>1947</v>
      </c>
      <c r="D1755" s="524" t="s">
        <v>55</v>
      </c>
      <c r="E1755" s="524" t="s">
        <v>1948</v>
      </c>
      <c r="F1755" s="528" t="s">
        <v>1949</v>
      </c>
      <c r="G1755" s="252">
        <f t="shared" si="35"/>
        <v>4.8600000000000003</v>
      </c>
    </row>
    <row r="1756" spans="1:8" ht="28.8" x14ac:dyDescent="0.3">
      <c r="A1756" s="524" t="s">
        <v>508</v>
      </c>
      <c r="B1756" s="524" t="s">
        <v>1950</v>
      </c>
      <c r="C1756" s="525" t="s">
        <v>1951</v>
      </c>
      <c r="D1756" s="524" t="s">
        <v>55</v>
      </c>
      <c r="E1756" s="607">
        <v>2.5</v>
      </c>
      <c r="F1756" s="528" t="s">
        <v>1952</v>
      </c>
      <c r="G1756" s="252">
        <f t="shared" si="35"/>
        <v>15.17</v>
      </c>
    </row>
    <row r="1757" spans="1:8" ht="28.8" x14ac:dyDescent="0.3">
      <c r="A1757" s="524" t="s">
        <v>508</v>
      </c>
      <c r="B1757" s="524" t="s">
        <v>1953</v>
      </c>
      <c r="C1757" s="525" t="s">
        <v>1954</v>
      </c>
      <c r="D1757" s="524" t="s">
        <v>55</v>
      </c>
      <c r="E1757" s="607">
        <v>2.5</v>
      </c>
      <c r="F1757" s="528" t="s">
        <v>1955</v>
      </c>
      <c r="G1757" s="252">
        <f t="shared" si="35"/>
        <v>0.56999999999999995</v>
      </c>
    </row>
    <row r="1758" spans="1:8" ht="28.8" x14ac:dyDescent="0.3">
      <c r="A1758" s="524" t="s">
        <v>508</v>
      </c>
      <c r="B1758" s="524" t="s">
        <v>1852</v>
      </c>
      <c r="C1758" s="525" t="s">
        <v>1853</v>
      </c>
      <c r="D1758" s="524" t="s">
        <v>55</v>
      </c>
      <c r="E1758" s="607">
        <v>0.75</v>
      </c>
      <c r="F1758" s="528" t="s">
        <v>1854</v>
      </c>
      <c r="G1758" s="252">
        <f t="shared" si="35"/>
        <v>2.2200000000000002</v>
      </c>
    </row>
    <row r="1759" spans="1:8" ht="28.8" x14ac:dyDescent="0.3">
      <c r="A1759" s="524" t="s">
        <v>508</v>
      </c>
      <c r="B1759" s="524" t="s">
        <v>1855</v>
      </c>
      <c r="C1759" s="525" t="s">
        <v>1856</v>
      </c>
      <c r="D1759" s="524" t="s">
        <v>426</v>
      </c>
      <c r="E1759" s="607">
        <v>1</v>
      </c>
      <c r="F1759" s="528" t="s">
        <v>1501</v>
      </c>
      <c r="G1759" s="252">
        <f t="shared" si="35"/>
        <v>3.97</v>
      </c>
    </row>
    <row r="1760" spans="1:8" ht="28.8" x14ac:dyDescent="0.3">
      <c r="A1760" s="524" t="s">
        <v>508</v>
      </c>
      <c r="B1760" s="524" t="s">
        <v>1857</v>
      </c>
      <c r="C1760" s="525" t="s">
        <v>1858</v>
      </c>
      <c r="D1760" s="524" t="s">
        <v>397</v>
      </c>
      <c r="E1760" s="607">
        <v>20</v>
      </c>
      <c r="F1760" s="528" t="s">
        <v>1327</v>
      </c>
      <c r="G1760" s="252">
        <f t="shared" si="35"/>
        <v>1.4</v>
      </c>
    </row>
    <row r="1761" spans="1:7" ht="28.8" x14ac:dyDescent="0.3">
      <c r="A1761" s="524" t="s">
        <v>508</v>
      </c>
      <c r="B1761" s="524" t="s">
        <v>1859</v>
      </c>
      <c r="C1761" s="525" t="s">
        <v>1860</v>
      </c>
      <c r="D1761" s="524" t="s">
        <v>397</v>
      </c>
      <c r="E1761" s="524" t="s">
        <v>1956</v>
      </c>
      <c r="F1761" s="528" t="s">
        <v>1861</v>
      </c>
      <c r="G1761" s="252">
        <f t="shared" si="35"/>
        <v>0.14000000000000001</v>
      </c>
    </row>
    <row r="1762" spans="1:7" x14ac:dyDescent="0.3">
      <c r="A1762" s="524" t="s">
        <v>522</v>
      </c>
      <c r="B1762" s="524" t="s">
        <v>1870</v>
      </c>
      <c r="C1762" s="525" t="s">
        <v>1871</v>
      </c>
      <c r="D1762" s="524" t="s">
        <v>32</v>
      </c>
      <c r="E1762" s="607">
        <v>0.6</v>
      </c>
      <c r="F1762" s="528" t="s">
        <v>1872</v>
      </c>
      <c r="G1762" s="252">
        <f t="shared" si="35"/>
        <v>7.69</v>
      </c>
    </row>
    <row r="1763" spans="1:7" x14ac:dyDescent="0.3">
      <c r="A1763" s="524" t="s">
        <v>522</v>
      </c>
      <c r="B1763" s="524" t="s">
        <v>1359</v>
      </c>
      <c r="C1763" s="525" t="s">
        <v>801</v>
      </c>
      <c r="D1763" s="524" t="s">
        <v>32</v>
      </c>
      <c r="E1763" s="607">
        <v>0.15</v>
      </c>
      <c r="F1763" s="528" t="s">
        <v>1361</v>
      </c>
      <c r="G1763" s="252">
        <f t="shared" si="35"/>
        <v>2.15</v>
      </c>
    </row>
    <row r="1764" spans="1:7" x14ac:dyDescent="0.3">
      <c r="A1764" s="680" t="s">
        <v>1152</v>
      </c>
      <c r="B1764" s="681"/>
      <c r="C1764" s="681"/>
      <c r="D1764" s="681"/>
      <c r="E1764" s="681"/>
      <c r="F1764" s="682"/>
      <c r="G1764" s="527">
        <f>SUM(G1752:G1763)</f>
        <v>79.260000000000005</v>
      </c>
    </row>
    <row r="1765" spans="1:7" x14ac:dyDescent="0.3">
      <c r="A1765" s="683">
        <f>TRUNC(E1765*F1765,2)</f>
        <v>0</v>
      </c>
      <c r="B1765" s="684"/>
      <c r="C1765" s="684"/>
      <c r="D1765" s="684"/>
      <c r="E1765" s="684"/>
      <c r="F1765" s="684"/>
      <c r="G1765" s="685"/>
    </row>
    <row r="1766" spans="1:7" ht="28.8" x14ac:dyDescent="0.3">
      <c r="A1766" s="529" t="s">
        <v>72</v>
      </c>
      <c r="B1766" s="529">
        <v>79627</v>
      </c>
      <c r="C1766" s="530" t="s">
        <v>222</v>
      </c>
      <c r="D1766" s="529" t="s">
        <v>24</v>
      </c>
      <c r="E1766" s="252"/>
      <c r="F1766" s="531">
        <v>658</v>
      </c>
      <c r="G1766" s="252">
        <f t="shared" si="25"/>
        <v>0</v>
      </c>
    </row>
    <row r="1767" spans="1:7" x14ac:dyDescent="0.3">
      <c r="A1767" s="524" t="s">
        <v>508</v>
      </c>
      <c r="B1767" s="524" t="s">
        <v>1873</v>
      </c>
      <c r="C1767" s="525" t="s">
        <v>1874</v>
      </c>
      <c r="D1767" s="524" t="s">
        <v>426</v>
      </c>
      <c r="E1767" s="524" t="s">
        <v>1439</v>
      </c>
      <c r="F1767" s="526" t="s">
        <v>1875</v>
      </c>
      <c r="G1767" s="252">
        <f t="shared" si="25"/>
        <v>2.0499999999999998</v>
      </c>
    </row>
    <row r="1768" spans="1:7" ht="28.8" x14ac:dyDescent="0.3">
      <c r="A1768" s="524" t="s">
        <v>508</v>
      </c>
      <c r="B1768" s="524" t="s">
        <v>1876</v>
      </c>
      <c r="C1768" s="525" t="s">
        <v>1877</v>
      </c>
      <c r="D1768" s="524" t="s">
        <v>24</v>
      </c>
      <c r="E1768" s="524" t="s">
        <v>1122</v>
      </c>
      <c r="F1768" s="526" t="s">
        <v>1878</v>
      </c>
      <c r="G1768" s="252">
        <f t="shared" si="25"/>
        <v>535.34</v>
      </c>
    </row>
    <row r="1769" spans="1:7" x14ac:dyDescent="0.3">
      <c r="A1769" s="524" t="s">
        <v>522</v>
      </c>
      <c r="B1769" s="524" t="s">
        <v>1746</v>
      </c>
      <c r="C1769" s="525" t="s">
        <v>1747</v>
      </c>
      <c r="D1769" s="524" t="s">
        <v>32</v>
      </c>
      <c r="E1769" s="524" t="s">
        <v>1879</v>
      </c>
      <c r="F1769" s="526" t="s">
        <v>1749</v>
      </c>
      <c r="G1769" s="252">
        <f t="shared" si="25"/>
        <v>86.3</v>
      </c>
    </row>
    <row r="1770" spans="1:7" x14ac:dyDescent="0.3">
      <c r="A1770" s="524" t="s">
        <v>522</v>
      </c>
      <c r="B1770" s="524" t="s">
        <v>1359</v>
      </c>
      <c r="C1770" s="525" t="s">
        <v>801</v>
      </c>
      <c r="D1770" s="524" t="s">
        <v>32</v>
      </c>
      <c r="E1770" s="524" t="s">
        <v>1880</v>
      </c>
      <c r="F1770" s="526" t="s">
        <v>1361</v>
      </c>
      <c r="G1770" s="252">
        <f t="shared" si="25"/>
        <v>33.049999999999997</v>
      </c>
    </row>
    <row r="1771" spans="1:7" ht="28.8" x14ac:dyDescent="0.3">
      <c r="A1771" s="524" t="s">
        <v>522</v>
      </c>
      <c r="B1771" s="524" t="s">
        <v>1881</v>
      </c>
      <c r="C1771" s="525" t="s">
        <v>1882</v>
      </c>
      <c r="D1771" s="524" t="s">
        <v>41</v>
      </c>
      <c r="E1771" s="524" t="s">
        <v>1883</v>
      </c>
      <c r="F1771" s="526" t="s">
        <v>1884</v>
      </c>
      <c r="G1771" s="252">
        <f t="shared" si="25"/>
        <v>1.26</v>
      </c>
    </row>
    <row r="1772" spans="1:7" x14ac:dyDescent="0.3">
      <c r="A1772" s="680" t="s">
        <v>1152</v>
      </c>
      <c r="B1772" s="681"/>
      <c r="C1772" s="681"/>
      <c r="D1772" s="681"/>
      <c r="E1772" s="681"/>
      <c r="F1772" s="682"/>
      <c r="G1772" s="527">
        <f>SUM(G1766:G1771)</f>
        <v>657.99999999999989</v>
      </c>
    </row>
    <row r="1773" spans="1:7" x14ac:dyDescent="0.3">
      <c r="A1773" s="683">
        <f>TRUNC(E1773*F1773,2)</f>
        <v>0</v>
      </c>
      <c r="B1773" s="684"/>
      <c r="C1773" s="684"/>
      <c r="D1773" s="684"/>
      <c r="E1773" s="684"/>
      <c r="F1773" s="684"/>
      <c r="G1773" s="685"/>
    </row>
    <row r="1774" spans="1:7" x14ac:dyDescent="0.3">
      <c r="A1774" s="529" t="s">
        <v>74</v>
      </c>
      <c r="B1774" s="529"/>
      <c r="C1774" s="530" t="s">
        <v>51</v>
      </c>
      <c r="D1774" s="529"/>
      <c r="E1774" s="252"/>
      <c r="F1774" s="531"/>
      <c r="G1774" s="252">
        <f t="shared" si="25"/>
        <v>0</v>
      </c>
    </row>
    <row r="1775" spans="1:7" x14ac:dyDescent="0.3">
      <c r="A1775" s="529"/>
      <c r="B1775" s="529"/>
      <c r="C1775" s="530" t="s">
        <v>52</v>
      </c>
      <c r="D1775" s="529"/>
      <c r="E1775" s="252"/>
      <c r="F1775" s="531"/>
      <c r="G1775" s="252">
        <f t="shared" si="25"/>
        <v>0</v>
      </c>
    </row>
    <row r="1776" spans="1:7" ht="57.6" x14ac:dyDescent="0.3">
      <c r="A1776" s="529" t="s">
        <v>77</v>
      </c>
      <c r="B1776" s="529">
        <v>90843</v>
      </c>
      <c r="C1776" s="530" t="s">
        <v>53</v>
      </c>
      <c r="D1776" s="529" t="s">
        <v>44</v>
      </c>
      <c r="E1776" s="252"/>
      <c r="F1776" s="531">
        <v>640</v>
      </c>
      <c r="G1776" s="252">
        <f t="shared" ref="G1776:G2172" si="36">TRUNC(E1776*F1776,2)</f>
        <v>0</v>
      </c>
    </row>
    <row r="1777" spans="1:7" ht="28.8" x14ac:dyDescent="0.3">
      <c r="A1777" s="524" t="s">
        <v>522</v>
      </c>
      <c r="B1777" s="524" t="s">
        <v>1380</v>
      </c>
      <c r="C1777" s="525" t="s">
        <v>1381</v>
      </c>
      <c r="D1777" s="524" t="s">
        <v>397</v>
      </c>
      <c r="E1777" s="524" t="s">
        <v>1122</v>
      </c>
      <c r="F1777" s="526">
        <v>200</v>
      </c>
      <c r="G1777" s="252">
        <f t="shared" si="36"/>
        <v>200</v>
      </c>
    </row>
    <row r="1778" spans="1:7" ht="43.2" x14ac:dyDescent="0.3">
      <c r="A1778" s="524" t="s">
        <v>522</v>
      </c>
      <c r="B1778" s="524" t="s">
        <v>956</v>
      </c>
      <c r="C1778" s="525" t="s">
        <v>957</v>
      </c>
      <c r="D1778" s="524" t="s">
        <v>397</v>
      </c>
      <c r="E1778" s="524" t="s">
        <v>1122</v>
      </c>
      <c r="F1778" s="526">
        <v>300</v>
      </c>
      <c r="G1778" s="252">
        <f t="shared" si="36"/>
        <v>300</v>
      </c>
    </row>
    <row r="1779" spans="1:7" ht="43.2" x14ac:dyDescent="0.3">
      <c r="A1779" s="524" t="s">
        <v>522</v>
      </c>
      <c r="B1779" s="524" t="s">
        <v>1383</v>
      </c>
      <c r="C1779" s="525" t="s">
        <v>1384</v>
      </c>
      <c r="D1779" s="524" t="s">
        <v>397</v>
      </c>
      <c r="E1779" s="524" t="s">
        <v>1122</v>
      </c>
      <c r="F1779" s="526">
        <v>90</v>
      </c>
      <c r="G1779" s="252">
        <f t="shared" si="36"/>
        <v>90</v>
      </c>
    </row>
    <row r="1780" spans="1:7" ht="28.8" x14ac:dyDescent="0.3">
      <c r="A1780" s="524" t="s">
        <v>522</v>
      </c>
      <c r="B1780" s="524" t="s">
        <v>1386</v>
      </c>
      <c r="C1780" s="525" t="s">
        <v>1387</v>
      </c>
      <c r="D1780" s="524" t="s">
        <v>55</v>
      </c>
      <c r="E1780" s="524" t="s">
        <v>1388</v>
      </c>
      <c r="F1780" s="526">
        <v>5</v>
      </c>
      <c r="G1780" s="252">
        <f t="shared" si="36"/>
        <v>50</v>
      </c>
    </row>
    <row r="1781" spans="1:7" x14ac:dyDescent="0.3">
      <c r="A1781" s="680" t="s">
        <v>1152</v>
      </c>
      <c r="B1781" s="681"/>
      <c r="C1781" s="681"/>
      <c r="D1781" s="681"/>
      <c r="E1781" s="681"/>
      <c r="F1781" s="682"/>
      <c r="G1781" s="527">
        <f>SUM(G1774:G1780)</f>
        <v>640</v>
      </c>
    </row>
    <row r="1782" spans="1:7" x14ac:dyDescent="0.3">
      <c r="A1782" s="683">
        <f>TRUNC(E1782*F1782,2)</f>
        <v>0</v>
      </c>
      <c r="B1782" s="684"/>
      <c r="C1782" s="684"/>
      <c r="D1782" s="684"/>
      <c r="E1782" s="684"/>
      <c r="F1782" s="684"/>
      <c r="G1782" s="685"/>
    </row>
    <row r="1783" spans="1:7" ht="28.8" x14ac:dyDescent="0.3">
      <c r="A1783" s="529" t="s">
        <v>83</v>
      </c>
      <c r="B1783" s="529">
        <v>91338</v>
      </c>
      <c r="C1783" s="530" t="s">
        <v>57</v>
      </c>
      <c r="D1783" s="529" t="s">
        <v>24</v>
      </c>
      <c r="E1783" s="252"/>
      <c r="F1783" s="531">
        <v>871.17</v>
      </c>
      <c r="G1783" s="252">
        <f t="shared" si="36"/>
        <v>0</v>
      </c>
    </row>
    <row r="1784" spans="1:7" ht="28.8" x14ac:dyDescent="0.3">
      <c r="A1784" s="524" t="s">
        <v>508</v>
      </c>
      <c r="B1784" s="524" t="s">
        <v>1417</v>
      </c>
      <c r="C1784" s="525" t="s">
        <v>1418</v>
      </c>
      <c r="D1784" s="524" t="s">
        <v>1419</v>
      </c>
      <c r="E1784" s="606">
        <v>0.8</v>
      </c>
      <c r="F1784" s="526">
        <v>20</v>
      </c>
      <c r="G1784" s="252">
        <f t="shared" si="36"/>
        <v>16</v>
      </c>
    </row>
    <row r="1785" spans="1:7" ht="28.8" x14ac:dyDescent="0.3">
      <c r="A1785" s="524" t="s">
        <v>508</v>
      </c>
      <c r="B1785" s="524" t="s">
        <v>1422</v>
      </c>
      <c r="C1785" s="525" t="s">
        <v>1423</v>
      </c>
      <c r="D1785" s="524" t="s">
        <v>24</v>
      </c>
      <c r="E1785" s="606">
        <v>1</v>
      </c>
      <c r="F1785" s="526">
        <v>800</v>
      </c>
      <c r="G1785" s="252">
        <f t="shared" si="36"/>
        <v>800</v>
      </c>
    </row>
    <row r="1786" spans="1:7" ht="28.8" x14ac:dyDescent="0.3">
      <c r="A1786" s="524" t="s">
        <v>508</v>
      </c>
      <c r="B1786" s="524" t="s">
        <v>1425</v>
      </c>
      <c r="C1786" s="525" t="s">
        <v>1426</v>
      </c>
      <c r="D1786" s="524" t="s">
        <v>397</v>
      </c>
      <c r="E1786" s="606">
        <v>4</v>
      </c>
      <c r="F1786" s="526" t="s">
        <v>1428</v>
      </c>
      <c r="G1786" s="252">
        <f t="shared" si="36"/>
        <v>2.2000000000000002</v>
      </c>
    </row>
    <row r="1787" spans="1:7" ht="28.8" x14ac:dyDescent="0.3">
      <c r="A1787" s="524" t="s">
        <v>508</v>
      </c>
      <c r="B1787" s="524" t="s">
        <v>1429</v>
      </c>
      <c r="C1787" s="525" t="s">
        <v>1430</v>
      </c>
      <c r="D1787" s="524" t="s">
        <v>55</v>
      </c>
      <c r="E1787" s="606">
        <v>6.5</v>
      </c>
      <c r="F1787" s="526">
        <v>7</v>
      </c>
      <c r="G1787" s="252">
        <f t="shared" si="36"/>
        <v>45.5</v>
      </c>
    </row>
    <row r="1788" spans="1:7" x14ac:dyDescent="0.3">
      <c r="A1788" s="524" t="s">
        <v>522</v>
      </c>
      <c r="B1788" s="524" t="s">
        <v>1362</v>
      </c>
      <c r="C1788" s="525" t="s">
        <v>1363</v>
      </c>
      <c r="D1788" s="524" t="s">
        <v>32</v>
      </c>
      <c r="E1788" s="606">
        <v>0.3</v>
      </c>
      <c r="F1788" s="526" t="s">
        <v>1365</v>
      </c>
      <c r="G1788" s="252">
        <f t="shared" si="36"/>
        <v>5.32</v>
      </c>
    </row>
    <row r="1789" spans="1:7" x14ac:dyDescent="0.3">
      <c r="A1789" s="524" t="s">
        <v>522</v>
      </c>
      <c r="B1789" s="524" t="s">
        <v>1359</v>
      </c>
      <c r="C1789" s="525" t="s">
        <v>801</v>
      </c>
      <c r="D1789" s="524" t="s">
        <v>32</v>
      </c>
      <c r="E1789" s="606">
        <v>0.15</v>
      </c>
      <c r="F1789" s="526" t="s">
        <v>1361</v>
      </c>
      <c r="G1789" s="252">
        <f t="shared" si="36"/>
        <v>2.15</v>
      </c>
    </row>
    <row r="1790" spans="1:7" x14ac:dyDescent="0.3">
      <c r="A1790" s="680" t="s">
        <v>1152</v>
      </c>
      <c r="B1790" s="681"/>
      <c r="C1790" s="681"/>
      <c r="D1790" s="681"/>
      <c r="E1790" s="681"/>
      <c r="F1790" s="682"/>
      <c r="G1790" s="527">
        <f>SUM(G1783:G1789)</f>
        <v>871.17000000000007</v>
      </c>
    </row>
    <row r="1791" spans="1:7" x14ac:dyDescent="0.3">
      <c r="A1791" s="683">
        <f>TRUNC(E1791*F1791,2)</f>
        <v>0</v>
      </c>
      <c r="B1791" s="684"/>
      <c r="C1791" s="684"/>
      <c r="D1791" s="684"/>
      <c r="E1791" s="684"/>
      <c r="F1791" s="684"/>
      <c r="G1791" s="685"/>
    </row>
    <row r="1792" spans="1:7" x14ac:dyDescent="0.3">
      <c r="A1792" s="529" t="s">
        <v>85</v>
      </c>
      <c r="B1792" s="529"/>
      <c r="C1792" s="530" t="s">
        <v>61</v>
      </c>
      <c r="D1792" s="529"/>
      <c r="E1792" s="252"/>
      <c r="F1792" s="531"/>
      <c r="G1792" s="252">
        <f t="shared" si="36"/>
        <v>0</v>
      </c>
    </row>
    <row r="1793" spans="1:7" ht="43.2" x14ac:dyDescent="0.3">
      <c r="A1793" s="529" t="s">
        <v>87</v>
      </c>
      <c r="B1793" s="529">
        <v>87879</v>
      </c>
      <c r="C1793" s="530" t="s">
        <v>225</v>
      </c>
      <c r="D1793" s="529" t="s">
        <v>24</v>
      </c>
      <c r="E1793" s="252"/>
      <c r="F1793" s="531">
        <v>2.72</v>
      </c>
      <c r="G1793" s="252">
        <f t="shared" si="36"/>
        <v>0</v>
      </c>
    </row>
    <row r="1794" spans="1:7" ht="28.8" x14ac:dyDescent="0.3">
      <c r="A1794" s="524" t="s">
        <v>522</v>
      </c>
      <c r="B1794" s="524" t="s">
        <v>1957</v>
      </c>
      <c r="C1794" s="525" t="s">
        <v>1958</v>
      </c>
      <c r="D1794" s="524" t="s">
        <v>41</v>
      </c>
      <c r="E1794" s="524" t="s">
        <v>1959</v>
      </c>
      <c r="F1794" s="528" t="s">
        <v>1960</v>
      </c>
      <c r="G1794" s="252">
        <f t="shared" ref="G1794:G1796" si="37">TRUNC(E1794*F1794,2)</f>
        <v>1.38</v>
      </c>
    </row>
    <row r="1795" spans="1:7" x14ac:dyDescent="0.3">
      <c r="A1795" s="524" t="s">
        <v>522</v>
      </c>
      <c r="B1795" s="524" t="s">
        <v>1362</v>
      </c>
      <c r="C1795" s="525" t="s">
        <v>1363</v>
      </c>
      <c r="D1795" s="524" t="s">
        <v>32</v>
      </c>
      <c r="E1795" s="524" t="s">
        <v>1728</v>
      </c>
      <c r="F1795" s="528" t="s">
        <v>1365</v>
      </c>
      <c r="G1795" s="252">
        <f t="shared" si="37"/>
        <v>1.24</v>
      </c>
    </row>
    <row r="1796" spans="1:7" x14ac:dyDescent="0.3">
      <c r="A1796" s="524" t="s">
        <v>522</v>
      </c>
      <c r="B1796" s="524" t="s">
        <v>1359</v>
      </c>
      <c r="C1796" s="525" t="s">
        <v>801</v>
      </c>
      <c r="D1796" s="524" t="s">
        <v>32</v>
      </c>
      <c r="E1796" s="524" t="s">
        <v>1961</v>
      </c>
      <c r="F1796" s="528" t="s">
        <v>1361</v>
      </c>
      <c r="G1796" s="252">
        <f t="shared" si="37"/>
        <v>0.1</v>
      </c>
    </row>
    <row r="1797" spans="1:7" x14ac:dyDescent="0.3">
      <c r="A1797" s="680" t="s">
        <v>1152</v>
      </c>
      <c r="B1797" s="681"/>
      <c r="C1797" s="681"/>
      <c r="D1797" s="681"/>
      <c r="E1797" s="681"/>
      <c r="F1797" s="682"/>
      <c r="G1797" s="527">
        <f>SUM(G1793:G1796)</f>
        <v>2.72</v>
      </c>
    </row>
    <row r="1798" spans="1:7" x14ac:dyDescent="0.3">
      <c r="A1798" s="683">
        <f>TRUNC(E1798*F1798,2)</f>
        <v>0</v>
      </c>
      <c r="B1798" s="684"/>
      <c r="C1798" s="684"/>
      <c r="D1798" s="684"/>
      <c r="E1798" s="684"/>
      <c r="F1798" s="684"/>
      <c r="G1798" s="685"/>
    </row>
    <row r="1799" spans="1:7" ht="43.2" x14ac:dyDescent="0.3">
      <c r="A1799" s="529" t="s">
        <v>90</v>
      </c>
      <c r="B1799" s="529">
        <v>90408</v>
      </c>
      <c r="C1799" s="530" t="s">
        <v>73</v>
      </c>
      <c r="D1799" s="529" t="s">
        <v>24</v>
      </c>
      <c r="E1799" s="252"/>
      <c r="F1799" s="531">
        <v>22.64</v>
      </c>
      <c r="G1799" s="252">
        <f t="shared" si="36"/>
        <v>0</v>
      </c>
    </row>
    <row r="1800" spans="1:7" ht="43.2" x14ac:dyDescent="0.3">
      <c r="A1800" s="524" t="s">
        <v>522</v>
      </c>
      <c r="B1800" s="524" t="s">
        <v>1464</v>
      </c>
      <c r="C1800" s="525" t="s">
        <v>1465</v>
      </c>
      <c r="D1800" s="524" t="s">
        <v>41</v>
      </c>
      <c r="E1800" s="524" t="s">
        <v>1470</v>
      </c>
      <c r="F1800" s="526" t="s">
        <v>1467</v>
      </c>
      <c r="G1800" s="252">
        <f t="shared" si="36"/>
        <v>7.43</v>
      </c>
    </row>
    <row r="1801" spans="1:7" x14ac:dyDescent="0.3">
      <c r="A1801" s="524" t="s">
        <v>522</v>
      </c>
      <c r="B1801" s="524" t="s">
        <v>1362</v>
      </c>
      <c r="C1801" s="525" t="s">
        <v>1363</v>
      </c>
      <c r="D1801" s="524" t="s">
        <v>32</v>
      </c>
      <c r="E1801" s="524" t="s">
        <v>1471</v>
      </c>
      <c r="F1801" s="526" t="s">
        <v>1365</v>
      </c>
      <c r="G1801" s="252">
        <f t="shared" si="36"/>
        <v>11.72</v>
      </c>
    </row>
    <row r="1802" spans="1:7" x14ac:dyDescent="0.3">
      <c r="A1802" s="524" t="s">
        <v>522</v>
      </c>
      <c r="B1802" s="524" t="s">
        <v>1359</v>
      </c>
      <c r="C1802" s="525" t="s">
        <v>801</v>
      </c>
      <c r="D1802" s="524" t="s">
        <v>32</v>
      </c>
      <c r="E1802" s="524" t="s">
        <v>1472</v>
      </c>
      <c r="F1802" s="526" t="s">
        <v>1361</v>
      </c>
      <c r="G1802" s="252">
        <f t="shared" si="36"/>
        <v>3.49</v>
      </c>
    </row>
    <row r="1803" spans="1:7" x14ac:dyDescent="0.3">
      <c r="A1803" s="680" t="s">
        <v>1152</v>
      </c>
      <c r="B1803" s="681"/>
      <c r="C1803" s="681"/>
      <c r="D1803" s="681"/>
      <c r="E1803" s="681"/>
      <c r="F1803" s="682"/>
      <c r="G1803" s="527">
        <f>SUM(G1799:G1802)</f>
        <v>22.64</v>
      </c>
    </row>
    <row r="1804" spans="1:7" x14ac:dyDescent="0.3">
      <c r="A1804" s="683">
        <f>TRUNC(E1804*F1804,2)</f>
        <v>0</v>
      </c>
      <c r="B1804" s="684"/>
      <c r="C1804" s="684"/>
      <c r="D1804" s="684"/>
      <c r="E1804" s="684"/>
      <c r="F1804" s="684"/>
      <c r="G1804" s="685"/>
    </row>
    <row r="1805" spans="1:7" ht="43.2" x14ac:dyDescent="0.3">
      <c r="A1805" s="529" t="s">
        <v>93</v>
      </c>
      <c r="B1805" s="529">
        <v>87266</v>
      </c>
      <c r="C1805" s="530" t="s">
        <v>65</v>
      </c>
      <c r="D1805" s="529" t="s">
        <v>24</v>
      </c>
      <c r="E1805" s="252"/>
      <c r="F1805" s="531">
        <v>32.79</v>
      </c>
      <c r="G1805" s="252">
        <f t="shared" si="36"/>
        <v>0</v>
      </c>
    </row>
    <row r="1806" spans="1:7" ht="28.8" x14ac:dyDescent="0.3">
      <c r="A1806" s="524" t="s">
        <v>508</v>
      </c>
      <c r="B1806" s="524" t="s">
        <v>1441</v>
      </c>
      <c r="C1806" s="525" t="s">
        <v>1442</v>
      </c>
      <c r="D1806" s="524" t="s">
        <v>24</v>
      </c>
      <c r="E1806" s="606">
        <v>1</v>
      </c>
      <c r="F1806" s="526">
        <v>14</v>
      </c>
      <c r="G1806" s="252">
        <f t="shared" si="36"/>
        <v>14</v>
      </c>
    </row>
    <row r="1807" spans="1:7" x14ac:dyDescent="0.3">
      <c r="A1807" s="524" t="s">
        <v>508</v>
      </c>
      <c r="B1807" s="524" t="s">
        <v>1444</v>
      </c>
      <c r="C1807" s="525" t="s">
        <v>1445</v>
      </c>
      <c r="D1807" s="524" t="s">
        <v>426</v>
      </c>
      <c r="E1807" s="606">
        <v>4</v>
      </c>
      <c r="F1807" s="526" t="s">
        <v>1447</v>
      </c>
      <c r="G1807" s="252">
        <f t="shared" si="36"/>
        <v>2.6</v>
      </c>
    </row>
    <row r="1808" spans="1:7" x14ac:dyDescent="0.3">
      <c r="A1808" s="524" t="s">
        <v>508</v>
      </c>
      <c r="B1808" s="524" t="s">
        <v>1448</v>
      </c>
      <c r="C1808" s="525" t="s">
        <v>1449</v>
      </c>
      <c r="D1808" s="524" t="s">
        <v>426</v>
      </c>
      <c r="E1808" s="524" t="s">
        <v>1450</v>
      </c>
      <c r="F1808" s="526" t="s">
        <v>1451</v>
      </c>
      <c r="G1808" s="252">
        <f t="shared" si="36"/>
        <v>1.6</v>
      </c>
    </row>
    <row r="1809" spans="1:7" x14ac:dyDescent="0.3">
      <c r="A1809" s="524" t="s">
        <v>522</v>
      </c>
      <c r="B1809" s="524" t="s">
        <v>1355</v>
      </c>
      <c r="C1809" s="525" t="s">
        <v>1356</v>
      </c>
      <c r="D1809" s="524" t="s">
        <v>32</v>
      </c>
      <c r="E1809" s="606">
        <v>0.5</v>
      </c>
      <c r="F1809" s="526" t="s">
        <v>1358</v>
      </c>
      <c r="G1809" s="252">
        <f t="shared" si="36"/>
        <v>8.85</v>
      </c>
    </row>
    <row r="1810" spans="1:7" x14ac:dyDescent="0.3">
      <c r="A1810" s="524" t="s">
        <v>522</v>
      </c>
      <c r="B1810" s="524" t="s">
        <v>1359</v>
      </c>
      <c r="C1810" s="525" t="s">
        <v>801</v>
      </c>
      <c r="D1810" s="524" t="s">
        <v>32</v>
      </c>
      <c r="E1810" s="606">
        <v>0.4</v>
      </c>
      <c r="F1810" s="526" t="s">
        <v>1361</v>
      </c>
      <c r="G1810" s="252">
        <f t="shared" si="36"/>
        <v>5.74</v>
      </c>
    </row>
    <row r="1811" spans="1:7" x14ac:dyDescent="0.3">
      <c r="A1811" s="680" t="s">
        <v>1152</v>
      </c>
      <c r="B1811" s="681"/>
      <c r="C1811" s="681"/>
      <c r="D1811" s="681"/>
      <c r="E1811" s="681"/>
      <c r="F1811" s="682"/>
      <c r="G1811" s="527">
        <f>SUM(G1805:G1810)</f>
        <v>32.790000000000006</v>
      </c>
    </row>
    <row r="1812" spans="1:7" x14ac:dyDescent="0.3">
      <c r="A1812" s="683">
        <f>TRUNC(E1812*F1812,2)</f>
        <v>0</v>
      </c>
      <c r="B1812" s="684"/>
      <c r="C1812" s="684"/>
      <c r="D1812" s="684"/>
      <c r="E1812" s="684"/>
      <c r="F1812" s="684"/>
      <c r="G1812" s="685"/>
    </row>
    <row r="1813" spans="1:7" x14ac:dyDescent="0.3">
      <c r="A1813" s="529" t="s">
        <v>95</v>
      </c>
      <c r="B1813" s="529"/>
      <c r="C1813" s="530" t="s">
        <v>75</v>
      </c>
      <c r="D1813" s="529"/>
      <c r="E1813" s="252"/>
      <c r="F1813" s="531"/>
      <c r="G1813" s="252">
        <f t="shared" si="36"/>
        <v>0</v>
      </c>
    </row>
    <row r="1814" spans="1:7" ht="43.2" x14ac:dyDescent="0.3">
      <c r="A1814" s="529" t="s">
        <v>97</v>
      </c>
      <c r="B1814" s="529">
        <v>94993</v>
      </c>
      <c r="C1814" s="530" t="s">
        <v>78</v>
      </c>
      <c r="D1814" s="529" t="s">
        <v>24</v>
      </c>
      <c r="E1814" s="252"/>
      <c r="F1814" s="531">
        <v>62.94</v>
      </c>
      <c r="G1814" s="252">
        <f t="shared" si="36"/>
        <v>0</v>
      </c>
    </row>
    <row r="1815" spans="1:7" x14ac:dyDescent="0.3">
      <c r="A1815" s="524" t="s">
        <v>508</v>
      </c>
      <c r="B1815" s="524" t="s">
        <v>1475</v>
      </c>
      <c r="C1815" s="525" t="s">
        <v>1476</v>
      </c>
      <c r="D1815" s="524" t="s">
        <v>24</v>
      </c>
      <c r="E1815" s="524" t="s">
        <v>1477</v>
      </c>
      <c r="F1815" s="526" t="s">
        <v>1478</v>
      </c>
      <c r="G1815" s="252">
        <f t="shared" si="36"/>
        <v>1.03</v>
      </c>
    </row>
    <row r="1816" spans="1:7" ht="28.8" x14ac:dyDescent="0.3">
      <c r="A1816" s="524" t="s">
        <v>508</v>
      </c>
      <c r="B1816" s="524" t="s">
        <v>1479</v>
      </c>
      <c r="C1816" s="525" t="s">
        <v>1480</v>
      </c>
      <c r="D1816" s="524" t="s">
        <v>55</v>
      </c>
      <c r="E1816" s="524" t="s">
        <v>1481</v>
      </c>
      <c r="F1816" s="526" t="s">
        <v>1482</v>
      </c>
      <c r="G1816" s="252">
        <f t="shared" si="36"/>
        <v>0.9</v>
      </c>
    </row>
    <row r="1817" spans="1:7" ht="28.8" x14ac:dyDescent="0.3">
      <c r="A1817" s="524" t="s">
        <v>508</v>
      </c>
      <c r="B1817" s="524" t="s">
        <v>1483</v>
      </c>
      <c r="C1817" s="525" t="s">
        <v>1484</v>
      </c>
      <c r="D1817" s="524" t="s">
        <v>24</v>
      </c>
      <c r="E1817" s="524" t="s">
        <v>1485</v>
      </c>
      <c r="F1817" s="526" t="s">
        <v>1486</v>
      </c>
      <c r="G1817" s="252">
        <f t="shared" si="36"/>
        <v>26.02</v>
      </c>
    </row>
    <row r="1818" spans="1:7" ht="28.8" x14ac:dyDescent="0.3">
      <c r="A1818" s="524" t="s">
        <v>508</v>
      </c>
      <c r="B1818" s="524" t="s">
        <v>1487</v>
      </c>
      <c r="C1818" s="525" t="s">
        <v>1488</v>
      </c>
      <c r="D1818" s="524" t="s">
        <v>41</v>
      </c>
      <c r="E1818" s="524" t="s">
        <v>1489</v>
      </c>
      <c r="F1818" s="526" t="s">
        <v>1490</v>
      </c>
      <c r="G1818" s="252">
        <f t="shared" si="36"/>
        <v>26.87</v>
      </c>
    </row>
    <row r="1819" spans="1:7" x14ac:dyDescent="0.3">
      <c r="A1819" s="524" t="s">
        <v>522</v>
      </c>
      <c r="B1819" s="524" t="s">
        <v>527</v>
      </c>
      <c r="C1819" s="525" t="s">
        <v>528</v>
      </c>
      <c r="D1819" s="524" t="s">
        <v>32</v>
      </c>
      <c r="E1819" s="524" t="s">
        <v>1491</v>
      </c>
      <c r="F1819" s="526" t="s">
        <v>530</v>
      </c>
      <c r="G1819" s="252">
        <f t="shared" si="36"/>
        <v>2.38</v>
      </c>
    </row>
    <row r="1820" spans="1:7" x14ac:dyDescent="0.3">
      <c r="A1820" s="524" t="s">
        <v>522</v>
      </c>
      <c r="B1820" s="524" t="s">
        <v>1362</v>
      </c>
      <c r="C1820" s="525" t="s">
        <v>1363</v>
      </c>
      <c r="D1820" s="524" t="s">
        <v>32</v>
      </c>
      <c r="E1820" s="524" t="s">
        <v>1492</v>
      </c>
      <c r="F1820" s="526" t="s">
        <v>1365</v>
      </c>
      <c r="G1820" s="252">
        <f t="shared" si="36"/>
        <v>2.1</v>
      </c>
    </row>
    <row r="1821" spans="1:7" x14ac:dyDescent="0.3">
      <c r="A1821" s="524" t="s">
        <v>522</v>
      </c>
      <c r="B1821" s="524" t="s">
        <v>1359</v>
      </c>
      <c r="C1821" s="525" t="s">
        <v>801</v>
      </c>
      <c r="D1821" s="524" t="s">
        <v>32</v>
      </c>
      <c r="E1821" s="524" t="s">
        <v>1493</v>
      </c>
      <c r="F1821" s="526" t="s">
        <v>1361</v>
      </c>
      <c r="G1821" s="252">
        <f t="shared" si="36"/>
        <v>3.64</v>
      </c>
    </row>
    <row r="1822" spans="1:7" x14ac:dyDescent="0.3">
      <c r="A1822" s="680" t="s">
        <v>1152</v>
      </c>
      <c r="B1822" s="681"/>
      <c r="C1822" s="681"/>
      <c r="D1822" s="681"/>
      <c r="E1822" s="681"/>
      <c r="F1822" s="682"/>
      <c r="G1822" s="527">
        <f>SUM(G1814:G1821)</f>
        <v>62.940000000000005</v>
      </c>
    </row>
    <row r="1823" spans="1:7" x14ac:dyDescent="0.3">
      <c r="A1823" s="683">
        <f>TRUNC(E1823*F1823,2)</f>
        <v>0</v>
      </c>
      <c r="B1823" s="684"/>
      <c r="C1823" s="684"/>
      <c r="D1823" s="684"/>
      <c r="E1823" s="684"/>
      <c r="F1823" s="684"/>
      <c r="G1823" s="685"/>
    </row>
    <row r="1824" spans="1:7" ht="43.2" x14ac:dyDescent="0.3">
      <c r="A1824" s="529" t="s">
        <v>100</v>
      </c>
      <c r="B1824" s="529">
        <v>87262</v>
      </c>
      <c r="C1824" s="530" t="s">
        <v>84</v>
      </c>
      <c r="D1824" s="529" t="s">
        <v>24</v>
      </c>
      <c r="E1824" s="252"/>
      <c r="F1824" s="531">
        <v>82.17</v>
      </c>
      <c r="G1824" s="252">
        <f t="shared" si="36"/>
        <v>0</v>
      </c>
    </row>
    <row r="1825" spans="1:7" x14ac:dyDescent="0.3">
      <c r="A1825" s="524" t="s">
        <v>508</v>
      </c>
      <c r="B1825" s="524" t="s">
        <v>1448</v>
      </c>
      <c r="C1825" s="525" t="s">
        <v>1449</v>
      </c>
      <c r="D1825" s="524" t="s">
        <v>426</v>
      </c>
      <c r="E1825" s="524" t="s">
        <v>1559</v>
      </c>
      <c r="F1825" s="526" t="s">
        <v>1451</v>
      </c>
      <c r="G1825" s="252">
        <f t="shared" si="36"/>
        <v>0.53</v>
      </c>
    </row>
    <row r="1826" spans="1:7" x14ac:dyDescent="0.3">
      <c r="A1826" s="524" t="s">
        <v>508</v>
      </c>
      <c r="B1826" s="524" t="s">
        <v>1560</v>
      </c>
      <c r="C1826" s="525" t="s">
        <v>1561</v>
      </c>
      <c r="D1826" s="524" t="s">
        <v>426</v>
      </c>
      <c r="E1826" s="606">
        <v>8</v>
      </c>
      <c r="F1826" s="526" t="s">
        <v>1563</v>
      </c>
      <c r="G1826" s="252">
        <f t="shared" si="36"/>
        <v>15.92</v>
      </c>
    </row>
    <row r="1827" spans="1:7" x14ac:dyDescent="0.3">
      <c r="A1827" s="524" t="s">
        <v>508</v>
      </c>
      <c r="B1827" s="524" t="s">
        <v>1564</v>
      </c>
      <c r="C1827" s="525" t="s">
        <v>1565</v>
      </c>
      <c r="D1827" s="524" t="s">
        <v>24</v>
      </c>
      <c r="E1827" s="606" t="s">
        <v>1566</v>
      </c>
      <c r="F1827" s="526">
        <v>50</v>
      </c>
      <c r="G1827" s="252">
        <f t="shared" ref="G1827:G1829" si="38">TRUNC(E1827*F1827,2)</f>
        <v>54</v>
      </c>
    </row>
    <row r="1828" spans="1:7" x14ac:dyDescent="0.3">
      <c r="A1828" s="524" t="s">
        <v>522</v>
      </c>
      <c r="B1828" s="524" t="s">
        <v>1355</v>
      </c>
      <c r="C1828" s="525" t="s">
        <v>1356</v>
      </c>
      <c r="D1828" s="524" t="s">
        <v>32</v>
      </c>
      <c r="E1828" s="606">
        <v>0.5</v>
      </c>
      <c r="F1828" s="526" t="s">
        <v>1358</v>
      </c>
      <c r="G1828" s="252">
        <f t="shared" si="38"/>
        <v>8.85</v>
      </c>
    </row>
    <row r="1829" spans="1:7" x14ac:dyDescent="0.3">
      <c r="A1829" s="524" t="s">
        <v>522</v>
      </c>
      <c r="B1829" s="524" t="s">
        <v>1359</v>
      </c>
      <c r="C1829" s="525" t="s">
        <v>801</v>
      </c>
      <c r="D1829" s="524" t="s">
        <v>32</v>
      </c>
      <c r="E1829" s="606">
        <v>0.2</v>
      </c>
      <c r="F1829" s="526" t="s">
        <v>1361</v>
      </c>
      <c r="G1829" s="252">
        <f t="shared" si="38"/>
        <v>2.87</v>
      </c>
    </row>
    <row r="1830" spans="1:7" x14ac:dyDescent="0.3">
      <c r="A1830" s="680" t="s">
        <v>1152</v>
      </c>
      <c r="B1830" s="681"/>
      <c r="C1830" s="681"/>
      <c r="D1830" s="681"/>
      <c r="E1830" s="681"/>
      <c r="F1830" s="682"/>
      <c r="G1830" s="527">
        <f>SUM(G1824:G1829)</f>
        <v>82.17</v>
      </c>
    </row>
    <row r="1831" spans="1:7" x14ac:dyDescent="0.3">
      <c r="A1831" s="683">
        <f>TRUNC(E1831*F1831,2)</f>
        <v>0</v>
      </c>
      <c r="B1831" s="684"/>
      <c r="C1831" s="684"/>
      <c r="D1831" s="684"/>
      <c r="E1831" s="684"/>
      <c r="F1831" s="684"/>
      <c r="G1831" s="685"/>
    </row>
    <row r="1832" spans="1:7" x14ac:dyDescent="0.3">
      <c r="A1832" s="529" t="s">
        <v>116</v>
      </c>
      <c r="B1832" s="529"/>
      <c r="C1832" s="530" t="s">
        <v>86</v>
      </c>
      <c r="D1832" s="529"/>
      <c r="E1832" s="252"/>
      <c r="F1832" s="531"/>
      <c r="G1832" s="252">
        <f t="shared" si="36"/>
        <v>0</v>
      </c>
    </row>
    <row r="1833" spans="1:7" x14ac:dyDescent="0.3">
      <c r="A1833" s="529" t="s">
        <v>118</v>
      </c>
      <c r="B1833" s="529">
        <v>72117</v>
      </c>
      <c r="C1833" s="530" t="s">
        <v>88</v>
      </c>
      <c r="D1833" s="529" t="s">
        <v>24</v>
      </c>
      <c r="E1833" s="252"/>
      <c r="F1833" s="531">
        <v>159.13</v>
      </c>
      <c r="G1833" s="252">
        <f t="shared" si="36"/>
        <v>0</v>
      </c>
    </row>
    <row r="1834" spans="1:7" x14ac:dyDescent="0.3">
      <c r="A1834" s="524" t="s">
        <v>508</v>
      </c>
      <c r="B1834" s="524" t="s">
        <v>1549</v>
      </c>
      <c r="C1834" s="525" t="s">
        <v>1550</v>
      </c>
      <c r="D1834" s="524" t="s">
        <v>24</v>
      </c>
      <c r="E1834" s="524" t="s">
        <v>1122</v>
      </c>
      <c r="F1834" s="526" t="s">
        <v>1551</v>
      </c>
      <c r="G1834" s="252">
        <f t="shared" si="36"/>
        <v>131.59</v>
      </c>
    </row>
    <row r="1835" spans="1:7" x14ac:dyDescent="0.3">
      <c r="A1835" s="524" t="s">
        <v>508</v>
      </c>
      <c r="B1835" s="524" t="s">
        <v>1552</v>
      </c>
      <c r="C1835" s="525" t="s">
        <v>1553</v>
      </c>
      <c r="D1835" s="524" t="s">
        <v>426</v>
      </c>
      <c r="E1835" s="524" t="s">
        <v>1554</v>
      </c>
      <c r="F1835" s="526" t="s">
        <v>1555</v>
      </c>
      <c r="G1835" s="252">
        <f t="shared" si="36"/>
        <v>13.37</v>
      </c>
    </row>
    <row r="1836" spans="1:7" x14ac:dyDescent="0.3">
      <c r="A1836" s="524" t="s">
        <v>522</v>
      </c>
      <c r="B1836" s="524" t="s">
        <v>1359</v>
      </c>
      <c r="C1836" s="525" t="s">
        <v>801</v>
      </c>
      <c r="D1836" s="524" t="s">
        <v>32</v>
      </c>
      <c r="E1836" s="524" t="s">
        <v>1481</v>
      </c>
      <c r="F1836" s="526" t="s">
        <v>1361</v>
      </c>
      <c r="G1836" s="252">
        <f t="shared" si="36"/>
        <v>6.46</v>
      </c>
    </row>
    <row r="1837" spans="1:7" x14ac:dyDescent="0.3">
      <c r="A1837" s="524" t="s">
        <v>522</v>
      </c>
      <c r="B1837" s="524" t="s">
        <v>1556</v>
      </c>
      <c r="C1837" s="525" t="s">
        <v>1557</v>
      </c>
      <c r="D1837" s="524" t="s">
        <v>32</v>
      </c>
      <c r="E1837" s="524" t="s">
        <v>1481</v>
      </c>
      <c r="F1837" s="526" t="s">
        <v>1558</v>
      </c>
      <c r="G1837" s="252">
        <f t="shared" si="36"/>
        <v>7.71</v>
      </c>
    </row>
    <row r="1838" spans="1:7" x14ac:dyDescent="0.3">
      <c r="A1838" s="680" t="s">
        <v>1152</v>
      </c>
      <c r="B1838" s="681"/>
      <c r="C1838" s="681"/>
      <c r="D1838" s="681"/>
      <c r="E1838" s="681"/>
      <c r="F1838" s="682"/>
      <c r="G1838" s="527">
        <f>SUM(G1832:G1837)</f>
        <v>159.13000000000002</v>
      </c>
    </row>
    <row r="1839" spans="1:7" x14ac:dyDescent="0.3">
      <c r="A1839" s="683">
        <f>TRUNC(E1839*F1839,2)</f>
        <v>0</v>
      </c>
      <c r="B1839" s="684"/>
      <c r="C1839" s="684"/>
      <c r="D1839" s="684"/>
      <c r="E1839" s="684"/>
      <c r="F1839" s="684"/>
      <c r="G1839" s="685"/>
    </row>
    <row r="1840" spans="1:7" x14ac:dyDescent="0.3">
      <c r="A1840" s="529" t="s">
        <v>120</v>
      </c>
      <c r="B1840" s="529">
        <v>84886</v>
      </c>
      <c r="C1840" s="530" t="s">
        <v>91</v>
      </c>
      <c r="D1840" s="529" t="s">
        <v>92</v>
      </c>
      <c r="E1840" s="252"/>
      <c r="F1840" s="531">
        <v>1114.46</v>
      </c>
      <c r="G1840" s="252">
        <f t="shared" si="36"/>
        <v>0</v>
      </c>
    </row>
    <row r="1841" spans="1:7" x14ac:dyDescent="0.3">
      <c r="A1841" s="524" t="s">
        <v>508</v>
      </c>
      <c r="B1841" s="524" t="s">
        <v>1568</v>
      </c>
      <c r="C1841" s="525" t="s">
        <v>1569</v>
      </c>
      <c r="D1841" s="524" t="s">
        <v>397</v>
      </c>
      <c r="E1841" s="524" t="s">
        <v>1122</v>
      </c>
      <c r="F1841" s="526">
        <v>1097.3</v>
      </c>
      <c r="G1841" s="252">
        <f t="shared" si="36"/>
        <v>1097.3</v>
      </c>
    </row>
    <row r="1842" spans="1:7" x14ac:dyDescent="0.3">
      <c r="A1842" s="524" t="s">
        <v>522</v>
      </c>
      <c r="B1842" s="524" t="s">
        <v>1359</v>
      </c>
      <c r="C1842" s="525" t="s">
        <v>801</v>
      </c>
      <c r="D1842" s="524" t="s">
        <v>32</v>
      </c>
      <c r="E1842" s="524" t="s">
        <v>1518</v>
      </c>
      <c r="F1842" s="526" t="s">
        <v>1361</v>
      </c>
      <c r="G1842" s="252">
        <f t="shared" si="36"/>
        <v>4.3099999999999996</v>
      </c>
    </row>
    <row r="1843" spans="1:7" x14ac:dyDescent="0.3">
      <c r="A1843" s="524" t="s">
        <v>522</v>
      </c>
      <c r="B1843" s="524" t="s">
        <v>1556</v>
      </c>
      <c r="C1843" s="525" t="s">
        <v>1557</v>
      </c>
      <c r="D1843" s="524" t="s">
        <v>32</v>
      </c>
      <c r="E1843" s="524" t="s">
        <v>1570</v>
      </c>
      <c r="F1843" s="526" t="s">
        <v>1558</v>
      </c>
      <c r="G1843" s="252">
        <f t="shared" si="36"/>
        <v>12.85</v>
      </c>
    </row>
    <row r="1844" spans="1:7" x14ac:dyDescent="0.3">
      <c r="A1844" s="680" t="s">
        <v>1152</v>
      </c>
      <c r="B1844" s="681"/>
      <c r="C1844" s="681"/>
      <c r="D1844" s="681"/>
      <c r="E1844" s="681"/>
      <c r="F1844" s="682"/>
      <c r="G1844" s="527">
        <f>SUM(G1840:G1843)</f>
        <v>1114.4599999999998</v>
      </c>
    </row>
    <row r="1845" spans="1:7" x14ac:dyDescent="0.3">
      <c r="A1845" s="683">
        <f>TRUNC(E1845*F1845,2)</f>
        <v>0</v>
      </c>
      <c r="B1845" s="684"/>
      <c r="C1845" s="684"/>
      <c r="D1845" s="684"/>
      <c r="E1845" s="684"/>
      <c r="F1845" s="684"/>
      <c r="G1845" s="685"/>
    </row>
    <row r="1846" spans="1:7" ht="43.2" x14ac:dyDescent="0.3">
      <c r="A1846" s="529" t="s">
        <v>122</v>
      </c>
      <c r="B1846" s="529">
        <v>84885</v>
      </c>
      <c r="C1846" s="530" t="s">
        <v>94</v>
      </c>
      <c r="D1846" s="529" t="s">
        <v>44</v>
      </c>
      <c r="E1846" s="252"/>
      <c r="F1846" s="531">
        <v>612.76</v>
      </c>
      <c r="G1846" s="252">
        <f t="shared" si="36"/>
        <v>0</v>
      </c>
    </row>
    <row r="1847" spans="1:7" ht="43.2" x14ac:dyDescent="0.3">
      <c r="A1847" s="524" t="s">
        <v>508</v>
      </c>
      <c r="B1847" s="524" t="s">
        <v>1571</v>
      </c>
      <c r="C1847" s="525" t="s">
        <v>1572</v>
      </c>
      <c r="D1847" s="524" t="s">
        <v>92</v>
      </c>
      <c r="E1847" s="524" t="s">
        <v>1122</v>
      </c>
      <c r="F1847" s="526" t="s">
        <v>1573</v>
      </c>
      <c r="G1847" s="252">
        <f t="shared" si="36"/>
        <v>376.14</v>
      </c>
    </row>
    <row r="1848" spans="1:7" x14ac:dyDescent="0.3">
      <c r="A1848" s="524" t="s">
        <v>522</v>
      </c>
      <c r="B1848" s="524" t="s">
        <v>523</v>
      </c>
      <c r="C1848" s="525" t="s">
        <v>524</v>
      </c>
      <c r="D1848" s="524" t="s">
        <v>32</v>
      </c>
      <c r="E1848" s="524" t="s">
        <v>1574</v>
      </c>
      <c r="F1848" s="526" t="s">
        <v>526</v>
      </c>
      <c r="G1848" s="252">
        <f t="shared" si="36"/>
        <v>64.11</v>
      </c>
    </row>
    <row r="1849" spans="1:7" x14ac:dyDescent="0.3">
      <c r="A1849" s="524" t="s">
        <v>522</v>
      </c>
      <c r="B1849" s="524" t="s">
        <v>1376</v>
      </c>
      <c r="C1849" s="525" t="s">
        <v>1377</v>
      </c>
      <c r="D1849" s="524" t="s">
        <v>32</v>
      </c>
      <c r="E1849" s="524" t="s">
        <v>1575</v>
      </c>
      <c r="F1849" s="526" t="s">
        <v>1379</v>
      </c>
      <c r="G1849" s="252">
        <f t="shared" si="36"/>
        <v>114.92</v>
      </c>
    </row>
    <row r="1850" spans="1:7" x14ac:dyDescent="0.3">
      <c r="A1850" s="524" t="s">
        <v>522</v>
      </c>
      <c r="B1850" s="524" t="s">
        <v>1556</v>
      </c>
      <c r="C1850" s="525" t="s">
        <v>1557</v>
      </c>
      <c r="D1850" s="524" t="s">
        <v>32</v>
      </c>
      <c r="E1850" s="524" t="s">
        <v>1576</v>
      </c>
      <c r="F1850" s="526" t="s">
        <v>1558</v>
      </c>
      <c r="G1850" s="252">
        <f t="shared" si="36"/>
        <v>57.59</v>
      </c>
    </row>
    <row r="1851" spans="1:7" x14ac:dyDescent="0.3">
      <c r="A1851" s="680" t="s">
        <v>1152</v>
      </c>
      <c r="B1851" s="681"/>
      <c r="C1851" s="681"/>
      <c r="D1851" s="681"/>
      <c r="E1851" s="681"/>
      <c r="F1851" s="682"/>
      <c r="G1851" s="527">
        <f>SUM(G1847:G1850)</f>
        <v>612.76</v>
      </c>
    </row>
    <row r="1852" spans="1:7" x14ac:dyDescent="0.3">
      <c r="A1852" s="683">
        <f>TRUNC(E1852*F1852,2)</f>
        <v>0</v>
      </c>
      <c r="B1852" s="684"/>
      <c r="C1852" s="684"/>
      <c r="D1852" s="684"/>
      <c r="E1852" s="684"/>
      <c r="F1852" s="684"/>
      <c r="G1852" s="685"/>
    </row>
    <row r="1853" spans="1:7" x14ac:dyDescent="0.3">
      <c r="A1853" s="529" t="s">
        <v>160</v>
      </c>
      <c r="B1853" s="529"/>
      <c r="C1853" s="530" t="s">
        <v>96</v>
      </c>
      <c r="D1853" s="529"/>
      <c r="E1853" s="252"/>
      <c r="F1853" s="531"/>
      <c r="G1853" s="252">
        <f t="shared" si="36"/>
        <v>0</v>
      </c>
    </row>
    <row r="1854" spans="1:7" ht="28.8" x14ac:dyDescent="0.3">
      <c r="A1854" s="529" t="s">
        <v>162</v>
      </c>
      <c r="B1854" s="529">
        <v>88423</v>
      </c>
      <c r="C1854" s="530" t="s">
        <v>98</v>
      </c>
      <c r="D1854" s="529" t="s">
        <v>24</v>
      </c>
      <c r="E1854" s="252"/>
      <c r="F1854" s="531">
        <v>13.45</v>
      </c>
      <c r="G1854" s="252">
        <f t="shared" si="36"/>
        <v>0</v>
      </c>
    </row>
    <row r="1855" spans="1:7" x14ac:dyDescent="0.3">
      <c r="A1855" s="524" t="s">
        <v>508</v>
      </c>
      <c r="B1855" s="524" t="s">
        <v>1577</v>
      </c>
      <c r="C1855" s="525" t="s">
        <v>1578</v>
      </c>
      <c r="D1855" s="524" t="s">
        <v>426</v>
      </c>
      <c r="E1855" s="606">
        <v>1.9</v>
      </c>
      <c r="F1855" s="526">
        <v>5</v>
      </c>
      <c r="G1855" s="252">
        <f t="shared" ref="G1855:G1857" si="39">TRUNC(E1855*F1855,2)</f>
        <v>9.5</v>
      </c>
    </row>
    <row r="1856" spans="1:7" x14ac:dyDescent="0.3">
      <c r="A1856" s="524" t="s">
        <v>522</v>
      </c>
      <c r="B1856" s="524" t="s">
        <v>1579</v>
      </c>
      <c r="C1856" s="525" t="s">
        <v>1580</v>
      </c>
      <c r="D1856" s="524" t="s">
        <v>32</v>
      </c>
      <c r="E1856" s="524" t="s">
        <v>1581</v>
      </c>
      <c r="F1856" s="526" t="s">
        <v>1582</v>
      </c>
      <c r="G1856" s="252">
        <f t="shared" si="39"/>
        <v>3.32</v>
      </c>
    </row>
    <row r="1857" spans="1:7" x14ac:dyDescent="0.3">
      <c r="A1857" s="524" t="s">
        <v>522</v>
      </c>
      <c r="B1857" s="524" t="s">
        <v>1359</v>
      </c>
      <c r="C1857" s="525" t="s">
        <v>801</v>
      </c>
      <c r="D1857" s="524" t="s">
        <v>32</v>
      </c>
      <c r="E1857" s="524" t="s">
        <v>1583</v>
      </c>
      <c r="F1857" s="526" t="s">
        <v>1361</v>
      </c>
      <c r="G1857" s="252">
        <f t="shared" si="39"/>
        <v>0.63</v>
      </c>
    </row>
    <row r="1858" spans="1:7" x14ac:dyDescent="0.3">
      <c r="A1858" s="680" t="s">
        <v>1152</v>
      </c>
      <c r="B1858" s="681"/>
      <c r="C1858" s="681"/>
      <c r="D1858" s="681"/>
      <c r="E1858" s="681"/>
      <c r="F1858" s="682"/>
      <c r="G1858" s="527">
        <f>SUM(G1854:G1857)</f>
        <v>13.450000000000001</v>
      </c>
    </row>
    <row r="1859" spans="1:7" x14ac:dyDescent="0.3">
      <c r="A1859" s="683">
        <f>TRUNC(E1859*F1859,2)</f>
        <v>0</v>
      </c>
      <c r="B1859" s="684"/>
      <c r="C1859" s="684"/>
      <c r="D1859" s="684"/>
      <c r="E1859" s="684"/>
      <c r="F1859" s="684"/>
      <c r="G1859" s="685"/>
    </row>
    <row r="1860" spans="1:7" x14ac:dyDescent="0.3">
      <c r="A1860" s="529" t="s">
        <v>163</v>
      </c>
      <c r="B1860" s="529">
        <v>88496</v>
      </c>
      <c r="C1860" s="530" t="s">
        <v>101</v>
      </c>
      <c r="D1860" s="529" t="s">
        <v>24</v>
      </c>
      <c r="E1860" s="252"/>
      <c r="F1860" s="531">
        <v>10.51</v>
      </c>
      <c r="G1860" s="252">
        <f t="shared" si="36"/>
        <v>0</v>
      </c>
    </row>
    <row r="1861" spans="1:7" x14ac:dyDescent="0.3">
      <c r="A1861" s="524" t="s">
        <v>508</v>
      </c>
      <c r="B1861" s="524" t="s">
        <v>1584</v>
      </c>
      <c r="C1861" s="525" t="s">
        <v>1585</v>
      </c>
      <c r="D1861" s="524" t="s">
        <v>397</v>
      </c>
      <c r="E1861" s="524" t="s">
        <v>1586</v>
      </c>
      <c r="F1861" s="526" t="s">
        <v>1447</v>
      </c>
      <c r="G1861" s="252">
        <f t="shared" si="36"/>
        <v>0.06</v>
      </c>
    </row>
    <row r="1862" spans="1:7" x14ac:dyDescent="0.3">
      <c r="A1862" s="524" t="s">
        <v>508</v>
      </c>
      <c r="B1862" s="524" t="s">
        <v>1587</v>
      </c>
      <c r="C1862" s="525" t="s">
        <v>1588</v>
      </c>
      <c r="D1862" s="524" t="s">
        <v>1589</v>
      </c>
      <c r="E1862" s="607">
        <v>4.8000000000000001E-2</v>
      </c>
      <c r="F1862" s="526">
        <v>40</v>
      </c>
      <c r="G1862" s="252">
        <f t="shared" si="36"/>
        <v>1.92</v>
      </c>
    </row>
    <row r="1863" spans="1:7" x14ac:dyDescent="0.3">
      <c r="A1863" s="524" t="s">
        <v>522</v>
      </c>
      <c r="B1863" s="524" t="s">
        <v>1579</v>
      </c>
      <c r="C1863" s="525" t="s">
        <v>1580</v>
      </c>
      <c r="D1863" s="524" t="s">
        <v>32</v>
      </c>
      <c r="E1863" s="607">
        <v>0.3</v>
      </c>
      <c r="F1863" s="526" t="s">
        <v>1582</v>
      </c>
      <c r="G1863" s="252">
        <f t="shared" si="36"/>
        <v>5.66</v>
      </c>
    </row>
    <row r="1864" spans="1:7" x14ac:dyDescent="0.3">
      <c r="A1864" s="524" t="s">
        <v>522</v>
      </c>
      <c r="B1864" s="524" t="s">
        <v>1359</v>
      </c>
      <c r="C1864" s="525" t="s">
        <v>801</v>
      </c>
      <c r="D1864" s="524" t="s">
        <v>32</v>
      </c>
      <c r="E1864" s="607">
        <v>0.2</v>
      </c>
      <c r="F1864" s="526" t="s">
        <v>1361</v>
      </c>
      <c r="G1864" s="252">
        <f t="shared" si="36"/>
        <v>2.87</v>
      </c>
    </row>
    <row r="1865" spans="1:7" x14ac:dyDescent="0.3">
      <c r="A1865" s="680" t="s">
        <v>1152</v>
      </c>
      <c r="B1865" s="681"/>
      <c r="C1865" s="681"/>
      <c r="D1865" s="681"/>
      <c r="E1865" s="681"/>
      <c r="F1865" s="682"/>
      <c r="G1865" s="527">
        <f>SUM(G1861:G1864)</f>
        <v>10.510000000000002</v>
      </c>
    </row>
    <row r="1866" spans="1:7" x14ac:dyDescent="0.3">
      <c r="A1866" s="683">
        <f>TRUNC(E1866*F1866,2)</f>
        <v>0</v>
      </c>
      <c r="B1866" s="684"/>
      <c r="C1866" s="684"/>
      <c r="D1866" s="684"/>
      <c r="E1866" s="684"/>
      <c r="F1866" s="684"/>
      <c r="G1866" s="685"/>
    </row>
    <row r="1867" spans="1:7" ht="28.8" x14ac:dyDescent="0.3">
      <c r="A1867" s="529" t="s">
        <v>164</v>
      </c>
      <c r="B1867" s="529">
        <v>88488</v>
      </c>
      <c r="C1867" s="530" t="s">
        <v>104</v>
      </c>
      <c r="D1867" s="529" t="s">
        <v>24</v>
      </c>
      <c r="E1867" s="252"/>
      <c r="F1867" s="531">
        <v>8.42</v>
      </c>
      <c r="G1867" s="252">
        <f t="shared" si="36"/>
        <v>0</v>
      </c>
    </row>
    <row r="1868" spans="1:7" x14ac:dyDescent="0.3">
      <c r="A1868" s="524" t="s">
        <v>508</v>
      </c>
      <c r="B1868" s="524" t="s">
        <v>1592</v>
      </c>
      <c r="C1868" s="525" t="s">
        <v>1593</v>
      </c>
      <c r="D1868" s="524" t="s">
        <v>1392</v>
      </c>
      <c r="E1868" s="606">
        <v>0.3</v>
      </c>
      <c r="F1868" s="526">
        <v>18</v>
      </c>
      <c r="G1868" s="252">
        <f t="shared" si="36"/>
        <v>5.4</v>
      </c>
    </row>
    <row r="1869" spans="1:7" x14ac:dyDescent="0.3">
      <c r="A1869" s="524" t="s">
        <v>522</v>
      </c>
      <c r="B1869" s="524" t="s">
        <v>1579</v>
      </c>
      <c r="C1869" s="525" t="s">
        <v>1580</v>
      </c>
      <c r="D1869" s="524" t="s">
        <v>32</v>
      </c>
      <c r="E1869" s="606">
        <v>0.1</v>
      </c>
      <c r="F1869" s="526" t="s">
        <v>1582</v>
      </c>
      <c r="G1869" s="252">
        <f t="shared" si="36"/>
        <v>1.88</v>
      </c>
    </row>
    <row r="1870" spans="1:7" x14ac:dyDescent="0.3">
      <c r="A1870" s="524" t="s">
        <v>522</v>
      </c>
      <c r="B1870" s="524" t="s">
        <v>1359</v>
      </c>
      <c r="C1870" s="525" t="s">
        <v>801</v>
      </c>
      <c r="D1870" s="524" t="s">
        <v>32</v>
      </c>
      <c r="E1870" s="607">
        <v>0.08</v>
      </c>
      <c r="F1870" s="526" t="s">
        <v>1361</v>
      </c>
      <c r="G1870" s="252">
        <f t="shared" si="36"/>
        <v>1.1399999999999999</v>
      </c>
    </row>
    <row r="1871" spans="1:7" x14ac:dyDescent="0.3">
      <c r="A1871" s="680" t="s">
        <v>1152</v>
      </c>
      <c r="B1871" s="681"/>
      <c r="C1871" s="681"/>
      <c r="D1871" s="681"/>
      <c r="E1871" s="681"/>
      <c r="F1871" s="682"/>
      <c r="G1871" s="527">
        <f>SUM(G1867:G1870)</f>
        <v>8.42</v>
      </c>
    </row>
    <row r="1872" spans="1:7" x14ac:dyDescent="0.3">
      <c r="A1872" s="683">
        <f>TRUNC(E1872*F1872,2)</f>
        <v>0</v>
      </c>
      <c r="B1872" s="684"/>
      <c r="C1872" s="684"/>
      <c r="D1872" s="684"/>
      <c r="E1872" s="684"/>
      <c r="F1872" s="684"/>
      <c r="G1872" s="685"/>
    </row>
    <row r="1873" spans="1:7" x14ac:dyDescent="0.3">
      <c r="A1873" s="529" t="s">
        <v>165</v>
      </c>
      <c r="B1873" s="529">
        <v>88497</v>
      </c>
      <c r="C1873" s="530" t="s">
        <v>232</v>
      </c>
      <c r="D1873" s="529" t="s">
        <v>24</v>
      </c>
      <c r="E1873" s="252"/>
      <c r="F1873" s="531">
        <v>9.74</v>
      </c>
      <c r="G1873" s="252">
        <f t="shared" si="36"/>
        <v>0</v>
      </c>
    </row>
    <row r="1874" spans="1:7" x14ac:dyDescent="0.3">
      <c r="A1874" s="524" t="s">
        <v>508</v>
      </c>
      <c r="B1874" s="524" t="s">
        <v>1584</v>
      </c>
      <c r="C1874" s="525" t="s">
        <v>1585</v>
      </c>
      <c r="D1874" s="524" t="s">
        <v>397</v>
      </c>
      <c r="E1874" s="524" t="s">
        <v>1586</v>
      </c>
      <c r="F1874" s="526" t="s">
        <v>1447</v>
      </c>
      <c r="G1874" s="252">
        <f t="shared" ref="G1874:G1877" si="40">TRUNC(E1874*F1874,2)</f>
        <v>0.06</v>
      </c>
    </row>
    <row r="1875" spans="1:7" x14ac:dyDescent="0.3">
      <c r="A1875" s="524" t="s">
        <v>508</v>
      </c>
      <c r="B1875" s="524" t="s">
        <v>1587</v>
      </c>
      <c r="C1875" s="525" t="s">
        <v>1588</v>
      </c>
      <c r="D1875" s="524" t="s">
        <v>1589</v>
      </c>
      <c r="E1875" s="524" t="s">
        <v>1590</v>
      </c>
      <c r="F1875" s="526">
        <v>50</v>
      </c>
      <c r="G1875" s="252">
        <f t="shared" si="40"/>
        <v>2.44</v>
      </c>
    </row>
    <row r="1876" spans="1:7" x14ac:dyDescent="0.3">
      <c r="A1876" s="524" t="s">
        <v>522</v>
      </c>
      <c r="B1876" s="524" t="s">
        <v>1579</v>
      </c>
      <c r="C1876" s="525" t="s">
        <v>1580</v>
      </c>
      <c r="D1876" s="524" t="s">
        <v>32</v>
      </c>
      <c r="E1876" s="607">
        <v>0.3</v>
      </c>
      <c r="F1876" s="526" t="s">
        <v>1582</v>
      </c>
      <c r="G1876" s="252">
        <f t="shared" si="40"/>
        <v>5.66</v>
      </c>
    </row>
    <row r="1877" spans="1:7" x14ac:dyDescent="0.3">
      <c r="A1877" s="524" t="s">
        <v>522</v>
      </c>
      <c r="B1877" s="524" t="s">
        <v>1359</v>
      </c>
      <c r="C1877" s="525" t="s">
        <v>801</v>
      </c>
      <c r="D1877" s="524" t="s">
        <v>32</v>
      </c>
      <c r="E1877" s="607">
        <v>0.11</v>
      </c>
      <c r="F1877" s="526" t="s">
        <v>1361</v>
      </c>
      <c r="G1877" s="252">
        <f t="shared" si="40"/>
        <v>1.58</v>
      </c>
    </row>
    <row r="1878" spans="1:7" x14ac:dyDescent="0.3">
      <c r="A1878" s="680" t="s">
        <v>1152</v>
      </c>
      <c r="B1878" s="681"/>
      <c r="C1878" s="681"/>
      <c r="D1878" s="681"/>
      <c r="E1878" s="681"/>
      <c r="F1878" s="682"/>
      <c r="G1878" s="527">
        <f>SUM(G1874:G1877)</f>
        <v>9.74</v>
      </c>
    </row>
    <row r="1879" spans="1:7" x14ac:dyDescent="0.3">
      <c r="A1879" s="683">
        <f>TRUNC(E1879*F1879,2)</f>
        <v>0</v>
      </c>
      <c r="B1879" s="684"/>
      <c r="C1879" s="684"/>
      <c r="D1879" s="684"/>
      <c r="E1879" s="684"/>
      <c r="F1879" s="684"/>
      <c r="G1879" s="685"/>
    </row>
    <row r="1880" spans="1:7" ht="28.8" x14ac:dyDescent="0.3">
      <c r="A1880" s="529" t="s">
        <v>166</v>
      </c>
      <c r="B1880" s="529">
        <v>88489</v>
      </c>
      <c r="C1880" s="530" t="s">
        <v>108</v>
      </c>
      <c r="D1880" s="529" t="s">
        <v>24</v>
      </c>
      <c r="E1880" s="252"/>
      <c r="F1880" s="531">
        <v>8.14</v>
      </c>
      <c r="G1880" s="252">
        <f t="shared" si="36"/>
        <v>0</v>
      </c>
    </row>
    <row r="1881" spans="1:7" x14ac:dyDescent="0.3">
      <c r="A1881" s="524" t="s">
        <v>508</v>
      </c>
      <c r="B1881" s="524" t="s">
        <v>1592</v>
      </c>
      <c r="C1881" s="525" t="s">
        <v>1593</v>
      </c>
      <c r="D1881" s="524" t="s">
        <v>1392</v>
      </c>
      <c r="E1881" s="606">
        <v>0.3</v>
      </c>
      <c r="F1881" s="526">
        <v>18</v>
      </c>
      <c r="G1881" s="252">
        <f t="shared" si="36"/>
        <v>5.4</v>
      </c>
    </row>
    <row r="1882" spans="1:7" x14ac:dyDescent="0.3">
      <c r="A1882" s="524" t="s">
        <v>522</v>
      </c>
      <c r="B1882" s="524" t="s">
        <v>1579</v>
      </c>
      <c r="C1882" s="525" t="s">
        <v>1580</v>
      </c>
      <c r="D1882" s="524" t="s">
        <v>32</v>
      </c>
      <c r="E1882" s="606">
        <v>0.1</v>
      </c>
      <c r="F1882" s="526" t="s">
        <v>1582</v>
      </c>
      <c r="G1882" s="252">
        <f t="shared" ref="G1882:G1883" si="41">TRUNC(E1882*F1882,2)</f>
        <v>1.88</v>
      </c>
    </row>
    <row r="1883" spans="1:7" x14ac:dyDescent="0.3">
      <c r="A1883" s="524" t="s">
        <v>522</v>
      </c>
      <c r="B1883" s="524" t="s">
        <v>1359</v>
      </c>
      <c r="C1883" s="525" t="s">
        <v>801</v>
      </c>
      <c r="D1883" s="524" t="s">
        <v>32</v>
      </c>
      <c r="E1883" s="524">
        <v>0.06</v>
      </c>
      <c r="F1883" s="526" t="s">
        <v>1361</v>
      </c>
      <c r="G1883" s="252">
        <f t="shared" si="41"/>
        <v>0.86</v>
      </c>
    </row>
    <row r="1884" spans="1:7" x14ac:dyDescent="0.3">
      <c r="A1884" s="680" t="s">
        <v>1152</v>
      </c>
      <c r="B1884" s="681"/>
      <c r="C1884" s="681"/>
      <c r="D1884" s="681"/>
      <c r="E1884" s="681"/>
      <c r="F1884" s="682"/>
      <c r="G1884" s="527">
        <f>SUM(G1880:G1883)</f>
        <v>8.14</v>
      </c>
    </row>
    <row r="1885" spans="1:7" x14ac:dyDescent="0.3">
      <c r="A1885" s="683">
        <f>TRUNC(E1885*F1885,2)</f>
        <v>0</v>
      </c>
      <c r="B1885" s="684"/>
      <c r="C1885" s="684"/>
      <c r="D1885" s="684"/>
      <c r="E1885" s="684"/>
      <c r="F1885" s="684"/>
      <c r="G1885" s="685"/>
    </row>
    <row r="1886" spans="1:7" x14ac:dyDescent="0.3">
      <c r="A1886" s="529" t="s">
        <v>167</v>
      </c>
      <c r="B1886" s="529" t="s">
        <v>109</v>
      </c>
      <c r="C1886" s="530" t="s">
        <v>110</v>
      </c>
      <c r="D1886" s="529" t="s">
        <v>24</v>
      </c>
      <c r="E1886" s="252"/>
      <c r="F1886" s="531">
        <v>12.4</v>
      </c>
      <c r="G1886" s="252">
        <f t="shared" si="36"/>
        <v>0</v>
      </c>
    </row>
    <row r="1887" spans="1:7" x14ac:dyDescent="0.3">
      <c r="A1887" s="524" t="s">
        <v>508</v>
      </c>
      <c r="B1887" s="524" t="s">
        <v>1584</v>
      </c>
      <c r="C1887" s="525" t="s">
        <v>1585</v>
      </c>
      <c r="D1887" s="524" t="s">
        <v>397</v>
      </c>
      <c r="E1887" s="524" t="s">
        <v>1596</v>
      </c>
      <c r="F1887" s="526" t="s">
        <v>1447</v>
      </c>
      <c r="G1887" s="252">
        <f t="shared" si="36"/>
        <v>0.26</v>
      </c>
    </row>
    <row r="1888" spans="1:7" x14ac:dyDescent="0.3">
      <c r="A1888" s="524" t="s">
        <v>508</v>
      </c>
      <c r="B1888" s="524" t="s">
        <v>1597</v>
      </c>
      <c r="C1888" s="525" t="s">
        <v>1598</v>
      </c>
      <c r="D1888" s="524" t="s">
        <v>1392</v>
      </c>
      <c r="E1888" s="524" t="s">
        <v>1599</v>
      </c>
      <c r="F1888" s="526" t="s">
        <v>1600</v>
      </c>
      <c r="G1888" s="252">
        <f t="shared" si="36"/>
        <v>0.49</v>
      </c>
    </row>
    <row r="1889" spans="1:7" x14ac:dyDescent="0.3">
      <c r="A1889" s="524" t="s">
        <v>508</v>
      </c>
      <c r="B1889" s="524" t="s">
        <v>1601</v>
      </c>
      <c r="C1889" s="525" t="s">
        <v>1602</v>
      </c>
      <c r="D1889" s="524" t="s">
        <v>1392</v>
      </c>
      <c r="E1889" s="524" t="s">
        <v>1603</v>
      </c>
      <c r="F1889" s="526" t="s">
        <v>911</v>
      </c>
      <c r="G1889" s="252">
        <f t="shared" si="36"/>
        <v>3.84</v>
      </c>
    </row>
    <row r="1890" spans="1:7" x14ac:dyDescent="0.3">
      <c r="A1890" s="524" t="s">
        <v>522</v>
      </c>
      <c r="B1890" s="524" t="s">
        <v>1579</v>
      </c>
      <c r="C1890" s="525" t="s">
        <v>1580</v>
      </c>
      <c r="D1890" s="524" t="s">
        <v>32</v>
      </c>
      <c r="E1890" s="607">
        <v>0.3</v>
      </c>
      <c r="F1890" s="526" t="s">
        <v>1582</v>
      </c>
      <c r="G1890" s="252">
        <f t="shared" si="36"/>
        <v>5.66</v>
      </c>
    </row>
    <row r="1891" spans="1:7" x14ac:dyDescent="0.3">
      <c r="A1891" s="524" t="s">
        <v>522</v>
      </c>
      <c r="B1891" s="524" t="s">
        <v>1359</v>
      </c>
      <c r="C1891" s="525" t="s">
        <v>801</v>
      </c>
      <c r="D1891" s="524" t="s">
        <v>32</v>
      </c>
      <c r="E1891" s="607">
        <v>0.15</v>
      </c>
      <c r="F1891" s="526" t="s">
        <v>1361</v>
      </c>
      <c r="G1891" s="252">
        <f t="shared" si="36"/>
        <v>2.15</v>
      </c>
    </row>
    <row r="1892" spans="1:7" x14ac:dyDescent="0.3">
      <c r="A1892" s="680" t="s">
        <v>1152</v>
      </c>
      <c r="B1892" s="681"/>
      <c r="C1892" s="681"/>
      <c r="D1892" s="681"/>
      <c r="E1892" s="681"/>
      <c r="F1892" s="682"/>
      <c r="G1892" s="527">
        <f>SUM(G1886:G1891)</f>
        <v>12.4</v>
      </c>
    </row>
    <row r="1893" spans="1:7" x14ac:dyDescent="0.3">
      <c r="A1893" s="683">
        <f>TRUNC(E1893*F1893,2)</f>
        <v>0</v>
      </c>
      <c r="B1893" s="684"/>
      <c r="C1893" s="684"/>
      <c r="D1893" s="684"/>
      <c r="E1893" s="684"/>
      <c r="F1893" s="684"/>
      <c r="G1893" s="685"/>
    </row>
    <row r="1894" spans="1:7" ht="28.8" x14ac:dyDescent="0.3">
      <c r="A1894" s="529" t="s">
        <v>169</v>
      </c>
      <c r="B1894" s="529">
        <v>100725</v>
      </c>
      <c r="C1894" s="530" t="s">
        <v>804</v>
      </c>
      <c r="D1894" s="529" t="s">
        <v>24</v>
      </c>
      <c r="E1894" s="252"/>
      <c r="F1894" s="531">
        <v>16.12</v>
      </c>
      <c r="G1894" s="252">
        <f t="shared" si="36"/>
        <v>0</v>
      </c>
    </row>
    <row r="1895" spans="1:7" x14ac:dyDescent="0.3">
      <c r="A1895" s="524" t="s">
        <v>508</v>
      </c>
      <c r="B1895" s="524" t="s">
        <v>1597</v>
      </c>
      <c r="C1895" s="525" t="s">
        <v>1598</v>
      </c>
      <c r="D1895" s="524" t="s">
        <v>1392</v>
      </c>
      <c r="E1895" s="524" t="s">
        <v>1604</v>
      </c>
      <c r="F1895" s="528" t="s">
        <v>1600</v>
      </c>
      <c r="G1895" s="252">
        <f t="shared" si="36"/>
        <v>0.77</v>
      </c>
    </row>
    <row r="1896" spans="1:7" x14ac:dyDescent="0.3">
      <c r="A1896" s="524" t="s">
        <v>508</v>
      </c>
      <c r="B1896" s="524" t="s">
        <v>1605</v>
      </c>
      <c r="C1896" s="525" t="s">
        <v>1606</v>
      </c>
      <c r="D1896" s="524" t="s">
        <v>1392</v>
      </c>
      <c r="E1896" s="524" t="s">
        <v>1607</v>
      </c>
      <c r="F1896" s="528" t="s">
        <v>1615</v>
      </c>
      <c r="G1896" s="252">
        <f t="shared" si="36"/>
        <v>5.16</v>
      </c>
    </row>
    <row r="1897" spans="1:7" x14ac:dyDescent="0.3">
      <c r="A1897" s="524" t="s">
        <v>522</v>
      </c>
      <c r="B1897" s="524" t="s">
        <v>1579</v>
      </c>
      <c r="C1897" s="525" t="s">
        <v>1580</v>
      </c>
      <c r="D1897" s="524" t="s">
        <v>32</v>
      </c>
      <c r="E1897" s="524" t="s">
        <v>1608</v>
      </c>
      <c r="F1897" s="528" t="s">
        <v>1582</v>
      </c>
      <c r="G1897" s="252">
        <f t="shared" si="36"/>
        <v>9.94</v>
      </c>
    </row>
    <row r="1898" spans="1:7" ht="43.2" x14ac:dyDescent="0.3">
      <c r="A1898" s="524" t="s">
        <v>522</v>
      </c>
      <c r="B1898" s="524" t="s">
        <v>1609</v>
      </c>
      <c r="C1898" s="525" t="s">
        <v>1610</v>
      </c>
      <c r="D1898" s="524" t="s">
        <v>1437</v>
      </c>
      <c r="E1898" s="524" t="s">
        <v>1611</v>
      </c>
      <c r="F1898" s="528" t="s">
        <v>1616</v>
      </c>
      <c r="G1898" s="252">
        <f t="shared" si="36"/>
        <v>0.05</v>
      </c>
    </row>
    <row r="1899" spans="1:7" ht="43.2" x14ac:dyDescent="0.3">
      <c r="A1899" s="524" t="s">
        <v>522</v>
      </c>
      <c r="B1899" s="524" t="s">
        <v>1612</v>
      </c>
      <c r="C1899" s="525" t="s">
        <v>1613</v>
      </c>
      <c r="D1899" s="524" t="s">
        <v>410</v>
      </c>
      <c r="E1899" s="524" t="s">
        <v>1614</v>
      </c>
      <c r="F1899" s="528" t="s">
        <v>1617</v>
      </c>
      <c r="G1899" s="252">
        <f t="shared" si="36"/>
        <v>0.2</v>
      </c>
    </row>
    <row r="1900" spans="1:7" x14ac:dyDescent="0.3">
      <c r="A1900" s="680" t="s">
        <v>1152</v>
      </c>
      <c r="B1900" s="681"/>
      <c r="C1900" s="681"/>
      <c r="D1900" s="681"/>
      <c r="E1900" s="681"/>
      <c r="F1900" s="682"/>
      <c r="G1900" s="527">
        <f>SUM(G1894:G1899)</f>
        <v>16.12</v>
      </c>
    </row>
    <row r="1901" spans="1:7" x14ac:dyDescent="0.3">
      <c r="A1901" s="683">
        <f>TRUNC(E1901*F1901,2)</f>
        <v>0</v>
      </c>
      <c r="B1901" s="684"/>
      <c r="C1901" s="684"/>
      <c r="D1901" s="684"/>
      <c r="E1901" s="684"/>
      <c r="F1901" s="684"/>
      <c r="G1901" s="685"/>
    </row>
    <row r="1902" spans="1:7" ht="28.8" x14ac:dyDescent="0.3">
      <c r="A1902" s="529" t="s">
        <v>171</v>
      </c>
      <c r="B1902" s="529">
        <v>100727</v>
      </c>
      <c r="C1902" s="530" t="s">
        <v>805</v>
      </c>
      <c r="D1902" s="529" t="s">
        <v>24</v>
      </c>
      <c r="E1902" s="252"/>
      <c r="F1902" s="531">
        <v>11.97</v>
      </c>
      <c r="G1902" s="252">
        <f t="shared" si="36"/>
        <v>0</v>
      </c>
    </row>
    <row r="1903" spans="1:7" x14ac:dyDescent="0.3">
      <c r="A1903" s="524" t="s">
        <v>508</v>
      </c>
      <c r="B1903" s="524" t="s">
        <v>1618</v>
      </c>
      <c r="C1903" s="525" t="s">
        <v>1619</v>
      </c>
      <c r="D1903" s="524" t="s">
        <v>1392</v>
      </c>
      <c r="E1903" s="524" t="s">
        <v>1620</v>
      </c>
      <c r="F1903" s="528" t="s">
        <v>1621</v>
      </c>
      <c r="G1903" s="252">
        <f t="shared" si="36"/>
        <v>1.08</v>
      </c>
    </row>
    <row r="1904" spans="1:7" x14ac:dyDescent="0.3">
      <c r="A1904" s="524" t="s">
        <v>508</v>
      </c>
      <c r="B1904" s="524" t="s">
        <v>1622</v>
      </c>
      <c r="C1904" s="525" t="s">
        <v>1623</v>
      </c>
      <c r="D1904" s="524" t="s">
        <v>1624</v>
      </c>
      <c r="E1904" s="524" t="s">
        <v>1625</v>
      </c>
      <c r="F1904" s="528" t="s">
        <v>1626</v>
      </c>
      <c r="G1904" s="252">
        <f t="shared" si="36"/>
        <v>9.6199999999999992</v>
      </c>
    </row>
    <row r="1905" spans="1:7" x14ac:dyDescent="0.3">
      <c r="A1905" s="524" t="s">
        <v>522</v>
      </c>
      <c r="B1905" s="524" t="s">
        <v>1627</v>
      </c>
      <c r="C1905" s="525" t="s">
        <v>1628</v>
      </c>
      <c r="D1905" s="524" t="s">
        <v>32</v>
      </c>
      <c r="E1905" s="524" t="s">
        <v>1629</v>
      </c>
      <c r="F1905" s="528" t="s">
        <v>1630</v>
      </c>
      <c r="G1905" s="252">
        <f t="shared" si="36"/>
        <v>1.25</v>
      </c>
    </row>
    <row r="1906" spans="1:7" ht="43.2" x14ac:dyDescent="0.3">
      <c r="A1906" s="524" t="s">
        <v>522</v>
      </c>
      <c r="B1906" s="524" t="s">
        <v>1612</v>
      </c>
      <c r="C1906" s="525" t="s">
        <v>1613</v>
      </c>
      <c r="D1906" s="524" t="s">
        <v>410</v>
      </c>
      <c r="E1906" s="524" t="s">
        <v>1631</v>
      </c>
      <c r="F1906" s="528" t="s">
        <v>1617</v>
      </c>
      <c r="G1906" s="252">
        <f t="shared" si="36"/>
        <v>0.02</v>
      </c>
    </row>
    <row r="1907" spans="1:7" x14ac:dyDescent="0.3">
      <c r="A1907" s="680" t="s">
        <v>1152</v>
      </c>
      <c r="B1907" s="681"/>
      <c r="C1907" s="681"/>
      <c r="D1907" s="681"/>
      <c r="E1907" s="681"/>
      <c r="F1907" s="682"/>
      <c r="G1907" s="527">
        <f>SUM(G1902:G1906)</f>
        <v>11.969999999999999</v>
      </c>
    </row>
    <row r="1908" spans="1:7" x14ac:dyDescent="0.3">
      <c r="A1908" s="683">
        <f>TRUNC(E1908*F1908,2)</f>
        <v>0</v>
      </c>
      <c r="B1908" s="684"/>
      <c r="C1908" s="684"/>
      <c r="D1908" s="684"/>
      <c r="E1908" s="684"/>
      <c r="F1908" s="684"/>
      <c r="G1908" s="685"/>
    </row>
    <row r="1909" spans="1:7" x14ac:dyDescent="0.3">
      <c r="A1909" s="529" t="s">
        <v>173</v>
      </c>
      <c r="B1909" s="529">
        <v>88497</v>
      </c>
      <c r="C1909" s="530" t="s">
        <v>309</v>
      </c>
      <c r="D1909" s="529" t="s">
        <v>24</v>
      </c>
      <c r="E1909" s="252"/>
      <c r="F1909" s="531">
        <v>9.74</v>
      </c>
      <c r="G1909" s="252">
        <f t="shared" si="36"/>
        <v>0</v>
      </c>
    </row>
    <row r="1910" spans="1:7" x14ac:dyDescent="0.3">
      <c r="A1910" s="524" t="s">
        <v>508</v>
      </c>
      <c r="B1910" s="524" t="s">
        <v>1584</v>
      </c>
      <c r="C1910" s="525" t="s">
        <v>1585</v>
      </c>
      <c r="D1910" s="524" t="s">
        <v>397</v>
      </c>
      <c r="E1910" s="524" t="s">
        <v>1586</v>
      </c>
      <c r="F1910" s="526" t="s">
        <v>1447</v>
      </c>
      <c r="G1910" s="252">
        <f t="shared" ref="G1910:G1913" si="42">TRUNC(E1910*F1910,2)</f>
        <v>0.06</v>
      </c>
    </row>
    <row r="1911" spans="1:7" x14ac:dyDescent="0.3">
      <c r="A1911" s="524" t="s">
        <v>508</v>
      </c>
      <c r="B1911" s="524" t="s">
        <v>1587</v>
      </c>
      <c r="C1911" s="525" t="s">
        <v>1588</v>
      </c>
      <c r="D1911" s="524" t="s">
        <v>1589</v>
      </c>
      <c r="E1911" s="524" t="s">
        <v>1590</v>
      </c>
      <c r="F1911" s="526">
        <v>50</v>
      </c>
      <c r="G1911" s="252">
        <f t="shared" si="42"/>
        <v>2.44</v>
      </c>
    </row>
    <row r="1912" spans="1:7" x14ac:dyDescent="0.3">
      <c r="A1912" s="524" t="s">
        <v>522</v>
      </c>
      <c r="B1912" s="524" t="s">
        <v>1579</v>
      </c>
      <c r="C1912" s="525" t="s">
        <v>1580</v>
      </c>
      <c r="D1912" s="524" t="s">
        <v>32</v>
      </c>
      <c r="E1912" s="607">
        <v>0.3</v>
      </c>
      <c r="F1912" s="526" t="s">
        <v>1582</v>
      </c>
      <c r="G1912" s="252">
        <f t="shared" si="42"/>
        <v>5.66</v>
      </c>
    </row>
    <row r="1913" spans="1:7" x14ac:dyDescent="0.3">
      <c r="A1913" s="524" t="s">
        <v>522</v>
      </c>
      <c r="B1913" s="524" t="s">
        <v>1359</v>
      </c>
      <c r="C1913" s="525" t="s">
        <v>801</v>
      </c>
      <c r="D1913" s="524" t="s">
        <v>32</v>
      </c>
      <c r="E1913" s="607">
        <v>0.11</v>
      </c>
      <c r="F1913" s="526" t="s">
        <v>1361</v>
      </c>
      <c r="G1913" s="252">
        <f t="shared" si="42"/>
        <v>1.58</v>
      </c>
    </row>
    <row r="1914" spans="1:7" x14ac:dyDescent="0.3">
      <c r="A1914" s="680" t="s">
        <v>1152</v>
      </c>
      <c r="B1914" s="681"/>
      <c r="C1914" s="681"/>
      <c r="D1914" s="681"/>
      <c r="E1914" s="681"/>
      <c r="F1914" s="682"/>
      <c r="G1914" s="527">
        <f>SUM(G1910:G1913)</f>
        <v>9.74</v>
      </c>
    </row>
    <row r="1915" spans="1:7" x14ac:dyDescent="0.3">
      <c r="A1915" s="683">
        <f>TRUNC(E1915*F1915,2)</f>
        <v>0</v>
      </c>
      <c r="B1915" s="684"/>
      <c r="C1915" s="684"/>
      <c r="D1915" s="684"/>
      <c r="E1915" s="684"/>
      <c r="F1915" s="684"/>
      <c r="G1915" s="685"/>
    </row>
    <row r="1916" spans="1:7" ht="28.8" x14ac:dyDescent="0.3">
      <c r="A1916" s="529" t="s">
        <v>175</v>
      </c>
      <c r="B1916" s="529">
        <v>95626</v>
      </c>
      <c r="C1916" s="530" t="s">
        <v>235</v>
      </c>
      <c r="D1916" s="529" t="s">
        <v>24</v>
      </c>
      <c r="E1916" s="252"/>
      <c r="F1916" s="531">
        <v>10.4</v>
      </c>
      <c r="G1916" s="252">
        <f t="shared" si="36"/>
        <v>0</v>
      </c>
    </row>
    <row r="1917" spans="1:7" x14ac:dyDescent="0.3">
      <c r="A1917" s="524" t="s">
        <v>508</v>
      </c>
      <c r="B1917" s="524" t="s">
        <v>1592</v>
      </c>
      <c r="C1917" s="525" t="s">
        <v>1593</v>
      </c>
      <c r="D1917" s="524" t="s">
        <v>1392</v>
      </c>
      <c r="E1917" s="524" t="s">
        <v>1528</v>
      </c>
      <c r="F1917" s="526">
        <v>18</v>
      </c>
      <c r="G1917" s="252">
        <f t="shared" si="36"/>
        <v>3.6</v>
      </c>
    </row>
    <row r="1918" spans="1:7" x14ac:dyDescent="0.3">
      <c r="A1918" s="524" t="s">
        <v>522</v>
      </c>
      <c r="B1918" s="524" t="s">
        <v>1579</v>
      </c>
      <c r="C1918" s="525" t="s">
        <v>1580</v>
      </c>
      <c r="D1918" s="524" t="s">
        <v>32</v>
      </c>
      <c r="E1918" s="606">
        <v>0.3</v>
      </c>
      <c r="F1918" s="526" t="s">
        <v>1582</v>
      </c>
      <c r="G1918" s="252">
        <f t="shared" si="36"/>
        <v>5.66</v>
      </c>
    </row>
    <row r="1919" spans="1:7" x14ac:dyDescent="0.3">
      <c r="A1919" s="524" t="s">
        <v>522</v>
      </c>
      <c r="B1919" s="524" t="s">
        <v>1359</v>
      </c>
      <c r="C1919" s="525" t="s">
        <v>801</v>
      </c>
      <c r="D1919" s="524" t="s">
        <v>32</v>
      </c>
      <c r="E1919" s="606">
        <v>0.08</v>
      </c>
      <c r="F1919" s="526" t="s">
        <v>1361</v>
      </c>
      <c r="G1919" s="252">
        <f t="shared" si="36"/>
        <v>1.1399999999999999</v>
      </c>
    </row>
    <row r="1920" spans="1:7" x14ac:dyDescent="0.3">
      <c r="A1920" s="680" t="s">
        <v>1152</v>
      </c>
      <c r="B1920" s="681"/>
      <c r="C1920" s="681"/>
      <c r="D1920" s="681"/>
      <c r="E1920" s="681"/>
      <c r="F1920" s="682"/>
      <c r="G1920" s="527">
        <f>SUM(G1916:G1919)</f>
        <v>10.4</v>
      </c>
    </row>
    <row r="1921" spans="1:7" x14ac:dyDescent="0.3">
      <c r="A1921" s="683">
        <f>TRUNC(E1921*F1921,2)</f>
        <v>0</v>
      </c>
      <c r="B1921" s="684"/>
      <c r="C1921" s="684"/>
      <c r="D1921" s="684"/>
      <c r="E1921" s="684"/>
      <c r="F1921" s="684"/>
      <c r="G1921" s="685"/>
    </row>
    <row r="1922" spans="1:7" x14ac:dyDescent="0.3">
      <c r="A1922" s="529" t="s">
        <v>177</v>
      </c>
      <c r="B1922" s="529">
        <v>84665</v>
      </c>
      <c r="C1922" s="530" t="s">
        <v>114</v>
      </c>
      <c r="D1922" s="529" t="s">
        <v>24</v>
      </c>
      <c r="E1922" s="252"/>
      <c r="F1922" s="531">
        <v>16.66</v>
      </c>
      <c r="G1922" s="252">
        <f t="shared" si="36"/>
        <v>0</v>
      </c>
    </row>
    <row r="1923" spans="1:7" ht="28.8" x14ac:dyDescent="0.3">
      <c r="A1923" s="524" t="s">
        <v>508</v>
      </c>
      <c r="B1923" s="524" t="s">
        <v>1632</v>
      </c>
      <c r="C1923" s="525" t="s">
        <v>1633</v>
      </c>
      <c r="D1923" s="524" t="s">
        <v>1392</v>
      </c>
      <c r="E1923" s="524" t="s">
        <v>1634</v>
      </c>
      <c r="F1923" s="528" t="s">
        <v>1635</v>
      </c>
      <c r="G1923" s="252">
        <f t="shared" si="36"/>
        <v>2.48</v>
      </c>
    </row>
    <row r="1924" spans="1:7" x14ac:dyDescent="0.3">
      <c r="A1924" s="524" t="s">
        <v>522</v>
      </c>
      <c r="B1924" s="524" t="s">
        <v>1579</v>
      </c>
      <c r="C1924" s="525" t="s">
        <v>1580</v>
      </c>
      <c r="D1924" s="524" t="s">
        <v>32</v>
      </c>
      <c r="E1924" s="524" t="s">
        <v>1636</v>
      </c>
      <c r="F1924" s="528" t="s">
        <v>1582</v>
      </c>
      <c r="G1924" s="252">
        <f t="shared" si="36"/>
        <v>9.44</v>
      </c>
    </row>
    <row r="1925" spans="1:7" x14ac:dyDescent="0.3">
      <c r="A1925" s="524" t="s">
        <v>522</v>
      </c>
      <c r="B1925" s="524" t="s">
        <v>1359</v>
      </c>
      <c r="C1925" s="525" t="s">
        <v>801</v>
      </c>
      <c r="D1925" s="524" t="s">
        <v>32</v>
      </c>
      <c r="E1925" s="524" t="s">
        <v>1594</v>
      </c>
      <c r="F1925" s="528" t="s">
        <v>1361</v>
      </c>
      <c r="G1925" s="252">
        <f t="shared" si="36"/>
        <v>4.74</v>
      </c>
    </row>
    <row r="1926" spans="1:7" x14ac:dyDescent="0.3">
      <c r="A1926" s="680" t="s">
        <v>1152</v>
      </c>
      <c r="B1926" s="681"/>
      <c r="C1926" s="681"/>
      <c r="D1926" s="681"/>
      <c r="E1926" s="681"/>
      <c r="F1926" s="682"/>
      <c r="G1926" s="527">
        <f>SUM(G1922:G1925)</f>
        <v>16.66</v>
      </c>
    </row>
    <row r="1927" spans="1:7" x14ac:dyDescent="0.3">
      <c r="A1927" s="683">
        <f>TRUNC(E1927*F1927,2)</f>
        <v>0</v>
      </c>
      <c r="B1927" s="684"/>
      <c r="C1927" s="684"/>
      <c r="D1927" s="684"/>
      <c r="E1927" s="684"/>
      <c r="F1927" s="684"/>
      <c r="G1927" s="685"/>
    </row>
    <row r="1928" spans="1:7" x14ac:dyDescent="0.3">
      <c r="A1928" s="529" t="s">
        <v>186</v>
      </c>
      <c r="B1928" s="529"/>
      <c r="C1928" s="530" t="s">
        <v>117</v>
      </c>
      <c r="D1928" s="529"/>
      <c r="E1928" s="252"/>
      <c r="F1928" s="531"/>
      <c r="G1928" s="252">
        <f t="shared" si="36"/>
        <v>0</v>
      </c>
    </row>
    <row r="1929" spans="1:7" ht="28.8" x14ac:dyDescent="0.3">
      <c r="A1929" s="529" t="s">
        <v>188</v>
      </c>
      <c r="B1929" s="529">
        <v>91932</v>
      </c>
      <c r="C1929" s="530" t="s">
        <v>119</v>
      </c>
      <c r="D1929" s="529" t="s">
        <v>55</v>
      </c>
      <c r="E1929" s="252"/>
      <c r="F1929" s="531">
        <v>9.9499999999999993</v>
      </c>
      <c r="G1929" s="252">
        <f t="shared" si="36"/>
        <v>0</v>
      </c>
    </row>
    <row r="1930" spans="1:7" ht="28.8" x14ac:dyDescent="0.3">
      <c r="A1930" s="524" t="s">
        <v>508</v>
      </c>
      <c r="B1930" s="524" t="s">
        <v>1637</v>
      </c>
      <c r="C1930" s="525" t="s">
        <v>1638</v>
      </c>
      <c r="D1930" s="524" t="s">
        <v>55</v>
      </c>
      <c r="E1930" s="524" t="s">
        <v>1639</v>
      </c>
      <c r="F1930" s="528" t="s">
        <v>1640</v>
      </c>
      <c r="G1930" s="252">
        <f t="shared" si="36"/>
        <v>7.41</v>
      </c>
    </row>
    <row r="1931" spans="1:7" x14ac:dyDescent="0.3">
      <c r="A1931" s="524" t="s">
        <v>508</v>
      </c>
      <c r="B1931" s="524" t="s">
        <v>1641</v>
      </c>
      <c r="C1931" s="525" t="s">
        <v>1642</v>
      </c>
      <c r="D1931" s="524" t="s">
        <v>397</v>
      </c>
      <c r="E1931" s="524" t="s">
        <v>1643</v>
      </c>
      <c r="F1931" s="528" t="s">
        <v>1644</v>
      </c>
      <c r="G1931" s="252">
        <f t="shared" si="36"/>
        <v>0.03</v>
      </c>
    </row>
    <row r="1932" spans="1:7" x14ac:dyDescent="0.3">
      <c r="A1932" s="524" t="s">
        <v>522</v>
      </c>
      <c r="B1932" s="524" t="s">
        <v>611</v>
      </c>
      <c r="C1932" s="525" t="s">
        <v>546</v>
      </c>
      <c r="D1932" s="524" t="s">
        <v>32</v>
      </c>
      <c r="E1932" s="524" t="s">
        <v>1645</v>
      </c>
      <c r="F1932" s="528" t="s">
        <v>1646</v>
      </c>
      <c r="G1932" s="252">
        <f t="shared" si="36"/>
        <v>1.1000000000000001</v>
      </c>
    </row>
    <row r="1933" spans="1:7" x14ac:dyDescent="0.3">
      <c r="A1933" s="524" t="s">
        <v>522</v>
      </c>
      <c r="B1933" s="524" t="s">
        <v>610</v>
      </c>
      <c r="C1933" s="525" t="s">
        <v>543</v>
      </c>
      <c r="D1933" s="524" t="s">
        <v>32</v>
      </c>
      <c r="E1933" s="524" t="s">
        <v>1645</v>
      </c>
      <c r="F1933" s="528" t="s">
        <v>1647</v>
      </c>
      <c r="G1933" s="252">
        <f t="shared" si="36"/>
        <v>1.41</v>
      </c>
    </row>
    <row r="1934" spans="1:7" x14ac:dyDescent="0.3">
      <c r="A1934" s="680" t="s">
        <v>1152</v>
      </c>
      <c r="B1934" s="681"/>
      <c r="C1934" s="681"/>
      <c r="D1934" s="681"/>
      <c r="E1934" s="681"/>
      <c r="F1934" s="682"/>
      <c r="G1934" s="527">
        <f>SUM(G1930:G1933)</f>
        <v>9.9500000000000011</v>
      </c>
    </row>
    <row r="1935" spans="1:7" x14ac:dyDescent="0.3">
      <c r="A1935" s="683">
        <f>TRUNC(E1935*F1935,2)</f>
        <v>0</v>
      </c>
      <c r="B1935" s="684"/>
      <c r="C1935" s="684"/>
      <c r="D1935" s="684"/>
      <c r="E1935" s="684"/>
      <c r="F1935" s="684"/>
      <c r="G1935" s="685"/>
    </row>
    <row r="1936" spans="1:7" ht="28.8" x14ac:dyDescent="0.3">
      <c r="A1936" s="529" t="s">
        <v>200</v>
      </c>
      <c r="B1936" s="529">
        <v>91930</v>
      </c>
      <c r="C1936" s="530" t="s">
        <v>121</v>
      </c>
      <c r="D1936" s="529" t="s">
        <v>55</v>
      </c>
      <c r="E1936" s="252"/>
      <c r="F1936" s="531">
        <v>5.5</v>
      </c>
      <c r="G1936" s="252">
        <f t="shared" si="36"/>
        <v>0</v>
      </c>
    </row>
    <row r="1937" spans="1:7" ht="28.8" x14ac:dyDescent="0.3">
      <c r="A1937" s="524" t="s">
        <v>508</v>
      </c>
      <c r="B1937" s="524" t="s">
        <v>1648</v>
      </c>
      <c r="C1937" s="525" t="s">
        <v>1649</v>
      </c>
      <c r="D1937" s="524" t="s">
        <v>55</v>
      </c>
      <c r="E1937" s="606">
        <v>1.036</v>
      </c>
      <c r="F1937" s="528" t="s">
        <v>1650</v>
      </c>
      <c r="G1937" s="252">
        <f t="shared" si="36"/>
        <v>3.78</v>
      </c>
    </row>
    <row r="1938" spans="1:7" x14ac:dyDescent="0.3">
      <c r="A1938" s="524" t="s">
        <v>508</v>
      </c>
      <c r="B1938" s="524" t="s">
        <v>1641</v>
      </c>
      <c r="C1938" s="525" t="s">
        <v>1642</v>
      </c>
      <c r="D1938" s="524" t="s">
        <v>397</v>
      </c>
      <c r="E1938" s="524" t="s">
        <v>1643</v>
      </c>
      <c r="F1938" s="528" t="s">
        <v>1644</v>
      </c>
      <c r="G1938" s="252">
        <f t="shared" si="36"/>
        <v>0.03</v>
      </c>
    </row>
    <row r="1939" spans="1:7" x14ac:dyDescent="0.3">
      <c r="A1939" s="524" t="s">
        <v>522</v>
      </c>
      <c r="B1939" s="524" t="s">
        <v>611</v>
      </c>
      <c r="C1939" s="525" t="s">
        <v>546</v>
      </c>
      <c r="D1939" s="524" t="s">
        <v>32</v>
      </c>
      <c r="E1939" s="524" t="s">
        <v>1651</v>
      </c>
      <c r="F1939" s="528" t="s">
        <v>1646</v>
      </c>
      <c r="G1939" s="252">
        <f t="shared" si="36"/>
        <v>0.74</v>
      </c>
    </row>
    <row r="1940" spans="1:7" x14ac:dyDescent="0.3">
      <c r="A1940" s="524" t="s">
        <v>522</v>
      </c>
      <c r="B1940" s="524" t="s">
        <v>610</v>
      </c>
      <c r="C1940" s="525" t="s">
        <v>543</v>
      </c>
      <c r="D1940" s="524" t="s">
        <v>32</v>
      </c>
      <c r="E1940" s="524" t="s">
        <v>1651</v>
      </c>
      <c r="F1940" s="528" t="s">
        <v>1647</v>
      </c>
      <c r="G1940" s="252">
        <f t="shared" si="36"/>
        <v>0.95</v>
      </c>
    </row>
    <row r="1941" spans="1:7" x14ac:dyDescent="0.3">
      <c r="A1941" s="680" t="s">
        <v>1152</v>
      </c>
      <c r="B1941" s="681"/>
      <c r="C1941" s="681"/>
      <c r="D1941" s="681"/>
      <c r="E1941" s="681"/>
      <c r="F1941" s="682"/>
      <c r="G1941" s="527">
        <f>SUM(G1936:G1940)</f>
        <v>5.5</v>
      </c>
    </row>
    <row r="1942" spans="1:7" x14ac:dyDescent="0.3">
      <c r="A1942" s="683">
        <f>TRUNC(E1942*F1942,2)</f>
        <v>0</v>
      </c>
      <c r="B1942" s="684"/>
      <c r="C1942" s="684"/>
      <c r="D1942" s="684"/>
      <c r="E1942" s="684"/>
      <c r="F1942" s="684"/>
      <c r="G1942" s="685"/>
    </row>
    <row r="1943" spans="1:7" ht="28.8" x14ac:dyDescent="0.3">
      <c r="A1943" s="529" t="s">
        <v>236</v>
      </c>
      <c r="B1943" s="529">
        <v>91928</v>
      </c>
      <c r="C1943" s="530" t="s">
        <v>123</v>
      </c>
      <c r="D1943" s="529" t="s">
        <v>55</v>
      </c>
      <c r="E1943" s="252"/>
      <c r="F1943" s="531">
        <v>4.42</v>
      </c>
      <c r="G1943" s="252">
        <f t="shared" si="36"/>
        <v>0</v>
      </c>
    </row>
    <row r="1944" spans="1:7" ht="28.8" x14ac:dyDescent="0.3">
      <c r="A1944" s="524" t="s">
        <v>508</v>
      </c>
      <c r="B1944" s="524" t="s">
        <v>1652</v>
      </c>
      <c r="C1944" s="525" t="s">
        <v>1653</v>
      </c>
      <c r="D1944" s="524" t="s">
        <v>55</v>
      </c>
      <c r="E1944" s="524" t="s">
        <v>1639</v>
      </c>
      <c r="F1944" s="528" t="s">
        <v>1654</v>
      </c>
      <c r="G1944" s="252">
        <f t="shared" si="36"/>
        <v>3.09</v>
      </c>
    </row>
    <row r="1945" spans="1:7" x14ac:dyDescent="0.3">
      <c r="A1945" s="524" t="s">
        <v>508</v>
      </c>
      <c r="B1945" s="524" t="s">
        <v>1641</v>
      </c>
      <c r="C1945" s="525" t="s">
        <v>1642</v>
      </c>
      <c r="D1945" s="524" t="s">
        <v>397</v>
      </c>
      <c r="E1945" s="524" t="s">
        <v>1643</v>
      </c>
      <c r="F1945" s="528" t="s">
        <v>1644</v>
      </c>
      <c r="G1945" s="252">
        <f t="shared" si="36"/>
        <v>0.03</v>
      </c>
    </row>
    <row r="1946" spans="1:7" x14ac:dyDescent="0.3">
      <c r="A1946" s="524" t="s">
        <v>522</v>
      </c>
      <c r="B1946" s="524" t="s">
        <v>611</v>
      </c>
      <c r="C1946" s="525" t="s">
        <v>546</v>
      </c>
      <c r="D1946" s="524" t="s">
        <v>32</v>
      </c>
      <c r="E1946" s="524" t="s">
        <v>1599</v>
      </c>
      <c r="F1946" s="528" t="s">
        <v>1646</v>
      </c>
      <c r="G1946" s="252">
        <f t="shared" si="36"/>
        <v>0.56999999999999995</v>
      </c>
    </row>
    <row r="1947" spans="1:7" x14ac:dyDescent="0.3">
      <c r="A1947" s="524" t="s">
        <v>522</v>
      </c>
      <c r="B1947" s="524" t="s">
        <v>610</v>
      </c>
      <c r="C1947" s="525" t="s">
        <v>543</v>
      </c>
      <c r="D1947" s="524" t="s">
        <v>32</v>
      </c>
      <c r="E1947" s="524" t="s">
        <v>1599</v>
      </c>
      <c r="F1947" s="528" t="s">
        <v>1647</v>
      </c>
      <c r="G1947" s="252">
        <f t="shared" si="36"/>
        <v>0.73</v>
      </c>
    </row>
    <row r="1948" spans="1:7" x14ac:dyDescent="0.3">
      <c r="A1948" s="680" t="s">
        <v>1152</v>
      </c>
      <c r="B1948" s="681"/>
      <c r="C1948" s="681"/>
      <c r="D1948" s="681"/>
      <c r="E1948" s="681"/>
      <c r="F1948" s="682"/>
      <c r="G1948" s="527">
        <f>SUM(G1944:G1947)</f>
        <v>4.42</v>
      </c>
    </row>
    <row r="1949" spans="1:7" x14ac:dyDescent="0.3">
      <c r="A1949" s="683">
        <f>TRUNC(E1949*F1949,2)</f>
        <v>0</v>
      </c>
      <c r="B1949" s="684"/>
      <c r="C1949" s="684"/>
      <c r="D1949" s="684"/>
      <c r="E1949" s="684"/>
      <c r="F1949" s="684"/>
      <c r="G1949" s="685"/>
    </row>
    <row r="1950" spans="1:7" ht="28.8" x14ac:dyDescent="0.3">
      <c r="A1950" s="529" t="s">
        <v>237</v>
      </c>
      <c r="B1950" s="529">
        <v>91927</v>
      </c>
      <c r="C1950" s="530" t="s">
        <v>125</v>
      </c>
      <c r="D1950" s="529" t="s">
        <v>55</v>
      </c>
      <c r="E1950" s="252"/>
      <c r="F1950" s="531">
        <v>3</v>
      </c>
      <c r="G1950" s="252">
        <f t="shared" si="36"/>
        <v>0</v>
      </c>
    </row>
    <row r="1951" spans="1:7" ht="43.2" x14ac:dyDescent="0.3">
      <c r="A1951" s="524" t="s">
        <v>508</v>
      </c>
      <c r="B1951" s="524" t="s">
        <v>1655</v>
      </c>
      <c r="C1951" s="525" t="s">
        <v>1656</v>
      </c>
      <c r="D1951" s="524" t="s">
        <v>55</v>
      </c>
      <c r="E1951" s="606">
        <v>1</v>
      </c>
      <c r="F1951" s="528">
        <v>2</v>
      </c>
      <c r="G1951" s="252">
        <f t="shared" si="36"/>
        <v>2</v>
      </c>
    </row>
    <row r="1952" spans="1:7" x14ac:dyDescent="0.3">
      <c r="A1952" s="524" t="s">
        <v>508</v>
      </c>
      <c r="B1952" s="524" t="s">
        <v>1641</v>
      </c>
      <c r="C1952" s="525" t="s">
        <v>1642</v>
      </c>
      <c r="D1952" s="524" t="s">
        <v>397</v>
      </c>
      <c r="E1952" s="524" t="s">
        <v>1643</v>
      </c>
      <c r="F1952" s="528" t="s">
        <v>1644</v>
      </c>
      <c r="G1952" s="252">
        <f t="shared" si="36"/>
        <v>0.03</v>
      </c>
    </row>
    <row r="1953" spans="1:7" x14ac:dyDescent="0.3">
      <c r="A1953" s="524" t="s">
        <v>522</v>
      </c>
      <c r="B1953" s="524" t="s">
        <v>611</v>
      </c>
      <c r="C1953" s="525" t="s">
        <v>546</v>
      </c>
      <c r="D1953" s="524" t="s">
        <v>32</v>
      </c>
      <c r="E1953" s="524" t="s">
        <v>1657</v>
      </c>
      <c r="F1953" s="528" t="s">
        <v>1646</v>
      </c>
      <c r="G1953" s="252">
        <f t="shared" si="36"/>
        <v>0.42</v>
      </c>
    </row>
    <row r="1954" spans="1:7" x14ac:dyDescent="0.3">
      <c r="A1954" s="524" t="s">
        <v>522</v>
      </c>
      <c r="B1954" s="524" t="s">
        <v>610</v>
      </c>
      <c r="C1954" s="525" t="s">
        <v>543</v>
      </c>
      <c r="D1954" s="524" t="s">
        <v>32</v>
      </c>
      <c r="E1954" s="524" t="s">
        <v>1657</v>
      </c>
      <c r="F1954" s="528" t="s">
        <v>1647</v>
      </c>
      <c r="G1954" s="252">
        <f t="shared" si="36"/>
        <v>0.55000000000000004</v>
      </c>
    </row>
    <row r="1955" spans="1:7" x14ac:dyDescent="0.3">
      <c r="A1955" s="680" t="s">
        <v>1152</v>
      </c>
      <c r="B1955" s="681"/>
      <c r="C1955" s="681"/>
      <c r="D1955" s="681"/>
      <c r="E1955" s="681"/>
      <c r="F1955" s="682"/>
      <c r="G1955" s="527">
        <f>SUM(G1951:G1954)</f>
        <v>3</v>
      </c>
    </row>
    <row r="1956" spans="1:7" x14ac:dyDescent="0.3">
      <c r="A1956" s="683">
        <f>TRUNC(E1956*F1956,2)</f>
        <v>0</v>
      </c>
      <c r="B1956" s="684"/>
      <c r="C1956" s="684"/>
      <c r="D1956" s="684"/>
      <c r="E1956" s="684"/>
      <c r="F1956" s="684"/>
      <c r="G1956" s="685"/>
    </row>
    <row r="1957" spans="1:7" ht="28.8" x14ac:dyDescent="0.3">
      <c r="A1957" s="529" t="s">
        <v>238</v>
      </c>
      <c r="B1957" s="529">
        <v>90447</v>
      </c>
      <c r="C1957" s="530" t="s">
        <v>127</v>
      </c>
      <c r="D1957" s="529" t="s">
        <v>55</v>
      </c>
      <c r="E1957" s="252"/>
      <c r="F1957" s="531">
        <v>4.45</v>
      </c>
      <c r="G1957" s="252">
        <f t="shared" si="36"/>
        <v>0</v>
      </c>
    </row>
    <row r="1958" spans="1:7" x14ac:dyDescent="0.3">
      <c r="A1958" s="524" t="s">
        <v>522</v>
      </c>
      <c r="B1958" s="524" t="s">
        <v>611</v>
      </c>
      <c r="C1958" s="525" t="s">
        <v>546</v>
      </c>
      <c r="D1958" s="524" t="s">
        <v>32</v>
      </c>
      <c r="E1958" s="524" t="s">
        <v>1658</v>
      </c>
      <c r="F1958" s="528" t="s">
        <v>1646</v>
      </c>
      <c r="G1958" s="252">
        <f t="shared" si="36"/>
        <v>0.48</v>
      </c>
    </row>
    <row r="1959" spans="1:7" x14ac:dyDescent="0.3">
      <c r="A1959" s="524" t="s">
        <v>522</v>
      </c>
      <c r="B1959" s="524" t="s">
        <v>610</v>
      </c>
      <c r="C1959" s="525" t="s">
        <v>543</v>
      </c>
      <c r="D1959" s="524" t="s">
        <v>32</v>
      </c>
      <c r="E1959" s="524" t="s">
        <v>1659</v>
      </c>
      <c r="F1959" s="528" t="s">
        <v>1647</v>
      </c>
      <c r="G1959" s="252">
        <f t="shared" si="36"/>
        <v>3.97</v>
      </c>
    </row>
    <row r="1960" spans="1:7" x14ac:dyDescent="0.3">
      <c r="A1960" s="680" t="s">
        <v>1152</v>
      </c>
      <c r="B1960" s="681"/>
      <c r="C1960" s="681"/>
      <c r="D1960" s="681"/>
      <c r="E1960" s="681"/>
      <c r="F1960" s="682"/>
      <c r="G1960" s="527">
        <f>SUM(G1956:G1959)</f>
        <v>4.45</v>
      </c>
    </row>
    <row r="1961" spans="1:7" x14ac:dyDescent="0.3">
      <c r="A1961" s="683">
        <f>TRUNC(E1961*F1961,2)</f>
        <v>0</v>
      </c>
      <c r="B1961" s="684"/>
      <c r="C1961" s="684"/>
      <c r="D1961" s="684"/>
      <c r="E1961" s="684"/>
      <c r="F1961" s="684"/>
      <c r="G1961" s="685"/>
    </row>
    <row r="1962" spans="1:7" ht="28.8" x14ac:dyDescent="0.3">
      <c r="A1962" s="529" t="s">
        <v>239</v>
      </c>
      <c r="B1962" s="529">
        <v>91836</v>
      </c>
      <c r="C1962" s="530" t="s">
        <v>130</v>
      </c>
      <c r="D1962" s="529" t="s">
        <v>55</v>
      </c>
      <c r="E1962" s="252"/>
      <c r="F1962" s="531">
        <v>7.55</v>
      </c>
      <c r="G1962" s="252">
        <f t="shared" si="36"/>
        <v>0</v>
      </c>
    </row>
    <row r="1963" spans="1:7" x14ac:dyDescent="0.3">
      <c r="A1963" s="524" t="s">
        <v>508</v>
      </c>
      <c r="B1963" s="524" t="s">
        <v>1660</v>
      </c>
      <c r="C1963" s="525" t="s">
        <v>1661</v>
      </c>
      <c r="D1963" s="524" t="s">
        <v>55</v>
      </c>
      <c r="E1963" s="524" t="s">
        <v>1662</v>
      </c>
      <c r="F1963" s="528" t="s">
        <v>1663</v>
      </c>
      <c r="G1963" s="252">
        <f t="shared" si="36"/>
        <v>2.46</v>
      </c>
    </row>
    <row r="1964" spans="1:7" x14ac:dyDescent="0.3">
      <c r="A1964" s="524" t="s">
        <v>522</v>
      </c>
      <c r="B1964" s="524" t="s">
        <v>611</v>
      </c>
      <c r="C1964" s="525" t="s">
        <v>546</v>
      </c>
      <c r="D1964" s="524" t="s">
        <v>32</v>
      </c>
      <c r="E1964" s="524" t="s">
        <v>1664</v>
      </c>
      <c r="F1964" s="528" t="s">
        <v>1646</v>
      </c>
      <c r="G1964" s="252">
        <f t="shared" si="36"/>
        <v>1.28</v>
      </c>
    </row>
    <row r="1965" spans="1:7" x14ac:dyDescent="0.3">
      <c r="A1965" s="524" t="s">
        <v>522</v>
      </c>
      <c r="B1965" s="524" t="s">
        <v>610</v>
      </c>
      <c r="C1965" s="525" t="s">
        <v>543</v>
      </c>
      <c r="D1965" s="524" t="s">
        <v>32</v>
      </c>
      <c r="E1965" s="524" t="s">
        <v>1664</v>
      </c>
      <c r="F1965" s="528" t="s">
        <v>1647</v>
      </c>
      <c r="G1965" s="252">
        <f t="shared" si="36"/>
        <v>1.65</v>
      </c>
    </row>
    <row r="1966" spans="1:7" ht="43.2" x14ac:dyDescent="0.3">
      <c r="A1966" s="524" t="s">
        <v>522</v>
      </c>
      <c r="B1966" s="524" t="s">
        <v>959</v>
      </c>
      <c r="C1966" s="525" t="s">
        <v>960</v>
      </c>
      <c r="D1966" s="524" t="s">
        <v>55</v>
      </c>
      <c r="E1966" s="524" t="s">
        <v>1122</v>
      </c>
      <c r="F1966" s="528" t="s">
        <v>962</v>
      </c>
      <c r="G1966" s="252">
        <f t="shared" si="36"/>
        <v>2.16</v>
      </c>
    </row>
    <row r="1967" spans="1:7" x14ac:dyDescent="0.3">
      <c r="A1967" s="680" t="s">
        <v>1152</v>
      </c>
      <c r="B1967" s="681"/>
      <c r="C1967" s="681"/>
      <c r="D1967" s="681"/>
      <c r="E1967" s="681"/>
      <c r="F1967" s="682"/>
      <c r="G1967" s="527">
        <f>SUM(G1963:G1966)</f>
        <v>7.5500000000000007</v>
      </c>
    </row>
    <row r="1968" spans="1:7" x14ac:dyDescent="0.3">
      <c r="A1968" s="683">
        <f>TRUNC(E1968*F1968,2)</f>
        <v>0</v>
      </c>
      <c r="B1968" s="684"/>
      <c r="C1968" s="684"/>
      <c r="D1968" s="684"/>
      <c r="E1968" s="684"/>
      <c r="F1968" s="684"/>
      <c r="G1968" s="685"/>
    </row>
    <row r="1969" spans="1:7" ht="28.8" x14ac:dyDescent="0.3">
      <c r="A1969" s="529" t="s">
        <v>240</v>
      </c>
      <c r="B1969" s="529">
        <v>91869</v>
      </c>
      <c r="C1969" s="530" t="s">
        <v>132</v>
      </c>
      <c r="D1969" s="529" t="s">
        <v>55</v>
      </c>
      <c r="E1969" s="252"/>
      <c r="F1969" s="531">
        <v>10.32</v>
      </c>
      <c r="G1969" s="252">
        <f t="shared" si="36"/>
        <v>0</v>
      </c>
    </row>
    <row r="1970" spans="1:7" x14ac:dyDescent="0.3">
      <c r="A1970" s="524" t="s">
        <v>508</v>
      </c>
      <c r="B1970" s="524" t="s">
        <v>1665</v>
      </c>
      <c r="C1970" s="525" t="s">
        <v>1666</v>
      </c>
      <c r="D1970" s="524" t="s">
        <v>55</v>
      </c>
      <c r="E1970" s="524" t="s">
        <v>1667</v>
      </c>
      <c r="F1970" s="528" t="s">
        <v>1668</v>
      </c>
      <c r="G1970" s="252">
        <f t="shared" si="36"/>
        <v>5.26</v>
      </c>
    </row>
    <row r="1971" spans="1:7" ht="28.8" x14ac:dyDescent="0.3">
      <c r="A1971" s="524" t="s">
        <v>508</v>
      </c>
      <c r="B1971" s="524" t="s">
        <v>1669</v>
      </c>
      <c r="C1971" s="525" t="s">
        <v>1670</v>
      </c>
      <c r="D1971" s="524" t="s">
        <v>426</v>
      </c>
      <c r="E1971" s="524" t="s">
        <v>1671</v>
      </c>
      <c r="F1971" s="528" t="s">
        <v>1672</v>
      </c>
      <c r="G1971" s="252">
        <f t="shared" si="36"/>
        <v>0.03</v>
      </c>
    </row>
    <row r="1972" spans="1:7" x14ac:dyDescent="0.3">
      <c r="A1972" s="524" t="s">
        <v>522</v>
      </c>
      <c r="B1972" s="524" t="s">
        <v>611</v>
      </c>
      <c r="C1972" s="525" t="s">
        <v>546</v>
      </c>
      <c r="D1972" s="524" t="s">
        <v>32</v>
      </c>
      <c r="E1972" s="524" t="s">
        <v>1673</v>
      </c>
      <c r="F1972" s="528" t="s">
        <v>1646</v>
      </c>
      <c r="G1972" s="252">
        <f t="shared" si="36"/>
        <v>2.2000000000000002</v>
      </c>
    </row>
    <row r="1973" spans="1:7" x14ac:dyDescent="0.3">
      <c r="A1973" s="524" t="s">
        <v>522</v>
      </c>
      <c r="B1973" s="524" t="s">
        <v>610</v>
      </c>
      <c r="C1973" s="525" t="s">
        <v>543</v>
      </c>
      <c r="D1973" s="524" t="s">
        <v>32</v>
      </c>
      <c r="E1973" s="524" t="s">
        <v>1673</v>
      </c>
      <c r="F1973" s="528" t="s">
        <v>1647</v>
      </c>
      <c r="G1973" s="252">
        <f t="shared" si="36"/>
        <v>2.83</v>
      </c>
    </row>
    <row r="1974" spans="1:7" x14ac:dyDescent="0.3">
      <c r="A1974" s="680" t="s">
        <v>1152</v>
      </c>
      <c r="B1974" s="681"/>
      <c r="C1974" s="681"/>
      <c r="D1974" s="681"/>
      <c r="E1974" s="681"/>
      <c r="F1974" s="682"/>
      <c r="G1974" s="527">
        <f>SUM(G1970:G1973)</f>
        <v>10.32</v>
      </c>
    </row>
    <row r="1975" spans="1:7" x14ac:dyDescent="0.3">
      <c r="A1975" s="683">
        <f>TRUNC(E1975*F1975,2)</f>
        <v>0</v>
      </c>
      <c r="B1975" s="684"/>
      <c r="C1975" s="684"/>
      <c r="D1975" s="684"/>
      <c r="E1975" s="684"/>
      <c r="F1975" s="684"/>
      <c r="G1975" s="685"/>
    </row>
    <row r="1976" spans="1:7" x14ac:dyDescent="0.3">
      <c r="A1976" s="529" t="s">
        <v>241</v>
      </c>
      <c r="B1976" s="529">
        <v>91990</v>
      </c>
      <c r="C1976" s="530" t="s">
        <v>134</v>
      </c>
      <c r="D1976" s="529" t="s">
        <v>44</v>
      </c>
      <c r="E1976" s="252"/>
      <c r="F1976" s="531">
        <v>20.73</v>
      </c>
      <c r="G1976" s="252">
        <f t="shared" si="36"/>
        <v>0</v>
      </c>
    </row>
    <row r="1977" spans="1:7" x14ac:dyDescent="0.3">
      <c r="A1977" s="524" t="s">
        <v>508</v>
      </c>
      <c r="B1977" s="524" t="s">
        <v>1674</v>
      </c>
      <c r="C1977" s="525" t="s">
        <v>1675</v>
      </c>
      <c r="D1977" s="524" t="s">
        <v>397</v>
      </c>
      <c r="E1977" s="524" t="s">
        <v>1122</v>
      </c>
      <c r="F1977" s="528" t="s">
        <v>1676</v>
      </c>
      <c r="G1977" s="252">
        <f t="shared" si="36"/>
        <v>4.5199999999999996</v>
      </c>
    </row>
    <row r="1978" spans="1:7" x14ac:dyDescent="0.3">
      <c r="A1978" s="524" t="s">
        <v>522</v>
      </c>
      <c r="B1978" s="524" t="s">
        <v>611</v>
      </c>
      <c r="C1978" s="525" t="s">
        <v>546</v>
      </c>
      <c r="D1978" s="524" t="s">
        <v>32</v>
      </c>
      <c r="E1978" s="524" t="s">
        <v>1677</v>
      </c>
      <c r="F1978" s="528" t="s">
        <v>1646</v>
      </c>
      <c r="G1978" s="252">
        <f t="shared" si="36"/>
        <v>7.1</v>
      </c>
    </row>
    <row r="1979" spans="1:7" x14ac:dyDescent="0.3">
      <c r="A1979" s="524" t="s">
        <v>522</v>
      </c>
      <c r="B1979" s="524" t="s">
        <v>610</v>
      </c>
      <c r="C1979" s="525" t="s">
        <v>543</v>
      </c>
      <c r="D1979" s="524" t="s">
        <v>32</v>
      </c>
      <c r="E1979" s="524" t="s">
        <v>1677</v>
      </c>
      <c r="F1979" s="528" t="s">
        <v>1647</v>
      </c>
      <c r="G1979" s="252">
        <f t="shared" si="36"/>
        <v>9.11</v>
      </c>
    </row>
    <row r="1980" spans="1:7" x14ac:dyDescent="0.3">
      <c r="A1980" s="680" t="s">
        <v>1152</v>
      </c>
      <c r="B1980" s="681"/>
      <c r="C1980" s="681"/>
      <c r="D1980" s="681"/>
      <c r="E1980" s="681"/>
      <c r="F1980" s="682"/>
      <c r="G1980" s="527">
        <f>SUM(G1976:G1979)</f>
        <v>20.729999999999997</v>
      </c>
    </row>
    <row r="1981" spans="1:7" x14ac:dyDescent="0.3">
      <c r="A1981" s="683">
        <f>TRUNC(E1981*F1981,2)</f>
        <v>0</v>
      </c>
      <c r="B1981" s="684"/>
      <c r="C1981" s="684"/>
      <c r="D1981" s="684"/>
      <c r="E1981" s="684"/>
      <c r="F1981" s="684"/>
      <c r="G1981" s="685"/>
    </row>
    <row r="1982" spans="1:7" x14ac:dyDescent="0.3">
      <c r="A1982" s="529" t="s">
        <v>242</v>
      </c>
      <c r="B1982" s="529">
        <v>91991</v>
      </c>
      <c r="C1982" s="530" t="s">
        <v>137</v>
      </c>
      <c r="D1982" s="529" t="s">
        <v>44</v>
      </c>
      <c r="E1982" s="252"/>
      <c r="F1982" s="531">
        <v>21.99</v>
      </c>
      <c r="G1982" s="252">
        <f t="shared" si="36"/>
        <v>0</v>
      </c>
    </row>
    <row r="1983" spans="1:7" x14ac:dyDescent="0.3">
      <c r="A1983" s="524" t="s">
        <v>508</v>
      </c>
      <c r="B1983" s="524" t="s">
        <v>1678</v>
      </c>
      <c r="C1983" s="525" t="s">
        <v>1679</v>
      </c>
      <c r="D1983" s="524" t="s">
        <v>397</v>
      </c>
      <c r="E1983" s="524" t="s">
        <v>1122</v>
      </c>
      <c r="F1983" s="528" t="s">
        <v>1680</v>
      </c>
      <c r="G1983" s="252">
        <f t="shared" si="36"/>
        <v>5.78</v>
      </c>
    </row>
    <row r="1984" spans="1:7" x14ac:dyDescent="0.3">
      <c r="A1984" s="524" t="s">
        <v>522</v>
      </c>
      <c r="B1984" s="524" t="s">
        <v>611</v>
      </c>
      <c r="C1984" s="525" t="s">
        <v>546</v>
      </c>
      <c r="D1984" s="524" t="s">
        <v>32</v>
      </c>
      <c r="E1984" s="524" t="s">
        <v>1677</v>
      </c>
      <c r="F1984" s="528" t="s">
        <v>1646</v>
      </c>
      <c r="G1984" s="252">
        <f t="shared" si="36"/>
        <v>7.1</v>
      </c>
    </row>
    <row r="1985" spans="1:7" x14ac:dyDescent="0.3">
      <c r="A1985" s="524" t="s">
        <v>522</v>
      </c>
      <c r="B1985" s="524" t="s">
        <v>610</v>
      </c>
      <c r="C1985" s="525" t="s">
        <v>543</v>
      </c>
      <c r="D1985" s="524" t="s">
        <v>32</v>
      </c>
      <c r="E1985" s="524" t="s">
        <v>1677</v>
      </c>
      <c r="F1985" s="528" t="s">
        <v>1647</v>
      </c>
      <c r="G1985" s="252">
        <f t="shared" si="36"/>
        <v>9.11</v>
      </c>
    </row>
    <row r="1986" spans="1:7" x14ac:dyDescent="0.3">
      <c r="A1986" s="680" t="s">
        <v>1152</v>
      </c>
      <c r="B1986" s="681"/>
      <c r="C1986" s="681"/>
      <c r="D1986" s="681"/>
      <c r="E1986" s="681"/>
      <c r="F1986" s="682"/>
      <c r="G1986" s="527">
        <f>SUM(G1982:G1985)</f>
        <v>21.99</v>
      </c>
    </row>
    <row r="1987" spans="1:7" x14ac:dyDescent="0.3">
      <c r="A1987" s="683">
        <f>TRUNC(E1987*F1987,2)</f>
        <v>0</v>
      </c>
      <c r="B1987" s="684"/>
      <c r="C1987" s="684"/>
      <c r="D1987" s="684"/>
      <c r="E1987" s="684"/>
      <c r="F1987" s="684"/>
      <c r="G1987" s="685"/>
    </row>
    <row r="1988" spans="1:7" ht="28.8" x14ac:dyDescent="0.3">
      <c r="A1988" s="529" t="s">
        <v>243</v>
      </c>
      <c r="B1988" s="529">
        <v>91953</v>
      </c>
      <c r="C1988" s="530" t="s">
        <v>139</v>
      </c>
      <c r="D1988" s="529" t="s">
        <v>44</v>
      </c>
      <c r="E1988" s="252"/>
      <c r="F1988" s="531">
        <v>16.14</v>
      </c>
      <c r="G1988" s="252">
        <f t="shared" si="36"/>
        <v>0</v>
      </c>
    </row>
    <row r="1989" spans="1:7" ht="28.8" x14ac:dyDescent="0.3">
      <c r="A1989" s="524" t="s">
        <v>522</v>
      </c>
      <c r="B1989" s="524" t="s">
        <v>1885</v>
      </c>
      <c r="C1989" s="525" t="s">
        <v>1886</v>
      </c>
      <c r="D1989" s="524" t="s">
        <v>397</v>
      </c>
      <c r="E1989" s="524" t="s">
        <v>1122</v>
      </c>
      <c r="F1989" s="528" t="s">
        <v>1887</v>
      </c>
      <c r="G1989" s="252">
        <f t="shared" si="36"/>
        <v>4.82</v>
      </c>
    </row>
    <row r="1990" spans="1:7" ht="28.8" x14ac:dyDescent="0.3">
      <c r="A1990" s="524" t="s">
        <v>522</v>
      </c>
      <c r="B1990" s="524" t="s">
        <v>1888</v>
      </c>
      <c r="C1990" s="525" t="s">
        <v>1889</v>
      </c>
      <c r="D1990" s="524" t="s">
        <v>397</v>
      </c>
      <c r="E1990" s="524" t="s">
        <v>1122</v>
      </c>
      <c r="F1990" s="528" t="s">
        <v>1890</v>
      </c>
      <c r="G1990" s="252">
        <f t="shared" si="36"/>
        <v>11.32</v>
      </c>
    </row>
    <row r="1991" spans="1:7" x14ac:dyDescent="0.3">
      <c r="A1991" s="680" t="s">
        <v>1152</v>
      </c>
      <c r="B1991" s="681"/>
      <c r="C1991" s="681"/>
      <c r="D1991" s="681"/>
      <c r="E1991" s="681"/>
      <c r="F1991" s="682"/>
      <c r="G1991" s="252">
        <f>SUM(G1988:G1990)</f>
        <v>16.14</v>
      </c>
    </row>
    <row r="1992" spans="1:7" x14ac:dyDescent="0.3">
      <c r="A1992" s="683">
        <f>TRUNC(E1992*F1992,2)</f>
        <v>0</v>
      </c>
      <c r="B1992" s="684"/>
      <c r="C1992" s="684"/>
      <c r="D1992" s="684"/>
      <c r="E1992" s="684"/>
      <c r="F1992" s="684"/>
      <c r="G1992" s="685"/>
    </row>
    <row r="1993" spans="1:7" ht="28.8" x14ac:dyDescent="0.3">
      <c r="A1993" s="529" t="s">
        <v>244</v>
      </c>
      <c r="B1993" s="529">
        <v>91959</v>
      </c>
      <c r="C1993" s="530" t="s">
        <v>140</v>
      </c>
      <c r="D1993" s="529" t="s">
        <v>44</v>
      </c>
      <c r="E1993" s="252"/>
      <c r="F1993" s="531">
        <v>25.5</v>
      </c>
      <c r="G1993" s="252">
        <f t="shared" si="36"/>
        <v>0</v>
      </c>
    </row>
    <row r="1994" spans="1:7" ht="28.8" x14ac:dyDescent="0.3">
      <c r="A1994" s="524" t="s">
        <v>522</v>
      </c>
      <c r="B1994" s="524" t="s">
        <v>1885</v>
      </c>
      <c r="C1994" s="525" t="s">
        <v>1886</v>
      </c>
      <c r="D1994" s="524" t="s">
        <v>397</v>
      </c>
      <c r="E1994" s="524" t="s">
        <v>1122</v>
      </c>
      <c r="F1994" s="528" t="s">
        <v>1887</v>
      </c>
      <c r="G1994" s="252">
        <f t="shared" si="36"/>
        <v>4.82</v>
      </c>
    </row>
    <row r="1995" spans="1:7" ht="28.8" x14ac:dyDescent="0.3">
      <c r="A1995" s="524" t="s">
        <v>522</v>
      </c>
      <c r="B1995" s="524" t="s">
        <v>1891</v>
      </c>
      <c r="C1995" s="525" t="s">
        <v>1892</v>
      </c>
      <c r="D1995" s="524" t="s">
        <v>397</v>
      </c>
      <c r="E1995" s="524" t="s">
        <v>1122</v>
      </c>
      <c r="F1995" s="528" t="s">
        <v>1893</v>
      </c>
      <c r="G1995" s="252">
        <f t="shared" si="36"/>
        <v>20.68</v>
      </c>
    </row>
    <row r="1996" spans="1:7" x14ac:dyDescent="0.3">
      <c r="A1996" s="680" t="s">
        <v>1152</v>
      </c>
      <c r="B1996" s="681"/>
      <c r="C1996" s="681"/>
      <c r="D1996" s="681"/>
      <c r="E1996" s="681"/>
      <c r="F1996" s="682"/>
      <c r="G1996" s="252">
        <f>SUM(G1993:G1995)</f>
        <v>25.5</v>
      </c>
    </row>
    <row r="1997" spans="1:7" x14ac:dyDescent="0.3">
      <c r="A1997" s="683">
        <f>TRUNC(E1997*F1997,2)</f>
        <v>0</v>
      </c>
      <c r="B1997" s="684"/>
      <c r="C1997" s="684"/>
      <c r="D1997" s="684"/>
      <c r="E1997" s="684"/>
      <c r="F1997" s="684"/>
      <c r="G1997" s="685"/>
    </row>
    <row r="1998" spans="1:7" ht="28.8" x14ac:dyDescent="0.3">
      <c r="A1998" s="529" t="s">
        <v>368</v>
      </c>
      <c r="B1998" s="529">
        <v>93653</v>
      </c>
      <c r="C1998" s="530" t="s">
        <v>141</v>
      </c>
      <c r="D1998" s="529" t="s">
        <v>44</v>
      </c>
      <c r="E1998" s="252"/>
      <c r="F1998" s="531">
        <v>9.3699999999999992</v>
      </c>
      <c r="G1998" s="252">
        <f t="shared" si="36"/>
        <v>0</v>
      </c>
    </row>
    <row r="1999" spans="1:7" ht="28.8" x14ac:dyDescent="0.3">
      <c r="A1999" s="524" t="s">
        <v>508</v>
      </c>
      <c r="B1999" s="524" t="s">
        <v>1894</v>
      </c>
      <c r="C1999" s="525" t="s">
        <v>1895</v>
      </c>
      <c r="D1999" s="524" t="s">
        <v>397</v>
      </c>
      <c r="E1999" s="524" t="s">
        <v>1122</v>
      </c>
      <c r="F1999" s="528" t="s">
        <v>1896</v>
      </c>
      <c r="G1999" s="252">
        <f t="shared" si="36"/>
        <v>0.69</v>
      </c>
    </row>
    <row r="2000" spans="1:7" x14ac:dyDescent="0.3">
      <c r="A2000" s="524" t="s">
        <v>508</v>
      </c>
      <c r="B2000" s="524" t="s">
        <v>1897</v>
      </c>
      <c r="C2000" s="525" t="s">
        <v>1898</v>
      </c>
      <c r="D2000" s="524" t="s">
        <v>397</v>
      </c>
      <c r="E2000" s="524" t="s">
        <v>1122</v>
      </c>
      <c r="F2000" s="528" t="s">
        <v>1899</v>
      </c>
      <c r="G2000" s="252">
        <f t="shared" si="36"/>
        <v>7.54</v>
      </c>
    </row>
    <row r="2001" spans="1:7" x14ac:dyDescent="0.3">
      <c r="A2001" s="524" t="s">
        <v>522</v>
      </c>
      <c r="B2001" s="524" t="s">
        <v>611</v>
      </c>
      <c r="C2001" s="525" t="s">
        <v>546</v>
      </c>
      <c r="D2001" s="524" t="s">
        <v>32</v>
      </c>
      <c r="E2001" s="524" t="s">
        <v>1900</v>
      </c>
      <c r="F2001" s="528" t="s">
        <v>1646</v>
      </c>
      <c r="G2001" s="252">
        <f t="shared" si="36"/>
        <v>0.5</v>
      </c>
    </row>
    <row r="2002" spans="1:7" x14ac:dyDescent="0.3">
      <c r="A2002" s="524" t="s">
        <v>522</v>
      </c>
      <c r="B2002" s="524" t="s">
        <v>610</v>
      </c>
      <c r="C2002" s="525" t="s">
        <v>543</v>
      </c>
      <c r="D2002" s="524" t="s">
        <v>32</v>
      </c>
      <c r="E2002" s="524" t="s">
        <v>1900</v>
      </c>
      <c r="F2002" s="528" t="s">
        <v>1647</v>
      </c>
      <c r="G2002" s="252">
        <f t="shared" si="36"/>
        <v>0.64</v>
      </c>
    </row>
    <row r="2003" spans="1:7" x14ac:dyDescent="0.3">
      <c r="A2003" s="680" t="s">
        <v>1152</v>
      </c>
      <c r="B2003" s="681"/>
      <c r="C2003" s="681"/>
      <c r="D2003" s="681"/>
      <c r="E2003" s="681"/>
      <c r="F2003" s="682"/>
      <c r="G2003" s="252">
        <f>SUM(G1998:G2002)</f>
        <v>9.370000000000001</v>
      </c>
    </row>
    <row r="2004" spans="1:7" x14ac:dyDescent="0.3">
      <c r="A2004" s="683">
        <f>TRUNC(E2004*F2004,2)</f>
        <v>0</v>
      </c>
      <c r="B2004" s="684"/>
      <c r="C2004" s="684"/>
      <c r="D2004" s="684"/>
      <c r="E2004" s="684"/>
      <c r="F2004" s="684"/>
      <c r="G2004" s="685"/>
    </row>
    <row r="2005" spans="1:7" ht="28.8" x14ac:dyDescent="0.3">
      <c r="A2005" s="529" t="s">
        <v>339</v>
      </c>
      <c r="B2005" s="529">
        <v>93655</v>
      </c>
      <c r="C2005" s="530" t="s">
        <v>142</v>
      </c>
      <c r="D2005" s="529" t="s">
        <v>44</v>
      </c>
      <c r="E2005" s="252"/>
      <c r="F2005" s="531">
        <v>10.59</v>
      </c>
      <c r="G2005" s="252">
        <f t="shared" si="36"/>
        <v>0</v>
      </c>
    </row>
    <row r="2006" spans="1:7" ht="28.8" x14ac:dyDescent="0.3">
      <c r="A2006" s="524" t="s">
        <v>508</v>
      </c>
      <c r="B2006" s="524" t="s">
        <v>1901</v>
      </c>
      <c r="C2006" s="525" t="s">
        <v>1902</v>
      </c>
      <c r="D2006" s="524" t="s">
        <v>397</v>
      </c>
      <c r="E2006" s="524" t="s">
        <v>1122</v>
      </c>
      <c r="F2006" s="528" t="s">
        <v>1903</v>
      </c>
      <c r="G2006" s="252">
        <f t="shared" si="36"/>
        <v>0.9</v>
      </c>
    </row>
    <row r="2007" spans="1:7" x14ac:dyDescent="0.3">
      <c r="A2007" s="524" t="s">
        <v>508</v>
      </c>
      <c r="B2007" s="524" t="s">
        <v>1897</v>
      </c>
      <c r="C2007" s="525" t="s">
        <v>1898</v>
      </c>
      <c r="D2007" s="524" t="s">
        <v>397</v>
      </c>
      <c r="E2007" s="524" t="s">
        <v>1122</v>
      </c>
      <c r="F2007" s="528" t="s">
        <v>1899</v>
      </c>
      <c r="G2007" s="252">
        <f t="shared" si="36"/>
        <v>7.54</v>
      </c>
    </row>
    <row r="2008" spans="1:7" x14ac:dyDescent="0.3">
      <c r="A2008" s="524" t="s">
        <v>522</v>
      </c>
      <c r="B2008" s="524" t="s">
        <v>611</v>
      </c>
      <c r="C2008" s="525" t="s">
        <v>546</v>
      </c>
      <c r="D2008" s="524" t="s">
        <v>32</v>
      </c>
      <c r="E2008" s="524" t="s">
        <v>1904</v>
      </c>
      <c r="F2008" s="528" t="s">
        <v>1646</v>
      </c>
      <c r="G2008" s="252">
        <f t="shared" si="36"/>
        <v>0.94</v>
      </c>
    </row>
    <row r="2009" spans="1:7" x14ac:dyDescent="0.3">
      <c r="A2009" s="524" t="s">
        <v>522</v>
      </c>
      <c r="B2009" s="524" t="s">
        <v>610</v>
      </c>
      <c r="C2009" s="525" t="s">
        <v>543</v>
      </c>
      <c r="D2009" s="524" t="s">
        <v>32</v>
      </c>
      <c r="E2009" s="524" t="s">
        <v>1904</v>
      </c>
      <c r="F2009" s="528" t="s">
        <v>1647</v>
      </c>
      <c r="G2009" s="252">
        <f t="shared" si="36"/>
        <v>1.21</v>
      </c>
    </row>
    <row r="2010" spans="1:7" x14ac:dyDescent="0.3">
      <c r="A2010" s="680" t="s">
        <v>1152</v>
      </c>
      <c r="B2010" s="681"/>
      <c r="C2010" s="681"/>
      <c r="D2010" s="681"/>
      <c r="E2010" s="681"/>
      <c r="F2010" s="682"/>
      <c r="G2010" s="252">
        <f>SUM(G2005:G2009)</f>
        <v>10.59</v>
      </c>
    </row>
    <row r="2011" spans="1:7" x14ac:dyDescent="0.3">
      <c r="A2011" s="683">
        <f>TRUNC(E2011*F2011,2)</f>
        <v>0</v>
      </c>
      <c r="B2011" s="684"/>
      <c r="C2011" s="684"/>
      <c r="D2011" s="684"/>
      <c r="E2011" s="684"/>
      <c r="F2011" s="684"/>
      <c r="G2011" s="685"/>
    </row>
    <row r="2012" spans="1:7" ht="28.8" x14ac:dyDescent="0.3">
      <c r="A2012" s="529" t="s">
        <v>340</v>
      </c>
      <c r="B2012" s="529">
        <v>93657</v>
      </c>
      <c r="C2012" s="530" t="s">
        <v>143</v>
      </c>
      <c r="D2012" s="529" t="s">
        <v>44</v>
      </c>
      <c r="E2012" s="252"/>
      <c r="F2012" s="531">
        <v>11.59</v>
      </c>
      <c r="G2012" s="252">
        <f t="shared" si="36"/>
        <v>0</v>
      </c>
    </row>
    <row r="2013" spans="1:7" ht="28.8" x14ac:dyDescent="0.3">
      <c r="A2013" s="524" t="s">
        <v>508</v>
      </c>
      <c r="B2013" s="524" t="s">
        <v>1905</v>
      </c>
      <c r="C2013" s="525" t="s">
        <v>1906</v>
      </c>
      <c r="D2013" s="524" t="s">
        <v>397</v>
      </c>
      <c r="E2013" s="524" t="s">
        <v>1122</v>
      </c>
      <c r="F2013" s="528" t="s">
        <v>1907</v>
      </c>
      <c r="G2013" s="252">
        <f t="shared" si="36"/>
        <v>1.08</v>
      </c>
    </row>
    <row r="2014" spans="1:7" x14ac:dyDescent="0.3">
      <c r="A2014" s="524" t="s">
        <v>508</v>
      </c>
      <c r="B2014" s="524" t="s">
        <v>1897</v>
      </c>
      <c r="C2014" s="525" t="s">
        <v>1898</v>
      </c>
      <c r="D2014" s="524" t="s">
        <v>397</v>
      </c>
      <c r="E2014" s="524" t="s">
        <v>1122</v>
      </c>
      <c r="F2014" s="528" t="s">
        <v>1899</v>
      </c>
      <c r="G2014" s="252">
        <f t="shared" si="36"/>
        <v>7.54</v>
      </c>
    </row>
    <row r="2015" spans="1:7" x14ac:dyDescent="0.3">
      <c r="A2015" s="524" t="s">
        <v>522</v>
      </c>
      <c r="B2015" s="524" t="s">
        <v>611</v>
      </c>
      <c r="C2015" s="525" t="s">
        <v>546</v>
      </c>
      <c r="D2015" s="524" t="s">
        <v>32</v>
      </c>
      <c r="E2015" s="524" t="s">
        <v>1908</v>
      </c>
      <c r="F2015" s="528" t="s">
        <v>1646</v>
      </c>
      <c r="G2015" s="252">
        <f t="shared" si="36"/>
        <v>1.3</v>
      </c>
    </row>
    <row r="2016" spans="1:7" x14ac:dyDescent="0.3">
      <c r="A2016" s="524" t="s">
        <v>522</v>
      </c>
      <c r="B2016" s="524" t="s">
        <v>610</v>
      </c>
      <c r="C2016" s="525" t="s">
        <v>543</v>
      </c>
      <c r="D2016" s="524" t="s">
        <v>32</v>
      </c>
      <c r="E2016" s="524" t="s">
        <v>1908</v>
      </c>
      <c r="F2016" s="528" t="s">
        <v>1647</v>
      </c>
      <c r="G2016" s="252">
        <f t="shared" si="36"/>
        <v>1.67</v>
      </c>
    </row>
    <row r="2017" spans="1:7" x14ac:dyDescent="0.3">
      <c r="A2017" s="680" t="s">
        <v>1152</v>
      </c>
      <c r="B2017" s="681"/>
      <c r="C2017" s="681"/>
      <c r="D2017" s="681"/>
      <c r="E2017" s="681"/>
      <c r="F2017" s="682"/>
      <c r="G2017" s="252">
        <f>SUM(G2012:G2016)</f>
        <v>11.590000000000002</v>
      </c>
    </row>
    <row r="2018" spans="1:7" x14ac:dyDescent="0.3">
      <c r="A2018" s="683">
        <f>TRUNC(E2018*F2018,2)</f>
        <v>0</v>
      </c>
      <c r="B2018" s="684"/>
      <c r="C2018" s="684"/>
      <c r="D2018" s="684"/>
      <c r="E2018" s="684"/>
      <c r="F2018" s="684"/>
      <c r="G2018" s="685"/>
    </row>
    <row r="2019" spans="1:7" ht="28.8" x14ac:dyDescent="0.3">
      <c r="A2019" s="529" t="s">
        <v>343</v>
      </c>
      <c r="B2019" s="529">
        <v>93660</v>
      </c>
      <c r="C2019" s="530" t="s">
        <v>144</v>
      </c>
      <c r="D2019" s="529" t="s">
        <v>44</v>
      </c>
      <c r="E2019" s="252"/>
      <c r="F2019" s="531">
        <v>46.9</v>
      </c>
      <c r="G2019" s="252">
        <f t="shared" si="36"/>
        <v>0</v>
      </c>
    </row>
    <row r="2020" spans="1:7" ht="28.8" x14ac:dyDescent="0.3">
      <c r="A2020" s="524" t="s">
        <v>508</v>
      </c>
      <c r="B2020" s="524" t="s">
        <v>1894</v>
      </c>
      <c r="C2020" s="525" t="s">
        <v>1895</v>
      </c>
      <c r="D2020" s="524" t="s">
        <v>397</v>
      </c>
      <c r="E2020" s="524" t="s">
        <v>1523</v>
      </c>
      <c r="F2020" s="528" t="s">
        <v>1896</v>
      </c>
      <c r="G2020" s="252">
        <f t="shared" si="36"/>
        <v>1.38</v>
      </c>
    </row>
    <row r="2021" spans="1:7" x14ac:dyDescent="0.3">
      <c r="A2021" s="524" t="s">
        <v>508</v>
      </c>
      <c r="B2021" s="524" t="s">
        <v>1909</v>
      </c>
      <c r="C2021" s="525" t="s">
        <v>1910</v>
      </c>
      <c r="D2021" s="524" t="s">
        <v>397</v>
      </c>
      <c r="E2021" s="524" t="s">
        <v>1122</v>
      </c>
      <c r="F2021" s="528" t="s">
        <v>1911</v>
      </c>
      <c r="G2021" s="252">
        <f t="shared" si="36"/>
        <v>43.24</v>
      </c>
    </row>
    <row r="2022" spans="1:7" x14ac:dyDescent="0.3">
      <c r="A2022" s="524" t="s">
        <v>522</v>
      </c>
      <c r="B2022" s="524" t="s">
        <v>611</v>
      </c>
      <c r="C2022" s="525" t="s">
        <v>546</v>
      </c>
      <c r="D2022" s="524" t="s">
        <v>32</v>
      </c>
      <c r="E2022" s="524" t="s">
        <v>1728</v>
      </c>
      <c r="F2022" s="528" t="s">
        <v>1646</v>
      </c>
      <c r="G2022" s="252">
        <f t="shared" si="36"/>
        <v>1</v>
      </c>
    </row>
    <row r="2023" spans="1:7" x14ac:dyDescent="0.3">
      <c r="A2023" s="524" t="s">
        <v>522</v>
      </c>
      <c r="B2023" s="524" t="s">
        <v>610</v>
      </c>
      <c r="C2023" s="525" t="s">
        <v>543</v>
      </c>
      <c r="D2023" s="524" t="s">
        <v>32</v>
      </c>
      <c r="E2023" s="524" t="s">
        <v>1728</v>
      </c>
      <c r="F2023" s="528" t="s">
        <v>1647</v>
      </c>
      <c r="G2023" s="252">
        <f t="shared" si="36"/>
        <v>1.28</v>
      </c>
    </row>
    <row r="2024" spans="1:7" x14ac:dyDescent="0.3">
      <c r="A2024" s="680" t="s">
        <v>1152</v>
      </c>
      <c r="B2024" s="681"/>
      <c r="C2024" s="681"/>
      <c r="D2024" s="681"/>
      <c r="E2024" s="681"/>
      <c r="F2024" s="682"/>
      <c r="G2024" s="252">
        <f>SUM(G2019:G2023)</f>
        <v>46.900000000000006</v>
      </c>
    </row>
    <row r="2025" spans="1:7" x14ac:dyDescent="0.3">
      <c r="A2025" s="683">
        <f>TRUNC(E2025*F2025,2)</f>
        <v>0</v>
      </c>
      <c r="B2025" s="684"/>
      <c r="C2025" s="684"/>
      <c r="D2025" s="684"/>
      <c r="E2025" s="684"/>
      <c r="F2025" s="684"/>
      <c r="G2025" s="685"/>
    </row>
    <row r="2026" spans="1:7" ht="28.8" x14ac:dyDescent="0.3">
      <c r="A2026" s="529" t="s">
        <v>346</v>
      </c>
      <c r="B2026" s="529">
        <v>93662</v>
      </c>
      <c r="C2026" s="530" t="s">
        <v>145</v>
      </c>
      <c r="D2026" s="529" t="s">
        <v>44</v>
      </c>
      <c r="E2026" s="252"/>
      <c r="F2026" s="531">
        <v>49.38</v>
      </c>
      <c r="G2026" s="252">
        <f t="shared" si="36"/>
        <v>0</v>
      </c>
    </row>
    <row r="2027" spans="1:7" ht="28.8" x14ac:dyDescent="0.3">
      <c r="A2027" s="524" t="s">
        <v>508</v>
      </c>
      <c r="B2027" s="524" t="s">
        <v>1901</v>
      </c>
      <c r="C2027" s="525" t="s">
        <v>1902</v>
      </c>
      <c r="D2027" s="524" t="s">
        <v>397</v>
      </c>
      <c r="E2027" s="524" t="s">
        <v>1523</v>
      </c>
      <c r="F2027" s="528" t="s">
        <v>1903</v>
      </c>
      <c r="G2027" s="252">
        <f t="shared" si="36"/>
        <v>1.8</v>
      </c>
    </row>
    <row r="2028" spans="1:7" x14ac:dyDescent="0.3">
      <c r="A2028" s="524" t="s">
        <v>508</v>
      </c>
      <c r="B2028" s="524" t="s">
        <v>1909</v>
      </c>
      <c r="C2028" s="525" t="s">
        <v>1910</v>
      </c>
      <c r="D2028" s="524" t="s">
        <v>397</v>
      </c>
      <c r="E2028" s="524" t="s">
        <v>1122</v>
      </c>
      <c r="F2028" s="528" t="s">
        <v>1911</v>
      </c>
      <c r="G2028" s="252">
        <f t="shared" si="36"/>
        <v>43.24</v>
      </c>
    </row>
    <row r="2029" spans="1:7" x14ac:dyDescent="0.3">
      <c r="A2029" s="524" t="s">
        <v>522</v>
      </c>
      <c r="B2029" s="524" t="s">
        <v>611</v>
      </c>
      <c r="C2029" s="525" t="s">
        <v>546</v>
      </c>
      <c r="D2029" s="524" t="s">
        <v>32</v>
      </c>
      <c r="E2029" s="524" t="s">
        <v>1912</v>
      </c>
      <c r="F2029" s="528" t="s">
        <v>1646</v>
      </c>
      <c r="G2029" s="252">
        <f t="shared" si="36"/>
        <v>1.9</v>
      </c>
    </row>
    <row r="2030" spans="1:7" x14ac:dyDescent="0.3">
      <c r="A2030" s="524" t="s">
        <v>522</v>
      </c>
      <c r="B2030" s="524" t="s">
        <v>610</v>
      </c>
      <c r="C2030" s="525" t="s">
        <v>543</v>
      </c>
      <c r="D2030" s="524" t="s">
        <v>32</v>
      </c>
      <c r="E2030" s="524" t="s">
        <v>1912</v>
      </c>
      <c r="F2030" s="528" t="s">
        <v>1647</v>
      </c>
      <c r="G2030" s="252">
        <f t="shared" si="36"/>
        <v>2.44</v>
      </c>
    </row>
    <row r="2031" spans="1:7" x14ac:dyDescent="0.3">
      <c r="A2031" s="680" t="s">
        <v>1152</v>
      </c>
      <c r="B2031" s="681"/>
      <c r="C2031" s="681"/>
      <c r="D2031" s="681"/>
      <c r="E2031" s="681"/>
      <c r="F2031" s="682"/>
      <c r="G2031" s="252">
        <f>SUM(G2026:G2030)</f>
        <v>49.379999999999995</v>
      </c>
    </row>
    <row r="2032" spans="1:7" x14ac:dyDescent="0.3">
      <c r="A2032" s="683">
        <f>TRUNC(E2032*F2032,2)</f>
        <v>0</v>
      </c>
      <c r="B2032" s="684"/>
      <c r="C2032" s="684"/>
      <c r="D2032" s="684"/>
      <c r="E2032" s="684"/>
      <c r="F2032" s="684"/>
      <c r="G2032" s="685"/>
    </row>
    <row r="2033" spans="1:7" ht="28.8" x14ac:dyDescent="0.3">
      <c r="A2033" s="529" t="s">
        <v>245</v>
      </c>
      <c r="B2033" s="529">
        <v>93664</v>
      </c>
      <c r="C2033" s="530" t="s">
        <v>146</v>
      </c>
      <c r="D2033" s="529" t="s">
        <v>44</v>
      </c>
      <c r="E2033" s="252"/>
      <c r="F2033" s="531">
        <v>51.34</v>
      </c>
      <c r="G2033" s="252">
        <f t="shared" si="36"/>
        <v>0</v>
      </c>
    </row>
    <row r="2034" spans="1:7" ht="28.8" x14ac:dyDescent="0.3">
      <c r="A2034" s="524" t="s">
        <v>508</v>
      </c>
      <c r="B2034" s="524" t="s">
        <v>1905</v>
      </c>
      <c r="C2034" s="525" t="s">
        <v>1906</v>
      </c>
      <c r="D2034" s="524" t="s">
        <v>397</v>
      </c>
      <c r="E2034" s="524" t="s">
        <v>1523</v>
      </c>
      <c r="F2034" s="528" t="s">
        <v>1907</v>
      </c>
      <c r="G2034" s="252">
        <f t="shared" si="36"/>
        <v>2.16</v>
      </c>
    </row>
    <row r="2035" spans="1:7" x14ac:dyDescent="0.3">
      <c r="A2035" s="524" t="s">
        <v>508</v>
      </c>
      <c r="B2035" s="524" t="s">
        <v>1909</v>
      </c>
      <c r="C2035" s="525" t="s">
        <v>1910</v>
      </c>
      <c r="D2035" s="524" t="s">
        <v>397</v>
      </c>
      <c r="E2035" s="524" t="s">
        <v>1122</v>
      </c>
      <c r="F2035" s="528" t="s">
        <v>1911</v>
      </c>
      <c r="G2035" s="252">
        <f t="shared" si="36"/>
        <v>43.24</v>
      </c>
    </row>
    <row r="2036" spans="1:7" x14ac:dyDescent="0.3">
      <c r="A2036" s="524" t="s">
        <v>522</v>
      </c>
      <c r="B2036" s="524" t="s">
        <v>611</v>
      </c>
      <c r="C2036" s="525" t="s">
        <v>546</v>
      </c>
      <c r="D2036" s="524" t="s">
        <v>32</v>
      </c>
      <c r="E2036" s="524" t="s">
        <v>1082</v>
      </c>
      <c r="F2036" s="528" t="s">
        <v>1646</v>
      </c>
      <c r="G2036" s="252">
        <f t="shared" si="36"/>
        <v>2.6</v>
      </c>
    </row>
    <row r="2037" spans="1:7" x14ac:dyDescent="0.3">
      <c r="A2037" s="524" t="s">
        <v>522</v>
      </c>
      <c r="B2037" s="524" t="s">
        <v>610</v>
      </c>
      <c r="C2037" s="525" t="s">
        <v>543</v>
      </c>
      <c r="D2037" s="524" t="s">
        <v>32</v>
      </c>
      <c r="E2037" s="524" t="s">
        <v>1082</v>
      </c>
      <c r="F2037" s="528" t="s">
        <v>1647</v>
      </c>
      <c r="G2037" s="252">
        <f t="shared" si="36"/>
        <v>3.34</v>
      </c>
    </row>
    <row r="2038" spans="1:7" x14ac:dyDescent="0.3">
      <c r="A2038" s="680" t="s">
        <v>1152</v>
      </c>
      <c r="B2038" s="681"/>
      <c r="C2038" s="681"/>
      <c r="D2038" s="681"/>
      <c r="E2038" s="681"/>
      <c r="F2038" s="682"/>
      <c r="G2038" s="252">
        <f>SUM(G2033:G2037)</f>
        <v>51.34</v>
      </c>
    </row>
    <row r="2039" spans="1:7" x14ac:dyDescent="0.3">
      <c r="A2039" s="683">
        <f>TRUNC(E2039*F2039,2)</f>
        <v>0</v>
      </c>
      <c r="B2039" s="684"/>
      <c r="C2039" s="684"/>
      <c r="D2039" s="684"/>
      <c r="E2039" s="684"/>
      <c r="F2039" s="684"/>
      <c r="G2039" s="685"/>
    </row>
    <row r="2040" spans="1:7" ht="28.8" x14ac:dyDescent="0.3">
      <c r="A2040" s="529" t="s">
        <v>246</v>
      </c>
      <c r="B2040" s="529">
        <v>93673</v>
      </c>
      <c r="C2040" s="530" t="s">
        <v>147</v>
      </c>
      <c r="D2040" s="529" t="s">
        <v>44</v>
      </c>
      <c r="E2040" s="252"/>
      <c r="F2040" s="531">
        <v>75.680000000000007</v>
      </c>
      <c r="G2040" s="252">
        <f t="shared" si="36"/>
        <v>0</v>
      </c>
    </row>
    <row r="2041" spans="1:7" ht="28.8" x14ac:dyDescent="0.3">
      <c r="A2041" s="524" t="s">
        <v>508</v>
      </c>
      <c r="B2041" s="524" t="s">
        <v>1913</v>
      </c>
      <c r="C2041" s="525" t="s">
        <v>1914</v>
      </c>
      <c r="D2041" s="524" t="s">
        <v>397</v>
      </c>
      <c r="E2041" s="524" t="s">
        <v>1915</v>
      </c>
      <c r="F2041" s="528" t="s">
        <v>1916</v>
      </c>
      <c r="G2041" s="252">
        <f t="shared" si="36"/>
        <v>4.1399999999999997</v>
      </c>
    </row>
    <row r="2042" spans="1:7" x14ac:dyDescent="0.3">
      <c r="A2042" s="524" t="s">
        <v>508</v>
      </c>
      <c r="B2042" s="524" t="s">
        <v>1917</v>
      </c>
      <c r="C2042" s="525" t="s">
        <v>1918</v>
      </c>
      <c r="D2042" s="524" t="s">
        <v>397</v>
      </c>
      <c r="E2042" s="524" t="s">
        <v>1122</v>
      </c>
      <c r="F2042" s="528" t="s">
        <v>1919</v>
      </c>
      <c r="G2042" s="252">
        <f t="shared" si="36"/>
        <v>52.98</v>
      </c>
    </row>
    <row r="2043" spans="1:7" x14ac:dyDescent="0.3">
      <c r="A2043" s="524" t="s">
        <v>522</v>
      </c>
      <c r="B2043" s="524" t="s">
        <v>611</v>
      </c>
      <c r="C2043" s="525" t="s">
        <v>546</v>
      </c>
      <c r="D2043" s="524" t="s">
        <v>32</v>
      </c>
      <c r="E2043" s="524" t="s">
        <v>1920</v>
      </c>
      <c r="F2043" s="528" t="s">
        <v>1646</v>
      </c>
      <c r="G2043" s="252">
        <f t="shared" si="36"/>
        <v>8.1300000000000008</v>
      </c>
    </row>
    <row r="2044" spans="1:7" x14ac:dyDescent="0.3">
      <c r="A2044" s="524" t="s">
        <v>522</v>
      </c>
      <c r="B2044" s="524" t="s">
        <v>610</v>
      </c>
      <c r="C2044" s="525" t="s">
        <v>543</v>
      </c>
      <c r="D2044" s="524" t="s">
        <v>32</v>
      </c>
      <c r="E2044" s="524" t="s">
        <v>1920</v>
      </c>
      <c r="F2044" s="528" t="s">
        <v>1647</v>
      </c>
      <c r="G2044" s="252">
        <f t="shared" si="36"/>
        <v>10.43</v>
      </c>
    </row>
    <row r="2045" spans="1:7" x14ac:dyDescent="0.3">
      <c r="A2045" s="680" t="s">
        <v>1152</v>
      </c>
      <c r="B2045" s="681"/>
      <c r="C2045" s="681"/>
      <c r="D2045" s="681"/>
      <c r="E2045" s="681"/>
      <c r="F2045" s="682"/>
      <c r="G2045" s="252">
        <f>SUM(G2040:G2044)</f>
        <v>75.680000000000007</v>
      </c>
    </row>
    <row r="2046" spans="1:7" x14ac:dyDescent="0.3">
      <c r="A2046" s="683">
        <f>TRUNC(E2046*F2046,2)</f>
        <v>0</v>
      </c>
      <c r="B2046" s="684"/>
      <c r="C2046" s="684"/>
      <c r="D2046" s="684"/>
      <c r="E2046" s="684"/>
      <c r="F2046" s="684"/>
      <c r="G2046" s="685"/>
    </row>
    <row r="2047" spans="1:7" ht="28.8" x14ac:dyDescent="0.3">
      <c r="A2047" s="529" t="s">
        <v>247</v>
      </c>
      <c r="B2047" s="529">
        <v>93667</v>
      </c>
      <c r="C2047" s="530" t="s">
        <v>148</v>
      </c>
      <c r="D2047" s="529" t="s">
        <v>44</v>
      </c>
      <c r="E2047" s="252"/>
      <c r="F2047" s="531">
        <v>58.47</v>
      </c>
      <c r="G2047" s="252">
        <f t="shared" si="36"/>
        <v>0</v>
      </c>
    </row>
    <row r="2048" spans="1:7" ht="28.8" x14ac:dyDescent="0.3">
      <c r="A2048" s="524" t="s">
        <v>508</v>
      </c>
      <c r="B2048" s="524" t="s">
        <v>1894</v>
      </c>
      <c r="C2048" s="525" t="s">
        <v>1895</v>
      </c>
      <c r="D2048" s="524" t="s">
        <v>397</v>
      </c>
      <c r="E2048" s="524" t="s">
        <v>1915</v>
      </c>
      <c r="F2048" s="528" t="s">
        <v>1896</v>
      </c>
      <c r="G2048" s="252">
        <f t="shared" si="36"/>
        <v>2.0699999999999998</v>
      </c>
    </row>
    <row r="2049" spans="1:7" x14ac:dyDescent="0.3">
      <c r="A2049" s="524" t="s">
        <v>508</v>
      </c>
      <c r="B2049" s="524" t="s">
        <v>1917</v>
      </c>
      <c r="C2049" s="525" t="s">
        <v>1918</v>
      </c>
      <c r="D2049" s="524" t="s">
        <v>397</v>
      </c>
      <c r="E2049" s="524" t="s">
        <v>1122</v>
      </c>
      <c r="F2049" s="528" t="s">
        <v>1919</v>
      </c>
      <c r="G2049" s="252">
        <f t="shared" si="36"/>
        <v>52.98</v>
      </c>
    </row>
    <row r="2050" spans="1:7" x14ac:dyDescent="0.3">
      <c r="A2050" s="524" t="s">
        <v>522</v>
      </c>
      <c r="B2050" s="524" t="s">
        <v>611</v>
      </c>
      <c r="C2050" s="525" t="s">
        <v>546</v>
      </c>
      <c r="D2050" s="524" t="s">
        <v>32</v>
      </c>
      <c r="E2050" s="524" t="s">
        <v>1921</v>
      </c>
      <c r="F2050" s="528" t="s">
        <v>1646</v>
      </c>
      <c r="G2050" s="252">
        <f t="shared" si="36"/>
        <v>1.5</v>
      </c>
    </row>
    <row r="2051" spans="1:7" x14ac:dyDescent="0.3">
      <c r="A2051" s="524" t="s">
        <v>522</v>
      </c>
      <c r="B2051" s="524" t="s">
        <v>610</v>
      </c>
      <c r="C2051" s="525" t="s">
        <v>543</v>
      </c>
      <c r="D2051" s="524" t="s">
        <v>32</v>
      </c>
      <c r="E2051" s="524" t="s">
        <v>1921</v>
      </c>
      <c r="F2051" s="528" t="s">
        <v>1647</v>
      </c>
      <c r="G2051" s="252">
        <f t="shared" si="36"/>
        <v>1.92</v>
      </c>
    </row>
    <row r="2052" spans="1:7" x14ac:dyDescent="0.3">
      <c r="A2052" s="680" t="s">
        <v>1152</v>
      </c>
      <c r="B2052" s="681"/>
      <c r="C2052" s="681"/>
      <c r="D2052" s="681"/>
      <c r="E2052" s="681"/>
      <c r="F2052" s="682"/>
      <c r="G2052" s="252">
        <f>SUM(G2047:G2051)</f>
        <v>58.47</v>
      </c>
    </row>
    <row r="2053" spans="1:7" x14ac:dyDescent="0.3">
      <c r="A2053" s="683">
        <f>TRUNC(E2053*F2053,2)</f>
        <v>0</v>
      </c>
      <c r="B2053" s="684"/>
      <c r="C2053" s="684"/>
      <c r="D2053" s="684"/>
      <c r="E2053" s="684"/>
      <c r="F2053" s="684"/>
      <c r="G2053" s="685"/>
    </row>
    <row r="2054" spans="1:7" ht="28.8" x14ac:dyDescent="0.3">
      <c r="A2054" s="529" t="s">
        <v>248</v>
      </c>
      <c r="B2054" s="529">
        <v>93669</v>
      </c>
      <c r="C2054" s="530" t="s">
        <v>149</v>
      </c>
      <c r="D2054" s="529" t="s">
        <v>44</v>
      </c>
      <c r="E2054" s="252"/>
      <c r="F2054" s="531">
        <v>62.18</v>
      </c>
      <c r="G2054" s="252">
        <f t="shared" si="36"/>
        <v>0</v>
      </c>
    </row>
    <row r="2055" spans="1:7" ht="28.8" x14ac:dyDescent="0.3">
      <c r="A2055" s="524" t="s">
        <v>508</v>
      </c>
      <c r="B2055" s="524" t="s">
        <v>1901</v>
      </c>
      <c r="C2055" s="525" t="s">
        <v>1902</v>
      </c>
      <c r="D2055" s="524" t="s">
        <v>397</v>
      </c>
      <c r="E2055" s="524" t="s">
        <v>1915</v>
      </c>
      <c r="F2055" s="528" t="s">
        <v>1903</v>
      </c>
      <c r="G2055" s="252">
        <f t="shared" si="36"/>
        <v>2.7</v>
      </c>
    </row>
    <row r="2056" spans="1:7" x14ac:dyDescent="0.3">
      <c r="A2056" s="524" t="s">
        <v>508</v>
      </c>
      <c r="B2056" s="524" t="s">
        <v>1917</v>
      </c>
      <c r="C2056" s="525" t="s">
        <v>1918</v>
      </c>
      <c r="D2056" s="524" t="s">
        <v>397</v>
      </c>
      <c r="E2056" s="524" t="s">
        <v>1122</v>
      </c>
      <c r="F2056" s="528" t="s">
        <v>1919</v>
      </c>
      <c r="G2056" s="252">
        <f t="shared" si="36"/>
        <v>52.98</v>
      </c>
    </row>
    <row r="2057" spans="1:7" x14ac:dyDescent="0.3">
      <c r="A2057" s="524" t="s">
        <v>522</v>
      </c>
      <c r="B2057" s="524" t="s">
        <v>611</v>
      </c>
      <c r="C2057" s="525" t="s">
        <v>546</v>
      </c>
      <c r="D2057" s="524" t="s">
        <v>32</v>
      </c>
      <c r="E2057" s="524" t="s">
        <v>1922</v>
      </c>
      <c r="F2057" s="528" t="s">
        <v>1646</v>
      </c>
      <c r="G2057" s="252">
        <f t="shared" si="36"/>
        <v>2.85</v>
      </c>
    </row>
    <row r="2058" spans="1:7" x14ac:dyDescent="0.3">
      <c r="A2058" s="524" t="s">
        <v>522</v>
      </c>
      <c r="B2058" s="524" t="s">
        <v>610</v>
      </c>
      <c r="C2058" s="525" t="s">
        <v>543</v>
      </c>
      <c r="D2058" s="524" t="s">
        <v>32</v>
      </c>
      <c r="E2058" s="524" t="s">
        <v>1922</v>
      </c>
      <c r="F2058" s="528" t="s">
        <v>1647</v>
      </c>
      <c r="G2058" s="252">
        <f t="shared" si="36"/>
        <v>3.65</v>
      </c>
    </row>
    <row r="2059" spans="1:7" x14ac:dyDescent="0.3">
      <c r="A2059" s="680" t="s">
        <v>1152</v>
      </c>
      <c r="B2059" s="681"/>
      <c r="C2059" s="681"/>
      <c r="D2059" s="681"/>
      <c r="E2059" s="681"/>
      <c r="F2059" s="682"/>
      <c r="G2059" s="252">
        <f>SUM(G2054:G2058)</f>
        <v>62.18</v>
      </c>
    </row>
    <row r="2060" spans="1:7" x14ac:dyDescent="0.3">
      <c r="A2060" s="683">
        <f>TRUNC(E2060*F2060,2)</f>
        <v>0</v>
      </c>
      <c r="B2060" s="684"/>
      <c r="C2060" s="684"/>
      <c r="D2060" s="684"/>
      <c r="E2060" s="684"/>
      <c r="F2060" s="684"/>
      <c r="G2060" s="685"/>
    </row>
    <row r="2061" spans="1:7" ht="28.8" x14ac:dyDescent="0.3">
      <c r="A2061" s="529" t="s">
        <v>249</v>
      </c>
      <c r="B2061" s="529">
        <v>91944</v>
      </c>
      <c r="C2061" s="530" t="s">
        <v>151</v>
      </c>
      <c r="D2061" s="529" t="s">
        <v>44</v>
      </c>
      <c r="E2061" s="252"/>
      <c r="F2061" s="531">
        <v>9.06</v>
      </c>
      <c r="G2061" s="252">
        <f t="shared" si="36"/>
        <v>0</v>
      </c>
    </row>
    <row r="2062" spans="1:7" x14ac:dyDescent="0.3">
      <c r="A2062" s="524" t="s">
        <v>508</v>
      </c>
      <c r="B2062" s="524" t="s">
        <v>1923</v>
      </c>
      <c r="C2062" s="525" t="s">
        <v>1924</v>
      </c>
      <c r="D2062" s="524" t="s">
        <v>397</v>
      </c>
      <c r="E2062" s="524" t="s">
        <v>1122</v>
      </c>
      <c r="F2062" s="528">
        <v>3.13</v>
      </c>
      <c r="G2062" s="252">
        <f t="shared" si="36"/>
        <v>3.13</v>
      </c>
    </row>
    <row r="2063" spans="1:7" x14ac:dyDescent="0.3">
      <c r="A2063" s="524" t="s">
        <v>522</v>
      </c>
      <c r="B2063" s="524" t="s">
        <v>611</v>
      </c>
      <c r="C2063" s="525" t="s">
        <v>546</v>
      </c>
      <c r="D2063" s="524" t="s">
        <v>32</v>
      </c>
      <c r="E2063" s="524" t="s">
        <v>1925</v>
      </c>
      <c r="F2063" s="528" t="s">
        <v>1646</v>
      </c>
      <c r="G2063" s="252">
        <f t="shared" si="36"/>
        <v>2.37</v>
      </c>
    </row>
    <row r="2064" spans="1:7" x14ac:dyDescent="0.3">
      <c r="A2064" s="524" t="s">
        <v>522</v>
      </c>
      <c r="B2064" s="524" t="s">
        <v>610</v>
      </c>
      <c r="C2064" s="525" t="s">
        <v>543</v>
      </c>
      <c r="D2064" s="524" t="s">
        <v>32</v>
      </c>
      <c r="E2064" s="524" t="s">
        <v>1925</v>
      </c>
      <c r="F2064" s="528" t="s">
        <v>1647</v>
      </c>
      <c r="G2064" s="252">
        <f t="shared" si="36"/>
        <v>3.05</v>
      </c>
    </row>
    <row r="2065" spans="1:7" ht="28.8" x14ac:dyDescent="0.3">
      <c r="A2065" s="524" t="s">
        <v>522</v>
      </c>
      <c r="B2065" s="524" t="s">
        <v>1685</v>
      </c>
      <c r="C2065" s="525" t="s">
        <v>1686</v>
      </c>
      <c r="D2065" s="524" t="s">
        <v>41</v>
      </c>
      <c r="E2065" s="524" t="s">
        <v>1926</v>
      </c>
      <c r="F2065" s="528" t="s">
        <v>1688</v>
      </c>
      <c r="G2065" s="252">
        <f t="shared" si="36"/>
        <v>0.51</v>
      </c>
    </row>
    <row r="2066" spans="1:7" x14ac:dyDescent="0.3">
      <c r="A2066" s="680" t="s">
        <v>1152</v>
      </c>
      <c r="B2066" s="681"/>
      <c r="C2066" s="681"/>
      <c r="D2066" s="681"/>
      <c r="E2066" s="681"/>
      <c r="F2066" s="682"/>
      <c r="G2066" s="527">
        <f>SUM(G2062:G2065)</f>
        <v>9.06</v>
      </c>
    </row>
    <row r="2067" spans="1:7" x14ac:dyDescent="0.3">
      <c r="A2067" s="683">
        <f>TRUNC(E2067*F2067,2)</f>
        <v>0</v>
      </c>
      <c r="B2067" s="684"/>
      <c r="C2067" s="684"/>
      <c r="D2067" s="684"/>
      <c r="E2067" s="684"/>
      <c r="F2067" s="684"/>
      <c r="G2067" s="685"/>
    </row>
    <row r="2068" spans="1:7" ht="43.2" x14ac:dyDescent="0.3">
      <c r="A2068" s="529" t="s">
        <v>250</v>
      </c>
      <c r="B2068" s="529">
        <v>83463</v>
      </c>
      <c r="C2068" s="530" t="s">
        <v>152</v>
      </c>
      <c r="D2068" s="529" t="s">
        <v>44</v>
      </c>
      <c r="E2068" s="252"/>
      <c r="F2068" s="531">
        <v>356.52</v>
      </c>
      <c r="G2068" s="252">
        <f t="shared" si="36"/>
        <v>0</v>
      </c>
    </row>
    <row r="2069" spans="1:7" ht="28.8" x14ac:dyDescent="0.3">
      <c r="A2069" s="524" t="s">
        <v>508</v>
      </c>
      <c r="B2069" s="524" t="s">
        <v>1927</v>
      </c>
      <c r="C2069" s="525" t="s">
        <v>1928</v>
      </c>
      <c r="D2069" s="524" t="s">
        <v>397</v>
      </c>
      <c r="E2069" s="524" t="s">
        <v>1122</v>
      </c>
      <c r="F2069" s="528" t="s">
        <v>1929</v>
      </c>
      <c r="G2069" s="252">
        <f t="shared" ref="G2069:G2071" si="43">TRUNC(E2069*F2069,2)</f>
        <v>291.10000000000002</v>
      </c>
    </row>
    <row r="2070" spans="1:7" x14ac:dyDescent="0.3">
      <c r="A2070" s="524" t="s">
        <v>522</v>
      </c>
      <c r="B2070" s="524" t="s">
        <v>611</v>
      </c>
      <c r="C2070" s="525" t="s">
        <v>546</v>
      </c>
      <c r="D2070" s="524" t="s">
        <v>32</v>
      </c>
      <c r="E2070" s="524" t="s">
        <v>1523</v>
      </c>
      <c r="F2070" s="528" t="s">
        <v>1646</v>
      </c>
      <c r="G2070" s="252">
        <f t="shared" si="43"/>
        <v>28.66</v>
      </c>
    </row>
    <row r="2071" spans="1:7" x14ac:dyDescent="0.3">
      <c r="A2071" s="524" t="s">
        <v>522</v>
      </c>
      <c r="B2071" s="524" t="s">
        <v>610</v>
      </c>
      <c r="C2071" s="525" t="s">
        <v>543</v>
      </c>
      <c r="D2071" s="524" t="s">
        <v>32</v>
      </c>
      <c r="E2071" s="524" t="s">
        <v>1523</v>
      </c>
      <c r="F2071" s="528" t="s">
        <v>1647</v>
      </c>
      <c r="G2071" s="252">
        <f t="shared" si="43"/>
        <v>36.76</v>
      </c>
    </row>
    <row r="2072" spans="1:7" x14ac:dyDescent="0.3">
      <c r="A2072" s="680" t="s">
        <v>1152</v>
      </c>
      <c r="B2072" s="681"/>
      <c r="C2072" s="681"/>
      <c r="D2072" s="681"/>
      <c r="E2072" s="681"/>
      <c r="F2072" s="682"/>
      <c r="G2072" s="527">
        <f>SUM(G2068:G2071)</f>
        <v>356.52000000000004</v>
      </c>
    </row>
    <row r="2073" spans="1:7" x14ac:dyDescent="0.3">
      <c r="A2073" s="683">
        <f>TRUNC(E2073*F2073,2)</f>
        <v>0</v>
      </c>
      <c r="B2073" s="684"/>
      <c r="C2073" s="684"/>
      <c r="D2073" s="684"/>
      <c r="E2073" s="684"/>
      <c r="F2073" s="684"/>
      <c r="G2073" s="685"/>
    </row>
    <row r="2074" spans="1:7" ht="43.2" x14ac:dyDescent="0.3">
      <c r="A2074" s="529" t="s">
        <v>251</v>
      </c>
      <c r="B2074" s="529" t="s">
        <v>153</v>
      </c>
      <c r="C2074" s="530" t="s">
        <v>154</v>
      </c>
      <c r="D2074" s="529" t="s">
        <v>44</v>
      </c>
      <c r="E2074" s="252"/>
      <c r="F2074" s="531">
        <v>606.13</v>
      </c>
      <c r="G2074" s="252">
        <f t="shared" si="36"/>
        <v>0</v>
      </c>
    </row>
    <row r="2075" spans="1:7" ht="28.8" x14ac:dyDescent="0.3">
      <c r="A2075" s="524" t="s">
        <v>508</v>
      </c>
      <c r="B2075" s="524" t="s">
        <v>1930</v>
      </c>
      <c r="C2075" s="525" t="s">
        <v>1931</v>
      </c>
      <c r="D2075" s="524" t="s">
        <v>397</v>
      </c>
      <c r="E2075" s="524" t="s">
        <v>1122</v>
      </c>
      <c r="F2075" s="528" t="s">
        <v>1932</v>
      </c>
      <c r="G2075" s="252">
        <f t="shared" ref="G2075:G2077" si="44">TRUNC(E2075*F2075,2)</f>
        <v>491.65</v>
      </c>
    </row>
    <row r="2076" spans="1:7" x14ac:dyDescent="0.3">
      <c r="A2076" s="524" t="s">
        <v>522</v>
      </c>
      <c r="B2076" s="524" t="s">
        <v>611</v>
      </c>
      <c r="C2076" s="525" t="s">
        <v>546</v>
      </c>
      <c r="D2076" s="524" t="s">
        <v>32</v>
      </c>
      <c r="E2076" s="524" t="s">
        <v>1933</v>
      </c>
      <c r="F2076" s="528" t="s">
        <v>1646</v>
      </c>
      <c r="G2076" s="252">
        <f t="shared" si="44"/>
        <v>50.15</v>
      </c>
    </row>
    <row r="2077" spans="1:7" x14ac:dyDescent="0.3">
      <c r="A2077" s="524" t="s">
        <v>522</v>
      </c>
      <c r="B2077" s="524" t="s">
        <v>610</v>
      </c>
      <c r="C2077" s="525" t="s">
        <v>543</v>
      </c>
      <c r="D2077" s="524" t="s">
        <v>32</v>
      </c>
      <c r="E2077" s="524" t="s">
        <v>1933</v>
      </c>
      <c r="F2077" s="528" t="s">
        <v>1647</v>
      </c>
      <c r="G2077" s="252">
        <f t="shared" si="44"/>
        <v>64.33</v>
      </c>
    </row>
    <row r="2078" spans="1:7" x14ac:dyDescent="0.3">
      <c r="A2078" s="680" t="s">
        <v>1152</v>
      </c>
      <c r="B2078" s="681"/>
      <c r="C2078" s="681"/>
      <c r="D2078" s="681"/>
      <c r="E2078" s="681"/>
      <c r="F2078" s="682"/>
      <c r="G2078" s="527">
        <f>SUM(G2074:G2077)</f>
        <v>606.13</v>
      </c>
    </row>
    <row r="2079" spans="1:7" x14ac:dyDescent="0.3">
      <c r="A2079" s="683">
        <f>TRUNC(E2079*F2079,2)</f>
        <v>0</v>
      </c>
      <c r="B2079" s="684"/>
      <c r="C2079" s="684"/>
      <c r="D2079" s="684"/>
      <c r="E2079" s="684"/>
      <c r="F2079" s="684"/>
      <c r="G2079" s="685"/>
    </row>
    <row r="2080" spans="1:7" ht="28.8" x14ac:dyDescent="0.3">
      <c r="A2080" s="529" t="s">
        <v>702</v>
      </c>
      <c r="B2080" s="529">
        <v>91941</v>
      </c>
      <c r="C2080" s="530" t="s">
        <v>150</v>
      </c>
      <c r="D2080" s="529" t="s">
        <v>44</v>
      </c>
      <c r="E2080" s="252"/>
      <c r="F2080" s="531">
        <v>6.8</v>
      </c>
      <c r="G2080" s="252">
        <f t="shared" si="36"/>
        <v>0</v>
      </c>
    </row>
    <row r="2081" spans="1:7" x14ac:dyDescent="0.3">
      <c r="A2081" s="524" t="s">
        <v>508</v>
      </c>
      <c r="B2081" s="524" t="s">
        <v>1681</v>
      </c>
      <c r="C2081" s="525" t="s">
        <v>1682</v>
      </c>
      <c r="D2081" s="524" t="s">
        <v>397</v>
      </c>
      <c r="E2081" s="524" t="s">
        <v>1122</v>
      </c>
      <c r="F2081" s="526" t="s">
        <v>1683</v>
      </c>
      <c r="G2081" s="252">
        <f t="shared" si="36"/>
        <v>1.69</v>
      </c>
    </row>
    <row r="2082" spans="1:7" x14ac:dyDescent="0.3">
      <c r="A2082" s="524" t="s">
        <v>522</v>
      </c>
      <c r="B2082" s="524" t="s">
        <v>611</v>
      </c>
      <c r="C2082" s="525" t="s">
        <v>546</v>
      </c>
      <c r="D2082" s="524" t="s">
        <v>32</v>
      </c>
      <c r="E2082" s="524" t="s">
        <v>1684</v>
      </c>
      <c r="F2082" s="526" t="s">
        <v>1646</v>
      </c>
      <c r="G2082" s="252">
        <f t="shared" si="36"/>
        <v>2.0699999999999998</v>
      </c>
    </row>
    <row r="2083" spans="1:7" x14ac:dyDescent="0.3">
      <c r="A2083" s="524" t="s">
        <v>522</v>
      </c>
      <c r="B2083" s="524" t="s">
        <v>610</v>
      </c>
      <c r="C2083" s="525" t="s">
        <v>543</v>
      </c>
      <c r="D2083" s="524" t="s">
        <v>32</v>
      </c>
      <c r="E2083" s="524" t="s">
        <v>1684</v>
      </c>
      <c r="F2083" s="526" t="s">
        <v>1647</v>
      </c>
      <c r="G2083" s="252">
        <f t="shared" si="36"/>
        <v>2.66</v>
      </c>
    </row>
    <row r="2084" spans="1:7" ht="28.8" x14ac:dyDescent="0.3">
      <c r="A2084" s="524" t="s">
        <v>522</v>
      </c>
      <c r="B2084" s="524" t="s">
        <v>1685</v>
      </c>
      <c r="C2084" s="525" t="s">
        <v>1686</v>
      </c>
      <c r="D2084" s="524" t="s">
        <v>41</v>
      </c>
      <c r="E2084" s="524" t="s">
        <v>1687</v>
      </c>
      <c r="F2084" s="526" t="s">
        <v>1688</v>
      </c>
      <c r="G2084" s="252">
        <f t="shared" si="36"/>
        <v>0.38</v>
      </c>
    </row>
    <row r="2085" spans="1:7" x14ac:dyDescent="0.3">
      <c r="A2085" s="680" t="s">
        <v>1152</v>
      </c>
      <c r="B2085" s="681"/>
      <c r="C2085" s="681"/>
      <c r="D2085" s="681"/>
      <c r="E2085" s="681"/>
      <c r="F2085" s="682"/>
      <c r="G2085" s="527">
        <f>SUM(G2081:G2084)</f>
        <v>6.8</v>
      </c>
    </row>
    <row r="2086" spans="1:7" x14ac:dyDescent="0.3">
      <c r="A2086" s="683">
        <f>TRUNC(E2086*F2086,2)</f>
        <v>0</v>
      </c>
      <c r="B2086" s="684"/>
      <c r="C2086" s="684"/>
      <c r="D2086" s="684"/>
      <c r="E2086" s="684"/>
      <c r="F2086" s="684"/>
      <c r="G2086" s="685"/>
    </row>
    <row r="2087" spans="1:7" ht="43.2" x14ac:dyDescent="0.3">
      <c r="A2087" s="529" t="s">
        <v>703</v>
      </c>
      <c r="B2087" s="529" t="s">
        <v>158</v>
      </c>
      <c r="C2087" s="530" t="s">
        <v>159</v>
      </c>
      <c r="D2087" s="529" t="s">
        <v>55</v>
      </c>
      <c r="E2087" s="252"/>
      <c r="F2087" s="531">
        <v>60.92</v>
      </c>
      <c r="G2087" s="252">
        <f t="shared" si="36"/>
        <v>0</v>
      </c>
    </row>
    <row r="2088" spans="1:7" x14ac:dyDescent="0.3">
      <c r="A2088" s="596" t="s">
        <v>541</v>
      </c>
      <c r="B2088" s="596" t="s">
        <v>542</v>
      </c>
      <c r="C2088" s="592" t="s">
        <v>543</v>
      </c>
      <c r="D2088" s="596" t="s">
        <v>32</v>
      </c>
      <c r="E2088" s="608">
        <v>0.4</v>
      </c>
      <c r="F2088" s="598">
        <v>18.38</v>
      </c>
      <c r="G2088" s="252">
        <f t="shared" si="36"/>
        <v>7.35</v>
      </c>
    </row>
    <row r="2089" spans="1:7" x14ac:dyDescent="0.3">
      <c r="A2089" s="596" t="s">
        <v>541</v>
      </c>
      <c r="B2089" s="596" t="s">
        <v>545</v>
      </c>
      <c r="C2089" s="592" t="s">
        <v>546</v>
      </c>
      <c r="D2089" s="596" t="s">
        <v>32</v>
      </c>
      <c r="E2089" s="608">
        <v>0.4</v>
      </c>
      <c r="F2089" s="598">
        <v>14.33</v>
      </c>
      <c r="G2089" s="252">
        <f t="shared" si="36"/>
        <v>5.73</v>
      </c>
    </row>
    <row r="2090" spans="1:7" x14ac:dyDescent="0.3">
      <c r="A2090" s="596" t="s">
        <v>547</v>
      </c>
      <c r="B2090" s="596" t="s">
        <v>548</v>
      </c>
      <c r="C2090" s="592" t="s">
        <v>549</v>
      </c>
      <c r="D2090" s="596" t="s">
        <v>55</v>
      </c>
      <c r="E2090" s="608">
        <v>1</v>
      </c>
      <c r="F2090" s="598" t="s">
        <v>551</v>
      </c>
      <c r="G2090" s="252">
        <f t="shared" si="36"/>
        <v>10.8</v>
      </c>
    </row>
    <row r="2091" spans="1:7" x14ac:dyDescent="0.3">
      <c r="A2091" s="596" t="s">
        <v>547</v>
      </c>
      <c r="B2091" s="596" t="s">
        <v>552</v>
      </c>
      <c r="C2091" s="592" t="s">
        <v>536</v>
      </c>
      <c r="D2091" s="596" t="s">
        <v>55</v>
      </c>
      <c r="E2091" s="608">
        <v>1</v>
      </c>
      <c r="F2091" s="598">
        <v>30</v>
      </c>
      <c r="G2091" s="252">
        <f t="shared" si="36"/>
        <v>30</v>
      </c>
    </row>
    <row r="2092" spans="1:7" x14ac:dyDescent="0.3">
      <c r="A2092" s="596" t="s">
        <v>554</v>
      </c>
      <c r="B2092" s="596" t="s">
        <v>555</v>
      </c>
      <c r="C2092" s="592" t="s">
        <v>556</v>
      </c>
      <c r="D2092" s="596" t="s">
        <v>55</v>
      </c>
      <c r="E2092" s="608">
        <v>0.5</v>
      </c>
      <c r="F2092" s="598" t="s">
        <v>559</v>
      </c>
      <c r="G2092" s="252">
        <f t="shared" si="36"/>
        <v>2.75</v>
      </c>
    </row>
    <row r="2093" spans="1:7" x14ac:dyDescent="0.3">
      <c r="A2093" s="596" t="s">
        <v>554</v>
      </c>
      <c r="B2093" s="596" t="s">
        <v>560</v>
      </c>
      <c r="C2093" s="592" t="s">
        <v>561</v>
      </c>
      <c r="D2093" s="596" t="s">
        <v>55</v>
      </c>
      <c r="E2093" s="608">
        <v>1</v>
      </c>
      <c r="F2093" s="598" t="s">
        <v>562</v>
      </c>
      <c r="G2093" s="252">
        <f t="shared" si="36"/>
        <v>2.1</v>
      </c>
    </row>
    <row r="2094" spans="1:7" x14ac:dyDescent="0.3">
      <c r="A2094" s="596" t="s">
        <v>554</v>
      </c>
      <c r="B2094" s="596" t="s">
        <v>563</v>
      </c>
      <c r="C2094" s="592" t="s">
        <v>564</v>
      </c>
      <c r="D2094" s="596" t="s">
        <v>55</v>
      </c>
      <c r="E2094" s="608">
        <v>0.3</v>
      </c>
      <c r="F2094" s="598" t="s">
        <v>567</v>
      </c>
      <c r="G2094" s="252">
        <f t="shared" si="36"/>
        <v>2.19</v>
      </c>
    </row>
    <row r="2095" spans="1:7" x14ac:dyDescent="0.3">
      <c r="A2095" s="680" t="s">
        <v>1152</v>
      </c>
      <c r="B2095" s="681"/>
      <c r="C2095" s="681"/>
      <c r="D2095" s="681"/>
      <c r="E2095" s="681"/>
      <c r="F2095" s="682"/>
      <c r="G2095" s="527">
        <f>SUM(G2087:G2094)</f>
        <v>60.92</v>
      </c>
    </row>
    <row r="2096" spans="1:7" x14ac:dyDescent="0.3">
      <c r="A2096" s="686"/>
      <c r="B2096" s="687"/>
      <c r="C2096" s="687"/>
      <c r="D2096" s="687"/>
      <c r="E2096" s="687"/>
      <c r="F2096" s="687"/>
      <c r="G2096" s="688"/>
    </row>
    <row r="2097" spans="1:7" x14ac:dyDescent="0.3">
      <c r="A2097" s="529" t="s">
        <v>206</v>
      </c>
      <c r="B2097" s="529"/>
      <c r="C2097" s="530" t="s">
        <v>161</v>
      </c>
      <c r="D2097" s="529"/>
      <c r="E2097" s="252"/>
      <c r="F2097" s="531"/>
      <c r="G2097" s="252">
        <f t="shared" si="36"/>
        <v>0</v>
      </c>
    </row>
    <row r="2098" spans="1:7" ht="28.8" x14ac:dyDescent="0.3">
      <c r="A2098" s="529" t="s">
        <v>208</v>
      </c>
      <c r="B2098" s="529">
        <v>91944</v>
      </c>
      <c r="C2098" s="530" t="s">
        <v>151</v>
      </c>
      <c r="D2098" s="529" t="s">
        <v>44</v>
      </c>
      <c r="E2098" s="252"/>
      <c r="F2098" s="531">
        <v>9.06</v>
      </c>
      <c r="G2098" s="252">
        <f t="shared" si="36"/>
        <v>0</v>
      </c>
    </row>
    <row r="2099" spans="1:7" x14ac:dyDescent="0.3">
      <c r="A2099" s="524" t="s">
        <v>508</v>
      </c>
      <c r="B2099" s="524" t="s">
        <v>1923</v>
      </c>
      <c r="C2099" s="525" t="s">
        <v>1924</v>
      </c>
      <c r="D2099" s="524" t="s">
        <v>397</v>
      </c>
      <c r="E2099" s="524" t="s">
        <v>1122</v>
      </c>
      <c r="F2099" s="528">
        <v>3.13</v>
      </c>
      <c r="G2099" s="252">
        <f t="shared" ref="G2099:G2102" si="45">TRUNC(E2099*F2099,2)</f>
        <v>3.13</v>
      </c>
    </row>
    <row r="2100" spans="1:7" x14ac:dyDescent="0.3">
      <c r="A2100" s="524" t="s">
        <v>522</v>
      </c>
      <c r="B2100" s="524" t="s">
        <v>611</v>
      </c>
      <c r="C2100" s="525" t="s">
        <v>546</v>
      </c>
      <c r="D2100" s="524" t="s">
        <v>32</v>
      </c>
      <c r="E2100" s="524" t="s">
        <v>1925</v>
      </c>
      <c r="F2100" s="528" t="s">
        <v>1646</v>
      </c>
      <c r="G2100" s="252">
        <f t="shared" si="45"/>
        <v>2.37</v>
      </c>
    </row>
    <row r="2101" spans="1:7" x14ac:dyDescent="0.3">
      <c r="A2101" s="524" t="s">
        <v>522</v>
      </c>
      <c r="B2101" s="524" t="s">
        <v>610</v>
      </c>
      <c r="C2101" s="525" t="s">
        <v>543</v>
      </c>
      <c r="D2101" s="524" t="s">
        <v>32</v>
      </c>
      <c r="E2101" s="524" t="s">
        <v>1925</v>
      </c>
      <c r="F2101" s="528" t="s">
        <v>1647</v>
      </c>
      <c r="G2101" s="252">
        <f t="shared" si="45"/>
        <v>3.05</v>
      </c>
    </row>
    <row r="2102" spans="1:7" ht="28.8" x14ac:dyDescent="0.3">
      <c r="A2102" s="524" t="s">
        <v>522</v>
      </c>
      <c r="B2102" s="524" t="s">
        <v>1685</v>
      </c>
      <c r="C2102" s="525" t="s">
        <v>1686</v>
      </c>
      <c r="D2102" s="524" t="s">
        <v>41</v>
      </c>
      <c r="E2102" s="524" t="s">
        <v>1926</v>
      </c>
      <c r="F2102" s="528" t="s">
        <v>1688</v>
      </c>
      <c r="G2102" s="252">
        <f t="shared" si="45"/>
        <v>0.51</v>
      </c>
    </row>
    <row r="2103" spans="1:7" x14ac:dyDescent="0.3">
      <c r="A2103" s="680" t="s">
        <v>1152</v>
      </c>
      <c r="B2103" s="681"/>
      <c r="C2103" s="681"/>
      <c r="D2103" s="681"/>
      <c r="E2103" s="681"/>
      <c r="F2103" s="682"/>
      <c r="G2103" s="527">
        <f>SUM(G2099:G2102)</f>
        <v>9.06</v>
      </c>
    </row>
    <row r="2104" spans="1:7" x14ac:dyDescent="0.3">
      <c r="A2104" s="683">
        <f>TRUNC(E2104*F2104,2)</f>
        <v>0</v>
      </c>
      <c r="B2104" s="684"/>
      <c r="C2104" s="684"/>
      <c r="D2104" s="684"/>
      <c r="E2104" s="684"/>
      <c r="F2104" s="684"/>
      <c r="G2104" s="685"/>
    </row>
    <row r="2105" spans="1:7" ht="28.8" x14ac:dyDescent="0.3">
      <c r="A2105" s="529" t="s">
        <v>252</v>
      </c>
      <c r="B2105" s="529">
        <v>90447</v>
      </c>
      <c r="C2105" s="530" t="s">
        <v>127</v>
      </c>
      <c r="D2105" s="529" t="s">
        <v>55</v>
      </c>
      <c r="E2105" s="252"/>
      <c r="F2105" s="531">
        <v>4.45</v>
      </c>
      <c r="G2105" s="252">
        <f t="shared" si="36"/>
        <v>0</v>
      </c>
    </row>
    <row r="2106" spans="1:7" x14ac:dyDescent="0.3">
      <c r="A2106" s="524" t="s">
        <v>522</v>
      </c>
      <c r="B2106" s="524" t="s">
        <v>611</v>
      </c>
      <c r="C2106" s="525" t="s">
        <v>546</v>
      </c>
      <c r="D2106" s="524" t="s">
        <v>32</v>
      </c>
      <c r="E2106" s="524" t="s">
        <v>1658</v>
      </c>
      <c r="F2106" s="528" t="s">
        <v>1646</v>
      </c>
      <c r="G2106" s="252">
        <f t="shared" si="36"/>
        <v>0.48</v>
      </c>
    </row>
    <row r="2107" spans="1:7" x14ac:dyDescent="0.3">
      <c r="A2107" s="524" t="s">
        <v>522</v>
      </c>
      <c r="B2107" s="524" t="s">
        <v>610</v>
      </c>
      <c r="C2107" s="525" t="s">
        <v>543</v>
      </c>
      <c r="D2107" s="524" t="s">
        <v>32</v>
      </c>
      <c r="E2107" s="524" t="s">
        <v>1659</v>
      </c>
      <c r="F2107" s="528" t="s">
        <v>1647</v>
      </c>
      <c r="G2107" s="252">
        <f t="shared" si="36"/>
        <v>3.97</v>
      </c>
    </row>
    <row r="2108" spans="1:7" x14ac:dyDescent="0.3">
      <c r="A2108" s="680" t="s">
        <v>1152</v>
      </c>
      <c r="B2108" s="681"/>
      <c r="C2108" s="681"/>
      <c r="D2108" s="681"/>
      <c r="E2108" s="681"/>
      <c r="F2108" s="682"/>
      <c r="G2108" s="527">
        <f>SUM(G2099:G2107)</f>
        <v>22.57</v>
      </c>
    </row>
    <row r="2109" spans="1:7" x14ac:dyDescent="0.3">
      <c r="A2109" s="683">
        <f>TRUNC(E2109*F2109,2)</f>
        <v>0</v>
      </c>
      <c r="B2109" s="684"/>
      <c r="C2109" s="684"/>
      <c r="D2109" s="684"/>
      <c r="E2109" s="684"/>
      <c r="F2109" s="684"/>
      <c r="G2109" s="685"/>
    </row>
    <row r="2110" spans="1:7" ht="28.8" x14ac:dyDescent="0.3">
      <c r="A2110" s="529" t="s">
        <v>209</v>
      </c>
      <c r="B2110" s="529">
        <v>91836</v>
      </c>
      <c r="C2110" s="530" t="s">
        <v>130</v>
      </c>
      <c r="D2110" s="529" t="s">
        <v>55</v>
      </c>
      <c r="E2110" s="252"/>
      <c r="F2110" s="531">
        <v>7.55</v>
      </c>
      <c r="G2110" s="252">
        <f t="shared" si="36"/>
        <v>0</v>
      </c>
    </row>
    <row r="2111" spans="1:7" x14ac:dyDescent="0.3">
      <c r="A2111" s="524" t="s">
        <v>508</v>
      </c>
      <c r="B2111" s="524" t="s">
        <v>1660</v>
      </c>
      <c r="C2111" s="525" t="s">
        <v>1661</v>
      </c>
      <c r="D2111" s="524" t="s">
        <v>55</v>
      </c>
      <c r="E2111" s="524" t="s">
        <v>1662</v>
      </c>
      <c r="F2111" s="528" t="s">
        <v>1663</v>
      </c>
      <c r="G2111" s="252">
        <f t="shared" si="36"/>
        <v>2.46</v>
      </c>
    </row>
    <row r="2112" spans="1:7" x14ac:dyDescent="0.3">
      <c r="A2112" s="524" t="s">
        <v>522</v>
      </c>
      <c r="B2112" s="524" t="s">
        <v>611</v>
      </c>
      <c r="C2112" s="525" t="s">
        <v>546</v>
      </c>
      <c r="D2112" s="524" t="s">
        <v>32</v>
      </c>
      <c r="E2112" s="524" t="s">
        <v>1664</v>
      </c>
      <c r="F2112" s="528" t="s">
        <v>1646</v>
      </c>
      <c r="G2112" s="252">
        <f t="shared" si="36"/>
        <v>1.28</v>
      </c>
    </row>
    <row r="2113" spans="1:7" x14ac:dyDescent="0.3">
      <c r="A2113" s="524" t="s">
        <v>522</v>
      </c>
      <c r="B2113" s="524" t="s">
        <v>610</v>
      </c>
      <c r="C2113" s="525" t="s">
        <v>543</v>
      </c>
      <c r="D2113" s="524" t="s">
        <v>32</v>
      </c>
      <c r="E2113" s="524" t="s">
        <v>1664</v>
      </c>
      <c r="F2113" s="528" t="s">
        <v>1647</v>
      </c>
      <c r="G2113" s="252">
        <f t="shared" si="36"/>
        <v>1.65</v>
      </c>
    </row>
    <row r="2114" spans="1:7" ht="43.2" x14ac:dyDescent="0.3">
      <c r="A2114" s="524" t="s">
        <v>522</v>
      </c>
      <c r="B2114" s="524" t="s">
        <v>959</v>
      </c>
      <c r="C2114" s="525" t="s">
        <v>960</v>
      </c>
      <c r="D2114" s="524" t="s">
        <v>55</v>
      </c>
      <c r="E2114" s="524" t="s">
        <v>1122</v>
      </c>
      <c r="F2114" s="528" t="s">
        <v>962</v>
      </c>
      <c r="G2114" s="252">
        <f t="shared" si="36"/>
        <v>2.16</v>
      </c>
    </row>
    <row r="2115" spans="1:7" x14ac:dyDescent="0.3">
      <c r="A2115" s="680" t="s">
        <v>1152</v>
      </c>
      <c r="B2115" s="681"/>
      <c r="C2115" s="681"/>
      <c r="D2115" s="681"/>
      <c r="E2115" s="681"/>
      <c r="F2115" s="682"/>
      <c r="G2115" s="527">
        <f>SUM(G2111:G2114)</f>
        <v>7.5500000000000007</v>
      </c>
    </row>
    <row r="2116" spans="1:7" x14ac:dyDescent="0.3">
      <c r="A2116" s="683">
        <f>TRUNC(E2116*F2116,2)</f>
        <v>0</v>
      </c>
      <c r="B2116" s="684"/>
      <c r="C2116" s="684"/>
      <c r="D2116" s="684"/>
      <c r="E2116" s="684"/>
      <c r="F2116" s="684"/>
      <c r="G2116" s="685"/>
    </row>
    <row r="2117" spans="1:7" ht="28.8" x14ac:dyDescent="0.3">
      <c r="A2117" s="529" t="s">
        <v>253</v>
      </c>
      <c r="B2117" s="529">
        <v>91869</v>
      </c>
      <c r="C2117" s="530" t="s">
        <v>132</v>
      </c>
      <c r="D2117" s="529" t="s">
        <v>55</v>
      </c>
      <c r="E2117" s="252"/>
      <c r="F2117" s="531">
        <v>10.32</v>
      </c>
      <c r="G2117" s="252">
        <f t="shared" si="36"/>
        <v>0</v>
      </c>
    </row>
    <row r="2118" spans="1:7" x14ac:dyDescent="0.3">
      <c r="A2118" s="524" t="s">
        <v>508</v>
      </c>
      <c r="B2118" s="524" t="s">
        <v>1665</v>
      </c>
      <c r="C2118" s="525" t="s">
        <v>1666</v>
      </c>
      <c r="D2118" s="524" t="s">
        <v>55</v>
      </c>
      <c r="E2118" s="524" t="s">
        <v>1667</v>
      </c>
      <c r="F2118" s="528" t="s">
        <v>1668</v>
      </c>
      <c r="G2118" s="252">
        <f t="shared" si="36"/>
        <v>5.26</v>
      </c>
    </row>
    <row r="2119" spans="1:7" ht="28.8" x14ac:dyDescent="0.3">
      <c r="A2119" s="524" t="s">
        <v>508</v>
      </c>
      <c r="B2119" s="524" t="s">
        <v>1669</v>
      </c>
      <c r="C2119" s="525" t="s">
        <v>1670</v>
      </c>
      <c r="D2119" s="524" t="s">
        <v>426</v>
      </c>
      <c r="E2119" s="524" t="s">
        <v>1671</v>
      </c>
      <c r="F2119" s="528" t="s">
        <v>1672</v>
      </c>
      <c r="G2119" s="252">
        <f t="shared" si="36"/>
        <v>0.03</v>
      </c>
    </row>
    <row r="2120" spans="1:7" x14ac:dyDescent="0.3">
      <c r="A2120" s="524" t="s">
        <v>522</v>
      </c>
      <c r="B2120" s="524" t="s">
        <v>611</v>
      </c>
      <c r="C2120" s="525" t="s">
        <v>546</v>
      </c>
      <c r="D2120" s="524" t="s">
        <v>32</v>
      </c>
      <c r="E2120" s="524" t="s">
        <v>1673</v>
      </c>
      <c r="F2120" s="528" t="s">
        <v>1646</v>
      </c>
      <c r="G2120" s="252">
        <f t="shared" si="36"/>
        <v>2.2000000000000002</v>
      </c>
    </row>
    <row r="2121" spans="1:7" x14ac:dyDescent="0.3">
      <c r="A2121" s="524" t="s">
        <v>522</v>
      </c>
      <c r="B2121" s="524" t="s">
        <v>610</v>
      </c>
      <c r="C2121" s="525" t="s">
        <v>543</v>
      </c>
      <c r="D2121" s="524" t="s">
        <v>32</v>
      </c>
      <c r="E2121" s="524" t="s">
        <v>1673</v>
      </c>
      <c r="F2121" s="528" t="s">
        <v>1647</v>
      </c>
      <c r="G2121" s="252">
        <f t="shared" si="36"/>
        <v>2.83</v>
      </c>
    </row>
    <row r="2122" spans="1:7" x14ac:dyDescent="0.3">
      <c r="A2122" s="680" t="s">
        <v>1152</v>
      </c>
      <c r="B2122" s="681"/>
      <c r="C2122" s="681"/>
      <c r="D2122" s="681"/>
      <c r="E2122" s="681"/>
      <c r="F2122" s="682"/>
      <c r="G2122" s="527">
        <f>SUM(G2118:G2121)</f>
        <v>10.32</v>
      </c>
    </row>
    <row r="2123" spans="1:7" x14ac:dyDescent="0.3">
      <c r="A2123" s="683">
        <f>TRUNC(E2123*F2123,2)</f>
        <v>0</v>
      </c>
      <c r="B2123" s="684"/>
      <c r="C2123" s="684"/>
      <c r="D2123" s="684"/>
      <c r="E2123" s="684"/>
      <c r="F2123" s="684"/>
      <c r="G2123" s="685"/>
    </row>
    <row r="2124" spans="1:7" ht="28.8" x14ac:dyDescent="0.3">
      <c r="A2124" s="529" t="s">
        <v>254</v>
      </c>
      <c r="B2124" s="529">
        <v>91941</v>
      </c>
      <c r="C2124" s="530" t="s">
        <v>150</v>
      </c>
      <c r="D2124" s="529" t="s">
        <v>44</v>
      </c>
      <c r="E2124" s="252"/>
      <c r="F2124" s="531">
        <v>6.8</v>
      </c>
      <c r="G2124" s="252">
        <f t="shared" si="36"/>
        <v>0</v>
      </c>
    </row>
    <row r="2125" spans="1:7" x14ac:dyDescent="0.3">
      <c r="A2125" s="524" t="s">
        <v>508</v>
      </c>
      <c r="B2125" s="524" t="s">
        <v>1681</v>
      </c>
      <c r="C2125" s="525" t="s">
        <v>1682</v>
      </c>
      <c r="D2125" s="524" t="s">
        <v>397</v>
      </c>
      <c r="E2125" s="524" t="s">
        <v>1122</v>
      </c>
      <c r="F2125" s="526" t="s">
        <v>1683</v>
      </c>
      <c r="G2125" s="252">
        <f t="shared" si="36"/>
        <v>1.69</v>
      </c>
    </row>
    <row r="2126" spans="1:7" x14ac:dyDescent="0.3">
      <c r="A2126" s="524" t="s">
        <v>522</v>
      </c>
      <c r="B2126" s="524" t="s">
        <v>611</v>
      </c>
      <c r="C2126" s="525" t="s">
        <v>546</v>
      </c>
      <c r="D2126" s="524" t="s">
        <v>32</v>
      </c>
      <c r="E2126" s="524" t="s">
        <v>1684</v>
      </c>
      <c r="F2126" s="526" t="s">
        <v>1646</v>
      </c>
      <c r="G2126" s="252">
        <f t="shared" si="36"/>
        <v>2.0699999999999998</v>
      </c>
    </row>
    <row r="2127" spans="1:7" x14ac:dyDescent="0.3">
      <c r="A2127" s="524" t="s">
        <v>522</v>
      </c>
      <c r="B2127" s="524" t="s">
        <v>610</v>
      </c>
      <c r="C2127" s="525" t="s">
        <v>543</v>
      </c>
      <c r="D2127" s="524" t="s">
        <v>32</v>
      </c>
      <c r="E2127" s="524" t="s">
        <v>1684</v>
      </c>
      <c r="F2127" s="526" t="s">
        <v>1647</v>
      </c>
      <c r="G2127" s="252">
        <f t="shared" si="36"/>
        <v>2.66</v>
      </c>
    </row>
    <row r="2128" spans="1:7" ht="28.8" x14ac:dyDescent="0.3">
      <c r="A2128" s="524" t="s">
        <v>522</v>
      </c>
      <c r="B2128" s="524" t="s">
        <v>1685</v>
      </c>
      <c r="C2128" s="525" t="s">
        <v>1686</v>
      </c>
      <c r="D2128" s="524" t="s">
        <v>41</v>
      </c>
      <c r="E2128" s="524" t="s">
        <v>1687</v>
      </c>
      <c r="F2128" s="526" t="s">
        <v>1688</v>
      </c>
      <c r="G2128" s="252">
        <f t="shared" si="36"/>
        <v>0.38</v>
      </c>
    </row>
    <row r="2129" spans="1:7" x14ac:dyDescent="0.3">
      <c r="A2129" s="680" t="s">
        <v>1152</v>
      </c>
      <c r="B2129" s="681"/>
      <c r="C2129" s="681"/>
      <c r="D2129" s="681"/>
      <c r="E2129" s="681"/>
      <c r="F2129" s="682"/>
      <c r="G2129" s="527">
        <f>SUM(G2125:G2128)</f>
        <v>6.8</v>
      </c>
    </row>
    <row r="2130" spans="1:7" x14ac:dyDescent="0.3">
      <c r="A2130" s="683">
        <f>TRUNC(E2130*F2130,2)</f>
        <v>0</v>
      </c>
      <c r="B2130" s="684"/>
      <c r="C2130" s="684"/>
      <c r="D2130" s="684"/>
      <c r="E2130" s="684"/>
      <c r="F2130" s="684"/>
      <c r="G2130" s="685"/>
    </row>
    <row r="2131" spans="1:7" ht="28.8" x14ac:dyDescent="0.3">
      <c r="A2131" s="529" t="s">
        <v>255</v>
      </c>
      <c r="B2131" s="529">
        <v>95778</v>
      </c>
      <c r="C2131" s="530" t="s">
        <v>168</v>
      </c>
      <c r="D2131" s="529" t="s">
        <v>55</v>
      </c>
      <c r="E2131" s="252"/>
      <c r="F2131" s="531">
        <v>20.28</v>
      </c>
      <c r="G2131" s="252">
        <f t="shared" si="36"/>
        <v>0</v>
      </c>
    </row>
    <row r="2132" spans="1:7" ht="28.8" x14ac:dyDescent="0.3">
      <c r="A2132" s="524" t="s">
        <v>508</v>
      </c>
      <c r="B2132" s="524" t="s">
        <v>1689</v>
      </c>
      <c r="C2132" s="525" t="s">
        <v>1690</v>
      </c>
      <c r="D2132" s="524" t="s">
        <v>397</v>
      </c>
      <c r="E2132" s="524" t="s">
        <v>1122</v>
      </c>
      <c r="F2132" s="526" t="s">
        <v>1691</v>
      </c>
      <c r="G2132" s="252">
        <f t="shared" si="36"/>
        <v>8.69</v>
      </c>
    </row>
    <row r="2133" spans="1:7" ht="28.8" x14ac:dyDescent="0.3">
      <c r="A2133" s="524" t="s">
        <v>508</v>
      </c>
      <c r="B2133" s="524" t="s">
        <v>1692</v>
      </c>
      <c r="C2133" s="525" t="s">
        <v>1693</v>
      </c>
      <c r="D2133" s="524" t="s">
        <v>397</v>
      </c>
      <c r="E2133" s="524" t="s">
        <v>1523</v>
      </c>
      <c r="F2133" s="526" t="s">
        <v>1694</v>
      </c>
      <c r="G2133" s="252">
        <f t="shared" si="36"/>
        <v>0.36</v>
      </c>
    </row>
    <row r="2134" spans="1:7" x14ac:dyDescent="0.3">
      <c r="A2134" s="524" t="s">
        <v>522</v>
      </c>
      <c r="B2134" s="524" t="s">
        <v>611</v>
      </c>
      <c r="C2134" s="525" t="s">
        <v>546</v>
      </c>
      <c r="D2134" s="524" t="s">
        <v>32</v>
      </c>
      <c r="E2134" s="524" t="s">
        <v>1695</v>
      </c>
      <c r="F2134" s="526" t="s">
        <v>1646</v>
      </c>
      <c r="G2134" s="252">
        <f t="shared" si="36"/>
        <v>4.92</v>
      </c>
    </row>
    <row r="2135" spans="1:7" x14ac:dyDescent="0.3">
      <c r="A2135" s="524" t="s">
        <v>522</v>
      </c>
      <c r="B2135" s="524" t="s">
        <v>610</v>
      </c>
      <c r="C2135" s="525" t="s">
        <v>543</v>
      </c>
      <c r="D2135" s="524" t="s">
        <v>32</v>
      </c>
      <c r="E2135" s="524" t="s">
        <v>1695</v>
      </c>
      <c r="F2135" s="526" t="s">
        <v>1647</v>
      </c>
      <c r="G2135" s="252">
        <f t="shared" si="36"/>
        <v>6.31</v>
      </c>
    </row>
    <row r="2136" spans="1:7" x14ac:dyDescent="0.3">
      <c r="A2136" s="680" t="s">
        <v>1152</v>
      </c>
      <c r="B2136" s="681"/>
      <c r="C2136" s="681"/>
      <c r="D2136" s="681"/>
      <c r="E2136" s="681"/>
      <c r="F2136" s="682"/>
      <c r="G2136" s="527">
        <f>SUM(G2132:G2135)</f>
        <v>20.279999999999998</v>
      </c>
    </row>
    <row r="2137" spans="1:7" x14ac:dyDescent="0.3">
      <c r="A2137" s="683">
        <f>TRUNC(E2137*F2137,2)</f>
        <v>0</v>
      </c>
      <c r="B2137" s="684"/>
      <c r="C2137" s="684"/>
      <c r="D2137" s="684"/>
      <c r="E2137" s="684"/>
      <c r="F2137" s="684"/>
      <c r="G2137" s="685"/>
    </row>
    <row r="2138" spans="1:7" ht="28.8" x14ac:dyDescent="0.3">
      <c r="A2138" s="529" t="s">
        <v>256</v>
      </c>
      <c r="B2138" s="529">
        <v>98296</v>
      </c>
      <c r="C2138" s="530" t="s">
        <v>172</v>
      </c>
      <c r="D2138" s="529" t="s">
        <v>55</v>
      </c>
      <c r="E2138" s="252"/>
      <c r="F2138" s="531">
        <v>2.52</v>
      </c>
      <c r="G2138" s="252">
        <f t="shared" si="36"/>
        <v>0</v>
      </c>
    </row>
    <row r="2139" spans="1:7" x14ac:dyDescent="0.3">
      <c r="A2139" s="524" t="s">
        <v>508</v>
      </c>
      <c r="B2139" s="524" t="s">
        <v>1700</v>
      </c>
      <c r="C2139" s="525" t="s">
        <v>1701</v>
      </c>
      <c r="D2139" s="524" t="s">
        <v>55</v>
      </c>
      <c r="E2139" s="524" t="s">
        <v>1697</v>
      </c>
      <c r="F2139" s="526" t="s">
        <v>1702</v>
      </c>
      <c r="G2139" s="252">
        <f t="shared" si="36"/>
        <v>1.65</v>
      </c>
    </row>
    <row r="2140" spans="1:7" x14ac:dyDescent="0.3">
      <c r="A2140" s="524" t="s">
        <v>522</v>
      </c>
      <c r="B2140" s="524" t="s">
        <v>611</v>
      </c>
      <c r="C2140" s="525" t="s">
        <v>546</v>
      </c>
      <c r="D2140" s="524" t="s">
        <v>32</v>
      </c>
      <c r="E2140" s="524" t="s">
        <v>1151</v>
      </c>
      <c r="F2140" s="526" t="s">
        <v>1646</v>
      </c>
      <c r="G2140" s="252">
        <f t="shared" si="36"/>
        <v>0.38</v>
      </c>
    </row>
    <row r="2141" spans="1:7" x14ac:dyDescent="0.3">
      <c r="A2141" s="524" t="s">
        <v>522</v>
      </c>
      <c r="B2141" s="524" t="s">
        <v>610</v>
      </c>
      <c r="C2141" s="525" t="s">
        <v>543</v>
      </c>
      <c r="D2141" s="524" t="s">
        <v>32</v>
      </c>
      <c r="E2141" s="524" t="s">
        <v>1151</v>
      </c>
      <c r="F2141" s="526" t="s">
        <v>1647</v>
      </c>
      <c r="G2141" s="252">
        <f t="shared" si="36"/>
        <v>0.49</v>
      </c>
    </row>
    <row r="2142" spans="1:7" x14ac:dyDescent="0.3">
      <c r="A2142" s="680" t="s">
        <v>1152</v>
      </c>
      <c r="B2142" s="681"/>
      <c r="C2142" s="681"/>
      <c r="D2142" s="681"/>
      <c r="E2142" s="681"/>
      <c r="F2142" s="682"/>
      <c r="G2142" s="527">
        <f>SUM(G2138:G2141)</f>
        <v>2.5199999999999996</v>
      </c>
    </row>
    <row r="2143" spans="1:7" x14ac:dyDescent="0.3">
      <c r="A2143" s="683">
        <f>TRUNC(E2143*F2143,2)</f>
        <v>0</v>
      </c>
      <c r="B2143" s="684"/>
      <c r="C2143" s="684"/>
      <c r="D2143" s="684"/>
      <c r="E2143" s="684"/>
      <c r="F2143" s="684"/>
      <c r="G2143" s="685"/>
    </row>
    <row r="2144" spans="1:7" x14ac:dyDescent="0.3">
      <c r="A2144" s="529" t="s">
        <v>257</v>
      </c>
      <c r="B2144" s="529">
        <v>98302</v>
      </c>
      <c r="C2144" s="530" t="s">
        <v>174</v>
      </c>
      <c r="D2144" s="529" t="s">
        <v>44</v>
      </c>
      <c r="E2144" s="252"/>
      <c r="F2144" s="531">
        <v>497.66</v>
      </c>
      <c r="G2144" s="252">
        <f t="shared" si="36"/>
        <v>0</v>
      </c>
    </row>
    <row r="2145" spans="1:7" x14ac:dyDescent="0.3">
      <c r="A2145" s="524" t="s">
        <v>508</v>
      </c>
      <c r="B2145" s="524" t="s">
        <v>1703</v>
      </c>
      <c r="C2145" s="525" t="s">
        <v>1704</v>
      </c>
      <c r="D2145" s="524" t="s">
        <v>397</v>
      </c>
      <c r="E2145" s="524" t="s">
        <v>1122</v>
      </c>
      <c r="F2145" s="526" t="s">
        <v>1706</v>
      </c>
      <c r="G2145" s="252">
        <f t="shared" si="36"/>
        <v>294.85000000000002</v>
      </c>
    </row>
    <row r="2146" spans="1:7" x14ac:dyDescent="0.3">
      <c r="A2146" s="524" t="s">
        <v>522</v>
      </c>
      <c r="B2146" s="524" t="s">
        <v>611</v>
      </c>
      <c r="C2146" s="525" t="s">
        <v>546</v>
      </c>
      <c r="D2146" s="524" t="s">
        <v>32</v>
      </c>
      <c r="E2146" s="524" t="s">
        <v>1705</v>
      </c>
      <c r="F2146" s="526" t="s">
        <v>1646</v>
      </c>
      <c r="G2146" s="252">
        <f t="shared" si="36"/>
        <v>88.85</v>
      </c>
    </row>
    <row r="2147" spans="1:7" x14ac:dyDescent="0.3">
      <c r="A2147" s="524" t="s">
        <v>522</v>
      </c>
      <c r="B2147" s="524" t="s">
        <v>610</v>
      </c>
      <c r="C2147" s="525" t="s">
        <v>543</v>
      </c>
      <c r="D2147" s="524" t="s">
        <v>32</v>
      </c>
      <c r="E2147" s="524" t="s">
        <v>1705</v>
      </c>
      <c r="F2147" s="526" t="s">
        <v>1647</v>
      </c>
      <c r="G2147" s="252">
        <f t="shared" si="36"/>
        <v>113.96</v>
      </c>
    </row>
    <row r="2148" spans="1:7" x14ac:dyDescent="0.3">
      <c r="A2148" s="680" t="s">
        <v>1152</v>
      </c>
      <c r="B2148" s="681"/>
      <c r="C2148" s="681"/>
      <c r="D2148" s="681"/>
      <c r="E2148" s="681"/>
      <c r="F2148" s="682"/>
      <c r="G2148" s="527">
        <f>SUM(G2144:G2147)</f>
        <v>497.66</v>
      </c>
    </row>
    <row r="2149" spans="1:7" x14ac:dyDescent="0.3">
      <c r="A2149" s="683">
        <f>TRUNC(E2149*F2149,2)</f>
        <v>0</v>
      </c>
      <c r="B2149" s="684"/>
      <c r="C2149" s="684"/>
      <c r="D2149" s="684"/>
      <c r="E2149" s="684"/>
      <c r="F2149" s="684"/>
      <c r="G2149" s="685"/>
    </row>
    <row r="2150" spans="1:7" x14ac:dyDescent="0.3">
      <c r="A2150" s="529" t="s">
        <v>258</v>
      </c>
      <c r="B2150" s="529">
        <v>98593</v>
      </c>
      <c r="C2150" s="530" t="s">
        <v>176</v>
      </c>
      <c r="D2150" s="529" t="s">
        <v>44</v>
      </c>
      <c r="E2150" s="252"/>
      <c r="F2150" s="531">
        <v>650.59</v>
      </c>
      <c r="G2150" s="252">
        <f t="shared" si="36"/>
        <v>0</v>
      </c>
    </row>
    <row r="2151" spans="1:7" x14ac:dyDescent="0.3">
      <c r="A2151" s="524" t="s">
        <v>508</v>
      </c>
      <c r="B2151" s="524" t="s">
        <v>1707</v>
      </c>
      <c r="C2151" s="525" t="s">
        <v>1708</v>
      </c>
      <c r="D2151" s="524" t="s">
        <v>397</v>
      </c>
      <c r="E2151" s="524" t="s">
        <v>1122</v>
      </c>
      <c r="F2151" s="526" t="s">
        <v>1709</v>
      </c>
      <c r="G2151" s="252">
        <f t="shared" si="36"/>
        <v>247.5</v>
      </c>
    </row>
    <row r="2152" spans="1:7" x14ac:dyDescent="0.3">
      <c r="A2152" s="524" t="s">
        <v>522</v>
      </c>
      <c r="B2152" s="524" t="s">
        <v>611</v>
      </c>
      <c r="C2152" s="525" t="s">
        <v>546</v>
      </c>
      <c r="D2152" s="524" t="s">
        <v>32</v>
      </c>
      <c r="E2152" s="524" t="s">
        <v>1710</v>
      </c>
      <c r="F2152" s="526" t="s">
        <v>1646</v>
      </c>
      <c r="G2152" s="252">
        <f t="shared" si="36"/>
        <v>176.59</v>
      </c>
    </row>
    <row r="2153" spans="1:7" x14ac:dyDescent="0.3">
      <c r="A2153" s="524" t="s">
        <v>522</v>
      </c>
      <c r="B2153" s="524" t="s">
        <v>610</v>
      </c>
      <c r="C2153" s="525" t="s">
        <v>543</v>
      </c>
      <c r="D2153" s="524" t="s">
        <v>32</v>
      </c>
      <c r="E2153" s="524" t="s">
        <v>1710</v>
      </c>
      <c r="F2153" s="526" t="s">
        <v>1647</v>
      </c>
      <c r="G2153" s="252">
        <f t="shared" si="36"/>
        <v>226.5</v>
      </c>
    </row>
    <row r="2154" spans="1:7" x14ac:dyDescent="0.3">
      <c r="A2154" s="680" t="s">
        <v>1152</v>
      </c>
      <c r="B2154" s="681"/>
      <c r="C2154" s="681"/>
      <c r="D2154" s="681"/>
      <c r="E2154" s="681"/>
      <c r="F2154" s="682"/>
      <c r="G2154" s="527">
        <f>SUM(G2150:G2153)</f>
        <v>650.59</v>
      </c>
    </row>
    <row r="2155" spans="1:7" x14ac:dyDescent="0.3">
      <c r="A2155" s="683">
        <f>TRUNC(E2155*F2155,2)</f>
        <v>0</v>
      </c>
      <c r="B2155" s="684"/>
      <c r="C2155" s="684"/>
      <c r="D2155" s="684"/>
      <c r="E2155" s="684"/>
      <c r="F2155" s="684"/>
      <c r="G2155" s="685"/>
    </row>
    <row r="2156" spans="1:7" ht="43.2" x14ac:dyDescent="0.3">
      <c r="A2156" s="529" t="s">
        <v>259</v>
      </c>
      <c r="B2156" s="529" t="s">
        <v>178</v>
      </c>
      <c r="C2156" s="530" t="s">
        <v>179</v>
      </c>
      <c r="D2156" s="529" t="s">
        <v>44</v>
      </c>
      <c r="E2156" s="252"/>
      <c r="F2156" s="531">
        <v>1488.24</v>
      </c>
      <c r="G2156" s="252">
        <f t="shared" si="36"/>
        <v>0</v>
      </c>
    </row>
    <row r="2157" spans="1:7" x14ac:dyDescent="0.3">
      <c r="A2157" s="529"/>
      <c r="B2157" s="529" t="s">
        <v>570</v>
      </c>
      <c r="C2157" s="530" t="s">
        <v>571</v>
      </c>
      <c r="D2157" s="529" t="s">
        <v>397</v>
      </c>
      <c r="E2157" s="609">
        <v>1</v>
      </c>
      <c r="F2157" s="531">
        <v>164.45</v>
      </c>
      <c r="G2157" s="252">
        <f t="shared" ref="G2157:G2163" si="46">TRUNC(E2157*F2157,2)</f>
        <v>164.45</v>
      </c>
    </row>
    <row r="2158" spans="1:7" x14ac:dyDescent="0.3">
      <c r="A2158" s="529"/>
      <c r="B2158" s="529" t="s">
        <v>807</v>
      </c>
      <c r="C2158" s="530" t="s">
        <v>573</v>
      </c>
      <c r="D2158" s="529" t="s">
        <v>397</v>
      </c>
      <c r="E2158" s="609">
        <v>1</v>
      </c>
      <c r="F2158" s="531">
        <v>75.58</v>
      </c>
      <c r="G2158" s="252">
        <f t="shared" si="46"/>
        <v>75.58</v>
      </c>
    </row>
    <row r="2159" spans="1:7" x14ac:dyDescent="0.3">
      <c r="A2159" s="529"/>
      <c r="B2159" s="529" t="s">
        <v>807</v>
      </c>
      <c r="C2159" s="530" t="s">
        <v>574</v>
      </c>
      <c r="D2159" s="529" t="s">
        <v>397</v>
      </c>
      <c r="E2159" s="609">
        <v>1</v>
      </c>
      <c r="F2159" s="531">
        <v>62.05</v>
      </c>
      <c r="G2159" s="252">
        <f t="shared" si="46"/>
        <v>62.05</v>
      </c>
    </row>
    <row r="2160" spans="1:7" ht="28.8" x14ac:dyDescent="0.3">
      <c r="A2160" s="529"/>
      <c r="B2160" s="529" t="s">
        <v>807</v>
      </c>
      <c r="C2160" s="530" t="s">
        <v>575</v>
      </c>
      <c r="D2160" s="529" t="s">
        <v>397</v>
      </c>
      <c r="E2160" s="609">
        <v>1</v>
      </c>
      <c r="F2160" s="531">
        <v>922.58</v>
      </c>
      <c r="G2160" s="252">
        <f t="shared" si="46"/>
        <v>922.58</v>
      </c>
    </row>
    <row r="2161" spans="1:7" x14ac:dyDescent="0.3">
      <c r="A2161" s="529"/>
      <c r="B2161" s="529" t="s">
        <v>807</v>
      </c>
      <c r="C2161" s="530" t="s">
        <v>576</v>
      </c>
      <c r="D2161" s="529" t="s">
        <v>397</v>
      </c>
      <c r="E2161" s="609">
        <v>2</v>
      </c>
      <c r="F2161" s="531">
        <v>66.37</v>
      </c>
      <c r="G2161" s="252">
        <f t="shared" si="46"/>
        <v>132.74</v>
      </c>
    </row>
    <row r="2162" spans="1:7" x14ac:dyDescent="0.3">
      <c r="A2162" s="529"/>
      <c r="B2162" s="524" t="s">
        <v>610</v>
      </c>
      <c r="C2162" s="525" t="s">
        <v>543</v>
      </c>
      <c r="D2162" s="529" t="s">
        <v>32</v>
      </c>
      <c r="E2162" s="609">
        <v>4</v>
      </c>
      <c r="F2162" s="531">
        <v>18.38</v>
      </c>
      <c r="G2162" s="252">
        <f t="shared" si="46"/>
        <v>73.52</v>
      </c>
    </row>
    <row r="2163" spans="1:7" x14ac:dyDescent="0.3">
      <c r="A2163" s="529"/>
      <c r="B2163" s="524" t="s">
        <v>611</v>
      </c>
      <c r="C2163" s="525" t="s">
        <v>546</v>
      </c>
      <c r="D2163" s="529" t="s">
        <v>32</v>
      </c>
      <c r="E2163" s="609">
        <v>4</v>
      </c>
      <c r="F2163" s="531">
        <v>14.33</v>
      </c>
      <c r="G2163" s="252">
        <f t="shared" si="46"/>
        <v>57.32</v>
      </c>
    </row>
    <row r="2164" spans="1:7" x14ac:dyDescent="0.3">
      <c r="A2164" s="680" t="s">
        <v>1152</v>
      </c>
      <c r="B2164" s="681"/>
      <c r="C2164" s="681"/>
      <c r="D2164" s="681"/>
      <c r="E2164" s="681"/>
      <c r="F2164" s="682"/>
      <c r="G2164" s="527">
        <f>SUM(G2156:G2163)</f>
        <v>1488.24</v>
      </c>
    </row>
    <row r="2165" spans="1:7" x14ac:dyDescent="0.3">
      <c r="A2165" s="686"/>
      <c r="B2165" s="687"/>
      <c r="C2165" s="687"/>
      <c r="D2165" s="687"/>
      <c r="E2165" s="687"/>
      <c r="F2165" s="687"/>
      <c r="G2165" s="688"/>
    </row>
    <row r="2166" spans="1:7" x14ac:dyDescent="0.3">
      <c r="A2166" s="529" t="s">
        <v>260</v>
      </c>
      <c r="B2166" s="529">
        <v>98307</v>
      </c>
      <c r="C2166" s="530" t="s">
        <v>182</v>
      </c>
      <c r="D2166" s="529" t="s">
        <v>44</v>
      </c>
      <c r="E2166" s="252"/>
      <c r="F2166" s="531">
        <v>27.38</v>
      </c>
      <c r="G2166" s="252">
        <f t="shared" si="36"/>
        <v>0</v>
      </c>
    </row>
    <row r="2167" spans="1:7" ht="28.8" x14ac:dyDescent="0.3">
      <c r="A2167" s="524" t="s">
        <v>508</v>
      </c>
      <c r="B2167" s="524" t="s">
        <v>1715</v>
      </c>
      <c r="C2167" s="525" t="s">
        <v>1716</v>
      </c>
      <c r="D2167" s="524" t="s">
        <v>397</v>
      </c>
      <c r="E2167" s="524" t="s">
        <v>1122</v>
      </c>
      <c r="F2167" s="526" t="s">
        <v>1717</v>
      </c>
      <c r="G2167" s="252">
        <f t="shared" si="36"/>
        <v>20.65</v>
      </c>
    </row>
    <row r="2168" spans="1:7" x14ac:dyDescent="0.3">
      <c r="A2168" s="524" t="s">
        <v>522</v>
      </c>
      <c r="B2168" s="524" t="s">
        <v>611</v>
      </c>
      <c r="C2168" s="525" t="s">
        <v>546</v>
      </c>
      <c r="D2168" s="524" t="s">
        <v>32</v>
      </c>
      <c r="E2168" s="524" t="s">
        <v>1714</v>
      </c>
      <c r="F2168" s="526" t="s">
        <v>1646</v>
      </c>
      <c r="G2168" s="252">
        <f t="shared" si="36"/>
        <v>2.95</v>
      </c>
    </row>
    <row r="2169" spans="1:7" x14ac:dyDescent="0.3">
      <c r="A2169" s="524" t="s">
        <v>522</v>
      </c>
      <c r="B2169" s="524" t="s">
        <v>610</v>
      </c>
      <c r="C2169" s="525" t="s">
        <v>543</v>
      </c>
      <c r="D2169" s="524" t="s">
        <v>32</v>
      </c>
      <c r="E2169" s="524" t="s">
        <v>1714</v>
      </c>
      <c r="F2169" s="526" t="s">
        <v>1647</v>
      </c>
      <c r="G2169" s="252">
        <f t="shared" si="36"/>
        <v>3.78</v>
      </c>
    </row>
    <row r="2170" spans="1:7" x14ac:dyDescent="0.3">
      <c r="A2170" s="680" t="s">
        <v>1152</v>
      </c>
      <c r="B2170" s="681"/>
      <c r="C2170" s="681"/>
      <c r="D2170" s="681"/>
      <c r="E2170" s="681"/>
      <c r="F2170" s="682"/>
      <c r="G2170" s="527">
        <f>SUM(G2166:G2169)</f>
        <v>27.38</v>
      </c>
    </row>
    <row r="2171" spans="1:7" x14ac:dyDescent="0.3">
      <c r="A2171" s="683">
        <f>TRUNC(E2171*F2171,2)</f>
        <v>0</v>
      </c>
      <c r="B2171" s="684"/>
      <c r="C2171" s="684"/>
      <c r="D2171" s="684"/>
      <c r="E2171" s="684"/>
      <c r="F2171" s="684"/>
      <c r="G2171" s="685"/>
    </row>
    <row r="2172" spans="1:7" x14ac:dyDescent="0.3">
      <c r="A2172" s="529" t="s">
        <v>261</v>
      </c>
      <c r="B2172" s="529">
        <v>98308</v>
      </c>
      <c r="C2172" s="530" t="s">
        <v>180</v>
      </c>
      <c r="D2172" s="529" t="s">
        <v>44</v>
      </c>
      <c r="E2172" s="252"/>
      <c r="F2172" s="531">
        <v>18.43</v>
      </c>
      <c r="G2172" s="252">
        <f t="shared" si="36"/>
        <v>0</v>
      </c>
    </row>
    <row r="2173" spans="1:7" ht="28.8" x14ac:dyDescent="0.3">
      <c r="A2173" s="524" t="s">
        <v>508</v>
      </c>
      <c r="B2173" s="524" t="s">
        <v>1711</v>
      </c>
      <c r="C2173" s="525" t="s">
        <v>1712</v>
      </c>
      <c r="D2173" s="524" t="s">
        <v>397</v>
      </c>
      <c r="E2173" s="524" t="s">
        <v>1122</v>
      </c>
      <c r="F2173" s="526" t="s">
        <v>1713</v>
      </c>
      <c r="G2173" s="252">
        <f t="shared" ref="G2173:G2175" si="47">TRUNC(E2173*F2173,2)</f>
        <v>11.7</v>
      </c>
    </row>
    <row r="2174" spans="1:7" x14ac:dyDescent="0.3">
      <c r="A2174" s="524" t="s">
        <v>522</v>
      </c>
      <c r="B2174" s="524" t="s">
        <v>611</v>
      </c>
      <c r="C2174" s="525" t="s">
        <v>546</v>
      </c>
      <c r="D2174" s="524" t="s">
        <v>32</v>
      </c>
      <c r="E2174" s="524" t="s">
        <v>1714</v>
      </c>
      <c r="F2174" s="526" t="s">
        <v>1646</v>
      </c>
      <c r="G2174" s="252">
        <f t="shared" si="47"/>
        <v>2.95</v>
      </c>
    </row>
    <row r="2175" spans="1:7" x14ac:dyDescent="0.3">
      <c r="A2175" s="524" t="s">
        <v>522</v>
      </c>
      <c r="B2175" s="524" t="s">
        <v>610</v>
      </c>
      <c r="C2175" s="525" t="s">
        <v>543</v>
      </c>
      <c r="D2175" s="524" t="s">
        <v>32</v>
      </c>
      <c r="E2175" s="524" t="s">
        <v>1714</v>
      </c>
      <c r="F2175" s="526" t="s">
        <v>1647</v>
      </c>
      <c r="G2175" s="252">
        <f t="shared" si="47"/>
        <v>3.78</v>
      </c>
    </row>
    <row r="2176" spans="1:7" x14ac:dyDescent="0.3">
      <c r="A2176" s="680" t="s">
        <v>1152</v>
      </c>
      <c r="B2176" s="681"/>
      <c r="C2176" s="681"/>
      <c r="D2176" s="681"/>
      <c r="E2176" s="681"/>
      <c r="F2176" s="682"/>
      <c r="G2176" s="527">
        <f>SUM(G2172:G2175)</f>
        <v>18.43</v>
      </c>
    </row>
    <row r="2177" spans="1:7" x14ac:dyDescent="0.3">
      <c r="A2177" s="683">
        <f>TRUNC(E2177*F2177,2)</f>
        <v>0</v>
      </c>
      <c r="B2177" s="684"/>
      <c r="C2177" s="684"/>
      <c r="D2177" s="684"/>
      <c r="E2177" s="684"/>
      <c r="F2177" s="684"/>
      <c r="G2177" s="685"/>
    </row>
    <row r="2178" spans="1:7" ht="28.8" x14ac:dyDescent="0.3">
      <c r="A2178" s="529" t="s">
        <v>262</v>
      </c>
      <c r="B2178" s="529">
        <v>100560</v>
      </c>
      <c r="C2178" s="530" t="s">
        <v>184</v>
      </c>
      <c r="D2178" s="529" t="s">
        <v>44</v>
      </c>
      <c r="E2178" s="252"/>
      <c r="F2178" s="531">
        <v>80.44</v>
      </c>
      <c r="G2178" s="252">
        <f t="shared" ref="G2178:G2546" si="48">TRUNC(E2178*F2178,2)</f>
        <v>0</v>
      </c>
    </row>
    <row r="2179" spans="1:7" ht="28.8" x14ac:dyDescent="0.3">
      <c r="A2179" s="524" t="s">
        <v>508</v>
      </c>
      <c r="B2179" s="524" t="s">
        <v>1718</v>
      </c>
      <c r="C2179" s="525" t="s">
        <v>1719</v>
      </c>
      <c r="D2179" s="524" t="s">
        <v>397</v>
      </c>
      <c r="E2179" s="524" t="s">
        <v>1122</v>
      </c>
      <c r="F2179" s="526" t="s">
        <v>1720</v>
      </c>
      <c r="G2179" s="252">
        <f t="shared" si="48"/>
        <v>49.76</v>
      </c>
    </row>
    <row r="2180" spans="1:7" ht="43.2" x14ac:dyDescent="0.3">
      <c r="A2180" s="524" t="s">
        <v>522</v>
      </c>
      <c r="B2180" s="524" t="s">
        <v>1721</v>
      </c>
      <c r="C2180" s="525" t="s">
        <v>1722</v>
      </c>
      <c r="D2180" s="524" t="s">
        <v>41</v>
      </c>
      <c r="E2180" s="524" t="s">
        <v>1723</v>
      </c>
      <c r="F2180" s="526" t="s">
        <v>1724</v>
      </c>
      <c r="G2180" s="252">
        <f t="shared" si="48"/>
        <v>1.9</v>
      </c>
    </row>
    <row r="2181" spans="1:7" x14ac:dyDescent="0.3">
      <c r="A2181" s="524" t="s">
        <v>522</v>
      </c>
      <c r="B2181" s="524" t="s">
        <v>611</v>
      </c>
      <c r="C2181" s="525" t="s">
        <v>546</v>
      </c>
      <c r="D2181" s="524" t="s">
        <v>32</v>
      </c>
      <c r="E2181" s="524" t="s">
        <v>1725</v>
      </c>
      <c r="F2181" s="526" t="s">
        <v>1646</v>
      </c>
      <c r="G2181" s="252">
        <f t="shared" si="48"/>
        <v>12.61</v>
      </c>
    </row>
    <row r="2182" spans="1:7" x14ac:dyDescent="0.3">
      <c r="A2182" s="524" t="s">
        <v>522</v>
      </c>
      <c r="B2182" s="524" t="s">
        <v>610</v>
      </c>
      <c r="C2182" s="525" t="s">
        <v>543</v>
      </c>
      <c r="D2182" s="524" t="s">
        <v>32</v>
      </c>
      <c r="E2182" s="524" t="s">
        <v>1725</v>
      </c>
      <c r="F2182" s="526" t="s">
        <v>1647</v>
      </c>
      <c r="G2182" s="252">
        <f t="shared" si="48"/>
        <v>16.170000000000002</v>
      </c>
    </row>
    <row r="2183" spans="1:7" x14ac:dyDescent="0.3">
      <c r="A2183" s="680" t="s">
        <v>1152</v>
      </c>
      <c r="B2183" s="681"/>
      <c r="C2183" s="681"/>
      <c r="D2183" s="681"/>
      <c r="E2183" s="681"/>
      <c r="F2183" s="682"/>
      <c r="G2183" s="527">
        <f>SUM(G2179:G2182)</f>
        <v>80.44</v>
      </c>
    </row>
    <row r="2184" spans="1:7" x14ac:dyDescent="0.3">
      <c r="A2184" s="683">
        <f>TRUNC(E2184*F2184,2)</f>
        <v>0</v>
      </c>
      <c r="B2184" s="684"/>
      <c r="C2184" s="684"/>
      <c r="D2184" s="684"/>
      <c r="E2184" s="684"/>
      <c r="F2184" s="684"/>
      <c r="G2184" s="685"/>
    </row>
    <row r="2185" spans="1:7" x14ac:dyDescent="0.3">
      <c r="A2185" s="529" t="s">
        <v>715</v>
      </c>
      <c r="B2185" s="529"/>
      <c r="C2185" s="530" t="s">
        <v>187</v>
      </c>
      <c r="D2185" s="529"/>
      <c r="E2185" s="252"/>
      <c r="F2185" s="531"/>
      <c r="G2185" s="252">
        <f t="shared" si="48"/>
        <v>0</v>
      </c>
    </row>
    <row r="2186" spans="1:7" x14ac:dyDescent="0.3">
      <c r="A2186" s="529" t="s">
        <v>213</v>
      </c>
      <c r="B2186" s="529"/>
      <c r="C2186" s="530" t="s">
        <v>189</v>
      </c>
      <c r="D2186" s="529"/>
      <c r="E2186" s="252"/>
      <c r="F2186" s="531"/>
      <c r="G2186" s="252">
        <f t="shared" si="48"/>
        <v>0</v>
      </c>
    </row>
    <row r="2187" spans="1:7" ht="28.8" x14ac:dyDescent="0.3">
      <c r="A2187" s="529" t="s">
        <v>263</v>
      </c>
      <c r="B2187" s="529">
        <v>90443</v>
      </c>
      <c r="C2187" s="530" t="s">
        <v>190</v>
      </c>
      <c r="D2187" s="529" t="s">
        <v>55</v>
      </c>
      <c r="E2187" s="252"/>
      <c r="F2187" s="531">
        <v>8.9499999999999993</v>
      </c>
      <c r="G2187" s="252">
        <f t="shared" si="48"/>
        <v>0</v>
      </c>
    </row>
    <row r="2188" spans="1:7" ht="28.8" x14ac:dyDescent="0.3">
      <c r="A2188" s="524" t="s">
        <v>522</v>
      </c>
      <c r="B2188" s="524" t="s">
        <v>1726</v>
      </c>
      <c r="C2188" s="525" t="s">
        <v>1727</v>
      </c>
      <c r="D2188" s="524" t="s">
        <v>32</v>
      </c>
      <c r="E2188" s="524" t="s">
        <v>1728</v>
      </c>
      <c r="F2188" s="526" t="s">
        <v>1729</v>
      </c>
      <c r="G2188" s="252">
        <f t="shared" si="48"/>
        <v>0.97</v>
      </c>
    </row>
    <row r="2189" spans="1:7" x14ac:dyDescent="0.3">
      <c r="A2189" s="524" t="s">
        <v>522</v>
      </c>
      <c r="B2189" s="524" t="s">
        <v>1367</v>
      </c>
      <c r="C2189" s="525" t="s">
        <v>1368</v>
      </c>
      <c r="D2189" s="524" t="s">
        <v>32</v>
      </c>
      <c r="E2189" s="524" t="s">
        <v>1730</v>
      </c>
      <c r="F2189" s="526" t="s">
        <v>1370</v>
      </c>
      <c r="G2189" s="252">
        <f t="shared" si="48"/>
        <v>7.98</v>
      </c>
    </row>
    <row r="2190" spans="1:7" x14ac:dyDescent="0.3">
      <c r="A2190" s="680" t="s">
        <v>1152</v>
      </c>
      <c r="B2190" s="681"/>
      <c r="C2190" s="681"/>
      <c r="D2190" s="681"/>
      <c r="E2190" s="681"/>
      <c r="F2190" s="682"/>
      <c r="G2190" s="527">
        <f>SUM(G2186:G2189)</f>
        <v>8.9500000000000011</v>
      </c>
    </row>
    <row r="2191" spans="1:7" x14ac:dyDescent="0.3">
      <c r="A2191" s="683">
        <f>TRUNC(E2191*F2191,2)</f>
        <v>0</v>
      </c>
      <c r="B2191" s="684"/>
      <c r="C2191" s="684"/>
      <c r="D2191" s="684"/>
      <c r="E2191" s="684"/>
      <c r="F2191" s="684"/>
      <c r="G2191" s="685"/>
    </row>
    <row r="2192" spans="1:7" ht="28.8" x14ac:dyDescent="0.3">
      <c r="A2192" s="529" t="s">
        <v>264</v>
      </c>
      <c r="B2192" s="529">
        <v>86889</v>
      </c>
      <c r="C2192" s="530" t="s">
        <v>268</v>
      </c>
      <c r="D2192" s="529" t="s">
        <v>185</v>
      </c>
      <c r="E2192" s="252"/>
      <c r="F2192" s="531">
        <v>574.45000000000005</v>
      </c>
      <c r="G2192" s="252">
        <f t="shared" si="48"/>
        <v>0</v>
      </c>
    </row>
    <row r="2193" spans="1:7" x14ac:dyDescent="0.3">
      <c r="A2193" s="524" t="s">
        <v>508</v>
      </c>
      <c r="B2193" s="524" t="s">
        <v>1731</v>
      </c>
      <c r="C2193" s="525" t="s">
        <v>1732</v>
      </c>
      <c r="D2193" s="524" t="s">
        <v>426</v>
      </c>
      <c r="E2193" s="524" t="s">
        <v>1981</v>
      </c>
      <c r="F2193" s="528" t="s">
        <v>1734</v>
      </c>
      <c r="G2193" s="252">
        <f t="shared" si="48"/>
        <v>19.350000000000001</v>
      </c>
    </row>
    <row r="2194" spans="1:7" ht="28.8" x14ac:dyDescent="0.3">
      <c r="A2194" s="524" t="s">
        <v>508</v>
      </c>
      <c r="B2194" s="524" t="s">
        <v>1425</v>
      </c>
      <c r="C2194" s="525" t="s">
        <v>1426</v>
      </c>
      <c r="D2194" s="524" t="s">
        <v>397</v>
      </c>
      <c r="E2194" s="524" t="s">
        <v>1397</v>
      </c>
      <c r="F2194" s="528" t="s">
        <v>1428</v>
      </c>
      <c r="G2194" s="252">
        <f t="shared" si="48"/>
        <v>3.3</v>
      </c>
    </row>
    <row r="2195" spans="1:7" ht="28.8" x14ac:dyDescent="0.3">
      <c r="A2195" s="524" t="s">
        <v>508</v>
      </c>
      <c r="B2195" s="524" t="s">
        <v>1735</v>
      </c>
      <c r="C2195" s="525" t="s">
        <v>1736</v>
      </c>
      <c r="D2195" s="524" t="s">
        <v>24</v>
      </c>
      <c r="E2195" s="524" t="s">
        <v>1982</v>
      </c>
      <c r="F2195" s="528" t="s">
        <v>1738</v>
      </c>
      <c r="G2195" s="252">
        <f t="shared" si="48"/>
        <v>485.42</v>
      </c>
    </row>
    <row r="2196" spans="1:7" x14ac:dyDescent="0.3">
      <c r="A2196" s="524" t="s">
        <v>508</v>
      </c>
      <c r="B2196" s="524" t="s">
        <v>1739</v>
      </c>
      <c r="C2196" s="525" t="s">
        <v>1740</v>
      </c>
      <c r="D2196" s="524" t="s">
        <v>426</v>
      </c>
      <c r="E2196" s="524" t="s">
        <v>1983</v>
      </c>
      <c r="F2196" s="528" t="s">
        <v>1742</v>
      </c>
      <c r="G2196" s="252">
        <f t="shared" si="48"/>
        <v>1.69</v>
      </c>
    </row>
    <row r="2197" spans="1:7" ht="28.8" x14ac:dyDescent="0.3">
      <c r="A2197" s="524" t="s">
        <v>508</v>
      </c>
      <c r="B2197" s="524" t="s">
        <v>1984</v>
      </c>
      <c r="C2197" s="525" t="s">
        <v>1985</v>
      </c>
      <c r="D2197" s="524" t="s">
        <v>397</v>
      </c>
      <c r="E2197" s="524" t="s">
        <v>1523</v>
      </c>
      <c r="F2197" s="528" t="s">
        <v>1986</v>
      </c>
      <c r="G2197" s="252">
        <f t="shared" si="48"/>
        <v>23.7</v>
      </c>
    </row>
    <row r="2198" spans="1:7" x14ac:dyDescent="0.3">
      <c r="A2198" s="524" t="s">
        <v>522</v>
      </c>
      <c r="B2198" s="524" t="s">
        <v>1746</v>
      </c>
      <c r="C2198" s="525" t="s">
        <v>1747</v>
      </c>
      <c r="D2198" s="524" t="s">
        <v>32</v>
      </c>
      <c r="E2198" s="524" t="s">
        <v>1987</v>
      </c>
      <c r="F2198" s="528" t="s">
        <v>1749</v>
      </c>
      <c r="G2198" s="252">
        <f t="shared" si="48"/>
        <v>26.86</v>
      </c>
    </row>
    <row r="2199" spans="1:7" x14ac:dyDescent="0.3">
      <c r="A2199" s="524" t="s">
        <v>522</v>
      </c>
      <c r="B2199" s="524" t="s">
        <v>1359</v>
      </c>
      <c r="C2199" s="525" t="s">
        <v>801</v>
      </c>
      <c r="D2199" s="524" t="s">
        <v>32</v>
      </c>
      <c r="E2199" s="524" t="s">
        <v>1988</v>
      </c>
      <c r="F2199" s="528" t="s">
        <v>1361</v>
      </c>
      <c r="G2199" s="252">
        <f t="shared" si="48"/>
        <v>14.13</v>
      </c>
    </row>
    <row r="2200" spans="1:7" x14ac:dyDescent="0.3">
      <c r="A2200" s="680" t="s">
        <v>1152</v>
      </c>
      <c r="B2200" s="681"/>
      <c r="C2200" s="681"/>
      <c r="D2200" s="681"/>
      <c r="E2200" s="681"/>
      <c r="F2200" s="682"/>
      <c r="G2200" s="527">
        <f>SUM(G2192:G2199)</f>
        <v>574.45000000000005</v>
      </c>
    </row>
    <row r="2201" spans="1:7" x14ac:dyDescent="0.3">
      <c r="A2201" s="683">
        <f>TRUNC(E2201*F2201,2)</f>
        <v>0</v>
      </c>
      <c r="B2201" s="684"/>
      <c r="C2201" s="684"/>
      <c r="D2201" s="684"/>
      <c r="E2201" s="684"/>
      <c r="F2201" s="684"/>
      <c r="G2201" s="685"/>
    </row>
    <row r="2202" spans="1:7" ht="28.8" x14ac:dyDescent="0.3">
      <c r="A2202" s="529" t="s">
        <v>265</v>
      </c>
      <c r="B2202" s="529">
        <v>86901</v>
      </c>
      <c r="C2202" s="530" t="s">
        <v>192</v>
      </c>
      <c r="D2202" s="529" t="s">
        <v>44</v>
      </c>
      <c r="E2202" s="252"/>
      <c r="F2202" s="531">
        <v>108.45</v>
      </c>
      <c r="G2202" s="252">
        <f t="shared" si="48"/>
        <v>0</v>
      </c>
    </row>
    <row r="2203" spans="1:7" x14ac:dyDescent="0.3">
      <c r="A2203" s="524" t="s">
        <v>508</v>
      </c>
      <c r="B2203" s="524" t="s">
        <v>1731</v>
      </c>
      <c r="C2203" s="525" t="s">
        <v>1732</v>
      </c>
      <c r="D2203" s="524" t="s">
        <v>426</v>
      </c>
      <c r="E2203" s="524" t="s">
        <v>1751</v>
      </c>
      <c r="F2203" s="526" t="s">
        <v>1734</v>
      </c>
      <c r="G2203" s="252">
        <f t="shared" si="48"/>
        <v>19.510000000000002</v>
      </c>
    </row>
    <row r="2204" spans="1:7" x14ac:dyDescent="0.3">
      <c r="A2204" s="524" t="s">
        <v>508</v>
      </c>
      <c r="B2204" s="524" t="s">
        <v>1752</v>
      </c>
      <c r="C2204" s="525" t="s">
        <v>1753</v>
      </c>
      <c r="D2204" s="524" t="s">
        <v>397</v>
      </c>
      <c r="E2204" s="524" t="s">
        <v>1122</v>
      </c>
      <c r="F2204" s="526" t="s">
        <v>1754</v>
      </c>
      <c r="G2204" s="252">
        <f t="shared" si="48"/>
        <v>69.92</v>
      </c>
    </row>
    <row r="2205" spans="1:7" x14ac:dyDescent="0.3">
      <c r="A2205" s="524" t="s">
        <v>522</v>
      </c>
      <c r="B2205" s="524" t="s">
        <v>1746</v>
      </c>
      <c r="C2205" s="525" t="s">
        <v>1747</v>
      </c>
      <c r="D2205" s="524" t="s">
        <v>32</v>
      </c>
      <c r="E2205" s="524" t="s">
        <v>1755</v>
      </c>
      <c r="F2205" s="526" t="s">
        <v>1749</v>
      </c>
      <c r="G2205" s="252">
        <f t="shared" si="48"/>
        <v>15.2</v>
      </c>
    </row>
    <row r="2206" spans="1:7" x14ac:dyDescent="0.3">
      <c r="A2206" s="524" t="s">
        <v>522</v>
      </c>
      <c r="B2206" s="524" t="s">
        <v>1359</v>
      </c>
      <c r="C2206" s="525" t="s">
        <v>801</v>
      </c>
      <c r="D2206" s="524" t="s">
        <v>32</v>
      </c>
      <c r="E2206" s="524" t="s">
        <v>1756</v>
      </c>
      <c r="F2206" s="526" t="s">
        <v>1361</v>
      </c>
      <c r="G2206" s="252">
        <f t="shared" si="48"/>
        <v>3.82</v>
      </c>
    </row>
    <row r="2207" spans="1:7" x14ac:dyDescent="0.3">
      <c r="A2207" s="680" t="s">
        <v>1152</v>
      </c>
      <c r="B2207" s="681"/>
      <c r="C2207" s="681"/>
      <c r="D2207" s="681"/>
      <c r="E2207" s="681"/>
      <c r="F2207" s="682"/>
      <c r="G2207" s="527">
        <f>SUM(G2202:G2206)</f>
        <v>108.45</v>
      </c>
    </row>
    <row r="2208" spans="1:7" x14ac:dyDescent="0.3">
      <c r="A2208" s="683">
        <f>TRUNC(E2208*F2208,2)</f>
        <v>0</v>
      </c>
      <c r="B2208" s="684"/>
      <c r="C2208" s="684"/>
      <c r="D2208" s="684"/>
      <c r="E2208" s="684"/>
      <c r="F2208" s="684"/>
      <c r="G2208" s="685"/>
    </row>
    <row r="2209" spans="1:7" ht="28.8" x14ac:dyDescent="0.3">
      <c r="A2209" s="529" t="s">
        <v>267</v>
      </c>
      <c r="B2209" s="529">
        <v>86900</v>
      </c>
      <c r="C2209" s="530" t="s">
        <v>312</v>
      </c>
      <c r="D2209" s="529" t="s">
        <v>44</v>
      </c>
      <c r="E2209" s="252"/>
      <c r="F2209" s="531">
        <v>154.51</v>
      </c>
      <c r="G2209" s="252">
        <f t="shared" si="48"/>
        <v>0</v>
      </c>
    </row>
    <row r="2210" spans="1:7" x14ac:dyDescent="0.3">
      <c r="A2210" s="524" t="s">
        <v>508</v>
      </c>
      <c r="B2210" s="524" t="s">
        <v>2025</v>
      </c>
      <c r="C2210" s="525" t="s">
        <v>2026</v>
      </c>
      <c r="D2210" s="524" t="s">
        <v>397</v>
      </c>
      <c r="E2210" s="524" t="s">
        <v>1122</v>
      </c>
      <c r="F2210" s="526" t="s">
        <v>2027</v>
      </c>
      <c r="G2210" s="252">
        <f t="shared" si="48"/>
        <v>132.77000000000001</v>
      </c>
    </row>
    <row r="2211" spans="1:7" x14ac:dyDescent="0.3">
      <c r="A2211" s="524" t="s">
        <v>508</v>
      </c>
      <c r="B2211" s="524" t="s">
        <v>1731</v>
      </c>
      <c r="C2211" s="525" t="s">
        <v>1732</v>
      </c>
      <c r="D2211" s="524" t="s">
        <v>426</v>
      </c>
      <c r="E2211" s="524" t="s">
        <v>2028</v>
      </c>
      <c r="F2211" s="526" t="s">
        <v>1734</v>
      </c>
      <c r="G2211" s="252">
        <f t="shared" si="48"/>
        <v>11</v>
      </c>
    </row>
    <row r="2212" spans="1:7" x14ac:dyDescent="0.3">
      <c r="A2212" s="524" t="s">
        <v>522</v>
      </c>
      <c r="B2212" s="524" t="s">
        <v>1746</v>
      </c>
      <c r="C2212" s="525" t="s">
        <v>1747</v>
      </c>
      <c r="D2212" s="524" t="s">
        <v>32</v>
      </c>
      <c r="E2212" s="524" t="s">
        <v>2029</v>
      </c>
      <c r="F2212" s="526" t="s">
        <v>1749</v>
      </c>
      <c r="G2212" s="252">
        <f t="shared" si="48"/>
        <v>8.58</v>
      </c>
    </row>
    <row r="2213" spans="1:7" x14ac:dyDescent="0.3">
      <c r="A2213" s="524" t="s">
        <v>522</v>
      </c>
      <c r="B2213" s="524" t="s">
        <v>1359</v>
      </c>
      <c r="C2213" s="525" t="s">
        <v>801</v>
      </c>
      <c r="D2213" s="524" t="s">
        <v>32</v>
      </c>
      <c r="E2213" s="524" t="s">
        <v>2030</v>
      </c>
      <c r="F2213" s="526" t="s">
        <v>1361</v>
      </c>
      <c r="G2213" s="252">
        <f t="shared" si="48"/>
        <v>2.16</v>
      </c>
    </row>
    <row r="2214" spans="1:7" x14ac:dyDescent="0.3">
      <c r="A2214" s="680" t="s">
        <v>1152</v>
      </c>
      <c r="B2214" s="681"/>
      <c r="C2214" s="681"/>
      <c r="D2214" s="681"/>
      <c r="E2214" s="681"/>
      <c r="F2214" s="682"/>
      <c r="G2214" s="527">
        <f>SUM(G2209:G2213)</f>
        <v>154.51000000000002</v>
      </c>
    </row>
    <row r="2215" spans="1:7" x14ac:dyDescent="0.3">
      <c r="A2215" s="683">
        <f>TRUNC(E2215*F2215,2)</f>
        <v>0</v>
      </c>
      <c r="B2215" s="684"/>
      <c r="C2215" s="684"/>
      <c r="D2215" s="684"/>
      <c r="E2215" s="684"/>
      <c r="F2215" s="684"/>
      <c r="G2215" s="685"/>
    </row>
    <row r="2216" spans="1:7" ht="28.8" x14ac:dyDescent="0.3">
      <c r="A2216" s="529" t="s">
        <v>269</v>
      </c>
      <c r="B2216" s="529">
        <v>86915</v>
      </c>
      <c r="C2216" s="530" t="s">
        <v>193</v>
      </c>
      <c r="D2216" s="529" t="s">
        <v>44</v>
      </c>
      <c r="E2216" s="252"/>
      <c r="F2216" s="531">
        <v>84.78</v>
      </c>
      <c r="G2216" s="252">
        <f t="shared" si="48"/>
        <v>0</v>
      </c>
    </row>
    <row r="2217" spans="1:7" x14ac:dyDescent="0.3">
      <c r="A2217" s="524" t="s">
        <v>508</v>
      </c>
      <c r="B2217" s="524" t="s">
        <v>1757</v>
      </c>
      <c r="C2217" s="525" t="s">
        <v>1758</v>
      </c>
      <c r="D2217" s="524" t="s">
        <v>397</v>
      </c>
      <c r="E2217" s="524" t="s">
        <v>1759</v>
      </c>
      <c r="F2217" s="526" t="s">
        <v>1760</v>
      </c>
      <c r="G2217" s="252">
        <f t="shared" si="48"/>
        <v>0.08</v>
      </c>
    </row>
    <row r="2218" spans="1:7" x14ac:dyDescent="0.3">
      <c r="A2218" s="524" t="s">
        <v>508</v>
      </c>
      <c r="B2218" s="524" t="s">
        <v>1761</v>
      </c>
      <c r="C2218" s="525" t="s">
        <v>1762</v>
      </c>
      <c r="D2218" s="524" t="s">
        <v>397</v>
      </c>
      <c r="E2218" s="524" t="s">
        <v>1122</v>
      </c>
      <c r="F2218" s="526" t="s">
        <v>1763</v>
      </c>
      <c r="G2218" s="252">
        <f t="shared" si="48"/>
        <v>82.57</v>
      </c>
    </row>
    <row r="2219" spans="1:7" x14ac:dyDescent="0.3">
      <c r="A2219" s="524" t="s">
        <v>522</v>
      </c>
      <c r="B2219" s="524" t="s">
        <v>1367</v>
      </c>
      <c r="C2219" s="525" t="s">
        <v>1368</v>
      </c>
      <c r="D2219" s="524" t="s">
        <v>32</v>
      </c>
      <c r="E2219" s="524" t="s">
        <v>1764</v>
      </c>
      <c r="F2219" s="526" t="s">
        <v>1370</v>
      </c>
      <c r="G2219" s="252">
        <f t="shared" si="48"/>
        <v>1.7</v>
      </c>
    </row>
    <row r="2220" spans="1:7" x14ac:dyDescent="0.3">
      <c r="A2220" s="524" t="s">
        <v>522</v>
      </c>
      <c r="B2220" s="524" t="s">
        <v>1359</v>
      </c>
      <c r="C2220" s="525" t="s">
        <v>801</v>
      </c>
      <c r="D2220" s="524" t="s">
        <v>32</v>
      </c>
      <c r="E2220" s="524" t="s">
        <v>1765</v>
      </c>
      <c r="F2220" s="526" t="s">
        <v>1361</v>
      </c>
      <c r="G2220" s="252">
        <f t="shared" si="48"/>
        <v>0.43</v>
      </c>
    </row>
    <row r="2221" spans="1:7" x14ac:dyDescent="0.3">
      <c r="A2221" s="680" t="s">
        <v>1152</v>
      </c>
      <c r="B2221" s="681"/>
      <c r="C2221" s="681"/>
      <c r="D2221" s="681"/>
      <c r="E2221" s="681"/>
      <c r="F2221" s="682"/>
      <c r="G2221" s="527">
        <f>SUM(G2216:G2220)</f>
        <v>84.78</v>
      </c>
    </row>
    <row r="2222" spans="1:7" x14ac:dyDescent="0.3">
      <c r="A2222" s="683">
        <f>TRUNC(E2222*F2222,2)</f>
        <v>0</v>
      </c>
      <c r="B2222" s="684"/>
      <c r="C2222" s="684"/>
      <c r="D2222" s="684"/>
      <c r="E2222" s="684"/>
      <c r="F2222" s="684"/>
      <c r="G2222" s="685"/>
    </row>
    <row r="2223" spans="1:7" ht="28.8" x14ac:dyDescent="0.3">
      <c r="A2223" s="529" t="s">
        <v>270</v>
      </c>
      <c r="B2223" s="529">
        <v>86909</v>
      </c>
      <c r="C2223" s="530" t="s">
        <v>313</v>
      </c>
      <c r="D2223" s="529" t="s">
        <v>44</v>
      </c>
      <c r="E2223" s="252"/>
      <c r="F2223" s="531">
        <v>100.57</v>
      </c>
      <c r="G2223" s="252">
        <f t="shared" si="48"/>
        <v>0</v>
      </c>
    </row>
    <row r="2224" spans="1:7" x14ac:dyDescent="0.3">
      <c r="A2224" s="524" t="s">
        <v>508</v>
      </c>
      <c r="B2224" s="524" t="s">
        <v>1757</v>
      </c>
      <c r="C2224" s="525" t="s">
        <v>1758</v>
      </c>
      <c r="D2224" s="524" t="s">
        <v>397</v>
      </c>
      <c r="E2224" s="524" t="s">
        <v>1759</v>
      </c>
      <c r="F2224" s="526" t="s">
        <v>1760</v>
      </c>
      <c r="G2224" s="252">
        <f t="shared" si="48"/>
        <v>0.08</v>
      </c>
    </row>
    <row r="2225" spans="1:7" ht="28.8" x14ac:dyDescent="0.3">
      <c r="A2225" s="524" t="s">
        <v>508</v>
      </c>
      <c r="B2225" s="524" t="s">
        <v>2031</v>
      </c>
      <c r="C2225" s="525" t="s">
        <v>2032</v>
      </c>
      <c r="D2225" s="524" t="s">
        <v>397</v>
      </c>
      <c r="E2225" s="524" t="s">
        <v>1122</v>
      </c>
      <c r="F2225" s="526" t="s">
        <v>2033</v>
      </c>
      <c r="G2225" s="252">
        <f t="shared" si="48"/>
        <v>96.78</v>
      </c>
    </row>
    <row r="2226" spans="1:7" x14ac:dyDescent="0.3">
      <c r="A2226" s="524" t="s">
        <v>522</v>
      </c>
      <c r="B2226" s="524" t="s">
        <v>1367</v>
      </c>
      <c r="C2226" s="525" t="s">
        <v>1368</v>
      </c>
      <c r="D2226" s="524" t="s">
        <v>32</v>
      </c>
      <c r="E2226" s="524" t="s">
        <v>2034</v>
      </c>
      <c r="F2226" s="526" t="s">
        <v>1370</v>
      </c>
      <c r="G2226" s="252">
        <f t="shared" si="48"/>
        <v>2.96</v>
      </c>
    </row>
    <row r="2227" spans="1:7" x14ac:dyDescent="0.3">
      <c r="A2227" s="524" t="s">
        <v>522</v>
      </c>
      <c r="B2227" s="524" t="s">
        <v>1359</v>
      </c>
      <c r="C2227" s="525" t="s">
        <v>801</v>
      </c>
      <c r="D2227" s="524" t="s">
        <v>32</v>
      </c>
      <c r="E2227" s="524" t="s">
        <v>2035</v>
      </c>
      <c r="F2227" s="526" t="s">
        <v>1361</v>
      </c>
      <c r="G2227" s="252">
        <f t="shared" si="48"/>
        <v>0.75</v>
      </c>
    </row>
    <row r="2228" spans="1:7" x14ac:dyDescent="0.3">
      <c r="A2228" s="680" t="s">
        <v>1152</v>
      </c>
      <c r="B2228" s="681"/>
      <c r="C2228" s="681"/>
      <c r="D2228" s="681"/>
      <c r="E2228" s="681"/>
      <c r="F2228" s="682"/>
      <c r="G2228" s="527">
        <f>SUM(G2223:G2227)</f>
        <v>100.57</v>
      </c>
    </row>
    <row r="2229" spans="1:7" x14ac:dyDescent="0.3">
      <c r="A2229" s="683">
        <f>TRUNC(E2229*F2229,2)</f>
        <v>0</v>
      </c>
      <c r="B2229" s="684"/>
      <c r="C2229" s="684"/>
      <c r="D2229" s="684"/>
      <c r="E2229" s="684"/>
      <c r="F2229" s="684"/>
      <c r="G2229" s="685"/>
    </row>
    <row r="2230" spans="1:7" ht="28.8" x14ac:dyDescent="0.3">
      <c r="A2230" s="529" t="s">
        <v>271</v>
      </c>
      <c r="B2230" s="529">
        <v>99635</v>
      </c>
      <c r="C2230" s="530" t="s">
        <v>194</v>
      </c>
      <c r="D2230" s="529" t="s">
        <v>44</v>
      </c>
      <c r="E2230" s="252"/>
      <c r="F2230" s="531">
        <v>184.35</v>
      </c>
      <c r="G2230" s="252">
        <f t="shared" si="48"/>
        <v>0</v>
      </c>
    </row>
    <row r="2231" spans="1:7" x14ac:dyDescent="0.3">
      <c r="A2231" s="524" t="s">
        <v>508</v>
      </c>
      <c r="B2231" s="524" t="s">
        <v>1766</v>
      </c>
      <c r="C2231" s="525" t="s">
        <v>1767</v>
      </c>
      <c r="D2231" s="524" t="s">
        <v>397</v>
      </c>
      <c r="E2231" s="524" t="s">
        <v>1768</v>
      </c>
      <c r="F2231" s="526" t="s">
        <v>1769</v>
      </c>
      <c r="G2231" s="252">
        <f t="shared" si="48"/>
        <v>0.28999999999999998</v>
      </c>
    </row>
    <row r="2232" spans="1:7" ht="28.8" x14ac:dyDescent="0.3">
      <c r="A2232" s="524" t="s">
        <v>508</v>
      </c>
      <c r="B2232" s="524" t="s">
        <v>1770</v>
      </c>
      <c r="C2232" s="525" t="s">
        <v>1771</v>
      </c>
      <c r="D2232" s="524" t="s">
        <v>397</v>
      </c>
      <c r="E2232" s="524" t="s">
        <v>1122</v>
      </c>
      <c r="F2232" s="526" t="s">
        <v>1772</v>
      </c>
      <c r="G2232" s="252">
        <f t="shared" si="48"/>
        <v>159.09</v>
      </c>
    </row>
    <row r="2233" spans="1:7" ht="28.8" x14ac:dyDescent="0.3">
      <c r="A2233" s="524" t="s">
        <v>522</v>
      </c>
      <c r="B2233" s="524" t="s">
        <v>1726</v>
      </c>
      <c r="C2233" s="525" t="s">
        <v>1727</v>
      </c>
      <c r="D2233" s="524" t="s">
        <v>32</v>
      </c>
      <c r="E2233" s="524" t="s">
        <v>1773</v>
      </c>
      <c r="F2233" s="526" t="s">
        <v>1729</v>
      </c>
      <c r="G2233" s="252">
        <f t="shared" si="48"/>
        <v>10.94</v>
      </c>
    </row>
    <row r="2234" spans="1:7" x14ac:dyDescent="0.3">
      <c r="A2234" s="524" t="s">
        <v>522</v>
      </c>
      <c r="B2234" s="524" t="s">
        <v>1367</v>
      </c>
      <c r="C2234" s="525" t="s">
        <v>1368</v>
      </c>
      <c r="D2234" s="524" t="s">
        <v>32</v>
      </c>
      <c r="E2234" s="524" t="s">
        <v>1773</v>
      </c>
      <c r="F2234" s="526" t="s">
        <v>1370</v>
      </c>
      <c r="G2234" s="252">
        <f t="shared" si="48"/>
        <v>14.03</v>
      </c>
    </row>
    <row r="2235" spans="1:7" x14ac:dyDescent="0.3">
      <c r="A2235" s="680" t="s">
        <v>1152</v>
      </c>
      <c r="B2235" s="681"/>
      <c r="C2235" s="681"/>
      <c r="D2235" s="681"/>
      <c r="E2235" s="681"/>
      <c r="F2235" s="682"/>
      <c r="G2235" s="527">
        <f>SUM(G2230:G2234)</f>
        <v>184.35</v>
      </c>
    </row>
    <row r="2236" spans="1:7" x14ac:dyDescent="0.3">
      <c r="A2236" s="683">
        <f>TRUNC(E2236*F2236,2)</f>
        <v>0</v>
      </c>
      <c r="B2236" s="684"/>
      <c r="C2236" s="684"/>
      <c r="D2236" s="684"/>
      <c r="E2236" s="684"/>
      <c r="F2236" s="684"/>
      <c r="G2236" s="685"/>
    </row>
    <row r="2237" spans="1:7" x14ac:dyDescent="0.3">
      <c r="A2237" s="529" t="s">
        <v>278</v>
      </c>
      <c r="B2237" s="529"/>
      <c r="C2237" s="530" t="s">
        <v>201</v>
      </c>
      <c r="D2237" s="529"/>
      <c r="E2237" s="252"/>
      <c r="F2237" s="531"/>
      <c r="G2237" s="252">
        <f t="shared" si="48"/>
        <v>0</v>
      </c>
    </row>
    <row r="2238" spans="1:7" ht="43.2" x14ac:dyDescent="0.3">
      <c r="A2238" s="529" t="s">
        <v>279</v>
      </c>
      <c r="B2238" s="529">
        <v>95472</v>
      </c>
      <c r="C2238" s="530" t="s">
        <v>280</v>
      </c>
      <c r="D2238" s="529" t="s">
        <v>44</v>
      </c>
      <c r="E2238" s="252"/>
      <c r="F2238" s="531">
        <v>611.63</v>
      </c>
      <c r="G2238" s="252">
        <f t="shared" si="48"/>
        <v>0</v>
      </c>
    </row>
    <row r="2239" spans="1:7" ht="28.8" x14ac:dyDescent="0.3">
      <c r="A2239" s="524" t="s">
        <v>508</v>
      </c>
      <c r="B2239" s="524" t="s">
        <v>1837</v>
      </c>
      <c r="C2239" s="525" t="s">
        <v>1838</v>
      </c>
      <c r="D2239" s="524" t="s">
        <v>397</v>
      </c>
      <c r="E2239" s="524" t="s">
        <v>1122</v>
      </c>
      <c r="F2239" s="526" t="s">
        <v>1839</v>
      </c>
      <c r="G2239" s="252">
        <f t="shared" si="48"/>
        <v>6.61</v>
      </c>
    </row>
    <row r="2240" spans="1:7" ht="28.8" x14ac:dyDescent="0.3">
      <c r="A2240" s="524" t="s">
        <v>522</v>
      </c>
      <c r="B2240" s="524" t="s">
        <v>2036</v>
      </c>
      <c r="C2240" s="525" t="s">
        <v>2037</v>
      </c>
      <c r="D2240" s="524" t="s">
        <v>397</v>
      </c>
      <c r="E2240" s="524" t="s">
        <v>1122</v>
      </c>
      <c r="F2240" s="526">
        <v>605.02</v>
      </c>
      <c r="G2240" s="252">
        <f t="shared" si="48"/>
        <v>605.02</v>
      </c>
    </row>
    <row r="2241" spans="1:10" x14ac:dyDescent="0.3">
      <c r="A2241" s="680" t="s">
        <v>1152</v>
      </c>
      <c r="B2241" s="681"/>
      <c r="C2241" s="681"/>
      <c r="D2241" s="681"/>
      <c r="E2241" s="681"/>
      <c r="F2241" s="682"/>
      <c r="G2241" s="527">
        <f>SUM(G2237:G2240)</f>
        <v>611.63</v>
      </c>
      <c r="I2241" s="211">
        <f>G2241-F2240</f>
        <v>6.6100000000000136</v>
      </c>
      <c r="J2241" s="211">
        <f>F2240-I2241</f>
        <v>598.41</v>
      </c>
    </row>
    <row r="2242" spans="1:10" x14ac:dyDescent="0.3">
      <c r="A2242" s="683">
        <f>TRUNC(E2242*F2242,2)</f>
        <v>0</v>
      </c>
      <c r="B2242" s="684"/>
      <c r="C2242" s="684"/>
      <c r="D2242" s="684"/>
      <c r="E2242" s="684"/>
      <c r="F2242" s="684"/>
      <c r="G2242" s="685"/>
    </row>
    <row r="2243" spans="1:10" ht="43.2" x14ac:dyDescent="0.3">
      <c r="A2243" s="529" t="s">
        <v>281</v>
      </c>
      <c r="B2243" s="529">
        <v>95470</v>
      </c>
      <c r="C2243" s="530" t="s">
        <v>205</v>
      </c>
      <c r="D2243" s="529" t="s">
        <v>44</v>
      </c>
      <c r="E2243" s="252"/>
      <c r="F2243" s="531">
        <v>169.53</v>
      </c>
      <c r="G2243" s="252">
        <f t="shared" si="48"/>
        <v>0</v>
      </c>
    </row>
    <row r="2244" spans="1:10" ht="28.8" x14ac:dyDescent="0.3">
      <c r="A2244" s="524" t="s">
        <v>508</v>
      </c>
      <c r="B2244" s="524" t="s">
        <v>1837</v>
      </c>
      <c r="C2244" s="525" t="s">
        <v>1838</v>
      </c>
      <c r="D2244" s="524" t="s">
        <v>397</v>
      </c>
      <c r="E2244" s="524" t="s">
        <v>1122</v>
      </c>
      <c r="F2244" s="526" t="s">
        <v>1839</v>
      </c>
      <c r="G2244" s="252">
        <f t="shared" si="48"/>
        <v>6.61</v>
      </c>
    </row>
    <row r="2245" spans="1:10" ht="28.8" x14ac:dyDescent="0.3">
      <c r="A2245" s="524" t="s">
        <v>522</v>
      </c>
      <c r="B2245" s="524" t="s">
        <v>1840</v>
      </c>
      <c r="C2245" s="525" t="s">
        <v>1841</v>
      </c>
      <c r="D2245" s="524" t="s">
        <v>397</v>
      </c>
      <c r="E2245" s="524" t="s">
        <v>1122</v>
      </c>
      <c r="F2245" s="526" t="s">
        <v>1842</v>
      </c>
      <c r="G2245" s="252">
        <f t="shared" si="48"/>
        <v>162.91999999999999</v>
      </c>
    </row>
    <row r="2246" spans="1:10" x14ac:dyDescent="0.3">
      <c r="A2246" s="680" t="s">
        <v>1152</v>
      </c>
      <c r="B2246" s="681"/>
      <c r="C2246" s="681"/>
      <c r="D2246" s="681"/>
      <c r="E2246" s="681"/>
      <c r="F2246" s="682"/>
      <c r="G2246" s="527">
        <f>SUM(G2243:G2245)</f>
        <v>169.53</v>
      </c>
    </row>
    <row r="2247" spans="1:10" x14ac:dyDescent="0.3">
      <c r="A2247" s="683">
        <f>TRUNC(E2247*F2247,2)</f>
        <v>0</v>
      </c>
      <c r="B2247" s="684"/>
      <c r="C2247" s="684"/>
      <c r="D2247" s="684"/>
      <c r="E2247" s="684"/>
      <c r="F2247" s="684"/>
      <c r="G2247" s="685"/>
    </row>
    <row r="2248" spans="1:10" x14ac:dyDescent="0.3">
      <c r="A2248" s="529" t="s">
        <v>282</v>
      </c>
      <c r="B2248" s="529" t="s">
        <v>283</v>
      </c>
      <c r="C2248" s="530" t="s">
        <v>284</v>
      </c>
      <c r="D2248" s="529" t="s">
        <v>44</v>
      </c>
      <c r="E2248" s="252"/>
      <c r="F2248" s="531">
        <v>690.14</v>
      </c>
      <c r="G2248" s="252">
        <f t="shared" si="48"/>
        <v>0</v>
      </c>
    </row>
    <row r="2249" spans="1:10" ht="28.8" x14ac:dyDescent="0.3">
      <c r="A2249" s="529"/>
      <c r="B2249" s="249">
        <v>4384</v>
      </c>
      <c r="C2249" s="202" t="s">
        <v>600</v>
      </c>
      <c r="D2249" s="249" t="s">
        <v>44</v>
      </c>
      <c r="E2249" s="250">
        <v>2</v>
      </c>
      <c r="F2249" s="251">
        <v>16.309999999999999</v>
      </c>
      <c r="G2249" s="252">
        <f t="shared" si="48"/>
        <v>32.619999999999997</v>
      </c>
    </row>
    <row r="2250" spans="1:10" x14ac:dyDescent="0.3">
      <c r="A2250" s="529"/>
      <c r="B2250" s="249"/>
      <c r="C2250" s="202" t="s">
        <v>284</v>
      </c>
      <c r="D2250" s="249" t="s">
        <v>44</v>
      </c>
      <c r="E2250" s="250">
        <v>1</v>
      </c>
      <c r="F2250" s="251">
        <v>647.71</v>
      </c>
      <c r="G2250" s="252">
        <f t="shared" si="48"/>
        <v>647.71</v>
      </c>
    </row>
    <row r="2251" spans="1:10" x14ac:dyDescent="0.3">
      <c r="A2251" s="529"/>
      <c r="B2251" s="249">
        <v>34356</v>
      </c>
      <c r="C2251" s="202" t="s">
        <v>601</v>
      </c>
      <c r="D2251" s="249" t="s">
        <v>426</v>
      </c>
      <c r="E2251" s="250">
        <v>5.0700000000000002E-2</v>
      </c>
      <c r="F2251" s="251">
        <v>3.15</v>
      </c>
      <c r="G2251" s="252">
        <f t="shared" si="48"/>
        <v>0.15</v>
      </c>
    </row>
    <row r="2252" spans="1:10" x14ac:dyDescent="0.3">
      <c r="A2252" s="529"/>
      <c r="B2252" s="524" t="s">
        <v>1367</v>
      </c>
      <c r="C2252" s="525" t="s">
        <v>1368</v>
      </c>
      <c r="D2252" s="249" t="s">
        <v>32</v>
      </c>
      <c r="E2252" s="250">
        <v>0.39</v>
      </c>
      <c r="F2252" s="251">
        <v>17.79</v>
      </c>
      <c r="G2252" s="252">
        <f t="shared" si="48"/>
        <v>6.93</v>
      </c>
    </row>
    <row r="2253" spans="1:10" x14ac:dyDescent="0.3">
      <c r="A2253" s="529"/>
      <c r="B2253" s="524" t="s">
        <v>1359</v>
      </c>
      <c r="C2253" s="525" t="s">
        <v>801</v>
      </c>
      <c r="D2253" s="249" t="s">
        <v>32</v>
      </c>
      <c r="E2253" s="250">
        <v>0.19</v>
      </c>
      <c r="F2253" s="251">
        <v>14.37</v>
      </c>
      <c r="G2253" s="252">
        <f t="shared" si="48"/>
        <v>2.73</v>
      </c>
    </row>
    <row r="2254" spans="1:10" x14ac:dyDescent="0.3">
      <c r="A2254" s="680" t="s">
        <v>1152</v>
      </c>
      <c r="B2254" s="681"/>
      <c r="C2254" s="681"/>
      <c r="D2254" s="681"/>
      <c r="E2254" s="681"/>
      <c r="F2254" s="682"/>
      <c r="G2254" s="527">
        <f>SUM(G2248:G2253)</f>
        <v>690.14</v>
      </c>
    </row>
    <row r="2255" spans="1:10" x14ac:dyDescent="0.3">
      <c r="A2255" s="683">
        <f>TRUNC(E2255*F2255,2)</f>
        <v>0</v>
      </c>
      <c r="B2255" s="684"/>
      <c r="C2255" s="684"/>
      <c r="D2255" s="684"/>
      <c r="E2255" s="684"/>
      <c r="F2255" s="684"/>
      <c r="G2255" s="685"/>
    </row>
    <row r="2256" spans="1:10" ht="28.8" x14ac:dyDescent="0.3">
      <c r="A2256" s="529" t="s">
        <v>285</v>
      </c>
      <c r="B2256" s="529">
        <v>86881</v>
      </c>
      <c r="C2256" s="530" t="s">
        <v>286</v>
      </c>
      <c r="D2256" s="529" t="s">
        <v>44</v>
      </c>
      <c r="E2256" s="252"/>
      <c r="F2256" s="531">
        <v>155.91999999999999</v>
      </c>
      <c r="G2256" s="252">
        <f t="shared" si="48"/>
        <v>0</v>
      </c>
    </row>
    <row r="2257" spans="1:7" x14ac:dyDescent="0.3">
      <c r="A2257" s="524" t="s">
        <v>508</v>
      </c>
      <c r="B2257" s="524" t="s">
        <v>1757</v>
      </c>
      <c r="C2257" s="525" t="s">
        <v>1758</v>
      </c>
      <c r="D2257" s="524" t="s">
        <v>397</v>
      </c>
      <c r="E2257" s="524" t="s">
        <v>2002</v>
      </c>
      <c r="F2257" s="526" t="s">
        <v>1760</v>
      </c>
      <c r="G2257" s="252">
        <f t="shared" si="48"/>
        <v>0.14000000000000001</v>
      </c>
    </row>
    <row r="2258" spans="1:7" x14ac:dyDescent="0.3">
      <c r="A2258" s="524" t="s">
        <v>508</v>
      </c>
      <c r="B2258" s="524" t="s">
        <v>2003</v>
      </c>
      <c r="C2258" s="525" t="s">
        <v>2004</v>
      </c>
      <c r="D2258" s="524" t="s">
        <v>397</v>
      </c>
      <c r="E2258" s="524" t="s">
        <v>1122</v>
      </c>
      <c r="F2258" s="526" t="s">
        <v>2005</v>
      </c>
      <c r="G2258" s="252">
        <f t="shared" si="48"/>
        <v>149.69</v>
      </c>
    </row>
    <row r="2259" spans="1:7" x14ac:dyDescent="0.3">
      <c r="A2259" s="524" t="s">
        <v>522</v>
      </c>
      <c r="B2259" s="524" t="s">
        <v>1367</v>
      </c>
      <c r="C2259" s="525" t="s">
        <v>1368</v>
      </c>
      <c r="D2259" s="524" t="s">
        <v>32</v>
      </c>
      <c r="E2259" s="524" t="s">
        <v>2006</v>
      </c>
      <c r="F2259" s="526" t="s">
        <v>1370</v>
      </c>
      <c r="G2259" s="252">
        <f t="shared" si="48"/>
        <v>4.8600000000000003</v>
      </c>
    </row>
    <row r="2260" spans="1:7" x14ac:dyDescent="0.3">
      <c r="A2260" s="524" t="s">
        <v>522</v>
      </c>
      <c r="B2260" s="524" t="s">
        <v>1359</v>
      </c>
      <c r="C2260" s="525" t="s">
        <v>801</v>
      </c>
      <c r="D2260" s="524" t="s">
        <v>32</v>
      </c>
      <c r="E2260" s="524" t="s">
        <v>2007</v>
      </c>
      <c r="F2260" s="526" t="s">
        <v>1361</v>
      </c>
      <c r="G2260" s="252">
        <f t="shared" si="48"/>
        <v>1.23</v>
      </c>
    </row>
    <row r="2261" spans="1:7" x14ac:dyDescent="0.3">
      <c r="A2261" s="680" t="s">
        <v>1152</v>
      </c>
      <c r="B2261" s="681"/>
      <c r="C2261" s="681"/>
      <c r="D2261" s="681"/>
      <c r="E2261" s="681"/>
      <c r="F2261" s="682"/>
      <c r="G2261" s="527">
        <f>SUM(G2256:G2260)</f>
        <v>155.91999999999999</v>
      </c>
    </row>
    <row r="2262" spans="1:7" x14ac:dyDescent="0.3">
      <c r="A2262" s="683">
        <f>TRUNC(E2262*F2262,2)</f>
        <v>0</v>
      </c>
      <c r="B2262" s="684"/>
      <c r="C2262" s="684"/>
      <c r="D2262" s="684"/>
      <c r="E2262" s="684"/>
      <c r="F2262" s="684"/>
      <c r="G2262" s="685"/>
    </row>
    <row r="2263" spans="1:7" ht="28.8" x14ac:dyDescent="0.3">
      <c r="A2263" s="529" t="s">
        <v>287</v>
      </c>
      <c r="B2263" s="529">
        <v>86877</v>
      </c>
      <c r="C2263" s="530" t="s">
        <v>288</v>
      </c>
      <c r="D2263" s="529" t="s">
        <v>44</v>
      </c>
      <c r="E2263" s="252"/>
      <c r="F2263" s="531">
        <v>25.76</v>
      </c>
      <c r="G2263" s="252">
        <f t="shared" si="48"/>
        <v>0</v>
      </c>
    </row>
    <row r="2264" spans="1:7" x14ac:dyDescent="0.3">
      <c r="A2264" s="524" t="s">
        <v>508</v>
      </c>
      <c r="B2264" s="524" t="s">
        <v>1757</v>
      </c>
      <c r="C2264" s="525" t="s">
        <v>1758</v>
      </c>
      <c r="D2264" s="524" t="s">
        <v>397</v>
      </c>
      <c r="E2264" s="524" t="s">
        <v>2008</v>
      </c>
      <c r="F2264" s="526" t="s">
        <v>1760</v>
      </c>
      <c r="G2264" s="252">
        <f t="shared" si="48"/>
        <v>0.2</v>
      </c>
    </row>
    <row r="2265" spans="1:7" x14ac:dyDescent="0.3">
      <c r="A2265" s="524" t="s">
        <v>508</v>
      </c>
      <c r="B2265" s="524" t="s">
        <v>2009</v>
      </c>
      <c r="C2265" s="525" t="s">
        <v>2010</v>
      </c>
      <c r="D2265" s="524" t="s">
        <v>397</v>
      </c>
      <c r="E2265" s="524" t="s">
        <v>1122</v>
      </c>
      <c r="F2265" s="526" t="s">
        <v>2011</v>
      </c>
      <c r="G2265" s="252">
        <f t="shared" si="48"/>
        <v>21.69</v>
      </c>
    </row>
    <row r="2266" spans="1:7" x14ac:dyDescent="0.3">
      <c r="A2266" s="524" t="s">
        <v>522</v>
      </c>
      <c r="B2266" s="524" t="s">
        <v>1367</v>
      </c>
      <c r="C2266" s="525" t="s">
        <v>1368</v>
      </c>
      <c r="D2266" s="524" t="s">
        <v>32</v>
      </c>
      <c r="E2266" s="524" t="s">
        <v>1196</v>
      </c>
      <c r="F2266" s="526" t="s">
        <v>1370</v>
      </c>
      <c r="G2266" s="252">
        <f t="shared" si="48"/>
        <v>3.09</v>
      </c>
    </row>
    <row r="2267" spans="1:7" x14ac:dyDescent="0.3">
      <c r="A2267" s="524" t="s">
        <v>522</v>
      </c>
      <c r="B2267" s="524" t="s">
        <v>1359</v>
      </c>
      <c r="C2267" s="525" t="s">
        <v>801</v>
      </c>
      <c r="D2267" s="524" t="s">
        <v>32</v>
      </c>
      <c r="E2267" s="524" t="s">
        <v>1625</v>
      </c>
      <c r="F2267" s="526" t="s">
        <v>1361</v>
      </c>
      <c r="G2267" s="252">
        <f t="shared" si="48"/>
        <v>0.78</v>
      </c>
    </row>
    <row r="2268" spans="1:7" x14ac:dyDescent="0.3">
      <c r="A2268" s="680" t="s">
        <v>1152</v>
      </c>
      <c r="B2268" s="681"/>
      <c r="C2268" s="681"/>
      <c r="D2268" s="681"/>
      <c r="E2268" s="681"/>
      <c r="F2268" s="682"/>
      <c r="G2268" s="527">
        <f>SUM(G2263:G2267)</f>
        <v>25.76</v>
      </c>
    </row>
    <row r="2269" spans="1:7" x14ac:dyDescent="0.3">
      <c r="A2269" s="683">
        <f>TRUNC(E2269*F2269,2)</f>
        <v>0</v>
      </c>
      <c r="B2269" s="684"/>
      <c r="C2269" s="684"/>
      <c r="D2269" s="684"/>
      <c r="E2269" s="684"/>
      <c r="F2269" s="684"/>
      <c r="G2269" s="685"/>
    </row>
    <row r="2270" spans="1:7" ht="28.8" x14ac:dyDescent="0.3">
      <c r="A2270" s="529" t="s">
        <v>289</v>
      </c>
      <c r="B2270" s="529">
        <v>86878</v>
      </c>
      <c r="C2270" s="530" t="s">
        <v>314</v>
      </c>
      <c r="D2270" s="529" t="s">
        <v>44</v>
      </c>
      <c r="E2270" s="252"/>
      <c r="F2270" s="531">
        <v>55.19</v>
      </c>
      <c r="G2270" s="252">
        <f t="shared" si="48"/>
        <v>0</v>
      </c>
    </row>
    <row r="2271" spans="1:7" x14ac:dyDescent="0.3">
      <c r="A2271" s="524" t="s">
        <v>508</v>
      </c>
      <c r="B2271" s="524" t="s">
        <v>1757</v>
      </c>
      <c r="C2271" s="525" t="s">
        <v>1758</v>
      </c>
      <c r="D2271" s="524" t="s">
        <v>397</v>
      </c>
      <c r="E2271" s="524" t="s">
        <v>2008</v>
      </c>
      <c r="F2271" s="526" t="s">
        <v>1760</v>
      </c>
      <c r="G2271" s="252">
        <f t="shared" si="48"/>
        <v>0.2</v>
      </c>
    </row>
    <row r="2272" spans="1:7" x14ac:dyDescent="0.3">
      <c r="A2272" s="524" t="s">
        <v>508</v>
      </c>
      <c r="B2272" s="524" t="s">
        <v>2038</v>
      </c>
      <c r="C2272" s="525" t="s">
        <v>2039</v>
      </c>
      <c r="D2272" s="524" t="s">
        <v>397</v>
      </c>
      <c r="E2272" s="524" t="s">
        <v>1122</v>
      </c>
      <c r="F2272" s="526" t="s">
        <v>2040</v>
      </c>
      <c r="G2272" s="252">
        <f t="shared" si="48"/>
        <v>51.12</v>
      </c>
    </row>
    <row r="2273" spans="1:7" x14ac:dyDescent="0.3">
      <c r="A2273" s="524" t="s">
        <v>522</v>
      </c>
      <c r="B2273" s="524" t="s">
        <v>1367</v>
      </c>
      <c r="C2273" s="525" t="s">
        <v>1368</v>
      </c>
      <c r="D2273" s="524" t="s">
        <v>32</v>
      </c>
      <c r="E2273" s="524" t="s">
        <v>1196</v>
      </c>
      <c r="F2273" s="526" t="s">
        <v>1370</v>
      </c>
      <c r="G2273" s="252">
        <f t="shared" si="48"/>
        <v>3.09</v>
      </c>
    </row>
    <row r="2274" spans="1:7" x14ac:dyDescent="0.3">
      <c r="A2274" s="524" t="s">
        <v>522</v>
      </c>
      <c r="B2274" s="524" t="s">
        <v>1359</v>
      </c>
      <c r="C2274" s="525" t="s">
        <v>801</v>
      </c>
      <c r="D2274" s="524" t="s">
        <v>32</v>
      </c>
      <c r="E2274" s="524" t="s">
        <v>1625</v>
      </c>
      <c r="F2274" s="526" t="s">
        <v>1361</v>
      </c>
      <c r="G2274" s="252">
        <f t="shared" si="48"/>
        <v>0.78</v>
      </c>
    </row>
    <row r="2275" spans="1:7" x14ac:dyDescent="0.3">
      <c r="A2275" s="680" t="s">
        <v>1152</v>
      </c>
      <c r="B2275" s="681"/>
      <c r="C2275" s="681"/>
      <c r="D2275" s="681"/>
      <c r="E2275" s="681"/>
      <c r="F2275" s="682"/>
      <c r="G2275" s="527">
        <f>SUM(G2270:G2274)</f>
        <v>55.19</v>
      </c>
    </row>
    <row r="2276" spans="1:7" x14ac:dyDescent="0.3">
      <c r="A2276" s="683">
        <f>TRUNC(E2276*F2276,2)</f>
        <v>0</v>
      </c>
      <c r="B2276" s="684"/>
      <c r="C2276" s="684"/>
      <c r="D2276" s="684"/>
      <c r="E2276" s="684"/>
      <c r="F2276" s="684"/>
      <c r="G2276" s="685"/>
    </row>
    <row r="2277" spans="1:7" ht="43.2" x14ac:dyDescent="0.3">
      <c r="A2277" s="529" t="s">
        <v>291</v>
      </c>
      <c r="B2277" s="529">
        <v>89707</v>
      </c>
      <c r="C2277" s="530" t="s">
        <v>292</v>
      </c>
      <c r="D2277" s="529" t="s">
        <v>44</v>
      </c>
      <c r="E2277" s="252"/>
      <c r="F2277" s="531">
        <v>25.09</v>
      </c>
      <c r="G2277" s="252">
        <f t="shared" si="48"/>
        <v>0</v>
      </c>
    </row>
    <row r="2278" spans="1:7" x14ac:dyDescent="0.3">
      <c r="A2278" s="524" t="s">
        <v>508</v>
      </c>
      <c r="B2278" s="524" t="s">
        <v>1774</v>
      </c>
      <c r="C2278" s="525" t="s">
        <v>1775</v>
      </c>
      <c r="D2278" s="524" t="s">
        <v>397</v>
      </c>
      <c r="E2278" s="524" t="s">
        <v>2017</v>
      </c>
      <c r="F2278" s="526" t="s">
        <v>1777</v>
      </c>
      <c r="G2278" s="252">
        <f t="shared" si="48"/>
        <v>1.22</v>
      </c>
    </row>
    <row r="2279" spans="1:7" x14ac:dyDescent="0.3">
      <c r="A2279" s="524" t="s">
        <v>508</v>
      </c>
      <c r="B2279" s="524" t="s">
        <v>1806</v>
      </c>
      <c r="C2279" s="525" t="s">
        <v>1807</v>
      </c>
      <c r="D2279" s="524" t="s">
        <v>397</v>
      </c>
      <c r="E2279" s="524" t="s">
        <v>1122</v>
      </c>
      <c r="F2279" s="526" t="s">
        <v>1455</v>
      </c>
      <c r="G2279" s="252">
        <f t="shared" si="48"/>
        <v>2.0499999999999998</v>
      </c>
    </row>
    <row r="2280" spans="1:7" x14ac:dyDescent="0.3">
      <c r="A2280" s="524" t="s">
        <v>508</v>
      </c>
      <c r="B2280" s="524" t="s">
        <v>2018</v>
      </c>
      <c r="C2280" s="525" t="s">
        <v>2019</v>
      </c>
      <c r="D2280" s="524" t="s">
        <v>397</v>
      </c>
      <c r="E2280" s="524" t="s">
        <v>1122</v>
      </c>
      <c r="F2280" s="526" t="s">
        <v>2020</v>
      </c>
      <c r="G2280" s="252">
        <f t="shared" si="48"/>
        <v>11.59</v>
      </c>
    </row>
    <row r="2281" spans="1:7" ht="28.8" x14ac:dyDescent="0.3">
      <c r="A2281" s="524" t="s">
        <v>508</v>
      </c>
      <c r="B2281" s="524" t="s">
        <v>1798</v>
      </c>
      <c r="C2281" s="525" t="s">
        <v>1799</v>
      </c>
      <c r="D2281" s="524" t="s">
        <v>397</v>
      </c>
      <c r="E2281" s="524" t="s">
        <v>1515</v>
      </c>
      <c r="F2281" s="526" t="s">
        <v>1801</v>
      </c>
      <c r="G2281" s="252">
        <f t="shared" si="48"/>
        <v>0.6</v>
      </c>
    </row>
    <row r="2282" spans="1:7" x14ac:dyDescent="0.3">
      <c r="A2282" s="524" t="s">
        <v>508</v>
      </c>
      <c r="B2282" s="524" t="s">
        <v>1781</v>
      </c>
      <c r="C2282" s="525" t="s">
        <v>1782</v>
      </c>
      <c r="D2282" s="524" t="s">
        <v>397</v>
      </c>
      <c r="E2282" s="524" t="s">
        <v>2021</v>
      </c>
      <c r="F2282" s="526" t="s">
        <v>1784</v>
      </c>
      <c r="G2282" s="252">
        <f t="shared" si="48"/>
        <v>1.61</v>
      </c>
    </row>
    <row r="2283" spans="1:7" x14ac:dyDescent="0.3">
      <c r="A2283" s="524" t="s">
        <v>508</v>
      </c>
      <c r="B2283" s="524" t="s">
        <v>1785</v>
      </c>
      <c r="C2283" s="525" t="s">
        <v>1786</v>
      </c>
      <c r="D2283" s="524" t="s">
        <v>397</v>
      </c>
      <c r="E2283" s="524" t="s">
        <v>2022</v>
      </c>
      <c r="F2283" s="526" t="s">
        <v>1563</v>
      </c>
      <c r="G2283" s="252">
        <f t="shared" si="48"/>
        <v>0.12</v>
      </c>
    </row>
    <row r="2284" spans="1:7" ht="28.8" x14ac:dyDescent="0.3">
      <c r="A2284" s="524" t="s">
        <v>522</v>
      </c>
      <c r="B2284" s="524" t="s">
        <v>1726</v>
      </c>
      <c r="C2284" s="525" t="s">
        <v>1727</v>
      </c>
      <c r="D2284" s="524" t="s">
        <v>32</v>
      </c>
      <c r="E2284" s="524" t="s">
        <v>1438</v>
      </c>
      <c r="F2284" s="526" t="s">
        <v>1729</v>
      </c>
      <c r="G2284" s="252">
        <f t="shared" si="48"/>
        <v>3.46</v>
      </c>
    </row>
    <row r="2285" spans="1:7" x14ac:dyDescent="0.3">
      <c r="A2285" s="524" t="s">
        <v>522</v>
      </c>
      <c r="B2285" s="524" t="s">
        <v>1367</v>
      </c>
      <c r="C2285" s="525" t="s">
        <v>1368</v>
      </c>
      <c r="D2285" s="524" t="s">
        <v>32</v>
      </c>
      <c r="E2285" s="524" t="s">
        <v>1438</v>
      </c>
      <c r="F2285" s="526" t="s">
        <v>1370</v>
      </c>
      <c r="G2285" s="252">
        <f t="shared" si="48"/>
        <v>4.4400000000000004</v>
      </c>
    </row>
    <row r="2286" spans="1:7" x14ac:dyDescent="0.3">
      <c r="A2286" s="680" t="s">
        <v>1152</v>
      </c>
      <c r="B2286" s="681"/>
      <c r="C2286" s="681"/>
      <c r="D2286" s="681"/>
      <c r="E2286" s="681"/>
      <c r="F2286" s="682"/>
      <c r="G2286" s="527">
        <f>SUM(G2277:G2285)</f>
        <v>25.090000000000003</v>
      </c>
    </row>
    <row r="2287" spans="1:7" x14ac:dyDescent="0.3">
      <c r="A2287" s="683">
        <f>TRUNC(E2287*F2287,2)</f>
        <v>0</v>
      </c>
      <c r="B2287" s="684"/>
      <c r="C2287" s="684"/>
      <c r="D2287" s="684"/>
      <c r="E2287" s="684"/>
      <c r="F2287" s="684"/>
      <c r="G2287" s="685"/>
    </row>
    <row r="2288" spans="1:7" ht="28.8" x14ac:dyDescent="0.3">
      <c r="A2288" s="529" t="s">
        <v>293</v>
      </c>
      <c r="B2288" s="529">
        <v>95544</v>
      </c>
      <c r="C2288" s="530" t="s">
        <v>202</v>
      </c>
      <c r="D2288" s="529" t="s">
        <v>44</v>
      </c>
      <c r="E2288" s="252"/>
      <c r="F2288" s="531">
        <v>30.21</v>
      </c>
      <c r="G2288" s="252">
        <f t="shared" si="48"/>
        <v>0</v>
      </c>
    </row>
    <row r="2289" spans="1:7" x14ac:dyDescent="0.3">
      <c r="A2289" s="524" t="s">
        <v>508</v>
      </c>
      <c r="B2289" s="524" t="s">
        <v>1816</v>
      </c>
      <c r="C2289" s="525" t="s">
        <v>1817</v>
      </c>
      <c r="D2289" s="524" t="s">
        <v>397</v>
      </c>
      <c r="E2289" s="524" t="s">
        <v>1122</v>
      </c>
      <c r="F2289" s="526" t="s">
        <v>1818</v>
      </c>
      <c r="G2289" s="252">
        <f t="shared" si="48"/>
        <v>23.16</v>
      </c>
    </row>
    <row r="2290" spans="1:7" x14ac:dyDescent="0.3">
      <c r="A2290" s="524" t="s">
        <v>522</v>
      </c>
      <c r="B2290" s="524" t="s">
        <v>1367</v>
      </c>
      <c r="C2290" s="525" t="s">
        <v>1368</v>
      </c>
      <c r="D2290" s="524" t="s">
        <v>32</v>
      </c>
      <c r="E2290" s="524" t="s">
        <v>1819</v>
      </c>
      <c r="F2290" s="526" t="s">
        <v>1370</v>
      </c>
      <c r="G2290" s="252">
        <f t="shared" si="48"/>
        <v>5.62</v>
      </c>
    </row>
    <row r="2291" spans="1:7" x14ac:dyDescent="0.3">
      <c r="A2291" s="524" t="s">
        <v>522</v>
      </c>
      <c r="B2291" s="524" t="s">
        <v>1359</v>
      </c>
      <c r="C2291" s="525" t="s">
        <v>801</v>
      </c>
      <c r="D2291" s="524" t="s">
        <v>32</v>
      </c>
      <c r="E2291" s="524" t="s">
        <v>1820</v>
      </c>
      <c r="F2291" s="526" t="s">
        <v>1361</v>
      </c>
      <c r="G2291" s="252">
        <f t="shared" si="48"/>
        <v>1.43</v>
      </c>
    </row>
    <row r="2292" spans="1:7" x14ac:dyDescent="0.3">
      <c r="A2292" s="680" t="s">
        <v>1152</v>
      </c>
      <c r="B2292" s="681"/>
      <c r="C2292" s="681"/>
      <c r="D2292" s="681"/>
      <c r="E2292" s="681"/>
      <c r="F2292" s="682"/>
      <c r="G2292" s="527">
        <f>SUM(G2278:G2291)</f>
        <v>80.390000000000015</v>
      </c>
    </row>
    <row r="2293" spans="1:7" x14ac:dyDescent="0.3">
      <c r="A2293" s="683">
        <f>TRUNC(E2293*F2293,2)</f>
        <v>0</v>
      </c>
      <c r="B2293" s="684"/>
      <c r="C2293" s="684"/>
      <c r="D2293" s="684"/>
      <c r="E2293" s="684"/>
      <c r="F2293" s="684"/>
      <c r="G2293" s="685"/>
    </row>
    <row r="2294" spans="1:7" x14ac:dyDescent="0.3">
      <c r="A2294" s="529" t="s">
        <v>294</v>
      </c>
      <c r="B2294" s="529">
        <v>95545</v>
      </c>
      <c r="C2294" s="530" t="s">
        <v>203</v>
      </c>
      <c r="D2294" s="529" t="s">
        <v>44</v>
      </c>
      <c r="E2294" s="252"/>
      <c r="F2294" s="531">
        <v>29.63</v>
      </c>
      <c r="G2294" s="252">
        <f t="shared" si="48"/>
        <v>0</v>
      </c>
    </row>
    <row r="2295" spans="1:7" x14ac:dyDescent="0.3">
      <c r="A2295" s="524" t="s">
        <v>508</v>
      </c>
      <c r="B2295" s="524" t="s">
        <v>1821</v>
      </c>
      <c r="C2295" s="525" t="s">
        <v>1822</v>
      </c>
      <c r="D2295" s="524" t="s">
        <v>397</v>
      </c>
      <c r="E2295" s="524" t="s">
        <v>1122</v>
      </c>
      <c r="F2295" s="526" t="s">
        <v>1823</v>
      </c>
      <c r="G2295" s="252">
        <f t="shared" si="48"/>
        <v>22.58</v>
      </c>
    </row>
    <row r="2296" spans="1:7" x14ac:dyDescent="0.3">
      <c r="A2296" s="524" t="s">
        <v>522</v>
      </c>
      <c r="B2296" s="524" t="s">
        <v>1367</v>
      </c>
      <c r="C2296" s="525" t="s">
        <v>1368</v>
      </c>
      <c r="D2296" s="524" t="s">
        <v>32</v>
      </c>
      <c r="E2296" s="524" t="s">
        <v>1819</v>
      </c>
      <c r="F2296" s="526" t="s">
        <v>1370</v>
      </c>
      <c r="G2296" s="252">
        <f t="shared" si="48"/>
        <v>5.62</v>
      </c>
    </row>
    <row r="2297" spans="1:7" x14ac:dyDescent="0.3">
      <c r="A2297" s="524" t="s">
        <v>522</v>
      </c>
      <c r="B2297" s="524" t="s">
        <v>1359</v>
      </c>
      <c r="C2297" s="525" t="s">
        <v>801</v>
      </c>
      <c r="D2297" s="524" t="s">
        <v>32</v>
      </c>
      <c r="E2297" s="524" t="s">
        <v>1820</v>
      </c>
      <c r="F2297" s="526" t="s">
        <v>1361</v>
      </c>
      <c r="G2297" s="252">
        <f t="shared" si="48"/>
        <v>1.43</v>
      </c>
    </row>
    <row r="2298" spans="1:7" x14ac:dyDescent="0.3">
      <c r="A2298" s="680" t="s">
        <v>1152</v>
      </c>
      <c r="B2298" s="681"/>
      <c r="C2298" s="681"/>
      <c r="D2298" s="681"/>
      <c r="E2298" s="681"/>
      <c r="F2298" s="682"/>
      <c r="G2298" s="527">
        <f>SUM(G2293:G2297)</f>
        <v>29.63</v>
      </c>
    </row>
    <row r="2299" spans="1:7" x14ac:dyDescent="0.3">
      <c r="A2299" s="683">
        <f>TRUNC(E2299*F2299,2)</f>
        <v>0</v>
      </c>
      <c r="B2299" s="684"/>
      <c r="C2299" s="684"/>
      <c r="D2299" s="684"/>
      <c r="E2299" s="684"/>
      <c r="F2299" s="684"/>
      <c r="G2299" s="685"/>
    </row>
    <row r="2300" spans="1:7" ht="28.8" x14ac:dyDescent="0.3">
      <c r="A2300" s="529" t="s">
        <v>295</v>
      </c>
      <c r="B2300" s="529">
        <v>89714</v>
      </c>
      <c r="C2300" s="530" t="s">
        <v>195</v>
      </c>
      <c r="D2300" s="529" t="s">
        <v>55</v>
      </c>
      <c r="E2300" s="252"/>
      <c r="F2300" s="531">
        <v>42.17</v>
      </c>
      <c r="G2300" s="252">
        <f t="shared" si="48"/>
        <v>0</v>
      </c>
    </row>
    <row r="2301" spans="1:7" x14ac:dyDescent="0.3">
      <c r="A2301" s="524" t="s">
        <v>508</v>
      </c>
      <c r="B2301" s="524" t="s">
        <v>1774</v>
      </c>
      <c r="C2301" s="525" t="s">
        <v>1775</v>
      </c>
      <c r="D2301" s="524" t="s">
        <v>397</v>
      </c>
      <c r="E2301" s="524" t="s">
        <v>1776</v>
      </c>
      <c r="F2301" s="526" t="s">
        <v>1777</v>
      </c>
      <c r="G2301" s="252">
        <f t="shared" si="48"/>
        <v>3</v>
      </c>
    </row>
    <row r="2302" spans="1:7" x14ac:dyDescent="0.3">
      <c r="A2302" s="524" t="s">
        <v>508</v>
      </c>
      <c r="B2302" s="524" t="s">
        <v>1778</v>
      </c>
      <c r="C2302" s="525" t="s">
        <v>1779</v>
      </c>
      <c r="D2302" s="524" t="s">
        <v>55</v>
      </c>
      <c r="E2302" s="524" t="s">
        <v>1697</v>
      </c>
      <c r="F2302" s="526" t="s">
        <v>1780</v>
      </c>
      <c r="G2302" s="252">
        <f t="shared" si="48"/>
        <v>11.01</v>
      </c>
    </row>
    <row r="2303" spans="1:7" x14ac:dyDescent="0.3">
      <c r="A2303" s="524" t="s">
        <v>508</v>
      </c>
      <c r="B2303" s="524" t="s">
        <v>1781</v>
      </c>
      <c r="C2303" s="525" t="s">
        <v>1782</v>
      </c>
      <c r="D2303" s="524" t="s">
        <v>397</v>
      </c>
      <c r="E2303" s="524" t="s">
        <v>1783</v>
      </c>
      <c r="F2303" s="526" t="s">
        <v>1784</v>
      </c>
      <c r="G2303" s="252">
        <f t="shared" si="48"/>
        <v>4.25</v>
      </c>
    </row>
    <row r="2304" spans="1:7" x14ac:dyDescent="0.3">
      <c r="A2304" s="524" t="s">
        <v>508</v>
      </c>
      <c r="B2304" s="524" t="s">
        <v>1785</v>
      </c>
      <c r="C2304" s="525" t="s">
        <v>1786</v>
      </c>
      <c r="D2304" s="524" t="s">
        <v>397</v>
      </c>
      <c r="E2304" s="524" t="s">
        <v>1094</v>
      </c>
      <c r="F2304" s="526" t="s">
        <v>1563</v>
      </c>
      <c r="G2304" s="252">
        <f t="shared" si="48"/>
        <v>0.49</v>
      </c>
    </row>
    <row r="2305" spans="1:7" ht="28.8" x14ac:dyDescent="0.3">
      <c r="A2305" s="524" t="s">
        <v>522</v>
      </c>
      <c r="B2305" s="524" t="s">
        <v>1726</v>
      </c>
      <c r="C2305" s="525" t="s">
        <v>1727</v>
      </c>
      <c r="D2305" s="524" t="s">
        <v>32</v>
      </c>
      <c r="E2305" s="524" t="s">
        <v>1787</v>
      </c>
      <c r="F2305" s="526" t="s">
        <v>1729</v>
      </c>
      <c r="G2305" s="252">
        <f t="shared" si="48"/>
        <v>10.26</v>
      </c>
    </row>
    <row r="2306" spans="1:7" x14ac:dyDescent="0.3">
      <c r="A2306" s="524" t="s">
        <v>522</v>
      </c>
      <c r="B2306" s="524" t="s">
        <v>1367</v>
      </c>
      <c r="C2306" s="525" t="s">
        <v>1368</v>
      </c>
      <c r="D2306" s="524" t="s">
        <v>32</v>
      </c>
      <c r="E2306" s="524" t="s">
        <v>1787</v>
      </c>
      <c r="F2306" s="526" t="s">
        <v>1370</v>
      </c>
      <c r="G2306" s="252">
        <f t="shared" si="48"/>
        <v>13.16</v>
      </c>
    </row>
    <row r="2307" spans="1:7" x14ac:dyDescent="0.3">
      <c r="A2307" s="680" t="s">
        <v>1152</v>
      </c>
      <c r="B2307" s="681"/>
      <c r="C2307" s="681"/>
      <c r="D2307" s="681"/>
      <c r="E2307" s="681"/>
      <c r="F2307" s="682"/>
      <c r="G2307" s="527">
        <f>SUM(G2300:G2306)</f>
        <v>42.17</v>
      </c>
    </row>
    <row r="2308" spans="1:7" x14ac:dyDescent="0.3">
      <c r="A2308" s="683">
        <f>TRUNC(E2308*F2308,2)</f>
        <v>0</v>
      </c>
      <c r="B2308" s="684"/>
      <c r="C2308" s="684"/>
      <c r="D2308" s="684"/>
      <c r="E2308" s="684"/>
      <c r="F2308" s="684"/>
      <c r="G2308" s="685"/>
    </row>
    <row r="2309" spans="1:7" ht="28.8" x14ac:dyDescent="0.3">
      <c r="A2309" s="529" t="s">
        <v>296</v>
      </c>
      <c r="B2309" s="529">
        <v>89712</v>
      </c>
      <c r="C2309" s="530" t="s">
        <v>196</v>
      </c>
      <c r="D2309" s="529" t="s">
        <v>55</v>
      </c>
      <c r="E2309" s="252"/>
      <c r="F2309" s="531">
        <v>21.1</v>
      </c>
      <c r="G2309" s="252">
        <f t="shared" si="48"/>
        <v>0</v>
      </c>
    </row>
    <row r="2310" spans="1:7" x14ac:dyDescent="0.3">
      <c r="A2310" s="524" t="s">
        <v>508</v>
      </c>
      <c r="B2310" s="524" t="s">
        <v>1774</v>
      </c>
      <c r="C2310" s="525" t="s">
        <v>1775</v>
      </c>
      <c r="D2310" s="524" t="s">
        <v>397</v>
      </c>
      <c r="E2310" s="524" t="s">
        <v>1788</v>
      </c>
      <c r="F2310" s="526" t="s">
        <v>1777</v>
      </c>
      <c r="G2310" s="252">
        <f t="shared" si="48"/>
        <v>0.89</v>
      </c>
    </row>
    <row r="2311" spans="1:7" x14ac:dyDescent="0.3">
      <c r="A2311" s="524" t="s">
        <v>508</v>
      </c>
      <c r="B2311" s="524" t="s">
        <v>1789</v>
      </c>
      <c r="C2311" s="525" t="s">
        <v>1790</v>
      </c>
      <c r="D2311" s="524" t="s">
        <v>55</v>
      </c>
      <c r="E2311" s="524" t="s">
        <v>1697</v>
      </c>
      <c r="F2311" s="526" t="s">
        <v>1791</v>
      </c>
      <c r="G2311" s="252">
        <f t="shared" si="48"/>
        <v>6.76</v>
      </c>
    </row>
    <row r="2312" spans="1:7" x14ac:dyDescent="0.3">
      <c r="A2312" s="524" t="s">
        <v>508</v>
      </c>
      <c r="B2312" s="524" t="s">
        <v>1781</v>
      </c>
      <c r="C2312" s="525" t="s">
        <v>1782</v>
      </c>
      <c r="D2312" s="524" t="s">
        <v>397</v>
      </c>
      <c r="E2312" s="524" t="s">
        <v>1792</v>
      </c>
      <c r="F2312" s="526" t="s">
        <v>1784</v>
      </c>
      <c r="G2312" s="252">
        <f t="shared" si="48"/>
        <v>1.17</v>
      </c>
    </row>
    <row r="2313" spans="1:7" x14ac:dyDescent="0.3">
      <c r="A2313" s="524" t="s">
        <v>508</v>
      </c>
      <c r="B2313" s="524" t="s">
        <v>1785</v>
      </c>
      <c r="C2313" s="525" t="s">
        <v>1786</v>
      </c>
      <c r="D2313" s="524" t="s">
        <v>397</v>
      </c>
      <c r="E2313" s="524" t="s">
        <v>1793</v>
      </c>
      <c r="F2313" s="526" t="s">
        <v>1563</v>
      </c>
      <c r="G2313" s="252">
        <f t="shared" si="48"/>
        <v>0.25</v>
      </c>
    </row>
    <row r="2314" spans="1:7" ht="28.8" x14ac:dyDescent="0.3">
      <c r="A2314" s="524" t="s">
        <v>522</v>
      </c>
      <c r="B2314" s="524" t="s">
        <v>1726</v>
      </c>
      <c r="C2314" s="525" t="s">
        <v>1727</v>
      </c>
      <c r="D2314" s="524" t="s">
        <v>32</v>
      </c>
      <c r="E2314" s="524" t="s">
        <v>1794</v>
      </c>
      <c r="F2314" s="526" t="s">
        <v>1729</v>
      </c>
      <c r="G2314" s="252">
        <f t="shared" si="48"/>
        <v>5.27</v>
      </c>
    </row>
    <row r="2315" spans="1:7" x14ac:dyDescent="0.3">
      <c r="A2315" s="524" t="s">
        <v>522</v>
      </c>
      <c r="B2315" s="524" t="s">
        <v>1367</v>
      </c>
      <c r="C2315" s="525" t="s">
        <v>1368</v>
      </c>
      <c r="D2315" s="524" t="s">
        <v>32</v>
      </c>
      <c r="E2315" s="524" t="s">
        <v>1794</v>
      </c>
      <c r="F2315" s="526" t="s">
        <v>1370</v>
      </c>
      <c r="G2315" s="252">
        <f t="shared" si="48"/>
        <v>6.76</v>
      </c>
    </row>
    <row r="2316" spans="1:7" x14ac:dyDescent="0.3">
      <c r="A2316" s="680" t="s">
        <v>1152</v>
      </c>
      <c r="B2316" s="681"/>
      <c r="C2316" s="681"/>
      <c r="D2316" s="681"/>
      <c r="E2316" s="681"/>
      <c r="F2316" s="682"/>
      <c r="G2316" s="527">
        <f>SUM(G2309:G2315)</f>
        <v>21.1</v>
      </c>
    </row>
    <row r="2317" spans="1:7" x14ac:dyDescent="0.3">
      <c r="A2317" s="683">
        <f>TRUNC(E2317*F2317,2)</f>
        <v>0</v>
      </c>
      <c r="B2317" s="684"/>
      <c r="C2317" s="684"/>
      <c r="D2317" s="684"/>
      <c r="E2317" s="684"/>
      <c r="F2317" s="684"/>
      <c r="G2317" s="685"/>
    </row>
    <row r="2318" spans="1:7" ht="28.8" x14ac:dyDescent="0.3">
      <c r="A2318" s="529" t="s">
        <v>706</v>
      </c>
      <c r="B2318" s="529">
        <v>89567</v>
      </c>
      <c r="C2318" s="530" t="s">
        <v>197</v>
      </c>
      <c r="D2318" s="529" t="s">
        <v>44</v>
      </c>
      <c r="E2318" s="252"/>
      <c r="F2318" s="531">
        <v>57.95</v>
      </c>
      <c r="G2318" s="252">
        <f t="shared" si="48"/>
        <v>0</v>
      </c>
    </row>
    <row r="2319" spans="1:7" x14ac:dyDescent="0.3">
      <c r="A2319" s="524" t="s">
        <v>508</v>
      </c>
      <c r="B2319" s="524" t="s">
        <v>1795</v>
      </c>
      <c r="C2319" s="525" t="s">
        <v>1796</v>
      </c>
      <c r="D2319" s="524" t="s">
        <v>397</v>
      </c>
      <c r="E2319" s="524" t="s">
        <v>1523</v>
      </c>
      <c r="F2319" s="526" t="s">
        <v>1797</v>
      </c>
      <c r="G2319" s="252">
        <f t="shared" si="48"/>
        <v>7.26</v>
      </c>
    </row>
    <row r="2320" spans="1:7" ht="28.8" x14ac:dyDescent="0.3">
      <c r="A2320" s="524" t="s">
        <v>508</v>
      </c>
      <c r="B2320" s="524" t="s">
        <v>1798</v>
      </c>
      <c r="C2320" s="525" t="s">
        <v>1799</v>
      </c>
      <c r="D2320" s="524" t="s">
        <v>397</v>
      </c>
      <c r="E2320" s="524" t="s">
        <v>1800</v>
      </c>
      <c r="F2320" s="526" t="s">
        <v>1801</v>
      </c>
      <c r="G2320" s="252">
        <f t="shared" si="48"/>
        <v>2.78</v>
      </c>
    </row>
    <row r="2321" spans="1:7" x14ac:dyDescent="0.3">
      <c r="A2321" s="524" t="s">
        <v>508</v>
      </c>
      <c r="B2321" s="524" t="s">
        <v>1802</v>
      </c>
      <c r="C2321" s="525" t="s">
        <v>1803</v>
      </c>
      <c r="D2321" s="524" t="s">
        <v>397</v>
      </c>
      <c r="E2321" s="524" t="s">
        <v>1122</v>
      </c>
      <c r="F2321" s="526" t="s">
        <v>1804</v>
      </c>
      <c r="G2321" s="252">
        <f t="shared" si="48"/>
        <v>42.06</v>
      </c>
    </row>
    <row r="2322" spans="1:7" ht="28.8" x14ac:dyDescent="0.3">
      <c r="A2322" s="524" t="s">
        <v>522</v>
      </c>
      <c r="B2322" s="524" t="s">
        <v>1726</v>
      </c>
      <c r="C2322" s="525" t="s">
        <v>1727</v>
      </c>
      <c r="D2322" s="524" t="s">
        <v>32</v>
      </c>
      <c r="E2322" s="524" t="s">
        <v>1805</v>
      </c>
      <c r="F2322" s="526" t="s">
        <v>1729</v>
      </c>
      <c r="G2322" s="252">
        <f t="shared" si="48"/>
        <v>2.56</v>
      </c>
    </row>
    <row r="2323" spans="1:7" x14ac:dyDescent="0.3">
      <c r="A2323" s="524" t="s">
        <v>522</v>
      </c>
      <c r="B2323" s="524" t="s">
        <v>1367</v>
      </c>
      <c r="C2323" s="525" t="s">
        <v>1368</v>
      </c>
      <c r="D2323" s="524" t="s">
        <v>32</v>
      </c>
      <c r="E2323" s="524" t="s">
        <v>1805</v>
      </c>
      <c r="F2323" s="526" t="s">
        <v>1370</v>
      </c>
      <c r="G2323" s="252">
        <f t="shared" si="48"/>
        <v>3.29</v>
      </c>
    </row>
    <row r="2324" spans="1:7" x14ac:dyDescent="0.3">
      <c r="A2324" s="680" t="s">
        <v>1152</v>
      </c>
      <c r="B2324" s="681"/>
      <c r="C2324" s="681"/>
      <c r="D2324" s="681"/>
      <c r="E2324" s="681"/>
      <c r="F2324" s="682"/>
      <c r="G2324" s="527">
        <f>SUM(G2317:G2323)</f>
        <v>57.95</v>
      </c>
    </row>
    <row r="2325" spans="1:7" x14ac:dyDescent="0.3">
      <c r="A2325" s="683">
        <f>TRUNC(E2325*F2325,2)</f>
        <v>0</v>
      </c>
      <c r="B2325" s="684"/>
      <c r="C2325" s="684"/>
      <c r="D2325" s="684"/>
      <c r="E2325" s="684"/>
      <c r="F2325" s="684"/>
      <c r="G2325" s="685"/>
    </row>
    <row r="2326" spans="1:7" ht="28.8" x14ac:dyDescent="0.3">
      <c r="A2326" s="529" t="s">
        <v>297</v>
      </c>
      <c r="B2326" s="529" t="s">
        <v>810</v>
      </c>
      <c r="C2326" s="530" t="s">
        <v>808</v>
      </c>
      <c r="D2326" s="529" t="s">
        <v>185</v>
      </c>
      <c r="E2326" s="252"/>
      <c r="F2326" s="531">
        <v>234.28</v>
      </c>
      <c r="G2326" s="252">
        <f t="shared" si="48"/>
        <v>0</v>
      </c>
    </row>
    <row r="2327" spans="1:7" x14ac:dyDescent="0.3">
      <c r="A2327" s="529"/>
      <c r="B2327" s="529">
        <v>88316</v>
      </c>
      <c r="C2327" s="525" t="s">
        <v>801</v>
      </c>
      <c r="D2327" s="529" t="s">
        <v>580</v>
      </c>
      <c r="E2327" s="609">
        <v>0.1</v>
      </c>
      <c r="F2327" s="526" t="s">
        <v>1361</v>
      </c>
      <c r="G2327" s="252">
        <f t="shared" si="48"/>
        <v>1.43</v>
      </c>
    </row>
    <row r="2328" spans="1:7" x14ac:dyDescent="0.3">
      <c r="A2328" s="529"/>
      <c r="B2328" s="529">
        <v>88309</v>
      </c>
      <c r="C2328" s="610" t="s">
        <v>1363</v>
      </c>
      <c r="D2328" s="529" t="s">
        <v>580</v>
      </c>
      <c r="E2328" s="609">
        <v>0.24560000000000001</v>
      </c>
      <c r="F2328" s="531">
        <v>17.760000000000002</v>
      </c>
      <c r="G2328" s="252">
        <f t="shared" si="48"/>
        <v>4.3600000000000003</v>
      </c>
    </row>
    <row r="2329" spans="1:7" ht="28.8" x14ac:dyDescent="0.3">
      <c r="A2329" s="529"/>
      <c r="B2329" s="529" t="s">
        <v>807</v>
      </c>
      <c r="C2329" s="530" t="s">
        <v>808</v>
      </c>
      <c r="D2329" s="529" t="s">
        <v>397</v>
      </c>
      <c r="E2329" s="609">
        <v>1</v>
      </c>
      <c r="F2329" s="531">
        <v>228.49</v>
      </c>
      <c r="G2329" s="252">
        <f t="shared" si="48"/>
        <v>228.49</v>
      </c>
    </row>
    <row r="2330" spans="1:7" x14ac:dyDescent="0.3">
      <c r="A2330" s="680" t="s">
        <v>1152</v>
      </c>
      <c r="B2330" s="681"/>
      <c r="C2330" s="681"/>
      <c r="D2330" s="681"/>
      <c r="E2330" s="681"/>
      <c r="F2330" s="682"/>
      <c r="G2330" s="527">
        <f>SUM(G2326:G2329)</f>
        <v>234.28</v>
      </c>
    </row>
    <row r="2331" spans="1:7" x14ac:dyDescent="0.3">
      <c r="A2331" s="683">
        <f>TRUNC(E2331*F2331,2)</f>
        <v>0</v>
      </c>
      <c r="B2331" s="684"/>
      <c r="C2331" s="684"/>
      <c r="D2331" s="684"/>
      <c r="E2331" s="684"/>
      <c r="F2331" s="684"/>
      <c r="G2331" s="685"/>
    </row>
    <row r="2332" spans="1:7" ht="28.8" x14ac:dyDescent="0.3">
      <c r="A2332" s="529" t="s">
        <v>298</v>
      </c>
      <c r="B2332" s="529" t="s">
        <v>811</v>
      </c>
      <c r="C2332" s="530" t="s">
        <v>809</v>
      </c>
      <c r="D2332" s="529" t="s">
        <v>185</v>
      </c>
      <c r="E2332" s="252"/>
      <c r="F2332" s="531">
        <v>198.74</v>
      </c>
      <c r="G2332" s="252">
        <f t="shared" si="48"/>
        <v>0</v>
      </c>
    </row>
    <row r="2333" spans="1:7" x14ac:dyDescent="0.3">
      <c r="A2333" s="529"/>
      <c r="B2333" s="200">
        <v>88316</v>
      </c>
      <c r="C2333" s="202" t="s">
        <v>801</v>
      </c>
      <c r="D2333" s="200" t="s">
        <v>32</v>
      </c>
      <c r="E2333" s="203">
        <v>0.1</v>
      </c>
      <c r="F2333" s="526" t="s">
        <v>1361</v>
      </c>
      <c r="G2333" s="252">
        <f t="shared" si="48"/>
        <v>1.43</v>
      </c>
    </row>
    <row r="2334" spans="1:7" x14ac:dyDescent="0.3">
      <c r="A2334" s="529"/>
      <c r="B2334" s="200">
        <v>88309</v>
      </c>
      <c r="C2334" s="525" t="s">
        <v>1363</v>
      </c>
      <c r="D2334" s="200" t="s">
        <v>32</v>
      </c>
      <c r="E2334" s="203">
        <v>0.24560000000000001</v>
      </c>
      <c r="F2334" s="531">
        <v>17.760000000000002</v>
      </c>
      <c r="G2334" s="252">
        <f t="shared" si="48"/>
        <v>4.3600000000000003</v>
      </c>
    </row>
    <row r="2335" spans="1:7" ht="28.8" x14ac:dyDescent="0.3">
      <c r="A2335" s="529"/>
      <c r="B2335" s="201" t="s">
        <v>807</v>
      </c>
      <c r="C2335" s="202" t="s">
        <v>808</v>
      </c>
      <c r="D2335" s="201" t="s">
        <v>397</v>
      </c>
      <c r="E2335" s="204">
        <v>1</v>
      </c>
      <c r="F2335" s="205">
        <v>192.95</v>
      </c>
      <c r="G2335" s="252">
        <f t="shared" si="48"/>
        <v>192.95</v>
      </c>
    </row>
    <row r="2336" spans="1:7" x14ac:dyDescent="0.3">
      <c r="A2336" s="680" t="s">
        <v>1152</v>
      </c>
      <c r="B2336" s="681"/>
      <c r="C2336" s="681"/>
      <c r="D2336" s="681"/>
      <c r="E2336" s="681"/>
      <c r="F2336" s="682"/>
      <c r="G2336" s="527">
        <f>SUM(G2332:G2335)</f>
        <v>198.73999999999998</v>
      </c>
    </row>
    <row r="2337" spans="1:7" x14ac:dyDescent="0.3">
      <c r="A2337" s="683">
        <f>TRUNC(E2337*F2337,2)</f>
        <v>0</v>
      </c>
      <c r="B2337" s="684"/>
      <c r="C2337" s="684"/>
      <c r="D2337" s="684"/>
      <c r="E2337" s="684"/>
      <c r="F2337" s="684"/>
      <c r="G2337" s="685"/>
    </row>
    <row r="2338" spans="1:7" ht="43.2" x14ac:dyDescent="0.3">
      <c r="A2338" s="529" t="s">
        <v>818</v>
      </c>
      <c r="B2338" s="529">
        <v>89731</v>
      </c>
      <c r="C2338" s="530" t="s">
        <v>198</v>
      </c>
      <c r="D2338" s="529" t="s">
        <v>44</v>
      </c>
      <c r="E2338" s="252"/>
      <c r="F2338" s="531">
        <v>8.56</v>
      </c>
      <c r="G2338" s="252">
        <f t="shared" si="48"/>
        <v>0</v>
      </c>
    </row>
    <row r="2339" spans="1:7" x14ac:dyDescent="0.3">
      <c r="A2339" s="524" t="s">
        <v>508</v>
      </c>
      <c r="B2339" s="524" t="s">
        <v>1806</v>
      </c>
      <c r="C2339" s="525" t="s">
        <v>1807</v>
      </c>
      <c r="D2339" s="524" t="s">
        <v>397</v>
      </c>
      <c r="E2339" s="524" t="s">
        <v>1122</v>
      </c>
      <c r="F2339" s="526" t="s">
        <v>1455</v>
      </c>
      <c r="G2339" s="252">
        <f t="shared" si="48"/>
        <v>2.0499999999999998</v>
      </c>
    </row>
    <row r="2340" spans="1:7" x14ac:dyDescent="0.3">
      <c r="A2340" s="524" t="s">
        <v>508</v>
      </c>
      <c r="B2340" s="524" t="s">
        <v>1808</v>
      </c>
      <c r="C2340" s="525" t="s">
        <v>1809</v>
      </c>
      <c r="D2340" s="524" t="s">
        <v>397</v>
      </c>
      <c r="E2340" s="524" t="s">
        <v>1122</v>
      </c>
      <c r="F2340" s="526" t="s">
        <v>1810</v>
      </c>
      <c r="G2340" s="252">
        <f t="shared" si="48"/>
        <v>1.8</v>
      </c>
    </row>
    <row r="2341" spans="1:7" ht="28.8" x14ac:dyDescent="0.3">
      <c r="A2341" s="524" t="s">
        <v>508</v>
      </c>
      <c r="B2341" s="524" t="s">
        <v>1798</v>
      </c>
      <c r="C2341" s="525" t="s">
        <v>1799</v>
      </c>
      <c r="D2341" s="524" t="s">
        <v>397</v>
      </c>
      <c r="E2341" s="524" t="s">
        <v>1515</v>
      </c>
      <c r="F2341" s="526" t="s">
        <v>1801</v>
      </c>
      <c r="G2341" s="252">
        <f t="shared" si="48"/>
        <v>0.6</v>
      </c>
    </row>
    <row r="2342" spans="1:7" ht="28.8" x14ac:dyDescent="0.3">
      <c r="A2342" s="524" t="s">
        <v>522</v>
      </c>
      <c r="B2342" s="524" t="s">
        <v>1726</v>
      </c>
      <c r="C2342" s="525" t="s">
        <v>1727</v>
      </c>
      <c r="D2342" s="524" t="s">
        <v>32</v>
      </c>
      <c r="E2342" s="524" t="s">
        <v>1811</v>
      </c>
      <c r="F2342" s="526" t="s">
        <v>1729</v>
      </c>
      <c r="G2342" s="252">
        <f t="shared" si="48"/>
        <v>1.8</v>
      </c>
    </row>
    <row r="2343" spans="1:7" x14ac:dyDescent="0.3">
      <c r="A2343" s="524" t="s">
        <v>522</v>
      </c>
      <c r="B2343" s="524" t="s">
        <v>1367</v>
      </c>
      <c r="C2343" s="525" t="s">
        <v>1368</v>
      </c>
      <c r="D2343" s="524" t="s">
        <v>32</v>
      </c>
      <c r="E2343" s="524" t="s">
        <v>1811</v>
      </c>
      <c r="F2343" s="526" t="s">
        <v>1370</v>
      </c>
      <c r="G2343" s="252">
        <f t="shared" si="48"/>
        <v>2.31</v>
      </c>
    </row>
    <row r="2344" spans="1:7" x14ac:dyDescent="0.3">
      <c r="A2344" s="680" t="s">
        <v>1152</v>
      </c>
      <c r="B2344" s="681"/>
      <c r="C2344" s="681"/>
      <c r="D2344" s="681"/>
      <c r="E2344" s="681"/>
      <c r="F2344" s="682"/>
      <c r="G2344" s="527">
        <f>SUM(G2338:G2343)</f>
        <v>8.5599999999999987</v>
      </c>
    </row>
    <row r="2345" spans="1:7" x14ac:dyDescent="0.3">
      <c r="A2345" s="683">
        <f>TRUNC(E2345*F2345,2)</f>
        <v>0</v>
      </c>
      <c r="B2345" s="684"/>
      <c r="C2345" s="684"/>
      <c r="D2345" s="684"/>
      <c r="E2345" s="684"/>
      <c r="F2345" s="684"/>
      <c r="G2345" s="685"/>
    </row>
    <row r="2346" spans="1:7" ht="43.2" x14ac:dyDescent="0.3">
      <c r="A2346" s="529" t="s">
        <v>819</v>
      </c>
      <c r="B2346" s="529">
        <v>89744</v>
      </c>
      <c r="C2346" s="530" t="s">
        <v>199</v>
      </c>
      <c r="D2346" s="529" t="s">
        <v>44</v>
      </c>
      <c r="E2346" s="252"/>
      <c r="F2346" s="531">
        <v>18.88</v>
      </c>
      <c r="G2346" s="252">
        <f t="shared" si="48"/>
        <v>0</v>
      </c>
    </row>
    <row r="2347" spans="1:7" x14ac:dyDescent="0.3">
      <c r="A2347" s="524" t="s">
        <v>508</v>
      </c>
      <c r="B2347" s="524" t="s">
        <v>1795</v>
      </c>
      <c r="C2347" s="525" t="s">
        <v>1796</v>
      </c>
      <c r="D2347" s="524" t="s">
        <v>397</v>
      </c>
      <c r="E2347" s="524" t="s">
        <v>1122</v>
      </c>
      <c r="F2347" s="526" t="s">
        <v>1797</v>
      </c>
      <c r="G2347" s="252">
        <f t="shared" si="48"/>
        <v>3.63</v>
      </c>
    </row>
    <row r="2348" spans="1:7" x14ac:dyDescent="0.3">
      <c r="A2348" s="524" t="s">
        <v>508</v>
      </c>
      <c r="B2348" s="524" t="s">
        <v>1812</v>
      </c>
      <c r="C2348" s="525" t="s">
        <v>1813</v>
      </c>
      <c r="D2348" s="524" t="s">
        <v>397</v>
      </c>
      <c r="E2348" s="524" t="s">
        <v>1122</v>
      </c>
      <c r="F2348" s="526" t="s">
        <v>1814</v>
      </c>
      <c r="G2348" s="252">
        <f t="shared" si="48"/>
        <v>5.96</v>
      </c>
    </row>
    <row r="2349" spans="1:7" ht="28.8" x14ac:dyDescent="0.3">
      <c r="A2349" s="524" t="s">
        <v>508</v>
      </c>
      <c r="B2349" s="524" t="s">
        <v>1798</v>
      </c>
      <c r="C2349" s="525" t="s">
        <v>1799</v>
      </c>
      <c r="D2349" s="524" t="s">
        <v>397</v>
      </c>
      <c r="E2349" s="524" t="s">
        <v>1815</v>
      </c>
      <c r="F2349" s="526" t="s">
        <v>1801</v>
      </c>
      <c r="G2349" s="252">
        <f t="shared" si="48"/>
        <v>1.39</v>
      </c>
    </row>
    <row r="2350" spans="1:7" ht="28.8" x14ac:dyDescent="0.3">
      <c r="A2350" s="524" t="s">
        <v>522</v>
      </c>
      <c r="B2350" s="524" t="s">
        <v>1726</v>
      </c>
      <c r="C2350" s="525" t="s">
        <v>1727</v>
      </c>
      <c r="D2350" s="524" t="s">
        <v>32</v>
      </c>
      <c r="E2350" s="524" t="s">
        <v>1438</v>
      </c>
      <c r="F2350" s="526" t="s">
        <v>1729</v>
      </c>
      <c r="G2350" s="252">
        <f t="shared" si="48"/>
        <v>3.46</v>
      </c>
    </row>
    <row r="2351" spans="1:7" x14ac:dyDescent="0.3">
      <c r="A2351" s="524" t="s">
        <v>522</v>
      </c>
      <c r="B2351" s="524" t="s">
        <v>1367</v>
      </c>
      <c r="C2351" s="525" t="s">
        <v>1368</v>
      </c>
      <c r="D2351" s="524" t="s">
        <v>32</v>
      </c>
      <c r="E2351" s="524" t="s">
        <v>1438</v>
      </c>
      <c r="F2351" s="526" t="s">
        <v>1370</v>
      </c>
      <c r="G2351" s="252">
        <f t="shared" si="48"/>
        <v>4.4400000000000004</v>
      </c>
    </row>
    <row r="2352" spans="1:7" x14ac:dyDescent="0.3">
      <c r="A2352" s="680" t="s">
        <v>1152</v>
      </c>
      <c r="B2352" s="681"/>
      <c r="C2352" s="681"/>
      <c r="D2352" s="681"/>
      <c r="E2352" s="681"/>
      <c r="F2352" s="682"/>
      <c r="G2352" s="527">
        <f>SUM(G2345:G2351)</f>
        <v>18.880000000000003</v>
      </c>
    </row>
    <row r="2353" spans="1:7" x14ac:dyDescent="0.3">
      <c r="A2353" s="683">
        <f>TRUNC(E2353*F2353,2)</f>
        <v>0</v>
      </c>
      <c r="B2353" s="684"/>
      <c r="C2353" s="684"/>
      <c r="D2353" s="684"/>
      <c r="E2353" s="684"/>
      <c r="F2353" s="684"/>
      <c r="G2353" s="685"/>
    </row>
    <row r="2354" spans="1:7" x14ac:dyDescent="0.3">
      <c r="A2354" s="529" t="s">
        <v>299</v>
      </c>
      <c r="B2354" s="529"/>
      <c r="C2354" s="530" t="s">
        <v>207</v>
      </c>
      <c r="D2354" s="529"/>
      <c r="E2354" s="252"/>
      <c r="F2354" s="531"/>
      <c r="G2354" s="252">
        <f t="shared" si="48"/>
        <v>0</v>
      </c>
    </row>
    <row r="2355" spans="1:7" x14ac:dyDescent="0.3">
      <c r="A2355" s="529" t="s">
        <v>300</v>
      </c>
      <c r="B2355" s="529">
        <v>72178</v>
      </c>
      <c r="C2355" s="530" t="s">
        <v>50</v>
      </c>
      <c r="D2355" s="529" t="s">
        <v>24</v>
      </c>
      <c r="E2355" s="252"/>
      <c r="F2355" s="531">
        <v>22.6</v>
      </c>
      <c r="G2355" s="252">
        <f t="shared" si="48"/>
        <v>0</v>
      </c>
    </row>
    <row r="2356" spans="1:7" x14ac:dyDescent="0.3">
      <c r="A2356" s="524" t="s">
        <v>522</v>
      </c>
      <c r="B2356" s="524" t="s">
        <v>1376</v>
      </c>
      <c r="C2356" s="525" t="s">
        <v>1377</v>
      </c>
      <c r="D2356" s="524" t="s">
        <v>32</v>
      </c>
      <c r="E2356" s="524" t="s">
        <v>1378</v>
      </c>
      <c r="F2356" s="612" t="s">
        <v>1379</v>
      </c>
      <c r="G2356" s="252">
        <f t="shared" si="48"/>
        <v>22.6</v>
      </c>
    </row>
    <row r="2357" spans="1:7" x14ac:dyDescent="0.3">
      <c r="A2357" s="680" t="s">
        <v>1152</v>
      </c>
      <c r="B2357" s="681"/>
      <c r="C2357" s="681"/>
      <c r="D2357" s="681"/>
      <c r="E2357" s="681"/>
      <c r="F2357" s="682"/>
      <c r="G2357" s="527">
        <f>SUM(G2355:G2356)</f>
        <v>22.6</v>
      </c>
    </row>
    <row r="2358" spans="1:7" x14ac:dyDescent="0.3">
      <c r="A2358" s="683">
        <f>TRUNC(E2358*F2358,2)</f>
        <v>0</v>
      </c>
      <c r="B2358" s="684"/>
      <c r="C2358" s="684"/>
      <c r="D2358" s="684"/>
      <c r="E2358" s="684"/>
      <c r="F2358" s="684"/>
      <c r="G2358" s="685"/>
    </row>
    <row r="2359" spans="1:7" ht="43.2" x14ac:dyDescent="0.3">
      <c r="A2359" s="529" t="s">
        <v>301</v>
      </c>
      <c r="B2359" s="529">
        <v>72181</v>
      </c>
      <c r="C2359" s="530" t="s">
        <v>210</v>
      </c>
      <c r="D2359" s="529" t="s">
        <v>24</v>
      </c>
      <c r="E2359" s="252"/>
      <c r="F2359" s="531">
        <v>28.84</v>
      </c>
      <c r="G2359" s="252">
        <f t="shared" si="48"/>
        <v>0</v>
      </c>
    </row>
    <row r="2360" spans="1:7" x14ac:dyDescent="0.3">
      <c r="A2360" s="524" t="s">
        <v>508</v>
      </c>
      <c r="B2360" s="524" t="s">
        <v>518</v>
      </c>
      <c r="C2360" s="525" t="s">
        <v>519</v>
      </c>
      <c r="D2360" s="524" t="s">
        <v>426</v>
      </c>
      <c r="E2360" s="524" t="s">
        <v>1528</v>
      </c>
      <c r="F2360" s="526" t="s">
        <v>521</v>
      </c>
      <c r="G2360" s="252">
        <f t="shared" si="48"/>
        <v>2.2799999999999998</v>
      </c>
    </row>
    <row r="2361" spans="1:7" x14ac:dyDescent="0.3">
      <c r="A2361" s="524" t="s">
        <v>522</v>
      </c>
      <c r="B2361" s="524" t="s">
        <v>1376</v>
      </c>
      <c r="C2361" s="525" t="s">
        <v>1377</v>
      </c>
      <c r="D2361" s="524" t="s">
        <v>32</v>
      </c>
      <c r="E2361" s="524" t="s">
        <v>1452</v>
      </c>
      <c r="F2361" s="526" t="s">
        <v>1379</v>
      </c>
      <c r="G2361" s="252">
        <f t="shared" si="48"/>
        <v>15.07</v>
      </c>
    </row>
    <row r="2362" spans="1:7" x14ac:dyDescent="0.3">
      <c r="A2362" s="524" t="s">
        <v>522</v>
      </c>
      <c r="B2362" s="524" t="s">
        <v>1359</v>
      </c>
      <c r="C2362" s="525" t="s">
        <v>801</v>
      </c>
      <c r="D2362" s="524" t="s">
        <v>32</v>
      </c>
      <c r="E2362" s="524" t="s">
        <v>1452</v>
      </c>
      <c r="F2362" s="526" t="s">
        <v>1361</v>
      </c>
      <c r="G2362" s="252">
        <f t="shared" si="48"/>
        <v>11.49</v>
      </c>
    </row>
    <row r="2363" spans="1:7" x14ac:dyDescent="0.3">
      <c r="A2363" s="680" t="s">
        <v>1152</v>
      </c>
      <c r="B2363" s="681"/>
      <c r="C2363" s="681"/>
      <c r="D2363" s="681"/>
      <c r="E2363" s="681"/>
      <c r="F2363" s="682"/>
      <c r="G2363" s="527">
        <f>SUM(G2360:G2362)</f>
        <v>28.840000000000003</v>
      </c>
    </row>
    <row r="2364" spans="1:7" x14ac:dyDescent="0.3">
      <c r="A2364" s="683">
        <f>TRUNC(E2364*F2364,2)</f>
        <v>0</v>
      </c>
      <c r="B2364" s="684"/>
      <c r="C2364" s="684"/>
      <c r="D2364" s="684"/>
      <c r="E2364" s="684"/>
      <c r="F2364" s="684"/>
      <c r="G2364" s="685"/>
    </row>
    <row r="2365" spans="1:7" x14ac:dyDescent="0.3">
      <c r="A2365" s="529" t="s">
        <v>387</v>
      </c>
      <c r="B2365" s="529"/>
      <c r="C2365" s="530" t="s">
        <v>212</v>
      </c>
      <c r="D2365" s="529"/>
      <c r="E2365" s="252"/>
      <c r="F2365" s="531"/>
      <c r="G2365" s="252">
        <f t="shared" si="48"/>
        <v>0</v>
      </c>
    </row>
    <row r="2366" spans="1:7" ht="28.8" x14ac:dyDescent="0.3">
      <c r="A2366" s="529" t="s">
        <v>388</v>
      </c>
      <c r="B2366" s="529">
        <v>96114</v>
      </c>
      <c r="C2366" s="530" t="s">
        <v>639</v>
      </c>
      <c r="D2366" s="529" t="s">
        <v>24</v>
      </c>
      <c r="E2366" s="252"/>
      <c r="F2366" s="531">
        <v>49.24</v>
      </c>
      <c r="G2366" s="252">
        <f t="shared" si="48"/>
        <v>0</v>
      </c>
    </row>
    <row r="2367" spans="1:7" ht="28.8" x14ac:dyDescent="0.3">
      <c r="A2367" s="524" t="s">
        <v>508</v>
      </c>
      <c r="B2367" s="524" t="s">
        <v>1843</v>
      </c>
      <c r="C2367" s="525" t="s">
        <v>1844</v>
      </c>
      <c r="D2367" s="524" t="s">
        <v>24</v>
      </c>
      <c r="E2367" s="606">
        <v>1</v>
      </c>
      <c r="F2367" s="526" t="s">
        <v>1845</v>
      </c>
      <c r="G2367" s="252">
        <f t="shared" si="48"/>
        <v>19.97</v>
      </c>
    </row>
    <row r="2368" spans="1:7" ht="28.8" x14ac:dyDescent="0.3">
      <c r="A2368" s="524" t="s">
        <v>508</v>
      </c>
      <c r="B2368" s="524" t="s">
        <v>1846</v>
      </c>
      <c r="C2368" s="525" t="s">
        <v>1847</v>
      </c>
      <c r="D2368" s="524" t="s">
        <v>55</v>
      </c>
      <c r="E2368" s="606">
        <v>3</v>
      </c>
      <c r="F2368" s="526" t="s">
        <v>1848</v>
      </c>
      <c r="G2368" s="252">
        <f t="shared" si="48"/>
        <v>11.79</v>
      </c>
    </row>
    <row r="2369" spans="1:7" ht="28.8" x14ac:dyDescent="0.3">
      <c r="A2369" s="524" t="s">
        <v>508</v>
      </c>
      <c r="B2369" s="524" t="s">
        <v>1849</v>
      </c>
      <c r="C2369" s="525" t="s">
        <v>1850</v>
      </c>
      <c r="D2369" s="524" t="s">
        <v>397</v>
      </c>
      <c r="E2369" s="606">
        <v>1</v>
      </c>
      <c r="F2369" s="526" t="s">
        <v>1851</v>
      </c>
      <c r="G2369" s="252">
        <f t="shared" si="48"/>
        <v>1.48</v>
      </c>
    </row>
    <row r="2370" spans="1:7" ht="28.8" x14ac:dyDescent="0.3">
      <c r="A2370" s="524" t="s">
        <v>508</v>
      </c>
      <c r="B2370" s="524" t="s">
        <v>1852</v>
      </c>
      <c r="C2370" s="525" t="s">
        <v>1853</v>
      </c>
      <c r="D2370" s="524" t="s">
        <v>55</v>
      </c>
      <c r="E2370" s="606">
        <v>1.4</v>
      </c>
      <c r="F2370" s="526" t="s">
        <v>1854</v>
      </c>
      <c r="G2370" s="252">
        <f t="shared" si="48"/>
        <v>4.1399999999999997</v>
      </c>
    </row>
    <row r="2371" spans="1:7" ht="28.8" x14ac:dyDescent="0.3">
      <c r="A2371" s="524" t="s">
        <v>508</v>
      </c>
      <c r="B2371" s="524" t="s">
        <v>1855</v>
      </c>
      <c r="C2371" s="525" t="s">
        <v>1856</v>
      </c>
      <c r="D2371" s="524" t="s">
        <v>426</v>
      </c>
      <c r="E2371" s="606">
        <v>0.5</v>
      </c>
      <c r="F2371" s="526" t="s">
        <v>1501</v>
      </c>
      <c r="G2371" s="252">
        <f t="shared" si="48"/>
        <v>1.98</v>
      </c>
    </row>
    <row r="2372" spans="1:7" ht="28.8" x14ac:dyDescent="0.3">
      <c r="A2372" s="524" t="s">
        <v>508</v>
      </c>
      <c r="B2372" s="524" t="s">
        <v>1857</v>
      </c>
      <c r="C2372" s="525" t="s">
        <v>1858</v>
      </c>
      <c r="D2372" s="524" t="s">
        <v>397</v>
      </c>
      <c r="E2372" s="606">
        <v>7</v>
      </c>
      <c r="F2372" s="526" t="s">
        <v>1327</v>
      </c>
      <c r="G2372" s="252">
        <f t="shared" si="48"/>
        <v>0.49</v>
      </c>
    </row>
    <row r="2373" spans="1:7" ht="28.8" x14ac:dyDescent="0.3">
      <c r="A2373" s="524" t="s">
        <v>508</v>
      </c>
      <c r="B2373" s="524" t="s">
        <v>1859</v>
      </c>
      <c r="C2373" s="525" t="s">
        <v>1860</v>
      </c>
      <c r="D2373" s="524" t="s">
        <v>397</v>
      </c>
      <c r="E2373" s="606">
        <v>2</v>
      </c>
      <c r="F2373" s="526" t="s">
        <v>1861</v>
      </c>
      <c r="G2373" s="252">
        <f t="shared" si="48"/>
        <v>0.32</v>
      </c>
    </row>
    <row r="2374" spans="1:7" x14ac:dyDescent="0.3">
      <c r="A2374" s="524" t="s">
        <v>508</v>
      </c>
      <c r="B2374" s="524" t="s">
        <v>1862</v>
      </c>
      <c r="C2374" s="525" t="s">
        <v>1863</v>
      </c>
      <c r="D2374" s="524" t="s">
        <v>1458</v>
      </c>
      <c r="E2374" s="524" t="s">
        <v>1864</v>
      </c>
      <c r="F2374" s="526" t="s">
        <v>1865</v>
      </c>
      <c r="G2374" s="252">
        <f t="shared" si="48"/>
        <v>0.24</v>
      </c>
    </row>
    <row r="2375" spans="1:7" ht="28.8" x14ac:dyDescent="0.3">
      <c r="A2375" s="524" t="s">
        <v>508</v>
      </c>
      <c r="B2375" s="524" t="s">
        <v>1866</v>
      </c>
      <c r="C2375" s="525" t="s">
        <v>1867</v>
      </c>
      <c r="D2375" s="524" t="s">
        <v>426</v>
      </c>
      <c r="E2375" s="524" t="s">
        <v>1868</v>
      </c>
      <c r="F2375" s="526" t="s">
        <v>1869</v>
      </c>
      <c r="G2375" s="252">
        <f t="shared" si="48"/>
        <v>0.68</v>
      </c>
    </row>
    <row r="2376" spans="1:7" x14ac:dyDescent="0.3">
      <c r="A2376" s="524" t="s">
        <v>522</v>
      </c>
      <c r="B2376" s="524" t="s">
        <v>1870</v>
      </c>
      <c r="C2376" s="525" t="s">
        <v>1871</v>
      </c>
      <c r="D2376" s="524" t="s">
        <v>32</v>
      </c>
      <c r="E2376" s="607">
        <v>0.3</v>
      </c>
      <c r="F2376" s="526" t="s">
        <v>1872</v>
      </c>
      <c r="G2376" s="252">
        <f t="shared" si="48"/>
        <v>3.84</v>
      </c>
    </row>
    <row r="2377" spans="1:7" x14ac:dyDescent="0.3">
      <c r="A2377" s="524" t="s">
        <v>522</v>
      </c>
      <c r="B2377" s="524" t="s">
        <v>1359</v>
      </c>
      <c r="C2377" s="525" t="s">
        <v>801</v>
      </c>
      <c r="D2377" s="524" t="s">
        <v>32</v>
      </c>
      <c r="E2377" s="607">
        <v>0.3</v>
      </c>
      <c r="F2377" s="526" t="s">
        <v>1361</v>
      </c>
      <c r="G2377" s="252">
        <f t="shared" si="48"/>
        <v>4.3099999999999996</v>
      </c>
    </row>
    <row r="2378" spans="1:7" x14ac:dyDescent="0.3">
      <c r="A2378" s="680" t="s">
        <v>1152</v>
      </c>
      <c r="B2378" s="681"/>
      <c r="C2378" s="681"/>
      <c r="D2378" s="681"/>
      <c r="E2378" s="681"/>
      <c r="F2378" s="682"/>
      <c r="G2378" s="527">
        <f>SUM(G2365:G2377)</f>
        <v>49.239999999999995</v>
      </c>
    </row>
    <row r="2379" spans="1:7" x14ac:dyDescent="0.3">
      <c r="A2379" s="683">
        <f>TRUNC(E2379*F2379,2)</f>
        <v>0</v>
      </c>
      <c r="B2379" s="684"/>
      <c r="C2379" s="684"/>
      <c r="D2379" s="684"/>
      <c r="E2379" s="684"/>
      <c r="F2379" s="684"/>
      <c r="G2379" s="685"/>
    </row>
    <row r="2380" spans="1:7" x14ac:dyDescent="0.3">
      <c r="A2380" s="529" t="s">
        <v>20</v>
      </c>
      <c r="B2380" s="529"/>
      <c r="C2380" s="530" t="s">
        <v>317</v>
      </c>
      <c r="D2380" s="529"/>
      <c r="E2380" s="252"/>
      <c r="F2380" s="531"/>
      <c r="G2380" s="252">
        <f t="shared" si="48"/>
        <v>0</v>
      </c>
    </row>
    <row r="2381" spans="1:7" x14ac:dyDescent="0.3">
      <c r="A2381" s="529" t="s">
        <v>22</v>
      </c>
      <c r="B2381" s="529">
        <v>97644</v>
      </c>
      <c r="C2381" s="530" t="s">
        <v>43</v>
      </c>
      <c r="D2381" s="529" t="s">
        <v>24</v>
      </c>
      <c r="E2381" s="252"/>
      <c r="F2381" s="531">
        <v>6.04</v>
      </c>
      <c r="G2381" s="252">
        <f t="shared" si="48"/>
        <v>0</v>
      </c>
    </row>
    <row r="2382" spans="1:7" x14ac:dyDescent="0.3">
      <c r="A2382" s="524" t="s">
        <v>522</v>
      </c>
      <c r="B2382" s="524" t="s">
        <v>1362</v>
      </c>
      <c r="C2382" s="525" t="s">
        <v>1363</v>
      </c>
      <c r="D2382" s="524" t="s">
        <v>32</v>
      </c>
      <c r="E2382" s="524" t="s">
        <v>1364</v>
      </c>
      <c r="F2382" s="528" t="s">
        <v>1365</v>
      </c>
      <c r="G2382" s="252">
        <f t="shared" si="48"/>
        <v>2.33</v>
      </c>
    </row>
    <row r="2383" spans="1:7" x14ac:dyDescent="0.3">
      <c r="A2383" s="524" t="s">
        <v>522</v>
      </c>
      <c r="B2383" s="524" t="s">
        <v>1359</v>
      </c>
      <c r="C2383" s="525" t="s">
        <v>801</v>
      </c>
      <c r="D2383" s="524" t="s">
        <v>32</v>
      </c>
      <c r="E2383" s="524" t="s">
        <v>1366</v>
      </c>
      <c r="F2383" s="528" t="s">
        <v>1361</v>
      </c>
      <c r="G2383" s="252">
        <f t="shared" si="48"/>
        <v>3.71</v>
      </c>
    </row>
    <row r="2384" spans="1:7" x14ac:dyDescent="0.3">
      <c r="A2384" s="680" t="s">
        <v>1152</v>
      </c>
      <c r="B2384" s="681"/>
      <c r="C2384" s="681"/>
      <c r="D2384" s="681"/>
      <c r="E2384" s="681"/>
      <c r="F2384" s="682"/>
      <c r="G2384" s="527">
        <f>SUM(G2380:G2383)</f>
        <v>6.04</v>
      </c>
    </row>
    <row r="2385" spans="1:7" x14ac:dyDescent="0.3">
      <c r="A2385" s="683">
        <f>TRUNC(E2385*F2385,2)</f>
        <v>0</v>
      </c>
      <c r="B2385" s="684"/>
      <c r="C2385" s="684"/>
      <c r="D2385" s="684"/>
      <c r="E2385" s="684"/>
      <c r="F2385" s="684"/>
      <c r="G2385" s="685"/>
    </row>
    <row r="2386" spans="1:7" x14ac:dyDescent="0.3">
      <c r="A2386" s="529" t="s">
        <v>25</v>
      </c>
      <c r="B2386" s="529">
        <v>97663</v>
      </c>
      <c r="C2386" s="530" t="s">
        <v>45</v>
      </c>
      <c r="D2386" s="529" t="s">
        <v>44</v>
      </c>
      <c r="E2386" s="252"/>
      <c r="F2386" s="531">
        <v>8.07</v>
      </c>
      <c r="G2386" s="252">
        <f t="shared" si="48"/>
        <v>0</v>
      </c>
    </row>
    <row r="2387" spans="1:7" x14ac:dyDescent="0.3">
      <c r="A2387" s="524" t="s">
        <v>522</v>
      </c>
      <c r="B2387" s="524" t="s">
        <v>1367</v>
      </c>
      <c r="C2387" s="525" t="s">
        <v>1368</v>
      </c>
      <c r="D2387" s="524" t="s">
        <v>32</v>
      </c>
      <c r="E2387" s="524" t="s">
        <v>1369</v>
      </c>
      <c r="F2387" s="528" t="s">
        <v>1370</v>
      </c>
      <c r="G2387" s="252">
        <f t="shared" si="48"/>
        <v>3.12</v>
      </c>
    </row>
    <row r="2388" spans="1:7" x14ac:dyDescent="0.3">
      <c r="A2388" s="524" t="s">
        <v>522</v>
      </c>
      <c r="B2388" s="524" t="s">
        <v>1359</v>
      </c>
      <c r="C2388" s="525" t="s">
        <v>801</v>
      </c>
      <c r="D2388" s="524" t="s">
        <v>32</v>
      </c>
      <c r="E2388" s="524" t="s">
        <v>1371</v>
      </c>
      <c r="F2388" s="528" t="s">
        <v>1361</v>
      </c>
      <c r="G2388" s="252">
        <f t="shared" si="48"/>
        <v>4.95</v>
      </c>
    </row>
    <row r="2389" spans="1:7" x14ac:dyDescent="0.3">
      <c r="A2389" s="680" t="s">
        <v>1152</v>
      </c>
      <c r="B2389" s="681"/>
      <c r="C2389" s="681"/>
      <c r="D2389" s="681"/>
      <c r="E2389" s="681"/>
      <c r="F2389" s="682"/>
      <c r="G2389" s="527">
        <f>SUM(G2386:G2388)</f>
        <v>8.07</v>
      </c>
    </row>
    <row r="2390" spans="1:7" x14ac:dyDescent="0.3">
      <c r="A2390" s="683">
        <f>TRUNC(E2390*F2390,2)</f>
        <v>0</v>
      </c>
      <c r="B2390" s="684"/>
      <c r="C2390" s="684"/>
      <c r="D2390" s="684"/>
      <c r="E2390" s="684"/>
      <c r="F2390" s="684"/>
      <c r="G2390" s="685"/>
    </row>
    <row r="2391" spans="1:7" ht="28.8" x14ac:dyDescent="0.3">
      <c r="A2391" s="529" t="s">
        <v>56</v>
      </c>
      <c r="B2391" s="529">
        <v>97666</v>
      </c>
      <c r="C2391" s="530" t="s">
        <v>46</v>
      </c>
      <c r="D2391" s="529" t="s">
        <v>44</v>
      </c>
      <c r="E2391" s="252"/>
      <c r="F2391" s="531">
        <v>5.88</v>
      </c>
      <c r="G2391" s="252">
        <f t="shared" si="48"/>
        <v>0</v>
      </c>
    </row>
    <row r="2392" spans="1:7" x14ac:dyDescent="0.3">
      <c r="A2392" s="524" t="s">
        <v>522</v>
      </c>
      <c r="B2392" s="524" t="s">
        <v>1367</v>
      </c>
      <c r="C2392" s="525" t="s">
        <v>1368</v>
      </c>
      <c r="D2392" s="524" t="s">
        <v>32</v>
      </c>
      <c r="E2392" s="524" t="s">
        <v>1372</v>
      </c>
      <c r="F2392" s="528" t="s">
        <v>1370</v>
      </c>
      <c r="G2392" s="252">
        <f t="shared" si="48"/>
        <v>2.27</v>
      </c>
    </row>
    <row r="2393" spans="1:7" x14ac:dyDescent="0.3">
      <c r="A2393" s="524" t="s">
        <v>522</v>
      </c>
      <c r="B2393" s="524" t="s">
        <v>1359</v>
      </c>
      <c r="C2393" s="525" t="s">
        <v>801</v>
      </c>
      <c r="D2393" s="524" t="s">
        <v>32</v>
      </c>
      <c r="E2393" s="524" t="s">
        <v>1373</v>
      </c>
      <c r="F2393" s="528" t="s">
        <v>1361</v>
      </c>
      <c r="G2393" s="252">
        <f t="shared" si="48"/>
        <v>3.61</v>
      </c>
    </row>
    <row r="2394" spans="1:7" x14ac:dyDescent="0.3">
      <c r="A2394" s="680" t="s">
        <v>1152</v>
      </c>
      <c r="B2394" s="681"/>
      <c r="C2394" s="681"/>
      <c r="D2394" s="681"/>
      <c r="E2394" s="681"/>
      <c r="F2394" s="682"/>
      <c r="G2394" s="527">
        <f>SUM(G2391:G2393)</f>
        <v>5.88</v>
      </c>
    </row>
    <row r="2395" spans="1:7" x14ac:dyDescent="0.3">
      <c r="A2395" s="683">
        <f>TRUNC(E2395*F2395,2)</f>
        <v>0</v>
      </c>
      <c r="B2395" s="684"/>
      <c r="C2395" s="684"/>
      <c r="D2395" s="684"/>
      <c r="E2395" s="684"/>
      <c r="F2395" s="684"/>
      <c r="G2395" s="685"/>
    </row>
    <row r="2396" spans="1:7" ht="28.8" x14ac:dyDescent="0.3">
      <c r="A2396" s="529" t="s">
        <v>216</v>
      </c>
      <c r="B2396" s="529">
        <v>97622</v>
      </c>
      <c r="C2396" s="530" t="s">
        <v>303</v>
      </c>
      <c r="D2396" s="529" t="s">
        <v>41</v>
      </c>
      <c r="E2396" s="252"/>
      <c r="F2396" s="531">
        <v>37.39</v>
      </c>
      <c r="G2396" s="252">
        <f t="shared" si="48"/>
        <v>0</v>
      </c>
    </row>
    <row r="2397" spans="1:7" x14ac:dyDescent="0.3">
      <c r="A2397" s="524" t="s">
        <v>522</v>
      </c>
      <c r="B2397" s="524" t="s">
        <v>1362</v>
      </c>
      <c r="C2397" s="525" t="s">
        <v>1363</v>
      </c>
      <c r="D2397" s="524" t="s">
        <v>32</v>
      </c>
      <c r="E2397" s="524" t="s">
        <v>1374</v>
      </c>
      <c r="F2397" s="528" t="s">
        <v>1365</v>
      </c>
      <c r="G2397" s="252">
        <f t="shared" si="48"/>
        <v>3.99</v>
      </c>
    </row>
    <row r="2398" spans="1:7" x14ac:dyDescent="0.3">
      <c r="A2398" s="524" t="s">
        <v>522</v>
      </c>
      <c r="B2398" s="524" t="s">
        <v>1359</v>
      </c>
      <c r="C2398" s="525" t="s">
        <v>801</v>
      </c>
      <c r="D2398" s="524" t="s">
        <v>32</v>
      </c>
      <c r="E2398" s="524" t="s">
        <v>1375</v>
      </c>
      <c r="F2398" s="528" t="s">
        <v>1361</v>
      </c>
      <c r="G2398" s="252">
        <f t="shared" si="48"/>
        <v>33.4</v>
      </c>
    </row>
    <row r="2399" spans="1:7" x14ac:dyDescent="0.3">
      <c r="A2399" s="680" t="s">
        <v>1152</v>
      </c>
      <c r="B2399" s="681"/>
      <c r="C2399" s="681"/>
      <c r="D2399" s="681"/>
      <c r="E2399" s="681"/>
      <c r="F2399" s="682"/>
      <c r="G2399" s="527">
        <f>SUM(G2396:G2398)</f>
        <v>37.39</v>
      </c>
    </row>
    <row r="2400" spans="1:7" x14ac:dyDescent="0.3">
      <c r="A2400" s="683">
        <f>TRUNC(E2400*F2400,2)</f>
        <v>0</v>
      </c>
      <c r="B2400" s="684"/>
      <c r="C2400" s="684"/>
      <c r="D2400" s="684"/>
      <c r="E2400" s="684"/>
      <c r="F2400" s="684"/>
      <c r="G2400" s="685"/>
    </row>
    <row r="2401" spans="1:7" ht="28.8" x14ac:dyDescent="0.3">
      <c r="A2401" s="529" t="s">
        <v>217</v>
      </c>
      <c r="B2401" s="529">
        <v>97633</v>
      </c>
      <c r="C2401" s="530" t="s">
        <v>42</v>
      </c>
      <c r="D2401" s="529" t="s">
        <v>24</v>
      </c>
      <c r="E2401" s="252"/>
      <c r="F2401" s="531">
        <v>14.85</v>
      </c>
      <c r="G2401" s="252">
        <f t="shared" si="48"/>
        <v>0</v>
      </c>
    </row>
    <row r="2402" spans="1:7" x14ac:dyDescent="0.3">
      <c r="A2402" s="524" t="s">
        <v>522</v>
      </c>
      <c r="B2402" s="524" t="s">
        <v>1355</v>
      </c>
      <c r="C2402" s="525" t="s">
        <v>1356</v>
      </c>
      <c r="D2402" s="524" t="s">
        <v>32</v>
      </c>
      <c r="E2402" s="524" t="s">
        <v>1357</v>
      </c>
      <c r="F2402" s="528" t="s">
        <v>1358</v>
      </c>
      <c r="G2402" s="252">
        <f t="shared" si="48"/>
        <v>4.5199999999999996</v>
      </c>
    </row>
    <row r="2403" spans="1:7" x14ac:dyDescent="0.3">
      <c r="A2403" s="524" t="s">
        <v>522</v>
      </c>
      <c r="B2403" s="524" t="s">
        <v>1359</v>
      </c>
      <c r="C2403" s="525" t="s">
        <v>801</v>
      </c>
      <c r="D2403" s="524" t="s">
        <v>32</v>
      </c>
      <c r="E2403" s="524" t="s">
        <v>1360</v>
      </c>
      <c r="F2403" s="528" t="s">
        <v>1361</v>
      </c>
      <c r="G2403" s="252">
        <f t="shared" si="48"/>
        <v>10.33</v>
      </c>
    </row>
    <row r="2404" spans="1:7" x14ac:dyDescent="0.3">
      <c r="A2404" s="680" t="s">
        <v>1152</v>
      </c>
      <c r="B2404" s="681"/>
      <c r="C2404" s="681"/>
      <c r="D2404" s="681"/>
      <c r="E2404" s="681"/>
      <c r="F2404" s="682"/>
      <c r="G2404" s="527">
        <f>SUM(G2396:G2403)</f>
        <v>89.63</v>
      </c>
    </row>
    <row r="2405" spans="1:7" x14ac:dyDescent="0.3">
      <c r="A2405" s="683">
        <f>TRUNC(E2405*F2405,2)</f>
        <v>0</v>
      </c>
      <c r="B2405" s="684"/>
      <c r="C2405" s="684"/>
      <c r="D2405" s="684"/>
      <c r="E2405" s="684"/>
      <c r="F2405" s="684"/>
      <c r="G2405" s="685"/>
    </row>
    <row r="2406" spans="1:7" x14ac:dyDescent="0.3">
      <c r="A2406" s="529" t="s">
        <v>218</v>
      </c>
      <c r="B2406" s="529" t="s">
        <v>48</v>
      </c>
      <c r="C2406" s="530" t="s">
        <v>49</v>
      </c>
      <c r="D2406" s="529" t="s">
        <v>24</v>
      </c>
      <c r="E2406" s="252"/>
      <c r="F2406" s="531">
        <v>16.2</v>
      </c>
      <c r="G2406" s="252">
        <f t="shared" si="48"/>
        <v>0</v>
      </c>
    </row>
    <row r="2407" spans="1:7" x14ac:dyDescent="0.3">
      <c r="A2407" s="524" t="s">
        <v>522</v>
      </c>
      <c r="B2407" s="524" t="s">
        <v>1362</v>
      </c>
      <c r="C2407" s="525" t="s">
        <v>1363</v>
      </c>
      <c r="D2407" s="524" t="s">
        <v>32</v>
      </c>
      <c r="E2407" s="605">
        <v>0.5</v>
      </c>
      <c r="F2407" s="528" t="s">
        <v>1365</v>
      </c>
      <c r="G2407" s="252">
        <f t="shared" si="48"/>
        <v>8.8800000000000008</v>
      </c>
    </row>
    <row r="2408" spans="1:7" x14ac:dyDescent="0.3">
      <c r="A2408" s="524" t="s">
        <v>522</v>
      </c>
      <c r="B2408" s="524" t="s">
        <v>1359</v>
      </c>
      <c r="C2408" s="525" t="s">
        <v>801</v>
      </c>
      <c r="D2408" s="524" t="s">
        <v>32</v>
      </c>
      <c r="E2408" s="605">
        <v>0.51</v>
      </c>
      <c r="F2408" s="528" t="s">
        <v>1361</v>
      </c>
      <c r="G2408" s="252">
        <f t="shared" si="48"/>
        <v>7.32</v>
      </c>
    </row>
    <row r="2409" spans="1:7" x14ac:dyDescent="0.3">
      <c r="A2409" s="680" t="s">
        <v>1152</v>
      </c>
      <c r="B2409" s="681"/>
      <c r="C2409" s="681"/>
      <c r="D2409" s="681"/>
      <c r="E2409" s="681"/>
      <c r="F2409" s="682"/>
      <c r="G2409" s="527">
        <f>SUM(G2406:G2408)</f>
        <v>16.200000000000003</v>
      </c>
    </row>
    <row r="2410" spans="1:7" x14ac:dyDescent="0.3">
      <c r="A2410" s="683">
        <f>TRUNC(E2410*F2410,2)</f>
        <v>0</v>
      </c>
      <c r="B2410" s="684"/>
      <c r="C2410" s="684"/>
      <c r="D2410" s="684"/>
      <c r="E2410" s="684"/>
      <c r="F2410" s="684"/>
      <c r="G2410" s="685"/>
    </row>
    <row r="2411" spans="1:7" x14ac:dyDescent="0.3">
      <c r="A2411" s="529" t="s">
        <v>219</v>
      </c>
      <c r="B2411" s="529" t="s">
        <v>39</v>
      </c>
      <c r="C2411" s="530" t="s">
        <v>318</v>
      </c>
      <c r="D2411" s="529" t="s">
        <v>41</v>
      </c>
      <c r="E2411" s="252"/>
      <c r="F2411" s="531">
        <v>209.74</v>
      </c>
      <c r="G2411" s="252">
        <f t="shared" si="48"/>
        <v>0</v>
      </c>
    </row>
    <row r="2412" spans="1:7" x14ac:dyDescent="0.3">
      <c r="A2412" s="524" t="s">
        <v>522</v>
      </c>
      <c r="B2412" s="524" t="s">
        <v>1362</v>
      </c>
      <c r="C2412" s="525" t="s">
        <v>1363</v>
      </c>
      <c r="D2412" s="524" t="s">
        <v>32</v>
      </c>
      <c r="E2412" s="603">
        <v>1.3</v>
      </c>
      <c r="F2412" s="528">
        <v>17.64</v>
      </c>
      <c r="G2412" s="252">
        <f t="shared" si="48"/>
        <v>22.93</v>
      </c>
    </row>
    <row r="2413" spans="1:7" x14ac:dyDescent="0.3">
      <c r="A2413" s="524" t="s">
        <v>522</v>
      </c>
      <c r="B2413" s="524" t="s">
        <v>1359</v>
      </c>
      <c r="C2413" s="525" t="s">
        <v>801</v>
      </c>
      <c r="D2413" s="524" t="s">
        <v>32</v>
      </c>
      <c r="E2413" s="603">
        <v>13</v>
      </c>
      <c r="F2413" s="528">
        <v>14.37</v>
      </c>
      <c r="G2413" s="252">
        <f t="shared" si="48"/>
        <v>186.81</v>
      </c>
    </row>
    <row r="2414" spans="1:7" x14ac:dyDescent="0.3">
      <c r="A2414" s="680" t="s">
        <v>1152</v>
      </c>
      <c r="B2414" s="681"/>
      <c r="C2414" s="681"/>
      <c r="D2414" s="681"/>
      <c r="E2414" s="681"/>
      <c r="F2414" s="682"/>
      <c r="G2414" s="527">
        <f>SUM(G2410:G2413)</f>
        <v>209.74</v>
      </c>
    </row>
    <row r="2415" spans="1:7" x14ac:dyDescent="0.3">
      <c r="A2415" s="683">
        <f>TRUNC(E2415*F2415,2)</f>
        <v>0</v>
      </c>
      <c r="B2415" s="684"/>
      <c r="C2415" s="684"/>
      <c r="D2415" s="684"/>
      <c r="E2415" s="684"/>
      <c r="F2415" s="684"/>
      <c r="G2415" s="685"/>
    </row>
    <row r="2416" spans="1:7" x14ac:dyDescent="0.3">
      <c r="A2416" s="529" t="s">
        <v>60</v>
      </c>
      <c r="B2416" s="529"/>
      <c r="C2416" s="530" t="s">
        <v>221</v>
      </c>
      <c r="D2416" s="529"/>
      <c r="E2416" s="252"/>
      <c r="F2416" s="531"/>
      <c r="G2416" s="252">
        <f t="shared" si="48"/>
        <v>0</v>
      </c>
    </row>
    <row r="2417" spans="1:7" ht="43.2" x14ac:dyDescent="0.3">
      <c r="A2417" s="529" t="s">
        <v>64</v>
      </c>
      <c r="B2417" s="529">
        <v>87471</v>
      </c>
      <c r="C2417" s="530" t="s">
        <v>306</v>
      </c>
      <c r="D2417" s="529" t="s">
        <v>24</v>
      </c>
      <c r="E2417" s="252"/>
      <c r="F2417" s="531">
        <v>40.9</v>
      </c>
      <c r="G2417" s="252">
        <f t="shared" si="48"/>
        <v>0</v>
      </c>
    </row>
    <row r="2418" spans="1:7" ht="28.8" x14ac:dyDescent="0.3">
      <c r="A2418" s="524" t="s">
        <v>508</v>
      </c>
      <c r="B2418" s="524" t="s">
        <v>1453</v>
      </c>
      <c r="C2418" s="525" t="s">
        <v>1454</v>
      </c>
      <c r="D2418" s="524" t="s">
        <v>55</v>
      </c>
      <c r="E2418" s="524" t="s">
        <v>2023</v>
      </c>
      <c r="F2418" s="526" t="s">
        <v>1455</v>
      </c>
      <c r="G2418" s="252">
        <f t="shared" si="48"/>
        <v>1.6</v>
      </c>
    </row>
    <row r="2419" spans="1:7" x14ac:dyDescent="0.3">
      <c r="A2419" s="524" t="s">
        <v>508</v>
      </c>
      <c r="B2419" s="524" t="s">
        <v>1456</v>
      </c>
      <c r="C2419" s="525" t="s">
        <v>1457</v>
      </c>
      <c r="D2419" s="524" t="s">
        <v>1458</v>
      </c>
      <c r="E2419" s="524" t="s">
        <v>2024</v>
      </c>
      <c r="F2419" s="526" t="s">
        <v>1459</v>
      </c>
      <c r="G2419" s="252">
        <f t="shared" si="48"/>
        <v>0.32</v>
      </c>
    </row>
    <row r="2420" spans="1:7" ht="28.8" x14ac:dyDescent="0.3">
      <c r="A2420" s="524" t="s">
        <v>508</v>
      </c>
      <c r="B2420" s="524" t="s">
        <v>1460</v>
      </c>
      <c r="C2420" s="525" t="s">
        <v>1461</v>
      </c>
      <c r="D2420" s="524" t="s">
        <v>397</v>
      </c>
      <c r="E2420" s="524" t="s">
        <v>1462</v>
      </c>
      <c r="F2420" s="526" t="s">
        <v>1463</v>
      </c>
      <c r="G2420" s="252">
        <f t="shared" si="48"/>
        <v>24.29</v>
      </c>
    </row>
    <row r="2421" spans="1:7" ht="43.2" x14ac:dyDescent="0.3">
      <c r="A2421" s="524" t="s">
        <v>522</v>
      </c>
      <c r="B2421" s="524" t="s">
        <v>1464</v>
      </c>
      <c r="C2421" s="525" t="s">
        <v>1465</v>
      </c>
      <c r="D2421" s="524" t="s">
        <v>41</v>
      </c>
      <c r="E2421" s="524" t="s">
        <v>1466</v>
      </c>
      <c r="F2421" s="526" t="s">
        <v>1467</v>
      </c>
      <c r="G2421" s="252">
        <f t="shared" si="48"/>
        <v>3.62</v>
      </c>
    </row>
    <row r="2422" spans="1:7" x14ac:dyDescent="0.3">
      <c r="A2422" s="524" t="s">
        <v>522</v>
      </c>
      <c r="B2422" s="524" t="s">
        <v>1362</v>
      </c>
      <c r="C2422" s="525" t="s">
        <v>1363</v>
      </c>
      <c r="D2422" s="524" t="s">
        <v>32</v>
      </c>
      <c r="E2422" s="606">
        <v>0.46200000000000002</v>
      </c>
      <c r="F2422" s="526" t="s">
        <v>1365</v>
      </c>
      <c r="G2422" s="252">
        <f t="shared" si="48"/>
        <v>8.1999999999999993</v>
      </c>
    </row>
    <row r="2423" spans="1:7" x14ac:dyDescent="0.3">
      <c r="A2423" s="524" t="s">
        <v>522</v>
      </c>
      <c r="B2423" s="524" t="s">
        <v>1359</v>
      </c>
      <c r="C2423" s="525" t="s">
        <v>801</v>
      </c>
      <c r="D2423" s="524" t="s">
        <v>32</v>
      </c>
      <c r="E2423" s="606">
        <v>0.2</v>
      </c>
      <c r="F2423" s="526" t="s">
        <v>1361</v>
      </c>
      <c r="G2423" s="252">
        <f t="shared" si="48"/>
        <v>2.87</v>
      </c>
    </row>
    <row r="2424" spans="1:7" x14ac:dyDescent="0.3">
      <c r="A2424" s="680" t="s">
        <v>1152</v>
      </c>
      <c r="B2424" s="681"/>
      <c r="C2424" s="681"/>
      <c r="D2424" s="681"/>
      <c r="E2424" s="681"/>
      <c r="F2424" s="682"/>
      <c r="G2424" s="527">
        <f>SUM(G2416:G2423)</f>
        <v>40.9</v>
      </c>
    </row>
    <row r="2425" spans="1:7" x14ac:dyDescent="0.3">
      <c r="A2425" s="683">
        <f>TRUNC(E2425*F2425,2)</f>
        <v>0</v>
      </c>
      <c r="B2425" s="684"/>
      <c r="C2425" s="684"/>
      <c r="D2425" s="684"/>
      <c r="E2425" s="684"/>
      <c r="F2425" s="684"/>
      <c r="G2425" s="685"/>
    </row>
    <row r="2426" spans="1:7" ht="28.8" x14ac:dyDescent="0.3">
      <c r="A2426" s="529" t="s">
        <v>69</v>
      </c>
      <c r="B2426" s="529">
        <v>79627</v>
      </c>
      <c r="C2426" s="530" t="s">
        <v>222</v>
      </c>
      <c r="D2426" s="529" t="s">
        <v>24</v>
      </c>
      <c r="E2426" s="252"/>
      <c r="F2426" s="531">
        <v>658</v>
      </c>
      <c r="G2426" s="252">
        <f t="shared" si="48"/>
        <v>0</v>
      </c>
    </row>
    <row r="2427" spans="1:7" x14ac:dyDescent="0.3">
      <c r="A2427" s="524" t="s">
        <v>508</v>
      </c>
      <c r="B2427" s="524" t="s">
        <v>1873</v>
      </c>
      <c r="C2427" s="525" t="s">
        <v>1874</v>
      </c>
      <c r="D2427" s="524" t="s">
        <v>426</v>
      </c>
      <c r="E2427" s="524" t="s">
        <v>1439</v>
      </c>
      <c r="F2427" s="526" t="s">
        <v>1875</v>
      </c>
      <c r="G2427" s="252">
        <f t="shared" si="48"/>
        <v>2.0499999999999998</v>
      </c>
    </row>
    <row r="2428" spans="1:7" ht="28.8" x14ac:dyDescent="0.3">
      <c r="A2428" s="524" t="s">
        <v>508</v>
      </c>
      <c r="B2428" s="524" t="s">
        <v>1876</v>
      </c>
      <c r="C2428" s="525" t="s">
        <v>1877</v>
      </c>
      <c r="D2428" s="524" t="s">
        <v>24</v>
      </c>
      <c r="E2428" s="524" t="s">
        <v>1122</v>
      </c>
      <c r="F2428" s="526" t="s">
        <v>1878</v>
      </c>
      <c r="G2428" s="252">
        <f t="shared" si="48"/>
        <v>535.34</v>
      </c>
    </row>
    <row r="2429" spans="1:7" x14ac:dyDescent="0.3">
      <c r="A2429" s="524" t="s">
        <v>522</v>
      </c>
      <c r="B2429" s="524" t="s">
        <v>1746</v>
      </c>
      <c r="C2429" s="525" t="s">
        <v>1747</v>
      </c>
      <c r="D2429" s="524" t="s">
        <v>32</v>
      </c>
      <c r="E2429" s="524" t="s">
        <v>1879</v>
      </c>
      <c r="F2429" s="526" t="s">
        <v>1749</v>
      </c>
      <c r="G2429" s="252">
        <f t="shared" si="48"/>
        <v>86.3</v>
      </c>
    </row>
    <row r="2430" spans="1:7" x14ac:dyDescent="0.3">
      <c r="A2430" s="524" t="s">
        <v>522</v>
      </c>
      <c r="B2430" s="524" t="s">
        <v>1359</v>
      </c>
      <c r="C2430" s="525" t="s">
        <v>801</v>
      </c>
      <c r="D2430" s="524" t="s">
        <v>32</v>
      </c>
      <c r="E2430" s="524" t="s">
        <v>1880</v>
      </c>
      <c r="F2430" s="526" t="s">
        <v>1361</v>
      </c>
      <c r="G2430" s="252">
        <f t="shared" si="48"/>
        <v>33.049999999999997</v>
      </c>
    </row>
    <row r="2431" spans="1:7" ht="28.8" x14ac:dyDescent="0.3">
      <c r="A2431" s="524" t="s">
        <v>522</v>
      </c>
      <c r="B2431" s="524" t="s">
        <v>1881</v>
      </c>
      <c r="C2431" s="525" t="s">
        <v>1882</v>
      </c>
      <c r="D2431" s="524" t="s">
        <v>41</v>
      </c>
      <c r="E2431" s="524" t="s">
        <v>1883</v>
      </c>
      <c r="F2431" s="526" t="s">
        <v>1884</v>
      </c>
      <c r="G2431" s="252">
        <f t="shared" si="48"/>
        <v>1.26</v>
      </c>
    </row>
    <row r="2432" spans="1:7" x14ac:dyDescent="0.3">
      <c r="A2432" s="680" t="s">
        <v>1152</v>
      </c>
      <c r="B2432" s="681"/>
      <c r="C2432" s="681"/>
      <c r="D2432" s="681"/>
      <c r="E2432" s="681"/>
      <c r="F2432" s="682"/>
      <c r="G2432" s="527">
        <f>SUM(G2426:G2431)</f>
        <v>657.99999999999989</v>
      </c>
    </row>
    <row r="2433" spans="1:7" x14ac:dyDescent="0.3">
      <c r="A2433" s="683">
        <f>TRUNC(E2433*F2433,2)</f>
        <v>0</v>
      </c>
      <c r="B2433" s="684"/>
      <c r="C2433" s="684"/>
      <c r="D2433" s="684"/>
      <c r="E2433" s="684"/>
      <c r="F2433" s="684"/>
      <c r="G2433" s="685"/>
    </row>
    <row r="2434" spans="1:7" x14ac:dyDescent="0.3">
      <c r="A2434" s="529" t="s">
        <v>74</v>
      </c>
      <c r="B2434" s="529"/>
      <c r="C2434" s="530" t="s">
        <v>319</v>
      </c>
      <c r="D2434" s="529"/>
      <c r="E2434" s="252"/>
      <c r="F2434" s="531"/>
      <c r="G2434" s="252">
        <f t="shared" si="48"/>
        <v>0</v>
      </c>
    </row>
    <row r="2435" spans="1:7" ht="57.6" x14ac:dyDescent="0.3">
      <c r="A2435" s="529" t="s">
        <v>77</v>
      </c>
      <c r="B2435" s="529">
        <v>90843</v>
      </c>
      <c r="C2435" s="530" t="s">
        <v>320</v>
      </c>
      <c r="D2435" s="529" t="s">
        <v>44</v>
      </c>
      <c r="E2435" s="252"/>
      <c r="F2435" s="531">
        <v>640</v>
      </c>
      <c r="G2435" s="252">
        <f t="shared" si="48"/>
        <v>0</v>
      </c>
    </row>
    <row r="2436" spans="1:7" ht="28.8" x14ac:dyDescent="0.3">
      <c r="A2436" s="524" t="s">
        <v>522</v>
      </c>
      <c r="B2436" s="524" t="s">
        <v>1380</v>
      </c>
      <c r="C2436" s="525" t="s">
        <v>1381</v>
      </c>
      <c r="D2436" s="524" t="s">
        <v>397</v>
      </c>
      <c r="E2436" s="524" t="s">
        <v>1122</v>
      </c>
      <c r="F2436" s="526">
        <v>200</v>
      </c>
      <c r="G2436" s="252">
        <f t="shared" si="48"/>
        <v>200</v>
      </c>
    </row>
    <row r="2437" spans="1:7" ht="43.2" x14ac:dyDescent="0.3">
      <c r="A2437" s="524" t="s">
        <v>522</v>
      </c>
      <c r="B2437" s="524" t="s">
        <v>956</v>
      </c>
      <c r="C2437" s="525" t="s">
        <v>957</v>
      </c>
      <c r="D2437" s="524" t="s">
        <v>397</v>
      </c>
      <c r="E2437" s="524" t="s">
        <v>1122</v>
      </c>
      <c r="F2437" s="526">
        <v>300</v>
      </c>
      <c r="G2437" s="252">
        <f t="shared" si="48"/>
        <v>300</v>
      </c>
    </row>
    <row r="2438" spans="1:7" ht="43.2" x14ac:dyDescent="0.3">
      <c r="A2438" s="524" t="s">
        <v>522</v>
      </c>
      <c r="B2438" s="524" t="s">
        <v>1383</v>
      </c>
      <c r="C2438" s="525" t="s">
        <v>1384</v>
      </c>
      <c r="D2438" s="524" t="s">
        <v>397</v>
      </c>
      <c r="E2438" s="524" t="s">
        <v>1122</v>
      </c>
      <c r="F2438" s="526">
        <v>90</v>
      </c>
      <c r="G2438" s="252">
        <f t="shared" si="48"/>
        <v>90</v>
      </c>
    </row>
    <row r="2439" spans="1:7" ht="28.8" x14ac:dyDescent="0.3">
      <c r="A2439" s="524" t="s">
        <v>522</v>
      </c>
      <c r="B2439" s="524" t="s">
        <v>1386</v>
      </c>
      <c r="C2439" s="525" t="s">
        <v>1387</v>
      </c>
      <c r="D2439" s="524" t="s">
        <v>55</v>
      </c>
      <c r="E2439" s="524" t="s">
        <v>1388</v>
      </c>
      <c r="F2439" s="526">
        <v>5</v>
      </c>
      <c r="G2439" s="252">
        <f t="shared" si="48"/>
        <v>50</v>
      </c>
    </row>
    <row r="2440" spans="1:7" x14ac:dyDescent="0.3">
      <c r="A2440" s="680" t="s">
        <v>1152</v>
      </c>
      <c r="B2440" s="681"/>
      <c r="C2440" s="681"/>
      <c r="D2440" s="681"/>
      <c r="E2440" s="681"/>
      <c r="F2440" s="682"/>
      <c r="G2440" s="527">
        <f>SUM(G2433:G2439)</f>
        <v>640</v>
      </c>
    </row>
    <row r="2441" spans="1:7" x14ac:dyDescent="0.3">
      <c r="A2441" s="683">
        <f>TRUNC(E2441*F2441,2)</f>
        <v>0</v>
      </c>
      <c r="B2441" s="684"/>
      <c r="C2441" s="684"/>
      <c r="D2441" s="684"/>
      <c r="E2441" s="684"/>
      <c r="F2441" s="684"/>
      <c r="G2441" s="685"/>
    </row>
    <row r="2442" spans="1:7" ht="28.8" x14ac:dyDescent="0.3">
      <c r="A2442" s="529" t="s">
        <v>83</v>
      </c>
      <c r="B2442" s="529">
        <v>91338</v>
      </c>
      <c r="C2442" s="530" t="s">
        <v>57</v>
      </c>
      <c r="D2442" s="529" t="s">
        <v>24</v>
      </c>
      <c r="E2442" s="252"/>
      <c r="F2442" s="531">
        <v>871.17</v>
      </c>
      <c r="G2442" s="252">
        <f t="shared" si="48"/>
        <v>0</v>
      </c>
    </row>
    <row r="2443" spans="1:7" ht="28.8" x14ac:dyDescent="0.3">
      <c r="A2443" s="524" t="s">
        <v>508</v>
      </c>
      <c r="B2443" s="524" t="s">
        <v>1417</v>
      </c>
      <c r="C2443" s="525" t="s">
        <v>1418</v>
      </c>
      <c r="D2443" s="524" t="s">
        <v>1419</v>
      </c>
      <c r="E2443" s="606">
        <v>0.8</v>
      </c>
      <c r="F2443" s="526">
        <v>20</v>
      </c>
      <c r="G2443" s="252">
        <f t="shared" si="48"/>
        <v>16</v>
      </c>
    </row>
    <row r="2444" spans="1:7" ht="28.8" x14ac:dyDescent="0.3">
      <c r="A2444" s="524" t="s">
        <v>508</v>
      </c>
      <c r="B2444" s="524" t="s">
        <v>1422</v>
      </c>
      <c r="C2444" s="525" t="s">
        <v>1423</v>
      </c>
      <c r="D2444" s="524" t="s">
        <v>24</v>
      </c>
      <c r="E2444" s="606">
        <v>1</v>
      </c>
      <c r="F2444" s="526">
        <v>800</v>
      </c>
      <c r="G2444" s="252">
        <f t="shared" si="48"/>
        <v>800</v>
      </c>
    </row>
    <row r="2445" spans="1:7" ht="28.8" x14ac:dyDescent="0.3">
      <c r="A2445" s="524" t="s">
        <v>508</v>
      </c>
      <c r="B2445" s="524" t="s">
        <v>1425</v>
      </c>
      <c r="C2445" s="525" t="s">
        <v>1426</v>
      </c>
      <c r="D2445" s="524" t="s">
        <v>397</v>
      </c>
      <c r="E2445" s="606">
        <v>4</v>
      </c>
      <c r="F2445" s="526" t="s">
        <v>1428</v>
      </c>
      <c r="G2445" s="252">
        <f t="shared" si="48"/>
        <v>2.2000000000000002</v>
      </c>
    </row>
    <row r="2446" spans="1:7" ht="28.8" x14ac:dyDescent="0.3">
      <c r="A2446" s="524" t="s">
        <v>508</v>
      </c>
      <c r="B2446" s="524" t="s">
        <v>1429</v>
      </c>
      <c r="C2446" s="525" t="s">
        <v>1430</v>
      </c>
      <c r="D2446" s="524" t="s">
        <v>55</v>
      </c>
      <c r="E2446" s="606">
        <v>6.5</v>
      </c>
      <c r="F2446" s="526">
        <v>7</v>
      </c>
      <c r="G2446" s="252">
        <f t="shared" si="48"/>
        <v>45.5</v>
      </c>
    </row>
    <row r="2447" spans="1:7" x14ac:dyDescent="0.3">
      <c r="A2447" s="524" t="s">
        <v>522</v>
      </c>
      <c r="B2447" s="524" t="s">
        <v>1362</v>
      </c>
      <c r="C2447" s="525" t="s">
        <v>1363</v>
      </c>
      <c r="D2447" s="524" t="s">
        <v>32</v>
      </c>
      <c r="E2447" s="606">
        <v>0.3</v>
      </c>
      <c r="F2447" s="526" t="s">
        <v>1365</v>
      </c>
      <c r="G2447" s="252">
        <f t="shared" si="48"/>
        <v>5.32</v>
      </c>
    </row>
    <row r="2448" spans="1:7" x14ac:dyDescent="0.3">
      <c r="A2448" s="524" t="s">
        <v>522</v>
      </c>
      <c r="B2448" s="524" t="s">
        <v>1359</v>
      </c>
      <c r="C2448" s="525" t="s">
        <v>801</v>
      </c>
      <c r="D2448" s="524" t="s">
        <v>32</v>
      </c>
      <c r="E2448" s="606">
        <v>0.15</v>
      </c>
      <c r="F2448" s="526" t="s">
        <v>1361</v>
      </c>
      <c r="G2448" s="252">
        <f t="shared" si="48"/>
        <v>2.15</v>
      </c>
    </row>
    <row r="2449" spans="1:7" x14ac:dyDescent="0.3">
      <c r="A2449" s="680" t="s">
        <v>1152</v>
      </c>
      <c r="B2449" s="681"/>
      <c r="C2449" s="681"/>
      <c r="D2449" s="681"/>
      <c r="E2449" s="681"/>
      <c r="F2449" s="682"/>
      <c r="G2449" s="527">
        <f>SUM(G2442:G2448)</f>
        <v>871.17000000000007</v>
      </c>
    </row>
    <row r="2450" spans="1:7" x14ac:dyDescent="0.3">
      <c r="A2450" s="683">
        <f>TRUNC(E2450*F2450,2)</f>
        <v>0</v>
      </c>
      <c r="B2450" s="684"/>
      <c r="C2450" s="684"/>
      <c r="D2450" s="684"/>
      <c r="E2450" s="684"/>
      <c r="F2450" s="684"/>
      <c r="G2450" s="685"/>
    </row>
    <row r="2451" spans="1:7" x14ac:dyDescent="0.3">
      <c r="A2451" s="529" t="s">
        <v>322</v>
      </c>
      <c r="B2451" s="529">
        <v>84886</v>
      </c>
      <c r="C2451" s="530" t="s">
        <v>91</v>
      </c>
      <c r="D2451" s="529" t="s">
        <v>92</v>
      </c>
      <c r="E2451" s="252"/>
      <c r="F2451" s="531">
        <v>1114.46</v>
      </c>
      <c r="G2451" s="252">
        <f t="shared" si="48"/>
        <v>0</v>
      </c>
    </row>
    <row r="2452" spans="1:7" x14ac:dyDescent="0.3">
      <c r="A2452" s="524" t="s">
        <v>508</v>
      </c>
      <c r="B2452" s="524" t="s">
        <v>1568</v>
      </c>
      <c r="C2452" s="525" t="s">
        <v>1569</v>
      </c>
      <c r="D2452" s="524" t="s">
        <v>397</v>
      </c>
      <c r="E2452" s="524" t="s">
        <v>1122</v>
      </c>
      <c r="F2452" s="526">
        <v>1097.3</v>
      </c>
      <c r="G2452" s="252">
        <f t="shared" si="48"/>
        <v>1097.3</v>
      </c>
    </row>
    <row r="2453" spans="1:7" x14ac:dyDescent="0.3">
      <c r="A2453" s="524" t="s">
        <v>522</v>
      </c>
      <c r="B2453" s="524" t="s">
        <v>1359</v>
      </c>
      <c r="C2453" s="525" t="s">
        <v>801</v>
      </c>
      <c r="D2453" s="524" t="s">
        <v>32</v>
      </c>
      <c r="E2453" s="524" t="s">
        <v>1518</v>
      </c>
      <c r="F2453" s="526" t="s">
        <v>1361</v>
      </c>
      <c r="G2453" s="252">
        <f t="shared" si="48"/>
        <v>4.3099999999999996</v>
      </c>
    </row>
    <row r="2454" spans="1:7" x14ac:dyDescent="0.3">
      <c r="A2454" s="524" t="s">
        <v>522</v>
      </c>
      <c r="B2454" s="524" t="s">
        <v>1556</v>
      </c>
      <c r="C2454" s="525" t="s">
        <v>1557</v>
      </c>
      <c r="D2454" s="524" t="s">
        <v>32</v>
      </c>
      <c r="E2454" s="524" t="s">
        <v>1570</v>
      </c>
      <c r="F2454" s="526" t="s">
        <v>1558</v>
      </c>
      <c r="G2454" s="252">
        <f t="shared" si="48"/>
        <v>12.85</v>
      </c>
    </row>
    <row r="2455" spans="1:7" x14ac:dyDescent="0.3">
      <c r="A2455" s="680" t="s">
        <v>1152</v>
      </c>
      <c r="B2455" s="681"/>
      <c r="C2455" s="681"/>
      <c r="D2455" s="681"/>
      <c r="E2455" s="681"/>
      <c r="F2455" s="682"/>
      <c r="G2455" s="527">
        <f>SUM(G2451:G2454)</f>
        <v>1114.4599999999998</v>
      </c>
    </row>
    <row r="2456" spans="1:7" x14ac:dyDescent="0.3">
      <c r="A2456" s="683">
        <f>TRUNC(E2456*F2456,2)</f>
        <v>0</v>
      </c>
      <c r="B2456" s="684"/>
      <c r="C2456" s="684"/>
      <c r="D2456" s="684"/>
      <c r="E2456" s="684"/>
      <c r="F2456" s="684"/>
      <c r="G2456" s="685"/>
    </row>
    <row r="2457" spans="1:7" x14ac:dyDescent="0.3">
      <c r="A2457" s="529" t="s">
        <v>323</v>
      </c>
      <c r="B2457" s="529">
        <v>100701</v>
      </c>
      <c r="C2457" s="530" t="s">
        <v>324</v>
      </c>
      <c r="D2457" s="529" t="s">
        <v>24</v>
      </c>
      <c r="E2457" s="252"/>
      <c r="F2457" s="531">
        <v>479.56</v>
      </c>
      <c r="G2457" s="252">
        <f t="shared" si="48"/>
        <v>0</v>
      </c>
    </row>
    <row r="2458" spans="1:7" ht="28.8" x14ac:dyDescent="0.3">
      <c r="A2458" s="524" t="s">
        <v>508</v>
      </c>
      <c r="B2458" s="524" t="s">
        <v>2041</v>
      </c>
      <c r="C2458" s="525" t="s">
        <v>2042</v>
      </c>
      <c r="D2458" s="524" t="s">
        <v>24</v>
      </c>
      <c r="E2458" s="524" t="s">
        <v>1122</v>
      </c>
      <c r="F2458" s="526" t="s">
        <v>2043</v>
      </c>
      <c r="G2458" s="252">
        <f t="shared" si="48"/>
        <v>463.18</v>
      </c>
    </row>
    <row r="2459" spans="1:7" x14ac:dyDescent="0.3">
      <c r="A2459" s="524" t="s">
        <v>522</v>
      </c>
      <c r="B2459" s="524" t="s">
        <v>1362</v>
      </c>
      <c r="C2459" s="525" t="s">
        <v>1363</v>
      </c>
      <c r="D2459" s="524" t="s">
        <v>32</v>
      </c>
      <c r="E2459" s="524" t="s">
        <v>2044</v>
      </c>
      <c r="F2459" s="526" t="s">
        <v>1365</v>
      </c>
      <c r="G2459" s="252">
        <f t="shared" si="48"/>
        <v>8.11</v>
      </c>
    </row>
    <row r="2460" spans="1:7" x14ac:dyDescent="0.3">
      <c r="A2460" s="524" t="s">
        <v>522</v>
      </c>
      <c r="B2460" s="524" t="s">
        <v>1359</v>
      </c>
      <c r="C2460" s="525" t="s">
        <v>801</v>
      </c>
      <c r="D2460" s="524" t="s">
        <v>32</v>
      </c>
      <c r="E2460" s="524" t="s">
        <v>2045</v>
      </c>
      <c r="F2460" s="526" t="s">
        <v>1361</v>
      </c>
      <c r="G2460" s="252">
        <f t="shared" si="48"/>
        <v>3.29</v>
      </c>
    </row>
    <row r="2461" spans="1:7" ht="28.8" x14ac:dyDescent="0.3">
      <c r="A2461" s="524" t="s">
        <v>522</v>
      </c>
      <c r="B2461" s="524" t="s">
        <v>2046</v>
      </c>
      <c r="C2461" s="525" t="s">
        <v>2047</v>
      </c>
      <c r="D2461" s="524" t="s">
        <v>41</v>
      </c>
      <c r="E2461" s="524" t="s">
        <v>1415</v>
      </c>
      <c r="F2461" s="526" t="s">
        <v>2048</v>
      </c>
      <c r="G2461" s="252">
        <f t="shared" si="48"/>
        <v>4.9800000000000004</v>
      </c>
    </row>
    <row r="2462" spans="1:7" x14ac:dyDescent="0.3">
      <c r="A2462" s="680" t="s">
        <v>1152</v>
      </c>
      <c r="B2462" s="681"/>
      <c r="C2462" s="681"/>
      <c r="D2462" s="681"/>
      <c r="E2462" s="681"/>
      <c r="F2462" s="682"/>
      <c r="G2462" s="527">
        <f>SUM(G2458:G2461)</f>
        <v>479.56000000000006</v>
      </c>
    </row>
    <row r="2463" spans="1:7" x14ac:dyDescent="0.3">
      <c r="A2463" s="683">
        <f>TRUNC(E2463*F2463,2)</f>
        <v>0</v>
      </c>
      <c r="B2463" s="684"/>
      <c r="C2463" s="684"/>
      <c r="D2463" s="684"/>
      <c r="E2463" s="684"/>
      <c r="F2463" s="684"/>
      <c r="G2463" s="685"/>
    </row>
    <row r="2464" spans="1:7" x14ac:dyDescent="0.3">
      <c r="A2464" s="529" t="s">
        <v>85</v>
      </c>
      <c r="B2464" s="529"/>
      <c r="C2464" s="530" t="s">
        <v>61</v>
      </c>
      <c r="D2464" s="529"/>
      <c r="E2464" s="252"/>
      <c r="F2464" s="531"/>
      <c r="G2464" s="252">
        <f t="shared" si="48"/>
        <v>0</v>
      </c>
    </row>
    <row r="2465" spans="1:7" ht="43.2" x14ac:dyDescent="0.3">
      <c r="A2465" s="529" t="s">
        <v>87</v>
      </c>
      <c r="B2465" s="529">
        <v>87879</v>
      </c>
      <c r="C2465" s="530" t="s">
        <v>225</v>
      </c>
      <c r="D2465" s="529" t="s">
        <v>24</v>
      </c>
      <c r="E2465" s="252"/>
      <c r="F2465" s="531">
        <v>2.72</v>
      </c>
      <c r="G2465" s="252">
        <f t="shared" si="48"/>
        <v>0</v>
      </c>
    </row>
    <row r="2466" spans="1:7" ht="28.8" x14ac:dyDescent="0.3">
      <c r="A2466" s="524" t="s">
        <v>522</v>
      </c>
      <c r="B2466" s="524" t="s">
        <v>1957</v>
      </c>
      <c r="C2466" s="525" t="s">
        <v>1958</v>
      </c>
      <c r="D2466" s="524" t="s">
        <v>41</v>
      </c>
      <c r="E2466" s="524" t="s">
        <v>1959</v>
      </c>
      <c r="F2466" s="528" t="s">
        <v>1960</v>
      </c>
      <c r="G2466" s="252">
        <f t="shared" si="48"/>
        <v>1.38</v>
      </c>
    </row>
    <row r="2467" spans="1:7" x14ac:dyDescent="0.3">
      <c r="A2467" s="524" t="s">
        <v>522</v>
      </c>
      <c r="B2467" s="524" t="s">
        <v>1362</v>
      </c>
      <c r="C2467" s="525" t="s">
        <v>1363</v>
      </c>
      <c r="D2467" s="524" t="s">
        <v>32</v>
      </c>
      <c r="E2467" s="524" t="s">
        <v>1728</v>
      </c>
      <c r="F2467" s="528" t="s">
        <v>1365</v>
      </c>
      <c r="G2467" s="252">
        <f t="shared" si="48"/>
        <v>1.24</v>
      </c>
    </row>
    <row r="2468" spans="1:7" x14ac:dyDescent="0.3">
      <c r="A2468" s="524" t="s">
        <v>522</v>
      </c>
      <c r="B2468" s="524" t="s">
        <v>1359</v>
      </c>
      <c r="C2468" s="525" t="s">
        <v>801</v>
      </c>
      <c r="D2468" s="524" t="s">
        <v>32</v>
      </c>
      <c r="E2468" s="524" t="s">
        <v>1961</v>
      </c>
      <c r="F2468" s="528" t="s">
        <v>1361</v>
      </c>
      <c r="G2468" s="252">
        <f t="shared" si="48"/>
        <v>0.1</v>
      </c>
    </row>
    <row r="2469" spans="1:7" x14ac:dyDescent="0.3">
      <c r="A2469" s="680" t="s">
        <v>1152</v>
      </c>
      <c r="B2469" s="681"/>
      <c r="C2469" s="681"/>
      <c r="D2469" s="681"/>
      <c r="E2469" s="681"/>
      <c r="F2469" s="682"/>
      <c r="G2469" s="527">
        <f>SUM(G2465:G2468)</f>
        <v>2.72</v>
      </c>
    </row>
    <row r="2470" spans="1:7" x14ac:dyDescent="0.3">
      <c r="A2470" s="683">
        <f>TRUNC(E2470*F2470,2)</f>
        <v>0</v>
      </c>
      <c r="B2470" s="684"/>
      <c r="C2470" s="684"/>
      <c r="D2470" s="684"/>
      <c r="E2470" s="684"/>
      <c r="F2470" s="684"/>
      <c r="G2470" s="685"/>
    </row>
    <row r="2471" spans="1:7" ht="57.6" x14ac:dyDescent="0.3">
      <c r="A2471" s="529" t="s">
        <v>90</v>
      </c>
      <c r="B2471" s="529">
        <v>87529</v>
      </c>
      <c r="C2471" s="530" t="s">
        <v>326</v>
      </c>
      <c r="D2471" s="529" t="s">
        <v>24</v>
      </c>
      <c r="E2471" s="252"/>
      <c r="F2471" s="531">
        <v>23.91</v>
      </c>
      <c r="G2471" s="252">
        <f t="shared" si="48"/>
        <v>0</v>
      </c>
    </row>
    <row r="2472" spans="1:7" ht="43.2" x14ac:dyDescent="0.3">
      <c r="A2472" s="524" t="s">
        <v>522</v>
      </c>
      <c r="B2472" s="524" t="s">
        <v>1464</v>
      </c>
      <c r="C2472" s="525" t="s">
        <v>1465</v>
      </c>
      <c r="D2472" s="524" t="s">
        <v>41</v>
      </c>
      <c r="E2472" s="524" t="s">
        <v>2049</v>
      </c>
      <c r="F2472" s="526" t="s">
        <v>1467</v>
      </c>
      <c r="G2472" s="252">
        <f t="shared" si="48"/>
        <v>13.12</v>
      </c>
    </row>
    <row r="2473" spans="1:7" x14ac:dyDescent="0.3">
      <c r="A2473" s="524" t="s">
        <v>522</v>
      </c>
      <c r="B2473" s="524" t="s">
        <v>1362</v>
      </c>
      <c r="C2473" s="525" t="s">
        <v>1363</v>
      </c>
      <c r="D2473" s="524" t="s">
        <v>32</v>
      </c>
      <c r="E2473" s="524" t="s">
        <v>2050</v>
      </c>
      <c r="F2473" s="526" t="s">
        <v>1365</v>
      </c>
      <c r="G2473" s="252">
        <f t="shared" si="48"/>
        <v>8.34</v>
      </c>
    </row>
    <row r="2474" spans="1:7" x14ac:dyDescent="0.3">
      <c r="A2474" s="524" t="s">
        <v>522</v>
      </c>
      <c r="B2474" s="524" t="s">
        <v>1359</v>
      </c>
      <c r="C2474" s="525" t="s">
        <v>801</v>
      </c>
      <c r="D2474" s="524" t="s">
        <v>32</v>
      </c>
      <c r="E2474" s="524" t="s">
        <v>2051</v>
      </c>
      <c r="F2474" s="526" t="s">
        <v>1361</v>
      </c>
      <c r="G2474" s="252">
        <f t="shared" si="48"/>
        <v>2.4500000000000002</v>
      </c>
    </row>
    <row r="2475" spans="1:7" x14ac:dyDescent="0.3">
      <c r="A2475" s="680" t="s">
        <v>1152</v>
      </c>
      <c r="B2475" s="681"/>
      <c r="C2475" s="681"/>
      <c r="D2475" s="681"/>
      <c r="E2475" s="681"/>
      <c r="F2475" s="682"/>
      <c r="G2475" s="527">
        <f>SUM(G2471:G2474)</f>
        <v>23.91</v>
      </c>
    </row>
    <row r="2476" spans="1:7" x14ac:dyDescent="0.3">
      <c r="A2476" s="683">
        <f>TRUNC(E2476*F2476,2)</f>
        <v>0</v>
      </c>
      <c r="B2476" s="684"/>
      <c r="C2476" s="684"/>
      <c r="D2476" s="684"/>
      <c r="E2476" s="684"/>
      <c r="F2476" s="684"/>
      <c r="G2476" s="685"/>
    </row>
    <row r="2477" spans="1:7" ht="43.2" x14ac:dyDescent="0.3">
      <c r="A2477" s="529" t="s">
        <v>93</v>
      </c>
      <c r="B2477" s="529">
        <v>87265</v>
      </c>
      <c r="C2477" s="530" t="s">
        <v>327</v>
      </c>
      <c r="D2477" s="529" t="s">
        <v>24</v>
      </c>
      <c r="E2477" s="252"/>
      <c r="F2477" s="531">
        <v>36.369999999999997</v>
      </c>
      <c r="G2477" s="252">
        <f t="shared" si="48"/>
        <v>0</v>
      </c>
    </row>
    <row r="2478" spans="1:7" ht="28.8" x14ac:dyDescent="0.3">
      <c r="A2478" s="524" t="s">
        <v>508</v>
      </c>
      <c r="B2478" s="524" t="s">
        <v>1441</v>
      </c>
      <c r="C2478" s="525" t="s">
        <v>1442</v>
      </c>
      <c r="D2478" s="524" t="s">
        <v>24</v>
      </c>
      <c r="E2478" s="524" t="s">
        <v>1697</v>
      </c>
      <c r="F2478" s="526" t="s">
        <v>1443</v>
      </c>
      <c r="G2478" s="252">
        <f t="shared" si="48"/>
        <v>18.79</v>
      </c>
    </row>
    <row r="2479" spans="1:7" x14ac:dyDescent="0.3">
      <c r="A2479" s="524" t="s">
        <v>508</v>
      </c>
      <c r="B2479" s="524" t="s">
        <v>1444</v>
      </c>
      <c r="C2479" s="525" t="s">
        <v>1445</v>
      </c>
      <c r="D2479" s="524" t="s">
        <v>426</v>
      </c>
      <c r="E2479" s="524" t="s">
        <v>1446</v>
      </c>
      <c r="F2479" s="526" t="s">
        <v>1447</v>
      </c>
      <c r="G2479" s="252">
        <f t="shared" si="48"/>
        <v>3.15</v>
      </c>
    </row>
    <row r="2480" spans="1:7" x14ac:dyDescent="0.3">
      <c r="A2480" s="524" t="s">
        <v>508</v>
      </c>
      <c r="B2480" s="524" t="s">
        <v>1448</v>
      </c>
      <c r="C2480" s="525" t="s">
        <v>1449</v>
      </c>
      <c r="D2480" s="524" t="s">
        <v>426</v>
      </c>
      <c r="E2480" s="524" t="s">
        <v>1450</v>
      </c>
      <c r="F2480" s="526" t="s">
        <v>1451</v>
      </c>
      <c r="G2480" s="252">
        <f t="shared" si="48"/>
        <v>1.6</v>
      </c>
    </row>
    <row r="2481" spans="1:7" x14ac:dyDescent="0.3">
      <c r="A2481" s="524" t="s">
        <v>522</v>
      </c>
      <c r="B2481" s="524" t="s">
        <v>1355</v>
      </c>
      <c r="C2481" s="525" t="s">
        <v>1356</v>
      </c>
      <c r="D2481" s="524" t="s">
        <v>32</v>
      </c>
      <c r="E2481" s="524" t="s">
        <v>2052</v>
      </c>
      <c r="F2481" s="526" t="s">
        <v>1358</v>
      </c>
      <c r="G2481" s="252">
        <f t="shared" si="48"/>
        <v>8.67</v>
      </c>
    </row>
    <row r="2482" spans="1:7" x14ac:dyDescent="0.3">
      <c r="A2482" s="524" t="s">
        <v>522</v>
      </c>
      <c r="B2482" s="524" t="s">
        <v>1359</v>
      </c>
      <c r="C2482" s="525" t="s">
        <v>801</v>
      </c>
      <c r="D2482" s="524" t="s">
        <v>32</v>
      </c>
      <c r="E2482" s="524" t="s">
        <v>2053</v>
      </c>
      <c r="F2482" s="526" t="s">
        <v>1361</v>
      </c>
      <c r="G2482" s="252">
        <f t="shared" si="48"/>
        <v>4.16</v>
      </c>
    </row>
    <row r="2483" spans="1:7" x14ac:dyDescent="0.3">
      <c r="A2483" s="680" t="s">
        <v>1152</v>
      </c>
      <c r="B2483" s="681"/>
      <c r="C2483" s="681"/>
      <c r="D2483" s="681"/>
      <c r="E2483" s="681"/>
      <c r="F2483" s="682"/>
      <c r="G2483" s="527">
        <f>SUM(G2477:G2482)</f>
        <v>36.370000000000005</v>
      </c>
    </row>
    <row r="2484" spans="1:7" x14ac:dyDescent="0.3">
      <c r="A2484" s="683">
        <f>TRUNC(E2484*F2484,2)</f>
        <v>0</v>
      </c>
      <c r="B2484" s="684"/>
      <c r="C2484" s="684"/>
      <c r="D2484" s="684"/>
      <c r="E2484" s="684"/>
      <c r="F2484" s="684"/>
      <c r="G2484" s="685"/>
    </row>
    <row r="2485" spans="1:7" ht="28.8" x14ac:dyDescent="0.3">
      <c r="A2485" s="529" t="s">
        <v>226</v>
      </c>
      <c r="B2485" s="529">
        <v>98673</v>
      </c>
      <c r="C2485" s="530" t="s">
        <v>328</v>
      </c>
      <c r="D2485" s="529" t="s">
        <v>24</v>
      </c>
      <c r="E2485" s="252"/>
      <c r="F2485" s="531">
        <v>127.89</v>
      </c>
      <c r="G2485" s="252">
        <f t="shared" si="48"/>
        <v>0</v>
      </c>
    </row>
    <row r="2486" spans="1:7" x14ac:dyDescent="0.3">
      <c r="A2486" s="524" t="s">
        <v>508</v>
      </c>
      <c r="B2486" s="524" t="s">
        <v>2054</v>
      </c>
      <c r="C2486" s="525" t="s">
        <v>2055</v>
      </c>
      <c r="D2486" s="524" t="s">
        <v>426</v>
      </c>
      <c r="E2486" s="524" t="s">
        <v>2056</v>
      </c>
      <c r="F2486" s="526" t="s">
        <v>2057</v>
      </c>
      <c r="G2486" s="252">
        <f t="shared" si="48"/>
        <v>1.18</v>
      </c>
    </row>
    <row r="2487" spans="1:7" ht="28.8" x14ac:dyDescent="0.3">
      <c r="A2487" s="524" t="s">
        <v>508</v>
      </c>
      <c r="B2487" s="524" t="s">
        <v>2058</v>
      </c>
      <c r="C2487" s="525" t="s">
        <v>2059</v>
      </c>
      <c r="D2487" s="524" t="s">
        <v>24</v>
      </c>
      <c r="E2487" s="606">
        <v>1</v>
      </c>
      <c r="F2487" s="526">
        <v>120.05</v>
      </c>
      <c r="G2487" s="252">
        <f t="shared" si="48"/>
        <v>120.05</v>
      </c>
    </row>
    <row r="2488" spans="1:7" x14ac:dyDescent="0.3">
      <c r="A2488" s="524" t="s">
        <v>522</v>
      </c>
      <c r="B2488" s="524" t="s">
        <v>1362</v>
      </c>
      <c r="C2488" s="525" t="s">
        <v>1363</v>
      </c>
      <c r="D2488" s="524" t="s">
        <v>32</v>
      </c>
      <c r="E2488" s="524" t="s">
        <v>2060</v>
      </c>
      <c r="F2488" s="526" t="s">
        <v>1365</v>
      </c>
      <c r="G2488" s="252">
        <f t="shared" si="48"/>
        <v>4.63</v>
      </c>
    </row>
    <row r="2489" spans="1:7" x14ac:dyDescent="0.3">
      <c r="A2489" s="524" t="s">
        <v>522</v>
      </c>
      <c r="B2489" s="524" t="s">
        <v>1359</v>
      </c>
      <c r="C2489" s="525" t="s">
        <v>801</v>
      </c>
      <c r="D2489" s="524" t="s">
        <v>32</v>
      </c>
      <c r="E2489" s="524" t="s">
        <v>1811</v>
      </c>
      <c r="F2489" s="526" t="s">
        <v>1361</v>
      </c>
      <c r="G2489" s="252">
        <f t="shared" si="48"/>
        <v>1.86</v>
      </c>
    </row>
    <row r="2490" spans="1:7" ht="28.8" x14ac:dyDescent="0.3">
      <c r="A2490" s="524" t="s">
        <v>522</v>
      </c>
      <c r="B2490" s="524" t="s">
        <v>2061</v>
      </c>
      <c r="C2490" s="525" t="s">
        <v>2062</v>
      </c>
      <c r="D2490" s="524" t="s">
        <v>410</v>
      </c>
      <c r="E2490" s="524" t="s">
        <v>2063</v>
      </c>
      <c r="F2490" s="526" t="s">
        <v>2064</v>
      </c>
      <c r="G2490" s="252">
        <f t="shared" si="48"/>
        <v>7.0000000000000007E-2</v>
      </c>
    </row>
    <row r="2491" spans="1:7" ht="28.8" x14ac:dyDescent="0.3">
      <c r="A2491" s="524" t="s">
        <v>522</v>
      </c>
      <c r="B2491" s="524" t="s">
        <v>2065</v>
      </c>
      <c r="C2491" s="525" t="s">
        <v>2066</v>
      </c>
      <c r="D2491" s="524" t="s">
        <v>1437</v>
      </c>
      <c r="E2491" s="524" t="s">
        <v>2067</v>
      </c>
      <c r="F2491" s="526" t="s">
        <v>1547</v>
      </c>
      <c r="G2491" s="252">
        <f t="shared" si="48"/>
        <v>0.1</v>
      </c>
    </row>
    <row r="2492" spans="1:7" x14ac:dyDescent="0.3">
      <c r="A2492" s="680" t="s">
        <v>1152</v>
      </c>
      <c r="B2492" s="681"/>
      <c r="C2492" s="681"/>
      <c r="D2492" s="681"/>
      <c r="E2492" s="681"/>
      <c r="F2492" s="682"/>
      <c r="G2492" s="527">
        <f>SUM(G2485:G2491)</f>
        <v>127.88999999999999</v>
      </c>
    </row>
    <row r="2493" spans="1:7" x14ac:dyDescent="0.3">
      <c r="A2493" s="683">
        <f>TRUNC(E2493*F2493,2)</f>
        <v>0</v>
      </c>
      <c r="B2493" s="684"/>
      <c r="C2493" s="684"/>
      <c r="D2493" s="684"/>
      <c r="E2493" s="684"/>
      <c r="F2493" s="684"/>
      <c r="G2493" s="685"/>
    </row>
    <row r="2494" spans="1:7" x14ac:dyDescent="0.3">
      <c r="A2494" s="529" t="s">
        <v>95</v>
      </c>
      <c r="B2494" s="529"/>
      <c r="C2494" s="530" t="s">
        <v>75</v>
      </c>
      <c r="D2494" s="529"/>
      <c r="E2494" s="252"/>
      <c r="F2494" s="531"/>
      <c r="G2494" s="252">
        <f t="shared" si="48"/>
        <v>0</v>
      </c>
    </row>
    <row r="2495" spans="1:7" ht="43.2" x14ac:dyDescent="0.3">
      <c r="A2495" s="529" t="s">
        <v>97</v>
      </c>
      <c r="B2495" s="529">
        <v>94993</v>
      </c>
      <c r="C2495" s="530" t="s">
        <v>78</v>
      </c>
      <c r="D2495" s="529" t="s">
        <v>24</v>
      </c>
      <c r="E2495" s="252"/>
      <c r="F2495" s="531">
        <v>62.94</v>
      </c>
      <c r="G2495" s="252">
        <f t="shared" si="48"/>
        <v>0</v>
      </c>
    </row>
    <row r="2496" spans="1:7" x14ac:dyDescent="0.3">
      <c r="A2496" s="524" t="s">
        <v>508</v>
      </c>
      <c r="B2496" s="524" t="s">
        <v>1475</v>
      </c>
      <c r="C2496" s="525" t="s">
        <v>1476</v>
      </c>
      <c r="D2496" s="524" t="s">
        <v>24</v>
      </c>
      <c r="E2496" s="524" t="s">
        <v>1477</v>
      </c>
      <c r="F2496" s="526" t="s">
        <v>1478</v>
      </c>
      <c r="G2496" s="252">
        <f t="shared" si="48"/>
        <v>1.03</v>
      </c>
    </row>
    <row r="2497" spans="1:7" ht="28.8" x14ac:dyDescent="0.3">
      <c r="A2497" s="524" t="s">
        <v>508</v>
      </c>
      <c r="B2497" s="524" t="s">
        <v>1479</v>
      </c>
      <c r="C2497" s="525" t="s">
        <v>1480</v>
      </c>
      <c r="D2497" s="524" t="s">
        <v>55</v>
      </c>
      <c r="E2497" s="524" t="s">
        <v>1481</v>
      </c>
      <c r="F2497" s="526" t="s">
        <v>1482</v>
      </c>
      <c r="G2497" s="252">
        <f t="shared" si="48"/>
        <v>0.9</v>
      </c>
    </row>
    <row r="2498" spans="1:7" ht="28.8" x14ac:dyDescent="0.3">
      <c r="A2498" s="524" t="s">
        <v>508</v>
      </c>
      <c r="B2498" s="524" t="s">
        <v>1483</v>
      </c>
      <c r="C2498" s="525" t="s">
        <v>1484</v>
      </c>
      <c r="D2498" s="524" t="s">
        <v>24</v>
      </c>
      <c r="E2498" s="524" t="s">
        <v>1485</v>
      </c>
      <c r="F2498" s="526" t="s">
        <v>1486</v>
      </c>
      <c r="G2498" s="252">
        <f t="shared" si="48"/>
        <v>26.02</v>
      </c>
    </row>
    <row r="2499" spans="1:7" ht="28.8" x14ac:dyDescent="0.3">
      <c r="A2499" s="524" t="s">
        <v>508</v>
      </c>
      <c r="B2499" s="524" t="s">
        <v>1487</v>
      </c>
      <c r="C2499" s="525" t="s">
        <v>1488</v>
      </c>
      <c r="D2499" s="524" t="s">
        <v>41</v>
      </c>
      <c r="E2499" s="524" t="s">
        <v>1489</v>
      </c>
      <c r="F2499" s="526" t="s">
        <v>1490</v>
      </c>
      <c r="G2499" s="252">
        <f t="shared" si="48"/>
        <v>26.87</v>
      </c>
    </row>
    <row r="2500" spans="1:7" x14ac:dyDescent="0.3">
      <c r="A2500" s="524" t="s">
        <v>522</v>
      </c>
      <c r="B2500" s="524" t="s">
        <v>527</v>
      </c>
      <c r="C2500" s="525" t="s">
        <v>528</v>
      </c>
      <c r="D2500" s="524" t="s">
        <v>32</v>
      </c>
      <c r="E2500" s="524" t="s">
        <v>1491</v>
      </c>
      <c r="F2500" s="526" t="s">
        <v>530</v>
      </c>
      <c r="G2500" s="252">
        <f t="shared" si="48"/>
        <v>2.38</v>
      </c>
    </row>
    <row r="2501" spans="1:7" x14ac:dyDescent="0.3">
      <c r="A2501" s="524" t="s">
        <v>522</v>
      </c>
      <c r="B2501" s="524" t="s">
        <v>1362</v>
      </c>
      <c r="C2501" s="525" t="s">
        <v>1363</v>
      </c>
      <c r="D2501" s="524" t="s">
        <v>32</v>
      </c>
      <c r="E2501" s="524" t="s">
        <v>1492</v>
      </c>
      <c r="F2501" s="526" t="s">
        <v>1365</v>
      </c>
      <c r="G2501" s="252">
        <f t="shared" si="48"/>
        <v>2.1</v>
      </c>
    </row>
    <row r="2502" spans="1:7" x14ac:dyDescent="0.3">
      <c r="A2502" s="524" t="s">
        <v>522</v>
      </c>
      <c r="B2502" s="524" t="s">
        <v>1359</v>
      </c>
      <c r="C2502" s="525" t="s">
        <v>801</v>
      </c>
      <c r="D2502" s="524" t="s">
        <v>32</v>
      </c>
      <c r="E2502" s="524" t="s">
        <v>1493</v>
      </c>
      <c r="F2502" s="526" t="s">
        <v>1361</v>
      </c>
      <c r="G2502" s="252">
        <f t="shared" si="48"/>
        <v>3.64</v>
      </c>
    </row>
    <row r="2503" spans="1:7" x14ac:dyDescent="0.3">
      <c r="A2503" s="680" t="s">
        <v>1152</v>
      </c>
      <c r="B2503" s="681"/>
      <c r="C2503" s="681"/>
      <c r="D2503" s="681"/>
      <c r="E2503" s="681"/>
      <c r="F2503" s="682"/>
      <c r="G2503" s="527">
        <f>SUM(G2495:G2502)</f>
        <v>62.940000000000005</v>
      </c>
    </row>
    <row r="2504" spans="1:7" x14ac:dyDescent="0.3">
      <c r="A2504" s="683">
        <f>TRUNC(E2504*F2504,2)</f>
        <v>0</v>
      </c>
      <c r="B2504" s="684"/>
      <c r="C2504" s="684"/>
      <c r="D2504" s="684"/>
      <c r="E2504" s="684"/>
      <c r="F2504" s="684"/>
      <c r="G2504" s="685"/>
    </row>
    <row r="2505" spans="1:7" ht="43.2" x14ac:dyDescent="0.3">
      <c r="A2505" s="529" t="s">
        <v>100</v>
      </c>
      <c r="B2505" s="529">
        <v>87620</v>
      </c>
      <c r="C2505" s="530" t="s">
        <v>329</v>
      </c>
      <c r="D2505" s="529" t="s">
        <v>24</v>
      </c>
      <c r="E2505" s="252"/>
      <c r="F2505" s="531">
        <v>23.42</v>
      </c>
      <c r="G2505" s="252">
        <f t="shared" si="48"/>
        <v>0</v>
      </c>
    </row>
    <row r="2506" spans="1:7" x14ac:dyDescent="0.3">
      <c r="A2506" s="524" t="s">
        <v>508</v>
      </c>
      <c r="B2506" s="524" t="s">
        <v>1540</v>
      </c>
      <c r="C2506" s="525" t="s">
        <v>1541</v>
      </c>
      <c r="D2506" s="524" t="s">
        <v>426</v>
      </c>
      <c r="E2506" s="524" t="s">
        <v>1636</v>
      </c>
      <c r="F2506" s="526" t="s">
        <v>1543</v>
      </c>
      <c r="G2506" s="252">
        <f t="shared" ref="G2506:G2510" si="49">TRUNC(E2506*F2506,2)</f>
        <v>0.24</v>
      </c>
    </row>
    <row r="2507" spans="1:7" x14ac:dyDescent="0.3">
      <c r="A2507" s="524" t="s">
        <v>508</v>
      </c>
      <c r="B2507" s="524" t="s">
        <v>2068</v>
      </c>
      <c r="C2507" s="525" t="s">
        <v>2069</v>
      </c>
      <c r="D2507" s="524" t="s">
        <v>1392</v>
      </c>
      <c r="E2507" s="524" t="s">
        <v>2070</v>
      </c>
      <c r="F2507" s="526" t="s">
        <v>2071</v>
      </c>
      <c r="G2507" s="252">
        <f t="shared" si="49"/>
        <v>4.32</v>
      </c>
    </row>
    <row r="2508" spans="1:7" ht="28.8" x14ac:dyDescent="0.3">
      <c r="A2508" s="524" t="s">
        <v>522</v>
      </c>
      <c r="B2508" s="524" t="s">
        <v>2072</v>
      </c>
      <c r="C2508" s="525" t="s">
        <v>2073</v>
      </c>
      <c r="D2508" s="524" t="s">
        <v>41</v>
      </c>
      <c r="E2508" s="524" t="s">
        <v>2074</v>
      </c>
      <c r="F2508" s="526" t="s">
        <v>2075</v>
      </c>
      <c r="G2508" s="252">
        <f t="shared" si="49"/>
        <v>11.63</v>
      </c>
    </row>
    <row r="2509" spans="1:7" x14ac:dyDescent="0.3">
      <c r="A2509" s="524" t="s">
        <v>522</v>
      </c>
      <c r="B2509" s="524" t="s">
        <v>1362</v>
      </c>
      <c r="C2509" s="525" t="s">
        <v>1363</v>
      </c>
      <c r="D2509" s="524" t="s">
        <v>32</v>
      </c>
      <c r="E2509" s="524" t="s">
        <v>2053</v>
      </c>
      <c r="F2509" s="526" t="s">
        <v>1365</v>
      </c>
      <c r="G2509" s="252">
        <f t="shared" si="49"/>
        <v>5.15</v>
      </c>
    </row>
    <row r="2510" spans="1:7" x14ac:dyDescent="0.3">
      <c r="A2510" s="524" t="s">
        <v>522</v>
      </c>
      <c r="B2510" s="524" t="s">
        <v>1359</v>
      </c>
      <c r="C2510" s="525" t="s">
        <v>801</v>
      </c>
      <c r="D2510" s="524" t="s">
        <v>32</v>
      </c>
      <c r="E2510" s="524" t="s">
        <v>1684</v>
      </c>
      <c r="F2510" s="526" t="s">
        <v>1361</v>
      </c>
      <c r="G2510" s="252">
        <f t="shared" si="49"/>
        <v>2.08</v>
      </c>
    </row>
    <row r="2511" spans="1:7" x14ac:dyDescent="0.3">
      <c r="A2511" s="680" t="s">
        <v>1152</v>
      </c>
      <c r="B2511" s="681"/>
      <c r="C2511" s="681"/>
      <c r="D2511" s="681"/>
      <c r="E2511" s="681"/>
      <c r="F2511" s="682"/>
      <c r="G2511" s="527">
        <f>SUM(G2505:G2510)</f>
        <v>23.42</v>
      </c>
    </row>
    <row r="2512" spans="1:7" x14ac:dyDescent="0.3">
      <c r="A2512" s="683">
        <f>TRUNC(E2512*F2512,2)</f>
        <v>0</v>
      </c>
      <c r="B2512" s="684"/>
      <c r="C2512" s="684"/>
      <c r="D2512" s="684"/>
      <c r="E2512" s="684"/>
      <c r="F2512" s="684"/>
      <c r="G2512" s="685"/>
    </row>
    <row r="2513" spans="1:9" ht="43.2" x14ac:dyDescent="0.3">
      <c r="A2513" s="529" t="s">
        <v>103</v>
      </c>
      <c r="B2513" s="529">
        <v>87263</v>
      </c>
      <c r="C2513" s="530" t="s">
        <v>330</v>
      </c>
      <c r="D2513" s="529" t="s">
        <v>24</v>
      </c>
      <c r="E2513" s="252"/>
      <c r="F2513" s="531">
        <v>56.67</v>
      </c>
      <c r="G2513" s="252">
        <f t="shared" si="48"/>
        <v>0</v>
      </c>
    </row>
    <row r="2514" spans="1:9" x14ac:dyDescent="0.3">
      <c r="A2514" s="524" t="s">
        <v>508</v>
      </c>
      <c r="B2514" s="524" t="s">
        <v>1448</v>
      </c>
      <c r="C2514" s="525" t="s">
        <v>1449</v>
      </c>
      <c r="D2514" s="524" t="s">
        <v>426</v>
      </c>
      <c r="E2514" s="524" t="s">
        <v>1559</v>
      </c>
      <c r="F2514" s="526" t="s">
        <v>1451</v>
      </c>
      <c r="G2514" s="252">
        <f t="shared" ref="G2514:G2518" si="50">TRUNC(E2514*F2514,2)</f>
        <v>0.53</v>
      </c>
    </row>
    <row r="2515" spans="1:9" x14ac:dyDescent="0.3">
      <c r="A2515" s="524" t="s">
        <v>508</v>
      </c>
      <c r="B2515" s="524" t="s">
        <v>1560</v>
      </c>
      <c r="C2515" s="525" t="s">
        <v>1561</v>
      </c>
      <c r="D2515" s="524" t="s">
        <v>426</v>
      </c>
      <c r="E2515" s="524" t="s">
        <v>1562</v>
      </c>
      <c r="F2515" s="526" t="s">
        <v>1563</v>
      </c>
      <c r="G2515" s="252">
        <f t="shared" si="50"/>
        <v>17.149999999999999</v>
      </c>
    </row>
    <row r="2516" spans="1:9" x14ac:dyDescent="0.3">
      <c r="A2516" s="524" t="s">
        <v>508</v>
      </c>
      <c r="B2516" s="524" t="s">
        <v>1564</v>
      </c>
      <c r="C2516" s="525" t="s">
        <v>1565</v>
      </c>
      <c r="D2516" s="524" t="s">
        <v>24</v>
      </c>
      <c r="E2516" s="524" t="s">
        <v>2076</v>
      </c>
      <c r="F2516" s="526" t="s">
        <v>1567</v>
      </c>
      <c r="G2516" s="252">
        <f t="shared" si="50"/>
        <v>58.33</v>
      </c>
    </row>
    <row r="2517" spans="1:9" x14ac:dyDescent="0.3">
      <c r="A2517" s="524" t="s">
        <v>522</v>
      </c>
      <c r="B2517" s="524" t="s">
        <v>1355</v>
      </c>
      <c r="C2517" s="525" t="s">
        <v>1356</v>
      </c>
      <c r="D2517" s="524" t="s">
        <v>32</v>
      </c>
      <c r="E2517" s="524" t="s">
        <v>2077</v>
      </c>
      <c r="F2517" s="526" t="s">
        <v>1358</v>
      </c>
      <c r="G2517" s="252">
        <f t="shared" si="50"/>
        <v>7.79</v>
      </c>
    </row>
    <row r="2518" spans="1:9" x14ac:dyDescent="0.3">
      <c r="A2518" s="524" t="s">
        <v>522</v>
      </c>
      <c r="B2518" s="524" t="s">
        <v>1359</v>
      </c>
      <c r="C2518" s="525" t="s">
        <v>801</v>
      </c>
      <c r="D2518" s="524" t="s">
        <v>32</v>
      </c>
      <c r="E2518" s="524" t="s">
        <v>1528</v>
      </c>
      <c r="F2518" s="526" t="s">
        <v>1361</v>
      </c>
      <c r="G2518" s="252">
        <f t="shared" si="50"/>
        <v>2.87</v>
      </c>
    </row>
    <row r="2519" spans="1:9" x14ac:dyDescent="0.3">
      <c r="A2519" s="680" t="s">
        <v>1152</v>
      </c>
      <c r="B2519" s="681"/>
      <c r="C2519" s="681"/>
      <c r="D2519" s="681"/>
      <c r="E2519" s="681"/>
      <c r="F2519" s="682"/>
      <c r="G2519" s="527">
        <f>SUM(G2513:G2518)</f>
        <v>86.67</v>
      </c>
    </row>
    <row r="2520" spans="1:9" x14ac:dyDescent="0.3">
      <c r="A2520" s="683">
        <f>TRUNC(E2520*F2520,2)</f>
        <v>0</v>
      </c>
      <c r="B2520" s="684"/>
      <c r="C2520" s="684"/>
      <c r="D2520" s="684"/>
      <c r="E2520" s="684"/>
      <c r="F2520" s="684"/>
      <c r="G2520" s="685"/>
    </row>
    <row r="2521" spans="1:9" ht="28.8" x14ac:dyDescent="0.3">
      <c r="A2521" s="529" t="s">
        <v>105</v>
      </c>
      <c r="B2521" s="529">
        <v>98673</v>
      </c>
      <c r="C2521" s="530" t="s">
        <v>328</v>
      </c>
      <c r="D2521" s="529" t="s">
        <v>24</v>
      </c>
      <c r="E2521" s="252"/>
      <c r="F2521" s="531">
        <v>127.89</v>
      </c>
      <c r="G2521" s="252">
        <f t="shared" si="48"/>
        <v>0</v>
      </c>
    </row>
    <row r="2522" spans="1:9" x14ac:dyDescent="0.3">
      <c r="A2522" s="524" t="s">
        <v>508</v>
      </c>
      <c r="B2522" s="524" t="s">
        <v>2054</v>
      </c>
      <c r="C2522" s="525" t="s">
        <v>2055</v>
      </c>
      <c r="D2522" s="524" t="s">
        <v>426</v>
      </c>
      <c r="E2522" s="524" t="s">
        <v>2056</v>
      </c>
      <c r="F2522" s="526" t="s">
        <v>2057</v>
      </c>
      <c r="G2522" s="252">
        <f t="shared" ref="G2522:G2527" si="51">TRUNC(E2522*F2522,2)</f>
        <v>1.18</v>
      </c>
    </row>
    <row r="2523" spans="1:9" ht="28.8" x14ac:dyDescent="0.3">
      <c r="A2523" s="524" t="s">
        <v>508</v>
      </c>
      <c r="B2523" s="524" t="s">
        <v>2058</v>
      </c>
      <c r="C2523" s="525" t="s">
        <v>2059</v>
      </c>
      <c r="D2523" s="524" t="s">
        <v>24</v>
      </c>
      <c r="E2523" s="606">
        <v>1</v>
      </c>
      <c r="F2523" s="526">
        <v>120.05</v>
      </c>
      <c r="G2523" s="252">
        <f t="shared" si="51"/>
        <v>120.05</v>
      </c>
      <c r="I2523" s="211">
        <f>F2523-I2528</f>
        <v>120.05</v>
      </c>
    </row>
    <row r="2524" spans="1:9" x14ac:dyDescent="0.3">
      <c r="A2524" s="524" t="s">
        <v>522</v>
      </c>
      <c r="B2524" s="524" t="s">
        <v>1362</v>
      </c>
      <c r="C2524" s="525" t="s">
        <v>1363</v>
      </c>
      <c r="D2524" s="524" t="s">
        <v>32</v>
      </c>
      <c r="E2524" s="524" t="s">
        <v>2060</v>
      </c>
      <c r="F2524" s="526" t="s">
        <v>1365</v>
      </c>
      <c r="G2524" s="252">
        <f t="shared" si="51"/>
        <v>4.63</v>
      </c>
    </row>
    <row r="2525" spans="1:9" x14ac:dyDescent="0.3">
      <c r="A2525" s="524" t="s">
        <v>522</v>
      </c>
      <c r="B2525" s="524" t="s">
        <v>1359</v>
      </c>
      <c r="C2525" s="525" t="s">
        <v>801</v>
      </c>
      <c r="D2525" s="524" t="s">
        <v>32</v>
      </c>
      <c r="E2525" s="524" t="s">
        <v>1811</v>
      </c>
      <c r="F2525" s="526" t="s">
        <v>1361</v>
      </c>
      <c r="G2525" s="252">
        <f t="shared" si="51"/>
        <v>1.86</v>
      </c>
    </row>
    <row r="2526" spans="1:9" ht="28.8" x14ac:dyDescent="0.3">
      <c r="A2526" s="524" t="s">
        <v>522</v>
      </c>
      <c r="B2526" s="524" t="s">
        <v>2061</v>
      </c>
      <c r="C2526" s="525" t="s">
        <v>2062</v>
      </c>
      <c r="D2526" s="524" t="s">
        <v>410</v>
      </c>
      <c r="E2526" s="524" t="s">
        <v>2063</v>
      </c>
      <c r="F2526" s="526" t="s">
        <v>2064</v>
      </c>
      <c r="G2526" s="252">
        <f t="shared" si="51"/>
        <v>7.0000000000000007E-2</v>
      </c>
    </row>
    <row r="2527" spans="1:9" ht="28.8" x14ac:dyDescent="0.3">
      <c r="A2527" s="524" t="s">
        <v>522</v>
      </c>
      <c r="B2527" s="524" t="s">
        <v>2065</v>
      </c>
      <c r="C2527" s="525" t="s">
        <v>2066</v>
      </c>
      <c r="D2527" s="524" t="s">
        <v>1437</v>
      </c>
      <c r="E2527" s="524" t="s">
        <v>2067</v>
      </c>
      <c r="F2527" s="526" t="s">
        <v>1547</v>
      </c>
      <c r="G2527" s="252">
        <f t="shared" si="51"/>
        <v>0.1</v>
      </c>
    </row>
    <row r="2528" spans="1:9" x14ac:dyDescent="0.3">
      <c r="A2528" s="680" t="s">
        <v>1152</v>
      </c>
      <c r="B2528" s="681"/>
      <c r="C2528" s="681"/>
      <c r="D2528" s="681"/>
      <c r="E2528" s="681"/>
      <c r="F2528" s="682"/>
      <c r="G2528" s="527">
        <f>SUM(G2521:G2527)</f>
        <v>127.88999999999999</v>
      </c>
      <c r="I2528" s="211">
        <f>G2528-F2521</f>
        <v>0</v>
      </c>
    </row>
    <row r="2529" spans="1:7" x14ac:dyDescent="0.3">
      <c r="A2529" s="683">
        <f>TRUNC(E2529*F2529,2)</f>
        <v>0</v>
      </c>
      <c r="B2529" s="684"/>
      <c r="C2529" s="684"/>
      <c r="D2529" s="684"/>
      <c r="E2529" s="684"/>
      <c r="F2529" s="684"/>
      <c r="G2529" s="685"/>
    </row>
    <row r="2530" spans="1:7" x14ac:dyDescent="0.3">
      <c r="A2530" s="529" t="s">
        <v>116</v>
      </c>
      <c r="B2530" s="529"/>
      <c r="C2530" s="530" t="s">
        <v>212</v>
      </c>
      <c r="D2530" s="529"/>
      <c r="E2530" s="252"/>
      <c r="F2530" s="531"/>
      <c r="G2530" s="252">
        <f t="shared" si="48"/>
        <v>0</v>
      </c>
    </row>
    <row r="2531" spans="1:7" ht="28.8" x14ac:dyDescent="0.3">
      <c r="A2531" s="529" t="s">
        <v>118</v>
      </c>
      <c r="B2531" s="529">
        <v>96114</v>
      </c>
      <c r="C2531" s="530" t="s">
        <v>214</v>
      </c>
      <c r="D2531" s="529" t="s">
        <v>24</v>
      </c>
      <c r="E2531" s="252"/>
      <c r="F2531" s="531">
        <v>49.24</v>
      </c>
      <c r="G2531" s="252">
        <f t="shared" si="48"/>
        <v>0</v>
      </c>
    </row>
    <row r="2532" spans="1:7" ht="28.8" x14ac:dyDescent="0.3">
      <c r="A2532" s="524" t="s">
        <v>508</v>
      </c>
      <c r="B2532" s="524" t="s">
        <v>1843</v>
      </c>
      <c r="C2532" s="525" t="s">
        <v>1844</v>
      </c>
      <c r="D2532" s="524" t="s">
        <v>24</v>
      </c>
      <c r="E2532" s="606">
        <v>1</v>
      </c>
      <c r="F2532" s="526" t="s">
        <v>1845</v>
      </c>
      <c r="G2532" s="252">
        <f t="shared" ref="G2532:G2542" si="52">TRUNC(E2532*F2532,2)</f>
        <v>19.97</v>
      </c>
    </row>
    <row r="2533" spans="1:7" ht="28.8" x14ac:dyDescent="0.3">
      <c r="A2533" s="524" t="s">
        <v>508</v>
      </c>
      <c r="B2533" s="524" t="s">
        <v>1846</v>
      </c>
      <c r="C2533" s="525" t="s">
        <v>1847</v>
      </c>
      <c r="D2533" s="524" t="s">
        <v>55</v>
      </c>
      <c r="E2533" s="606">
        <v>3</v>
      </c>
      <c r="F2533" s="526" t="s">
        <v>1848</v>
      </c>
      <c r="G2533" s="252">
        <f t="shared" si="52"/>
        <v>11.79</v>
      </c>
    </row>
    <row r="2534" spans="1:7" ht="28.8" x14ac:dyDescent="0.3">
      <c r="A2534" s="524" t="s">
        <v>508</v>
      </c>
      <c r="B2534" s="524" t="s">
        <v>1849</v>
      </c>
      <c r="C2534" s="525" t="s">
        <v>1850</v>
      </c>
      <c r="D2534" s="524" t="s">
        <v>397</v>
      </c>
      <c r="E2534" s="606">
        <v>1</v>
      </c>
      <c r="F2534" s="526" t="s">
        <v>1851</v>
      </c>
      <c r="G2534" s="252">
        <f t="shared" si="52"/>
        <v>1.48</v>
      </c>
    </row>
    <row r="2535" spans="1:7" ht="28.8" x14ac:dyDescent="0.3">
      <c r="A2535" s="524" t="s">
        <v>508</v>
      </c>
      <c r="B2535" s="524" t="s">
        <v>1852</v>
      </c>
      <c r="C2535" s="525" t="s">
        <v>1853</v>
      </c>
      <c r="D2535" s="524" t="s">
        <v>55</v>
      </c>
      <c r="E2535" s="606">
        <v>1.4</v>
      </c>
      <c r="F2535" s="526" t="s">
        <v>1854</v>
      </c>
      <c r="G2535" s="252">
        <f t="shared" si="52"/>
        <v>4.1399999999999997</v>
      </c>
    </row>
    <row r="2536" spans="1:7" ht="28.8" x14ac:dyDescent="0.3">
      <c r="A2536" s="524" t="s">
        <v>508</v>
      </c>
      <c r="B2536" s="524" t="s">
        <v>1855</v>
      </c>
      <c r="C2536" s="525" t="s">
        <v>1856</v>
      </c>
      <c r="D2536" s="524" t="s">
        <v>426</v>
      </c>
      <c r="E2536" s="606">
        <v>0.5</v>
      </c>
      <c r="F2536" s="526" t="s">
        <v>1501</v>
      </c>
      <c r="G2536" s="252">
        <f t="shared" si="52"/>
        <v>1.98</v>
      </c>
    </row>
    <row r="2537" spans="1:7" ht="28.8" x14ac:dyDescent="0.3">
      <c r="A2537" s="524" t="s">
        <v>508</v>
      </c>
      <c r="B2537" s="524" t="s">
        <v>1857</v>
      </c>
      <c r="C2537" s="525" t="s">
        <v>1858</v>
      </c>
      <c r="D2537" s="524" t="s">
        <v>397</v>
      </c>
      <c r="E2537" s="606">
        <v>7</v>
      </c>
      <c r="F2537" s="526" t="s">
        <v>1327</v>
      </c>
      <c r="G2537" s="252">
        <f t="shared" si="52"/>
        <v>0.49</v>
      </c>
    </row>
    <row r="2538" spans="1:7" ht="28.8" x14ac:dyDescent="0.3">
      <c r="A2538" s="524" t="s">
        <v>508</v>
      </c>
      <c r="B2538" s="524" t="s">
        <v>1859</v>
      </c>
      <c r="C2538" s="525" t="s">
        <v>1860</v>
      </c>
      <c r="D2538" s="524" t="s">
        <v>397</v>
      </c>
      <c r="E2538" s="606">
        <v>2</v>
      </c>
      <c r="F2538" s="526" t="s">
        <v>1861</v>
      </c>
      <c r="G2538" s="252">
        <f t="shared" si="52"/>
        <v>0.32</v>
      </c>
    </row>
    <row r="2539" spans="1:7" x14ac:dyDescent="0.3">
      <c r="A2539" s="524" t="s">
        <v>508</v>
      </c>
      <c r="B2539" s="524" t="s">
        <v>1862</v>
      </c>
      <c r="C2539" s="525" t="s">
        <v>1863</v>
      </c>
      <c r="D2539" s="524" t="s">
        <v>1458</v>
      </c>
      <c r="E2539" s="524" t="s">
        <v>1864</v>
      </c>
      <c r="F2539" s="526" t="s">
        <v>1865</v>
      </c>
      <c r="G2539" s="252">
        <f t="shared" si="52"/>
        <v>0.24</v>
      </c>
    </row>
    <row r="2540" spans="1:7" ht="28.8" x14ac:dyDescent="0.3">
      <c r="A2540" s="524" t="s">
        <v>508</v>
      </c>
      <c r="B2540" s="524" t="s">
        <v>1866</v>
      </c>
      <c r="C2540" s="525" t="s">
        <v>1867</v>
      </c>
      <c r="D2540" s="524" t="s">
        <v>426</v>
      </c>
      <c r="E2540" s="524" t="s">
        <v>1868</v>
      </c>
      <c r="F2540" s="526" t="s">
        <v>1869</v>
      </c>
      <c r="G2540" s="252">
        <f t="shared" si="52"/>
        <v>0.68</v>
      </c>
    </row>
    <row r="2541" spans="1:7" x14ac:dyDescent="0.3">
      <c r="A2541" s="524" t="s">
        <v>522</v>
      </c>
      <c r="B2541" s="524" t="s">
        <v>1870</v>
      </c>
      <c r="C2541" s="525" t="s">
        <v>1871</v>
      </c>
      <c r="D2541" s="524" t="s">
        <v>32</v>
      </c>
      <c r="E2541" s="607">
        <v>0.3</v>
      </c>
      <c r="F2541" s="526" t="s">
        <v>1872</v>
      </c>
      <c r="G2541" s="252">
        <f t="shared" si="52"/>
        <v>3.84</v>
      </c>
    </row>
    <row r="2542" spans="1:7" x14ac:dyDescent="0.3">
      <c r="A2542" s="524" t="s">
        <v>522</v>
      </c>
      <c r="B2542" s="524" t="s">
        <v>1359</v>
      </c>
      <c r="C2542" s="525" t="s">
        <v>801</v>
      </c>
      <c r="D2542" s="524" t="s">
        <v>32</v>
      </c>
      <c r="E2542" s="607">
        <v>0.3</v>
      </c>
      <c r="F2542" s="526" t="s">
        <v>1361</v>
      </c>
      <c r="G2542" s="252">
        <f t="shared" si="52"/>
        <v>4.3099999999999996</v>
      </c>
    </row>
    <row r="2543" spans="1:7" x14ac:dyDescent="0.3">
      <c r="A2543" s="680" t="s">
        <v>1152</v>
      </c>
      <c r="B2543" s="681"/>
      <c r="C2543" s="681"/>
      <c r="D2543" s="681"/>
      <c r="E2543" s="681"/>
      <c r="F2543" s="682"/>
      <c r="G2543" s="527">
        <f>SUM(G2530:G2542)</f>
        <v>49.239999999999995</v>
      </c>
    </row>
    <row r="2544" spans="1:7" x14ac:dyDescent="0.3">
      <c r="A2544" s="683">
        <f>TRUNC(E2544*F2544,2)</f>
        <v>0</v>
      </c>
      <c r="B2544" s="684"/>
      <c r="C2544" s="684"/>
      <c r="D2544" s="684"/>
      <c r="E2544" s="684"/>
      <c r="F2544" s="684"/>
      <c r="G2544" s="685"/>
    </row>
    <row r="2545" spans="1:7" x14ac:dyDescent="0.3">
      <c r="A2545" s="529" t="s">
        <v>160</v>
      </c>
      <c r="B2545" s="529"/>
      <c r="C2545" s="530" t="s">
        <v>96</v>
      </c>
      <c r="D2545" s="529"/>
      <c r="E2545" s="252"/>
      <c r="F2545" s="531"/>
      <c r="G2545" s="252">
        <f t="shared" si="48"/>
        <v>0</v>
      </c>
    </row>
    <row r="2546" spans="1:7" x14ac:dyDescent="0.3">
      <c r="A2546" s="529" t="s">
        <v>163</v>
      </c>
      <c r="B2546" s="529">
        <v>88496</v>
      </c>
      <c r="C2546" s="530" t="s">
        <v>101</v>
      </c>
      <c r="D2546" s="529" t="s">
        <v>24</v>
      </c>
      <c r="E2546" s="252"/>
      <c r="F2546" s="531">
        <v>10.51</v>
      </c>
      <c r="G2546" s="252">
        <f t="shared" si="48"/>
        <v>0</v>
      </c>
    </row>
    <row r="2547" spans="1:7" x14ac:dyDescent="0.3">
      <c r="A2547" s="524" t="s">
        <v>508</v>
      </c>
      <c r="B2547" s="524" t="s">
        <v>1584</v>
      </c>
      <c r="C2547" s="525" t="s">
        <v>1585</v>
      </c>
      <c r="D2547" s="524" t="s">
        <v>397</v>
      </c>
      <c r="E2547" s="524" t="s">
        <v>1586</v>
      </c>
      <c r="F2547" s="526" t="s">
        <v>1447</v>
      </c>
      <c r="G2547" s="252">
        <f t="shared" ref="G2547:G2550" si="53">TRUNC(E2547*F2547,2)</f>
        <v>0.06</v>
      </c>
    </row>
    <row r="2548" spans="1:7" x14ac:dyDescent="0.3">
      <c r="A2548" s="524" t="s">
        <v>508</v>
      </c>
      <c r="B2548" s="524" t="s">
        <v>1587</v>
      </c>
      <c r="C2548" s="525" t="s">
        <v>1588</v>
      </c>
      <c r="D2548" s="524" t="s">
        <v>1589</v>
      </c>
      <c r="E2548" s="607">
        <v>4.8000000000000001E-2</v>
      </c>
      <c r="F2548" s="526">
        <v>40</v>
      </c>
      <c r="G2548" s="252">
        <f t="shared" si="53"/>
        <v>1.92</v>
      </c>
    </row>
    <row r="2549" spans="1:7" x14ac:dyDescent="0.3">
      <c r="A2549" s="524" t="s">
        <v>522</v>
      </c>
      <c r="B2549" s="524" t="s">
        <v>1579</v>
      </c>
      <c r="C2549" s="525" t="s">
        <v>1580</v>
      </c>
      <c r="D2549" s="524" t="s">
        <v>32</v>
      </c>
      <c r="E2549" s="607">
        <v>0.3</v>
      </c>
      <c r="F2549" s="526" t="s">
        <v>1582</v>
      </c>
      <c r="G2549" s="252">
        <f t="shared" si="53"/>
        <v>5.66</v>
      </c>
    </row>
    <row r="2550" spans="1:7" x14ac:dyDescent="0.3">
      <c r="A2550" s="524" t="s">
        <v>522</v>
      </c>
      <c r="B2550" s="524" t="s">
        <v>1359</v>
      </c>
      <c r="C2550" s="525" t="s">
        <v>801</v>
      </c>
      <c r="D2550" s="524" t="s">
        <v>32</v>
      </c>
      <c r="E2550" s="607">
        <v>0.2</v>
      </c>
      <c r="F2550" s="526" t="s">
        <v>1361</v>
      </c>
      <c r="G2550" s="252">
        <f t="shared" si="53"/>
        <v>2.87</v>
      </c>
    </row>
    <row r="2551" spans="1:7" x14ac:dyDescent="0.3">
      <c r="A2551" s="680" t="s">
        <v>1152</v>
      </c>
      <c r="B2551" s="681"/>
      <c r="C2551" s="681"/>
      <c r="D2551" s="681"/>
      <c r="E2551" s="681"/>
      <c r="F2551" s="682"/>
      <c r="G2551" s="527">
        <f>SUM(G2547:G2550)</f>
        <v>10.510000000000002</v>
      </c>
    </row>
    <row r="2552" spans="1:7" x14ac:dyDescent="0.3">
      <c r="A2552" s="683">
        <f>TRUNC(E2552*F2552,2)</f>
        <v>0</v>
      </c>
      <c r="B2552" s="684"/>
      <c r="C2552" s="684"/>
      <c r="D2552" s="684"/>
      <c r="E2552" s="684"/>
      <c r="F2552" s="684"/>
      <c r="G2552" s="685"/>
    </row>
    <row r="2553" spans="1:7" ht="28.8" x14ac:dyDescent="0.3">
      <c r="A2553" s="529" t="s">
        <v>164</v>
      </c>
      <c r="B2553" s="529">
        <v>88486</v>
      </c>
      <c r="C2553" s="530" t="s">
        <v>231</v>
      </c>
      <c r="D2553" s="529" t="s">
        <v>24</v>
      </c>
      <c r="E2553" s="252"/>
      <c r="F2553" s="531">
        <v>8.2200000000000006</v>
      </c>
      <c r="G2553" s="252">
        <f t="shared" ref="G2553:G2956" si="54">TRUNC(E2553*F2553,2)</f>
        <v>0</v>
      </c>
    </row>
    <row r="2554" spans="1:7" x14ac:dyDescent="0.3">
      <c r="A2554" s="524" t="s">
        <v>508</v>
      </c>
      <c r="B2554" s="524" t="s">
        <v>1965</v>
      </c>
      <c r="C2554" s="525" t="s">
        <v>1966</v>
      </c>
      <c r="D2554" s="524" t="s">
        <v>1392</v>
      </c>
      <c r="E2554" s="606">
        <v>0.3</v>
      </c>
      <c r="F2554" s="528">
        <v>15</v>
      </c>
      <c r="G2554" s="252">
        <f t="shared" si="54"/>
        <v>4.5</v>
      </c>
    </row>
    <row r="2555" spans="1:7" x14ac:dyDescent="0.3">
      <c r="A2555" s="524" t="s">
        <v>522</v>
      </c>
      <c r="B2555" s="524" t="s">
        <v>1579</v>
      </c>
      <c r="C2555" s="525" t="s">
        <v>1580</v>
      </c>
      <c r="D2555" s="524" t="s">
        <v>32</v>
      </c>
      <c r="E2555" s="606">
        <v>0.15</v>
      </c>
      <c r="F2555" s="528" t="s">
        <v>1582</v>
      </c>
      <c r="G2555" s="252">
        <f t="shared" si="54"/>
        <v>2.83</v>
      </c>
    </row>
    <row r="2556" spans="1:7" x14ac:dyDescent="0.3">
      <c r="A2556" s="524" t="s">
        <v>522</v>
      </c>
      <c r="B2556" s="524" t="s">
        <v>1359</v>
      </c>
      <c r="C2556" s="525" t="s">
        <v>801</v>
      </c>
      <c r="D2556" s="524" t="s">
        <v>32</v>
      </c>
      <c r="E2556" s="524" t="s">
        <v>1968</v>
      </c>
      <c r="F2556" s="528" t="s">
        <v>1361</v>
      </c>
      <c r="G2556" s="252">
        <f t="shared" si="54"/>
        <v>0.89</v>
      </c>
    </row>
    <row r="2557" spans="1:7" x14ac:dyDescent="0.3">
      <c r="A2557" s="680" t="s">
        <v>1152</v>
      </c>
      <c r="B2557" s="681"/>
      <c r="C2557" s="681"/>
      <c r="D2557" s="681"/>
      <c r="E2557" s="681"/>
      <c r="F2557" s="682"/>
      <c r="G2557" s="527">
        <f>SUM(G2553:G2556)</f>
        <v>8.2200000000000006</v>
      </c>
    </row>
    <row r="2558" spans="1:7" x14ac:dyDescent="0.3">
      <c r="A2558" s="683">
        <f>TRUNC(E2558*F2558,2)</f>
        <v>0</v>
      </c>
      <c r="B2558" s="684"/>
      <c r="C2558" s="684"/>
      <c r="D2558" s="684"/>
      <c r="E2558" s="684"/>
      <c r="F2558" s="684"/>
      <c r="G2558" s="685"/>
    </row>
    <row r="2559" spans="1:7" x14ac:dyDescent="0.3">
      <c r="A2559" s="529" t="s">
        <v>165</v>
      </c>
      <c r="B2559" s="529">
        <v>88497</v>
      </c>
      <c r="C2559" s="530" t="s">
        <v>232</v>
      </c>
      <c r="D2559" s="529" t="s">
        <v>24</v>
      </c>
      <c r="E2559" s="252"/>
      <c r="F2559" s="531">
        <v>9.74</v>
      </c>
      <c r="G2559" s="252">
        <f t="shared" si="54"/>
        <v>0</v>
      </c>
    </row>
    <row r="2560" spans="1:7" x14ac:dyDescent="0.3">
      <c r="A2560" s="524" t="s">
        <v>508</v>
      </c>
      <c r="B2560" s="524" t="s">
        <v>1584</v>
      </c>
      <c r="C2560" s="525" t="s">
        <v>1585</v>
      </c>
      <c r="D2560" s="524" t="s">
        <v>397</v>
      </c>
      <c r="E2560" s="524" t="s">
        <v>1586</v>
      </c>
      <c r="F2560" s="526" t="s">
        <v>1447</v>
      </c>
      <c r="G2560" s="252">
        <f t="shared" si="54"/>
        <v>0.06</v>
      </c>
    </row>
    <row r="2561" spans="1:7" x14ac:dyDescent="0.3">
      <c r="A2561" s="524" t="s">
        <v>508</v>
      </c>
      <c r="B2561" s="524" t="s">
        <v>1587</v>
      </c>
      <c r="C2561" s="525" t="s">
        <v>1588</v>
      </c>
      <c r="D2561" s="524" t="s">
        <v>1589</v>
      </c>
      <c r="E2561" s="524" t="s">
        <v>1590</v>
      </c>
      <c r="F2561" s="526">
        <v>50</v>
      </c>
      <c r="G2561" s="252">
        <f t="shared" si="54"/>
        <v>2.44</v>
      </c>
    </row>
    <row r="2562" spans="1:7" x14ac:dyDescent="0.3">
      <c r="A2562" s="524" t="s">
        <v>522</v>
      </c>
      <c r="B2562" s="524" t="s">
        <v>1579</v>
      </c>
      <c r="C2562" s="525" t="s">
        <v>1580</v>
      </c>
      <c r="D2562" s="524" t="s">
        <v>32</v>
      </c>
      <c r="E2562" s="607">
        <v>0.3</v>
      </c>
      <c r="F2562" s="526" t="s">
        <v>1582</v>
      </c>
      <c r="G2562" s="252">
        <f t="shared" si="54"/>
        <v>5.66</v>
      </c>
    </row>
    <row r="2563" spans="1:7" x14ac:dyDescent="0.3">
      <c r="A2563" s="524" t="s">
        <v>522</v>
      </c>
      <c r="B2563" s="524" t="s">
        <v>1359</v>
      </c>
      <c r="C2563" s="525" t="s">
        <v>801</v>
      </c>
      <c r="D2563" s="524" t="s">
        <v>32</v>
      </c>
      <c r="E2563" s="607">
        <v>0.11</v>
      </c>
      <c r="F2563" s="526" t="s">
        <v>1361</v>
      </c>
      <c r="G2563" s="252">
        <f t="shared" ref="G2563" si="55">TRUNC(E2563*F2563,2)</f>
        <v>1.58</v>
      </c>
    </row>
    <row r="2564" spans="1:7" x14ac:dyDescent="0.3">
      <c r="A2564" s="680" t="s">
        <v>1152</v>
      </c>
      <c r="B2564" s="681"/>
      <c r="C2564" s="681"/>
      <c r="D2564" s="681"/>
      <c r="E2564" s="681"/>
      <c r="F2564" s="682"/>
      <c r="G2564" s="527">
        <f>SUM(G2560:G2563)</f>
        <v>9.74</v>
      </c>
    </row>
    <row r="2565" spans="1:7" x14ac:dyDescent="0.3">
      <c r="A2565" s="683">
        <f>TRUNC(E2565*F2565,2)</f>
        <v>0</v>
      </c>
      <c r="B2565" s="684"/>
      <c r="C2565" s="684"/>
      <c r="D2565" s="684"/>
      <c r="E2565" s="684"/>
      <c r="F2565" s="684"/>
      <c r="G2565" s="685"/>
    </row>
    <row r="2566" spans="1:7" ht="28.8" x14ac:dyDescent="0.3">
      <c r="A2566" s="529" t="s">
        <v>166</v>
      </c>
      <c r="B2566" s="529">
        <v>88489</v>
      </c>
      <c r="C2566" s="530" t="s">
        <v>108</v>
      </c>
      <c r="D2566" s="529" t="s">
        <v>24</v>
      </c>
      <c r="E2566" s="252"/>
      <c r="F2566" s="531">
        <v>8.14</v>
      </c>
      <c r="G2566" s="252">
        <f t="shared" si="54"/>
        <v>0</v>
      </c>
    </row>
    <row r="2567" spans="1:7" x14ac:dyDescent="0.3">
      <c r="A2567" s="524" t="s">
        <v>508</v>
      </c>
      <c r="B2567" s="524" t="s">
        <v>1592</v>
      </c>
      <c r="C2567" s="525" t="s">
        <v>1593</v>
      </c>
      <c r="D2567" s="524" t="s">
        <v>1392</v>
      </c>
      <c r="E2567" s="606">
        <v>0.3</v>
      </c>
      <c r="F2567" s="526">
        <v>18</v>
      </c>
      <c r="G2567" s="252">
        <f t="shared" si="54"/>
        <v>5.4</v>
      </c>
    </row>
    <row r="2568" spans="1:7" x14ac:dyDescent="0.3">
      <c r="A2568" s="524" t="s">
        <v>522</v>
      </c>
      <c r="B2568" s="524" t="s">
        <v>1579</v>
      </c>
      <c r="C2568" s="525" t="s">
        <v>1580</v>
      </c>
      <c r="D2568" s="524" t="s">
        <v>32</v>
      </c>
      <c r="E2568" s="606">
        <v>0.1</v>
      </c>
      <c r="F2568" s="526" t="s">
        <v>1582</v>
      </c>
      <c r="G2568" s="252">
        <f t="shared" si="54"/>
        <v>1.88</v>
      </c>
    </row>
    <row r="2569" spans="1:7" x14ac:dyDescent="0.3">
      <c r="A2569" s="524" t="s">
        <v>522</v>
      </c>
      <c r="B2569" s="524" t="s">
        <v>1359</v>
      </c>
      <c r="C2569" s="525" t="s">
        <v>801</v>
      </c>
      <c r="D2569" s="524" t="s">
        <v>32</v>
      </c>
      <c r="E2569" s="524">
        <v>0.06</v>
      </c>
      <c r="F2569" s="526" t="s">
        <v>1361</v>
      </c>
      <c r="G2569" s="252">
        <f t="shared" si="54"/>
        <v>0.86</v>
      </c>
    </row>
    <row r="2570" spans="1:7" x14ac:dyDescent="0.3">
      <c r="A2570" s="680" t="s">
        <v>1152</v>
      </c>
      <c r="B2570" s="681"/>
      <c r="C2570" s="681"/>
      <c r="D2570" s="681"/>
      <c r="E2570" s="681"/>
      <c r="F2570" s="682"/>
      <c r="G2570" s="527">
        <f>SUM(G2566:G2569)</f>
        <v>8.14</v>
      </c>
    </row>
    <row r="2571" spans="1:7" x14ac:dyDescent="0.3">
      <c r="A2571" s="683">
        <f>TRUNC(E2571*F2571,2)</f>
        <v>0</v>
      </c>
      <c r="B2571" s="684"/>
      <c r="C2571" s="684"/>
      <c r="D2571" s="684"/>
      <c r="E2571" s="684"/>
      <c r="F2571" s="684"/>
      <c r="G2571" s="685"/>
    </row>
    <row r="2572" spans="1:7" ht="28.8" x14ac:dyDescent="0.3">
      <c r="A2572" s="529" t="s">
        <v>167</v>
      </c>
      <c r="B2572" s="529">
        <v>100725</v>
      </c>
      <c r="C2572" s="530" t="s">
        <v>804</v>
      </c>
      <c r="D2572" s="529" t="s">
        <v>24</v>
      </c>
      <c r="E2572" s="252"/>
      <c r="F2572" s="531">
        <v>16.12</v>
      </c>
      <c r="G2572" s="252">
        <f t="shared" si="54"/>
        <v>0</v>
      </c>
    </row>
    <row r="2573" spans="1:7" x14ac:dyDescent="0.3">
      <c r="A2573" s="524" t="s">
        <v>508</v>
      </c>
      <c r="B2573" s="524" t="s">
        <v>1597</v>
      </c>
      <c r="C2573" s="525" t="s">
        <v>1598</v>
      </c>
      <c r="D2573" s="524" t="s">
        <v>1392</v>
      </c>
      <c r="E2573" s="524" t="s">
        <v>1604</v>
      </c>
      <c r="F2573" s="528" t="s">
        <v>1600</v>
      </c>
      <c r="G2573" s="252">
        <f t="shared" si="54"/>
        <v>0.77</v>
      </c>
    </row>
    <row r="2574" spans="1:7" x14ac:dyDescent="0.3">
      <c r="A2574" s="524" t="s">
        <v>508</v>
      </c>
      <c r="B2574" s="524" t="s">
        <v>1605</v>
      </c>
      <c r="C2574" s="525" t="s">
        <v>1606</v>
      </c>
      <c r="D2574" s="524" t="s">
        <v>1392</v>
      </c>
      <c r="E2574" s="524" t="s">
        <v>1607</v>
      </c>
      <c r="F2574" s="528" t="s">
        <v>1615</v>
      </c>
      <c r="G2574" s="252">
        <f t="shared" si="54"/>
        <v>5.16</v>
      </c>
    </row>
    <row r="2575" spans="1:7" x14ac:dyDescent="0.3">
      <c r="A2575" s="524" t="s">
        <v>522</v>
      </c>
      <c r="B2575" s="524" t="s">
        <v>1579</v>
      </c>
      <c r="C2575" s="525" t="s">
        <v>1580</v>
      </c>
      <c r="D2575" s="524" t="s">
        <v>32</v>
      </c>
      <c r="E2575" s="524" t="s">
        <v>1608</v>
      </c>
      <c r="F2575" s="528" t="s">
        <v>1582</v>
      </c>
      <c r="G2575" s="252">
        <f t="shared" si="54"/>
        <v>9.94</v>
      </c>
    </row>
    <row r="2576" spans="1:7" ht="43.2" x14ac:dyDescent="0.3">
      <c r="A2576" s="524" t="s">
        <v>522</v>
      </c>
      <c r="B2576" s="524" t="s">
        <v>1609</v>
      </c>
      <c r="C2576" s="525" t="s">
        <v>1610</v>
      </c>
      <c r="D2576" s="524" t="s">
        <v>1437</v>
      </c>
      <c r="E2576" s="524" t="s">
        <v>1611</v>
      </c>
      <c r="F2576" s="528" t="s">
        <v>1616</v>
      </c>
      <c r="G2576" s="252">
        <f t="shared" si="54"/>
        <v>0.05</v>
      </c>
    </row>
    <row r="2577" spans="1:7" ht="43.2" x14ac:dyDescent="0.3">
      <c r="A2577" s="524" t="s">
        <v>522</v>
      </c>
      <c r="B2577" s="524" t="s">
        <v>1612</v>
      </c>
      <c r="C2577" s="525" t="s">
        <v>1613</v>
      </c>
      <c r="D2577" s="524" t="s">
        <v>410</v>
      </c>
      <c r="E2577" s="524" t="s">
        <v>1614</v>
      </c>
      <c r="F2577" s="528" t="s">
        <v>1617</v>
      </c>
      <c r="G2577" s="252">
        <f t="shared" si="54"/>
        <v>0.2</v>
      </c>
    </row>
    <row r="2578" spans="1:7" x14ac:dyDescent="0.3">
      <c r="A2578" s="680" t="s">
        <v>1152</v>
      </c>
      <c r="B2578" s="681"/>
      <c r="C2578" s="681"/>
      <c r="D2578" s="681"/>
      <c r="E2578" s="681"/>
      <c r="F2578" s="682"/>
      <c r="G2578" s="527">
        <f>SUM(G2572:G2577)</f>
        <v>16.12</v>
      </c>
    </row>
    <row r="2579" spans="1:7" x14ac:dyDescent="0.3">
      <c r="A2579" s="683">
        <f>TRUNC(E2579*F2579,2)</f>
        <v>0</v>
      </c>
      <c r="B2579" s="684"/>
      <c r="C2579" s="684"/>
      <c r="D2579" s="684"/>
      <c r="E2579" s="684"/>
      <c r="F2579" s="684"/>
      <c r="G2579" s="685"/>
    </row>
    <row r="2580" spans="1:7" x14ac:dyDescent="0.3">
      <c r="A2580" s="529"/>
      <c r="B2580" s="529"/>
      <c r="C2580" s="530"/>
      <c r="D2580" s="529"/>
      <c r="E2580" s="252"/>
      <c r="F2580" s="531"/>
      <c r="G2580" s="252"/>
    </row>
    <row r="2581" spans="1:7" x14ac:dyDescent="0.3">
      <c r="A2581" s="529"/>
      <c r="B2581" s="529"/>
      <c r="C2581" s="530"/>
      <c r="D2581" s="529"/>
      <c r="E2581" s="252"/>
      <c r="F2581" s="531"/>
      <c r="G2581" s="252"/>
    </row>
    <row r="2582" spans="1:7" ht="28.8" x14ac:dyDescent="0.3">
      <c r="A2582" s="529" t="s">
        <v>169</v>
      </c>
      <c r="B2582" s="529">
        <v>100727</v>
      </c>
      <c r="C2582" s="530" t="s">
        <v>805</v>
      </c>
      <c r="D2582" s="529" t="s">
        <v>24</v>
      </c>
      <c r="E2582" s="252"/>
      <c r="F2582" s="531">
        <v>11.97</v>
      </c>
      <c r="G2582" s="252">
        <f t="shared" si="54"/>
        <v>0</v>
      </c>
    </row>
    <row r="2583" spans="1:7" x14ac:dyDescent="0.3">
      <c r="A2583" s="524" t="s">
        <v>508</v>
      </c>
      <c r="B2583" s="524" t="s">
        <v>1618</v>
      </c>
      <c r="C2583" s="525" t="s">
        <v>1619</v>
      </c>
      <c r="D2583" s="524" t="s">
        <v>1392</v>
      </c>
      <c r="E2583" s="524" t="s">
        <v>1620</v>
      </c>
      <c r="F2583" s="528" t="s">
        <v>1621</v>
      </c>
      <c r="G2583" s="252">
        <f t="shared" si="54"/>
        <v>1.08</v>
      </c>
    </row>
    <row r="2584" spans="1:7" x14ac:dyDescent="0.3">
      <c r="A2584" s="524" t="s">
        <v>508</v>
      </c>
      <c r="B2584" s="524" t="s">
        <v>1622</v>
      </c>
      <c r="C2584" s="525" t="s">
        <v>1623</v>
      </c>
      <c r="D2584" s="524" t="s">
        <v>1624</v>
      </c>
      <c r="E2584" s="524" t="s">
        <v>1625</v>
      </c>
      <c r="F2584" s="528" t="s">
        <v>1626</v>
      </c>
      <c r="G2584" s="252">
        <f t="shared" si="54"/>
        <v>9.6199999999999992</v>
      </c>
    </row>
    <row r="2585" spans="1:7" x14ac:dyDescent="0.3">
      <c r="A2585" s="524" t="s">
        <v>522</v>
      </c>
      <c r="B2585" s="524" t="s">
        <v>1627</v>
      </c>
      <c r="C2585" s="525" t="s">
        <v>1628</v>
      </c>
      <c r="D2585" s="524" t="s">
        <v>32</v>
      </c>
      <c r="E2585" s="524" t="s">
        <v>1629</v>
      </c>
      <c r="F2585" s="528" t="s">
        <v>1630</v>
      </c>
      <c r="G2585" s="252">
        <f t="shared" si="54"/>
        <v>1.25</v>
      </c>
    </row>
    <row r="2586" spans="1:7" ht="43.2" x14ac:dyDescent="0.3">
      <c r="A2586" s="524" t="s">
        <v>522</v>
      </c>
      <c r="B2586" s="524" t="s">
        <v>1612</v>
      </c>
      <c r="C2586" s="525" t="s">
        <v>1613</v>
      </c>
      <c r="D2586" s="524" t="s">
        <v>410</v>
      </c>
      <c r="E2586" s="524" t="s">
        <v>1631</v>
      </c>
      <c r="F2586" s="528" t="s">
        <v>1617</v>
      </c>
      <c r="G2586" s="252">
        <f t="shared" si="54"/>
        <v>0.02</v>
      </c>
    </row>
    <row r="2587" spans="1:7" x14ac:dyDescent="0.3">
      <c r="A2587" s="680" t="s">
        <v>1152</v>
      </c>
      <c r="B2587" s="681"/>
      <c r="C2587" s="681"/>
      <c r="D2587" s="681"/>
      <c r="E2587" s="681"/>
      <c r="F2587" s="682"/>
      <c r="G2587" s="527">
        <f>SUM(G2582:G2586)</f>
        <v>11.969999999999999</v>
      </c>
    </row>
    <row r="2588" spans="1:7" x14ac:dyDescent="0.3">
      <c r="A2588" s="683">
        <f>TRUNC(E2588*F2588,2)</f>
        <v>0</v>
      </c>
      <c r="B2588" s="684"/>
      <c r="C2588" s="684"/>
      <c r="D2588" s="684"/>
      <c r="E2588" s="684"/>
      <c r="F2588" s="684"/>
      <c r="G2588" s="685"/>
    </row>
    <row r="2589" spans="1:7" x14ac:dyDescent="0.3">
      <c r="A2589" s="529" t="s">
        <v>171</v>
      </c>
      <c r="B2589" s="529">
        <v>88488</v>
      </c>
      <c r="C2589" s="530" t="s">
        <v>332</v>
      </c>
      <c r="D2589" s="529" t="s">
        <v>24</v>
      </c>
      <c r="E2589" s="252"/>
      <c r="F2589" s="531">
        <v>8.42</v>
      </c>
      <c r="G2589" s="252">
        <f t="shared" si="54"/>
        <v>0</v>
      </c>
    </row>
    <row r="2590" spans="1:7" x14ac:dyDescent="0.3">
      <c r="A2590" s="524" t="s">
        <v>508</v>
      </c>
      <c r="B2590" s="524" t="s">
        <v>1592</v>
      </c>
      <c r="C2590" s="525" t="s">
        <v>1593</v>
      </c>
      <c r="D2590" s="524" t="s">
        <v>1392</v>
      </c>
      <c r="E2590" s="606">
        <v>0.3</v>
      </c>
      <c r="F2590" s="526">
        <v>18</v>
      </c>
      <c r="G2590" s="252">
        <f t="shared" si="54"/>
        <v>5.4</v>
      </c>
    </row>
    <row r="2591" spans="1:7" x14ac:dyDescent="0.3">
      <c r="A2591" s="524" t="s">
        <v>522</v>
      </c>
      <c r="B2591" s="524" t="s">
        <v>1579</v>
      </c>
      <c r="C2591" s="525" t="s">
        <v>1580</v>
      </c>
      <c r="D2591" s="524" t="s">
        <v>32</v>
      </c>
      <c r="E2591" s="606">
        <v>0.1</v>
      </c>
      <c r="F2591" s="526" t="s">
        <v>1582</v>
      </c>
      <c r="G2591" s="252">
        <f t="shared" ref="G2591:G2592" si="56">TRUNC(E2591*F2591,2)</f>
        <v>1.88</v>
      </c>
    </row>
    <row r="2592" spans="1:7" x14ac:dyDescent="0.3">
      <c r="A2592" s="524" t="s">
        <v>522</v>
      </c>
      <c r="B2592" s="524" t="s">
        <v>1359</v>
      </c>
      <c r="C2592" s="525" t="s">
        <v>801</v>
      </c>
      <c r="D2592" s="524" t="s">
        <v>32</v>
      </c>
      <c r="E2592" s="607">
        <v>0.08</v>
      </c>
      <c r="F2592" s="526" t="s">
        <v>1361</v>
      </c>
      <c r="G2592" s="252">
        <f t="shared" si="56"/>
        <v>1.1399999999999999</v>
      </c>
    </row>
    <row r="2593" spans="1:7" x14ac:dyDescent="0.3">
      <c r="A2593" s="680" t="s">
        <v>1152</v>
      </c>
      <c r="B2593" s="681"/>
      <c r="C2593" s="681"/>
      <c r="D2593" s="681"/>
      <c r="E2593" s="681"/>
      <c r="F2593" s="682"/>
      <c r="G2593" s="527">
        <f>SUM(G2589:G2592)</f>
        <v>8.42</v>
      </c>
    </row>
    <row r="2594" spans="1:7" x14ac:dyDescent="0.3">
      <c r="A2594" s="683">
        <f>TRUNC(E2594*F2594,2)</f>
        <v>0</v>
      </c>
      <c r="B2594" s="684"/>
      <c r="C2594" s="684"/>
      <c r="D2594" s="684"/>
      <c r="E2594" s="684"/>
      <c r="F2594" s="684"/>
      <c r="G2594" s="685"/>
    </row>
    <row r="2595" spans="1:7" x14ac:dyDescent="0.3">
      <c r="A2595" s="529" t="s">
        <v>173</v>
      </c>
      <c r="B2595" s="529">
        <v>100725</v>
      </c>
      <c r="C2595" s="530" t="s">
        <v>113</v>
      </c>
      <c r="D2595" s="529" t="s">
        <v>24</v>
      </c>
      <c r="E2595" s="252"/>
      <c r="F2595" s="531">
        <v>16.12</v>
      </c>
      <c r="G2595" s="252">
        <f t="shared" si="54"/>
        <v>0</v>
      </c>
    </row>
    <row r="2596" spans="1:7" x14ac:dyDescent="0.3">
      <c r="A2596" s="524" t="s">
        <v>508</v>
      </c>
      <c r="B2596" s="524" t="s">
        <v>1597</v>
      </c>
      <c r="C2596" s="525" t="s">
        <v>1598</v>
      </c>
      <c r="D2596" s="524" t="s">
        <v>1392</v>
      </c>
      <c r="E2596" s="524" t="s">
        <v>1604</v>
      </c>
      <c r="F2596" s="528" t="s">
        <v>1600</v>
      </c>
      <c r="G2596" s="252">
        <f t="shared" ref="G2596:G2600" si="57">TRUNC(E2596*F2596,2)</f>
        <v>0.77</v>
      </c>
    </row>
    <row r="2597" spans="1:7" x14ac:dyDescent="0.3">
      <c r="A2597" s="524" t="s">
        <v>508</v>
      </c>
      <c r="B2597" s="524" t="s">
        <v>1605</v>
      </c>
      <c r="C2597" s="525" t="s">
        <v>1606</v>
      </c>
      <c r="D2597" s="524" t="s">
        <v>1392</v>
      </c>
      <c r="E2597" s="524" t="s">
        <v>1607</v>
      </c>
      <c r="F2597" s="528" t="s">
        <v>1615</v>
      </c>
      <c r="G2597" s="252">
        <f t="shared" si="57"/>
        <v>5.16</v>
      </c>
    </row>
    <row r="2598" spans="1:7" x14ac:dyDescent="0.3">
      <c r="A2598" s="524" t="s">
        <v>522</v>
      </c>
      <c r="B2598" s="524" t="s">
        <v>1579</v>
      </c>
      <c r="C2598" s="525" t="s">
        <v>1580</v>
      </c>
      <c r="D2598" s="524" t="s">
        <v>32</v>
      </c>
      <c r="E2598" s="524" t="s">
        <v>1608</v>
      </c>
      <c r="F2598" s="528" t="s">
        <v>1582</v>
      </c>
      <c r="G2598" s="252">
        <f t="shared" si="57"/>
        <v>9.94</v>
      </c>
    </row>
    <row r="2599" spans="1:7" ht="43.2" x14ac:dyDescent="0.3">
      <c r="A2599" s="524" t="s">
        <v>522</v>
      </c>
      <c r="B2599" s="524" t="s">
        <v>1609</v>
      </c>
      <c r="C2599" s="525" t="s">
        <v>1610</v>
      </c>
      <c r="D2599" s="524" t="s">
        <v>1437</v>
      </c>
      <c r="E2599" s="524" t="s">
        <v>1611</v>
      </c>
      <c r="F2599" s="528" t="s">
        <v>1616</v>
      </c>
      <c r="G2599" s="252">
        <f t="shared" si="57"/>
        <v>0.05</v>
      </c>
    </row>
    <row r="2600" spans="1:7" ht="43.2" x14ac:dyDescent="0.3">
      <c r="A2600" s="524" t="s">
        <v>522</v>
      </c>
      <c r="B2600" s="524" t="s">
        <v>1612</v>
      </c>
      <c r="C2600" s="525" t="s">
        <v>1613</v>
      </c>
      <c r="D2600" s="524" t="s">
        <v>410</v>
      </c>
      <c r="E2600" s="524" t="s">
        <v>1614</v>
      </c>
      <c r="F2600" s="528" t="s">
        <v>1617</v>
      </c>
      <c r="G2600" s="252">
        <f t="shared" si="57"/>
        <v>0.2</v>
      </c>
    </row>
    <row r="2601" spans="1:7" x14ac:dyDescent="0.3">
      <c r="A2601" s="680" t="s">
        <v>1152</v>
      </c>
      <c r="B2601" s="681"/>
      <c r="C2601" s="681"/>
      <c r="D2601" s="681"/>
      <c r="E2601" s="681"/>
      <c r="F2601" s="682"/>
      <c r="G2601" s="527">
        <f>SUM(G2595:G2600)</f>
        <v>16.12</v>
      </c>
    </row>
    <row r="2602" spans="1:7" x14ac:dyDescent="0.3">
      <c r="A2602" s="683">
        <f>TRUNC(E2602*F2602,2)</f>
        <v>0</v>
      </c>
      <c r="B2602" s="684"/>
      <c r="C2602" s="684"/>
      <c r="D2602" s="684"/>
      <c r="E2602" s="684"/>
      <c r="F2602" s="684"/>
      <c r="G2602" s="685"/>
    </row>
    <row r="2603" spans="1:7" x14ac:dyDescent="0.3">
      <c r="A2603" s="529" t="s">
        <v>186</v>
      </c>
      <c r="B2603" s="529"/>
      <c r="C2603" s="530" t="s">
        <v>117</v>
      </c>
      <c r="D2603" s="529"/>
      <c r="E2603" s="252"/>
      <c r="F2603" s="531"/>
      <c r="G2603" s="252">
        <f t="shared" si="54"/>
        <v>0</v>
      </c>
    </row>
    <row r="2604" spans="1:7" ht="28.8" x14ac:dyDescent="0.3">
      <c r="A2604" s="529" t="s">
        <v>188</v>
      </c>
      <c r="B2604" s="529">
        <v>91932</v>
      </c>
      <c r="C2604" s="530" t="s">
        <v>119</v>
      </c>
      <c r="D2604" s="529" t="s">
        <v>55</v>
      </c>
      <c r="E2604" s="252"/>
      <c r="F2604" s="531">
        <v>9.9499999999999993</v>
      </c>
      <c r="G2604" s="252">
        <f t="shared" si="54"/>
        <v>0</v>
      </c>
    </row>
    <row r="2605" spans="1:7" ht="28.8" x14ac:dyDescent="0.3">
      <c r="A2605" s="524" t="s">
        <v>508</v>
      </c>
      <c r="B2605" s="524" t="s">
        <v>1637</v>
      </c>
      <c r="C2605" s="525" t="s">
        <v>1638</v>
      </c>
      <c r="D2605" s="524" t="s">
        <v>55</v>
      </c>
      <c r="E2605" s="524" t="s">
        <v>1639</v>
      </c>
      <c r="F2605" s="528" t="s">
        <v>1640</v>
      </c>
      <c r="G2605" s="252">
        <f t="shared" si="54"/>
        <v>7.41</v>
      </c>
    </row>
    <row r="2606" spans="1:7" x14ac:dyDescent="0.3">
      <c r="A2606" s="524" t="s">
        <v>508</v>
      </c>
      <c r="B2606" s="524" t="s">
        <v>1641</v>
      </c>
      <c r="C2606" s="525" t="s">
        <v>1642</v>
      </c>
      <c r="D2606" s="524" t="s">
        <v>397</v>
      </c>
      <c r="E2606" s="524" t="s">
        <v>1643</v>
      </c>
      <c r="F2606" s="528" t="s">
        <v>1644</v>
      </c>
      <c r="G2606" s="252">
        <f t="shared" si="54"/>
        <v>0.03</v>
      </c>
    </row>
    <row r="2607" spans="1:7" x14ac:dyDescent="0.3">
      <c r="A2607" s="524" t="s">
        <v>522</v>
      </c>
      <c r="B2607" s="524" t="s">
        <v>611</v>
      </c>
      <c r="C2607" s="525" t="s">
        <v>546</v>
      </c>
      <c r="D2607" s="524" t="s">
        <v>32</v>
      </c>
      <c r="E2607" s="524" t="s">
        <v>1645</v>
      </c>
      <c r="F2607" s="528" t="s">
        <v>1646</v>
      </c>
      <c r="G2607" s="252">
        <f t="shared" si="54"/>
        <v>1.1000000000000001</v>
      </c>
    </row>
    <row r="2608" spans="1:7" x14ac:dyDescent="0.3">
      <c r="A2608" s="524" t="s">
        <v>522</v>
      </c>
      <c r="B2608" s="524" t="s">
        <v>610</v>
      </c>
      <c r="C2608" s="525" t="s">
        <v>543</v>
      </c>
      <c r="D2608" s="524" t="s">
        <v>32</v>
      </c>
      <c r="E2608" s="524" t="s">
        <v>1645</v>
      </c>
      <c r="F2608" s="528" t="s">
        <v>1647</v>
      </c>
      <c r="G2608" s="252">
        <f t="shared" si="54"/>
        <v>1.41</v>
      </c>
    </row>
    <row r="2609" spans="1:7" x14ac:dyDescent="0.3">
      <c r="A2609" s="680" t="s">
        <v>1152</v>
      </c>
      <c r="B2609" s="681"/>
      <c r="C2609" s="681"/>
      <c r="D2609" s="681"/>
      <c r="E2609" s="681"/>
      <c r="F2609" s="682"/>
      <c r="G2609" s="527">
        <f>SUM(G2605:G2608)</f>
        <v>9.9500000000000011</v>
      </c>
    </row>
    <row r="2610" spans="1:7" x14ac:dyDescent="0.3">
      <c r="A2610" s="683">
        <f>TRUNC(E2610*F2610,2)</f>
        <v>0</v>
      </c>
      <c r="B2610" s="684"/>
      <c r="C2610" s="684"/>
      <c r="D2610" s="684"/>
      <c r="E2610" s="684"/>
      <c r="F2610" s="684"/>
      <c r="G2610" s="685"/>
    </row>
    <row r="2611" spans="1:7" ht="28.8" x14ac:dyDescent="0.3">
      <c r="A2611" s="529" t="s">
        <v>200</v>
      </c>
      <c r="B2611" s="529">
        <v>92981</v>
      </c>
      <c r="C2611" s="530" t="s">
        <v>335</v>
      </c>
      <c r="D2611" s="529" t="s">
        <v>55</v>
      </c>
      <c r="E2611" s="252"/>
      <c r="F2611" s="531">
        <v>10.3</v>
      </c>
      <c r="G2611" s="252">
        <f t="shared" si="54"/>
        <v>0</v>
      </c>
    </row>
    <row r="2612" spans="1:7" ht="28.8" x14ac:dyDescent="0.3">
      <c r="A2612" s="524" t="s">
        <v>508</v>
      </c>
      <c r="B2612" s="524" t="s">
        <v>2078</v>
      </c>
      <c r="C2612" s="525" t="s">
        <v>2079</v>
      </c>
      <c r="D2612" s="524" t="s">
        <v>55</v>
      </c>
      <c r="E2612" s="524" t="s">
        <v>2080</v>
      </c>
      <c r="F2612" s="526" t="s">
        <v>2081</v>
      </c>
      <c r="G2612" s="252">
        <f t="shared" si="54"/>
        <v>9.86</v>
      </c>
    </row>
    <row r="2613" spans="1:7" x14ac:dyDescent="0.3">
      <c r="A2613" s="524" t="s">
        <v>508</v>
      </c>
      <c r="B2613" s="524" t="s">
        <v>1641</v>
      </c>
      <c r="C2613" s="525" t="s">
        <v>1642</v>
      </c>
      <c r="D2613" s="524" t="s">
        <v>397</v>
      </c>
      <c r="E2613" s="524" t="s">
        <v>1538</v>
      </c>
      <c r="F2613" s="526" t="s">
        <v>1644</v>
      </c>
      <c r="G2613" s="252">
        <f t="shared" si="54"/>
        <v>0.03</v>
      </c>
    </row>
    <row r="2614" spans="1:7" x14ac:dyDescent="0.3">
      <c r="A2614" s="524" t="s">
        <v>522</v>
      </c>
      <c r="B2614" s="524" t="s">
        <v>611</v>
      </c>
      <c r="C2614" s="525" t="s">
        <v>546</v>
      </c>
      <c r="D2614" s="524" t="s">
        <v>32</v>
      </c>
      <c r="E2614" s="524" t="s">
        <v>1994</v>
      </c>
      <c r="F2614" s="526" t="s">
        <v>1646</v>
      </c>
      <c r="G2614" s="252">
        <f t="shared" si="54"/>
        <v>0.18</v>
      </c>
    </row>
    <row r="2615" spans="1:7" x14ac:dyDescent="0.3">
      <c r="A2615" s="524" t="s">
        <v>522</v>
      </c>
      <c r="B2615" s="524" t="s">
        <v>610</v>
      </c>
      <c r="C2615" s="525" t="s">
        <v>543</v>
      </c>
      <c r="D2615" s="524" t="s">
        <v>32</v>
      </c>
      <c r="E2615" s="524" t="s">
        <v>1994</v>
      </c>
      <c r="F2615" s="526" t="s">
        <v>1647</v>
      </c>
      <c r="G2615" s="252">
        <f t="shared" ref="G2615" si="58">TRUNC(E2615*F2615,2)</f>
        <v>0.23</v>
      </c>
    </row>
    <row r="2616" spans="1:7" x14ac:dyDescent="0.3">
      <c r="A2616" s="680" t="s">
        <v>1152</v>
      </c>
      <c r="B2616" s="681"/>
      <c r="C2616" s="681"/>
      <c r="D2616" s="681"/>
      <c r="E2616" s="681"/>
      <c r="F2616" s="682"/>
      <c r="G2616" s="527">
        <f>SUM(G2612:G2615)</f>
        <v>10.299999999999999</v>
      </c>
    </row>
    <row r="2617" spans="1:7" x14ac:dyDescent="0.3">
      <c r="A2617" s="683">
        <f>TRUNC(E2617*F2617,2)</f>
        <v>0</v>
      </c>
      <c r="B2617" s="684"/>
      <c r="C2617" s="684"/>
      <c r="D2617" s="684"/>
      <c r="E2617" s="684"/>
      <c r="F2617" s="684"/>
      <c r="G2617" s="685"/>
    </row>
    <row r="2618" spans="1:7" ht="28.8" x14ac:dyDescent="0.3">
      <c r="A2618" s="529" t="s">
        <v>236</v>
      </c>
      <c r="B2618" s="529">
        <v>92985</v>
      </c>
      <c r="C2618" s="530" t="s">
        <v>336</v>
      </c>
      <c r="D2618" s="529" t="s">
        <v>55</v>
      </c>
      <c r="E2618" s="252"/>
      <c r="F2618" s="531">
        <v>23.91</v>
      </c>
      <c r="G2618" s="252">
        <f t="shared" si="54"/>
        <v>0</v>
      </c>
    </row>
    <row r="2619" spans="1:7" x14ac:dyDescent="0.3">
      <c r="A2619" s="524" t="s">
        <v>508</v>
      </c>
      <c r="B2619" s="524" t="s">
        <v>1641</v>
      </c>
      <c r="C2619" s="525" t="s">
        <v>1642</v>
      </c>
      <c r="D2619" s="524" t="s">
        <v>397</v>
      </c>
      <c r="E2619" s="524" t="s">
        <v>1643</v>
      </c>
      <c r="F2619" s="526" t="s">
        <v>1644</v>
      </c>
      <c r="G2619" s="252">
        <f t="shared" ref="G2619:G2622" si="59">TRUNC(E2619*F2619,2)</f>
        <v>0.03</v>
      </c>
    </row>
    <row r="2620" spans="1:7" ht="28.8" x14ac:dyDescent="0.3">
      <c r="A2620" s="524" t="s">
        <v>508</v>
      </c>
      <c r="B2620" s="524" t="s">
        <v>2082</v>
      </c>
      <c r="C2620" s="525" t="s">
        <v>2083</v>
      </c>
      <c r="D2620" s="524" t="s">
        <v>55</v>
      </c>
      <c r="E2620" s="524" t="s">
        <v>2084</v>
      </c>
      <c r="F2620" s="526" t="s">
        <v>914</v>
      </c>
      <c r="G2620" s="252">
        <f t="shared" si="59"/>
        <v>21.5</v>
      </c>
    </row>
    <row r="2621" spans="1:7" x14ac:dyDescent="0.3">
      <c r="A2621" s="524" t="s">
        <v>522</v>
      </c>
      <c r="B2621" s="524" t="s">
        <v>611</v>
      </c>
      <c r="C2621" s="525" t="s">
        <v>546</v>
      </c>
      <c r="D2621" s="524" t="s">
        <v>32</v>
      </c>
      <c r="E2621" s="524" t="s">
        <v>2085</v>
      </c>
      <c r="F2621" s="526" t="s">
        <v>1646</v>
      </c>
      <c r="G2621" s="252">
        <f t="shared" si="59"/>
        <v>1.04</v>
      </c>
    </row>
    <row r="2622" spans="1:7" x14ac:dyDescent="0.3">
      <c r="A2622" s="524" t="s">
        <v>522</v>
      </c>
      <c r="B2622" s="524" t="s">
        <v>610</v>
      </c>
      <c r="C2622" s="525" t="s">
        <v>543</v>
      </c>
      <c r="D2622" s="524" t="s">
        <v>32</v>
      </c>
      <c r="E2622" s="524" t="s">
        <v>2085</v>
      </c>
      <c r="F2622" s="526" t="s">
        <v>1647</v>
      </c>
      <c r="G2622" s="252">
        <f t="shared" si="59"/>
        <v>1.34</v>
      </c>
    </row>
    <row r="2623" spans="1:7" x14ac:dyDescent="0.3">
      <c r="A2623" s="680" t="s">
        <v>1152</v>
      </c>
      <c r="B2623" s="681"/>
      <c r="C2623" s="681"/>
      <c r="D2623" s="681"/>
      <c r="E2623" s="681"/>
      <c r="F2623" s="682"/>
      <c r="G2623" s="527">
        <f>SUM(G2619:G2622)</f>
        <v>23.91</v>
      </c>
    </row>
    <row r="2624" spans="1:7" x14ac:dyDescent="0.3">
      <c r="A2624" s="683">
        <f>TRUNC(E2624*F2624,2)</f>
        <v>0</v>
      </c>
      <c r="B2624" s="684"/>
      <c r="C2624" s="684"/>
      <c r="D2624" s="684"/>
      <c r="E2624" s="684"/>
      <c r="F2624" s="684"/>
      <c r="G2624" s="685"/>
    </row>
    <row r="2625" spans="1:7" ht="28.8" x14ac:dyDescent="0.3">
      <c r="A2625" s="529" t="s">
        <v>237</v>
      </c>
      <c r="B2625" s="529">
        <v>91930</v>
      </c>
      <c r="C2625" s="530" t="s">
        <v>121</v>
      </c>
      <c r="D2625" s="529" t="s">
        <v>55</v>
      </c>
      <c r="E2625" s="252"/>
      <c r="F2625" s="531">
        <v>5.5</v>
      </c>
      <c r="G2625" s="252">
        <f t="shared" si="54"/>
        <v>0</v>
      </c>
    </row>
    <row r="2626" spans="1:7" ht="28.8" x14ac:dyDescent="0.3">
      <c r="A2626" s="524" t="s">
        <v>508</v>
      </c>
      <c r="B2626" s="524" t="s">
        <v>1648</v>
      </c>
      <c r="C2626" s="525" t="s">
        <v>1649</v>
      </c>
      <c r="D2626" s="524" t="s">
        <v>55</v>
      </c>
      <c r="E2626" s="606">
        <v>1.036</v>
      </c>
      <c r="F2626" s="528" t="s">
        <v>1650</v>
      </c>
      <c r="G2626" s="252">
        <f t="shared" si="54"/>
        <v>3.78</v>
      </c>
    </row>
    <row r="2627" spans="1:7" x14ac:dyDescent="0.3">
      <c r="A2627" s="524" t="s">
        <v>508</v>
      </c>
      <c r="B2627" s="524" t="s">
        <v>1641</v>
      </c>
      <c r="C2627" s="525" t="s">
        <v>1642</v>
      </c>
      <c r="D2627" s="524" t="s">
        <v>397</v>
      </c>
      <c r="E2627" s="524" t="s">
        <v>1643</v>
      </c>
      <c r="F2627" s="528" t="s">
        <v>1644</v>
      </c>
      <c r="G2627" s="252">
        <f t="shared" si="54"/>
        <v>0.03</v>
      </c>
    </row>
    <row r="2628" spans="1:7" x14ac:dyDescent="0.3">
      <c r="A2628" s="524" t="s">
        <v>522</v>
      </c>
      <c r="B2628" s="524" t="s">
        <v>611</v>
      </c>
      <c r="C2628" s="525" t="s">
        <v>546</v>
      </c>
      <c r="D2628" s="524" t="s">
        <v>32</v>
      </c>
      <c r="E2628" s="524" t="s">
        <v>1651</v>
      </c>
      <c r="F2628" s="528" t="s">
        <v>1646</v>
      </c>
      <c r="G2628" s="252">
        <f t="shared" si="54"/>
        <v>0.74</v>
      </c>
    </row>
    <row r="2629" spans="1:7" x14ac:dyDescent="0.3">
      <c r="A2629" s="524" t="s">
        <v>522</v>
      </c>
      <c r="B2629" s="524" t="s">
        <v>610</v>
      </c>
      <c r="C2629" s="525" t="s">
        <v>543</v>
      </c>
      <c r="D2629" s="524" t="s">
        <v>32</v>
      </c>
      <c r="E2629" s="524" t="s">
        <v>1651</v>
      </c>
      <c r="F2629" s="528" t="s">
        <v>1647</v>
      </c>
      <c r="G2629" s="252">
        <f t="shared" si="54"/>
        <v>0.95</v>
      </c>
    </row>
    <row r="2630" spans="1:7" x14ac:dyDescent="0.3">
      <c r="A2630" s="680" t="s">
        <v>1152</v>
      </c>
      <c r="B2630" s="681"/>
      <c r="C2630" s="681"/>
      <c r="D2630" s="681"/>
      <c r="E2630" s="681"/>
      <c r="F2630" s="682"/>
      <c r="G2630" s="527">
        <f>SUM(G2625:G2629)</f>
        <v>5.5</v>
      </c>
    </row>
    <row r="2631" spans="1:7" x14ac:dyDescent="0.3">
      <c r="A2631" s="683">
        <f>TRUNC(E2631*F2631,2)</f>
        <v>0</v>
      </c>
      <c r="B2631" s="684"/>
      <c r="C2631" s="684"/>
      <c r="D2631" s="684"/>
      <c r="E2631" s="684"/>
      <c r="F2631" s="684"/>
      <c r="G2631" s="685"/>
    </row>
    <row r="2632" spans="1:7" ht="28.8" x14ac:dyDescent="0.3">
      <c r="A2632" s="529" t="s">
        <v>238</v>
      </c>
      <c r="B2632" s="529">
        <v>91928</v>
      </c>
      <c r="C2632" s="530" t="s">
        <v>123</v>
      </c>
      <c r="D2632" s="529" t="s">
        <v>55</v>
      </c>
      <c r="E2632" s="252"/>
      <c r="F2632" s="531">
        <v>4.42</v>
      </c>
      <c r="G2632" s="252">
        <f t="shared" si="54"/>
        <v>0</v>
      </c>
    </row>
    <row r="2633" spans="1:7" ht="28.8" x14ac:dyDescent="0.3">
      <c r="A2633" s="524" t="s">
        <v>508</v>
      </c>
      <c r="B2633" s="524" t="s">
        <v>1652</v>
      </c>
      <c r="C2633" s="525" t="s">
        <v>1653</v>
      </c>
      <c r="D2633" s="524" t="s">
        <v>55</v>
      </c>
      <c r="E2633" s="524" t="s">
        <v>1639</v>
      </c>
      <c r="F2633" s="528" t="s">
        <v>1654</v>
      </c>
      <c r="G2633" s="252">
        <f t="shared" si="54"/>
        <v>3.09</v>
      </c>
    </row>
    <row r="2634" spans="1:7" x14ac:dyDescent="0.3">
      <c r="A2634" s="524" t="s">
        <v>508</v>
      </c>
      <c r="B2634" s="524" t="s">
        <v>1641</v>
      </c>
      <c r="C2634" s="525" t="s">
        <v>1642</v>
      </c>
      <c r="D2634" s="524" t="s">
        <v>397</v>
      </c>
      <c r="E2634" s="524" t="s">
        <v>1643</v>
      </c>
      <c r="F2634" s="528" t="s">
        <v>1644</v>
      </c>
      <c r="G2634" s="252">
        <f t="shared" si="54"/>
        <v>0.03</v>
      </c>
    </row>
    <row r="2635" spans="1:7" x14ac:dyDescent="0.3">
      <c r="A2635" s="524" t="s">
        <v>522</v>
      </c>
      <c r="B2635" s="524" t="s">
        <v>611</v>
      </c>
      <c r="C2635" s="525" t="s">
        <v>546</v>
      </c>
      <c r="D2635" s="524" t="s">
        <v>32</v>
      </c>
      <c r="E2635" s="524" t="s">
        <v>1599</v>
      </c>
      <c r="F2635" s="528" t="s">
        <v>1646</v>
      </c>
      <c r="G2635" s="252">
        <f t="shared" si="54"/>
        <v>0.56999999999999995</v>
      </c>
    </row>
    <row r="2636" spans="1:7" x14ac:dyDescent="0.3">
      <c r="A2636" s="524" t="s">
        <v>522</v>
      </c>
      <c r="B2636" s="524" t="s">
        <v>610</v>
      </c>
      <c r="C2636" s="525" t="s">
        <v>543</v>
      </c>
      <c r="D2636" s="524" t="s">
        <v>32</v>
      </c>
      <c r="E2636" s="524" t="s">
        <v>1599</v>
      </c>
      <c r="F2636" s="528" t="s">
        <v>1647</v>
      </c>
      <c r="G2636" s="252">
        <f t="shared" si="54"/>
        <v>0.73</v>
      </c>
    </row>
    <row r="2637" spans="1:7" x14ac:dyDescent="0.3">
      <c r="A2637" s="680" t="s">
        <v>1152</v>
      </c>
      <c r="B2637" s="681"/>
      <c r="C2637" s="681"/>
      <c r="D2637" s="681"/>
      <c r="E2637" s="681"/>
      <c r="F2637" s="682"/>
      <c r="G2637" s="527">
        <f>SUM(G2633:G2636)</f>
        <v>4.42</v>
      </c>
    </row>
    <row r="2638" spans="1:7" x14ac:dyDescent="0.3">
      <c r="A2638" s="683">
        <f>TRUNC(E2638*F2638,2)</f>
        <v>0</v>
      </c>
      <c r="B2638" s="684"/>
      <c r="C2638" s="684"/>
      <c r="D2638" s="684"/>
      <c r="E2638" s="684"/>
      <c r="F2638" s="684"/>
      <c r="G2638" s="685"/>
    </row>
    <row r="2639" spans="1:7" ht="28.8" x14ac:dyDescent="0.3">
      <c r="A2639" s="529" t="s">
        <v>239</v>
      </c>
      <c r="B2639" s="529">
        <v>91927</v>
      </c>
      <c r="C2639" s="530" t="s">
        <v>125</v>
      </c>
      <c r="D2639" s="529" t="s">
        <v>55</v>
      </c>
      <c r="E2639" s="252"/>
      <c r="F2639" s="531">
        <v>3</v>
      </c>
      <c r="G2639" s="252">
        <f t="shared" si="54"/>
        <v>0</v>
      </c>
    </row>
    <row r="2640" spans="1:7" ht="43.2" x14ac:dyDescent="0.3">
      <c r="A2640" s="524" t="s">
        <v>508</v>
      </c>
      <c r="B2640" s="524" t="s">
        <v>1655</v>
      </c>
      <c r="C2640" s="525" t="s">
        <v>1656</v>
      </c>
      <c r="D2640" s="524" t="s">
        <v>55</v>
      </c>
      <c r="E2640" s="606">
        <v>1</v>
      </c>
      <c r="F2640" s="528">
        <v>2</v>
      </c>
      <c r="G2640" s="252">
        <f t="shared" si="54"/>
        <v>2</v>
      </c>
    </row>
    <row r="2641" spans="1:7" x14ac:dyDescent="0.3">
      <c r="A2641" s="524" t="s">
        <v>508</v>
      </c>
      <c r="B2641" s="524" t="s">
        <v>1641</v>
      </c>
      <c r="C2641" s="525" t="s">
        <v>1642</v>
      </c>
      <c r="D2641" s="524" t="s">
        <v>397</v>
      </c>
      <c r="E2641" s="524" t="s">
        <v>1643</v>
      </c>
      <c r="F2641" s="528" t="s">
        <v>1644</v>
      </c>
      <c r="G2641" s="252">
        <f t="shared" si="54"/>
        <v>0.03</v>
      </c>
    </row>
    <row r="2642" spans="1:7" x14ac:dyDescent="0.3">
      <c r="A2642" s="524" t="s">
        <v>522</v>
      </c>
      <c r="B2642" s="524" t="s">
        <v>611</v>
      </c>
      <c r="C2642" s="525" t="s">
        <v>546</v>
      </c>
      <c r="D2642" s="524" t="s">
        <v>32</v>
      </c>
      <c r="E2642" s="524" t="s">
        <v>1657</v>
      </c>
      <c r="F2642" s="528" t="s">
        <v>1646</v>
      </c>
      <c r="G2642" s="252">
        <f t="shared" si="54"/>
        <v>0.42</v>
      </c>
    </row>
    <row r="2643" spans="1:7" x14ac:dyDescent="0.3">
      <c r="A2643" s="524" t="s">
        <v>522</v>
      </c>
      <c r="B2643" s="524" t="s">
        <v>610</v>
      </c>
      <c r="C2643" s="525" t="s">
        <v>543</v>
      </c>
      <c r="D2643" s="524" t="s">
        <v>32</v>
      </c>
      <c r="E2643" s="524" t="s">
        <v>1657</v>
      </c>
      <c r="F2643" s="528" t="s">
        <v>1647</v>
      </c>
      <c r="G2643" s="252">
        <f t="shared" si="54"/>
        <v>0.55000000000000004</v>
      </c>
    </row>
    <row r="2644" spans="1:7" x14ac:dyDescent="0.3">
      <c r="A2644" s="680" t="s">
        <v>1152</v>
      </c>
      <c r="B2644" s="681"/>
      <c r="C2644" s="681"/>
      <c r="D2644" s="681"/>
      <c r="E2644" s="681"/>
      <c r="F2644" s="682"/>
      <c r="G2644" s="527">
        <f>SUM(G2640:G2643)</f>
        <v>3</v>
      </c>
    </row>
    <row r="2645" spans="1:7" x14ac:dyDescent="0.3">
      <c r="A2645" s="683">
        <f>TRUNC(E2645*F2645,2)</f>
        <v>0</v>
      </c>
      <c r="B2645" s="684"/>
      <c r="C2645" s="684"/>
      <c r="D2645" s="684"/>
      <c r="E2645" s="684"/>
      <c r="F2645" s="684"/>
      <c r="G2645" s="685"/>
    </row>
    <row r="2646" spans="1:7" ht="28.8" x14ac:dyDescent="0.3">
      <c r="A2646" s="529" t="s">
        <v>240</v>
      </c>
      <c r="B2646" s="529">
        <v>90447</v>
      </c>
      <c r="C2646" s="530" t="s">
        <v>127</v>
      </c>
      <c r="D2646" s="529" t="s">
        <v>55</v>
      </c>
      <c r="E2646" s="252"/>
      <c r="F2646" s="531">
        <v>4.45</v>
      </c>
      <c r="G2646" s="252">
        <f t="shared" si="54"/>
        <v>0</v>
      </c>
    </row>
    <row r="2647" spans="1:7" x14ac:dyDescent="0.3">
      <c r="A2647" s="524" t="s">
        <v>522</v>
      </c>
      <c r="B2647" s="524" t="s">
        <v>611</v>
      </c>
      <c r="C2647" s="525" t="s">
        <v>546</v>
      </c>
      <c r="D2647" s="524" t="s">
        <v>32</v>
      </c>
      <c r="E2647" s="524" t="s">
        <v>1658</v>
      </c>
      <c r="F2647" s="528" t="s">
        <v>1646</v>
      </c>
      <c r="G2647" s="252">
        <f t="shared" si="54"/>
        <v>0.48</v>
      </c>
    </row>
    <row r="2648" spans="1:7" x14ac:dyDescent="0.3">
      <c r="A2648" s="524" t="s">
        <v>522</v>
      </c>
      <c r="B2648" s="524" t="s">
        <v>610</v>
      </c>
      <c r="C2648" s="525" t="s">
        <v>543</v>
      </c>
      <c r="D2648" s="524" t="s">
        <v>32</v>
      </c>
      <c r="E2648" s="524" t="s">
        <v>1659</v>
      </c>
      <c r="F2648" s="528" t="s">
        <v>1647</v>
      </c>
      <c r="G2648" s="252">
        <f t="shared" si="54"/>
        <v>3.97</v>
      </c>
    </row>
    <row r="2649" spans="1:7" x14ac:dyDescent="0.3">
      <c r="A2649" s="680" t="s">
        <v>1152</v>
      </c>
      <c r="B2649" s="681"/>
      <c r="C2649" s="681"/>
      <c r="D2649" s="681"/>
      <c r="E2649" s="681"/>
      <c r="F2649" s="682"/>
      <c r="G2649" s="527">
        <f>SUM(G2645:G2648)</f>
        <v>4.45</v>
      </c>
    </row>
    <row r="2650" spans="1:7" x14ac:dyDescent="0.3">
      <c r="A2650" s="683">
        <f>TRUNC(E2650*F2650,2)</f>
        <v>0</v>
      </c>
      <c r="B2650" s="684"/>
      <c r="C2650" s="684"/>
      <c r="D2650" s="684"/>
      <c r="E2650" s="684"/>
      <c r="F2650" s="684"/>
      <c r="G2650" s="685"/>
    </row>
    <row r="2651" spans="1:7" ht="28.8" x14ac:dyDescent="0.3">
      <c r="A2651" s="529" t="s">
        <v>241</v>
      </c>
      <c r="B2651" s="529">
        <v>91836</v>
      </c>
      <c r="C2651" s="530" t="s">
        <v>130</v>
      </c>
      <c r="D2651" s="529" t="s">
        <v>55</v>
      </c>
      <c r="E2651" s="252"/>
      <c r="F2651" s="531">
        <v>7.55</v>
      </c>
      <c r="G2651" s="252">
        <f t="shared" si="54"/>
        <v>0</v>
      </c>
    </row>
    <row r="2652" spans="1:7" x14ac:dyDescent="0.3">
      <c r="A2652" s="524" t="s">
        <v>508</v>
      </c>
      <c r="B2652" s="524" t="s">
        <v>1660</v>
      </c>
      <c r="C2652" s="525" t="s">
        <v>1661</v>
      </c>
      <c r="D2652" s="524" t="s">
        <v>55</v>
      </c>
      <c r="E2652" s="524" t="s">
        <v>1662</v>
      </c>
      <c r="F2652" s="528" t="s">
        <v>1663</v>
      </c>
      <c r="G2652" s="252">
        <f t="shared" si="54"/>
        <v>2.46</v>
      </c>
    </row>
    <row r="2653" spans="1:7" x14ac:dyDescent="0.3">
      <c r="A2653" s="524" t="s">
        <v>522</v>
      </c>
      <c r="B2653" s="524" t="s">
        <v>611</v>
      </c>
      <c r="C2653" s="525" t="s">
        <v>546</v>
      </c>
      <c r="D2653" s="524" t="s">
        <v>32</v>
      </c>
      <c r="E2653" s="524" t="s">
        <v>1664</v>
      </c>
      <c r="F2653" s="528" t="s">
        <v>1646</v>
      </c>
      <c r="G2653" s="252">
        <f t="shared" si="54"/>
        <v>1.28</v>
      </c>
    </row>
    <row r="2654" spans="1:7" x14ac:dyDescent="0.3">
      <c r="A2654" s="524" t="s">
        <v>522</v>
      </c>
      <c r="B2654" s="524" t="s">
        <v>610</v>
      </c>
      <c r="C2654" s="525" t="s">
        <v>543</v>
      </c>
      <c r="D2654" s="524" t="s">
        <v>32</v>
      </c>
      <c r="E2654" s="524" t="s">
        <v>1664</v>
      </c>
      <c r="F2654" s="528" t="s">
        <v>1647</v>
      </c>
      <c r="G2654" s="252">
        <f t="shared" si="54"/>
        <v>1.65</v>
      </c>
    </row>
    <row r="2655" spans="1:7" ht="43.2" x14ac:dyDescent="0.3">
      <c r="A2655" s="524" t="s">
        <v>522</v>
      </c>
      <c r="B2655" s="524" t="s">
        <v>959</v>
      </c>
      <c r="C2655" s="525" t="s">
        <v>960</v>
      </c>
      <c r="D2655" s="524" t="s">
        <v>55</v>
      </c>
      <c r="E2655" s="524" t="s">
        <v>1122</v>
      </c>
      <c r="F2655" s="528" t="s">
        <v>962</v>
      </c>
      <c r="G2655" s="252">
        <f t="shared" si="54"/>
        <v>2.16</v>
      </c>
    </row>
    <row r="2656" spans="1:7" x14ac:dyDescent="0.3">
      <c r="A2656" s="680" t="s">
        <v>1152</v>
      </c>
      <c r="B2656" s="681"/>
      <c r="C2656" s="681"/>
      <c r="D2656" s="681"/>
      <c r="E2656" s="681"/>
      <c r="F2656" s="682"/>
      <c r="G2656" s="527">
        <f>SUM(G2652:G2655)</f>
        <v>7.5500000000000007</v>
      </c>
    </row>
    <row r="2657" spans="1:7" x14ac:dyDescent="0.3">
      <c r="A2657" s="683">
        <f>TRUNC(E2657*F2657,2)</f>
        <v>0</v>
      </c>
      <c r="B2657" s="684"/>
      <c r="C2657" s="684"/>
      <c r="D2657" s="684"/>
      <c r="E2657" s="684"/>
      <c r="F2657" s="684"/>
      <c r="G2657" s="685"/>
    </row>
    <row r="2658" spans="1:7" ht="28.8" x14ac:dyDescent="0.3">
      <c r="A2658" s="529" t="s">
        <v>242</v>
      </c>
      <c r="B2658" s="529">
        <v>92004</v>
      </c>
      <c r="C2658" s="530" t="s">
        <v>337</v>
      </c>
      <c r="D2658" s="529" t="s">
        <v>44</v>
      </c>
      <c r="E2658" s="252"/>
      <c r="F2658" s="531">
        <v>32.01</v>
      </c>
      <c r="G2658" s="252">
        <f t="shared" si="54"/>
        <v>0</v>
      </c>
    </row>
    <row r="2659" spans="1:7" ht="28.8" x14ac:dyDescent="0.3">
      <c r="A2659" s="524" t="s">
        <v>522</v>
      </c>
      <c r="B2659" s="524" t="s">
        <v>1885</v>
      </c>
      <c r="C2659" s="525" t="s">
        <v>1886</v>
      </c>
      <c r="D2659" s="524" t="s">
        <v>397</v>
      </c>
      <c r="E2659" s="524" t="s">
        <v>1122</v>
      </c>
      <c r="F2659" s="526" t="s">
        <v>1887</v>
      </c>
      <c r="G2659" s="252">
        <f t="shared" ref="G2659:G2660" si="60">TRUNC(E2659*F2659,2)</f>
        <v>4.82</v>
      </c>
    </row>
    <row r="2660" spans="1:7" ht="28.8" x14ac:dyDescent="0.3">
      <c r="A2660" s="524" t="s">
        <v>522</v>
      </c>
      <c r="B2660" s="524" t="s">
        <v>2086</v>
      </c>
      <c r="C2660" s="525" t="s">
        <v>2087</v>
      </c>
      <c r="D2660" s="524" t="s">
        <v>397</v>
      </c>
      <c r="E2660" s="524" t="s">
        <v>1122</v>
      </c>
      <c r="F2660" s="526" t="s">
        <v>2088</v>
      </c>
      <c r="G2660" s="252">
        <f t="shared" si="60"/>
        <v>27.19</v>
      </c>
    </row>
    <row r="2661" spans="1:7" x14ac:dyDescent="0.3">
      <c r="A2661" s="680" t="s">
        <v>1152</v>
      </c>
      <c r="B2661" s="681"/>
      <c r="C2661" s="681"/>
      <c r="D2661" s="681"/>
      <c r="E2661" s="681"/>
      <c r="F2661" s="682"/>
      <c r="G2661" s="527">
        <f>SUM(G2657:G2660)</f>
        <v>32.010000000000005</v>
      </c>
    </row>
    <row r="2662" spans="1:7" x14ac:dyDescent="0.3">
      <c r="A2662" s="683">
        <f>TRUNC(E2662*F2662,2)</f>
        <v>0</v>
      </c>
      <c r="B2662" s="684"/>
      <c r="C2662" s="684"/>
      <c r="D2662" s="684"/>
      <c r="E2662" s="684"/>
      <c r="F2662" s="684"/>
      <c r="G2662" s="685"/>
    </row>
    <row r="2663" spans="1:7" ht="28.8" x14ac:dyDescent="0.3">
      <c r="A2663" s="529" t="s">
        <v>243</v>
      </c>
      <c r="B2663" s="529">
        <v>92008</v>
      </c>
      <c r="C2663" s="530" t="s">
        <v>338</v>
      </c>
      <c r="D2663" s="529" t="s">
        <v>44</v>
      </c>
      <c r="E2663" s="252"/>
      <c r="F2663" s="531">
        <v>27.23</v>
      </c>
      <c r="G2663" s="252">
        <f t="shared" si="54"/>
        <v>0</v>
      </c>
    </row>
    <row r="2664" spans="1:7" ht="28.8" x14ac:dyDescent="0.3">
      <c r="A2664" s="524" t="s">
        <v>522</v>
      </c>
      <c r="B2664" s="524" t="s">
        <v>1885</v>
      </c>
      <c r="C2664" s="525" t="s">
        <v>1886</v>
      </c>
      <c r="D2664" s="524" t="s">
        <v>397</v>
      </c>
      <c r="E2664" s="524" t="s">
        <v>1122</v>
      </c>
      <c r="F2664" s="526" t="s">
        <v>1887</v>
      </c>
      <c r="G2664" s="252">
        <f t="shared" ref="G2664:G2665" si="61">TRUNC(E2664*F2664,2)</f>
        <v>4.82</v>
      </c>
    </row>
    <row r="2665" spans="1:7" ht="28.8" x14ac:dyDescent="0.3">
      <c r="A2665" s="524" t="s">
        <v>522</v>
      </c>
      <c r="B2665" s="524" t="s">
        <v>2089</v>
      </c>
      <c r="C2665" s="525" t="s">
        <v>2090</v>
      </c>
      <c r="D2665" s="524" t="s">
        <v>397</v>
      </c>
      <c r="E2665" s="524" t="s">
        <v>1122</v>
      </c>
      <c r="F2665" s="526" t="s">
        <v>2091</v>
      </c>
      <c r="G2665" s="252">
        <f t="shared" si="61"/>
        <v>22.41</v>
      </c>
    </row>
    <row r="2666" spans="1:7" x14ac:dyDescent="0.3">
      <c r="A2666" s="680" t="s">
        <v>1152</v>
      </c>
      <c r="B2666" s="681"/>
      <c r="C2666" s="681"/>
      <c r="D2666" s="681"/>
      <c r="E2666" s="681"/>
      <c r="F2666" s="682"/>
      <c r="G2666" s="527">
        <f>SUM(G2662:G2665)</f>
        <v>27.23</v>
      </c>
    </row>
    <row r="2667" spans="1:7" x14ac:dyDescent="0.3">
      <c r="A2667" s="683">
        <f>TRUNC(E2667*F2667,2)</f>
        <v>0</v>
      </c>
      <c r="B2667" s="684"/>
      <c r="C2667" s="684"/>
      <c r="D2667" s="684"/>
      <c r="E2667" s="684"/>
      <c r="F2667" s="684"/>
      <c r="G2667" s="685"/>
    </row>
    <row r="2668" spans="1:7" ht="28.8" x14ac:dyDescent="0.3">
      <c r="A2668" s="529" t="s">
        <v>244</v>
      </c>
      <c r="B2668" s="529">
        <v>93653</v>
      </c>
      <c r="C2668" s="530" t="s">
        <v>141</v>
      </c>
      <c r="D2668" s="529" t="s">
        <v>44</v>
      </c>
      <c r="E2668" s="252"/>
      <c r="F2668" s="531">
        <v>9.3699999999999992</v>
      </c>
      <c r="G2668" s="252">
        <f t="shared" si="54"/>
        <v>0</v>
      </c>
    </row>
    <row r="2669" spans="1:7" ht="28.8" x14ac:dyDescent="0.3">
      <c r="A2669" s="524" t="s">
        <v>508</v>
      </c>
      <c r="B2669" s="524" t="s">
        <v>1894</v>
      </c>
      <c r="C2669" s="525" t="s">
        <v>1895</v>
      </c>
      <c r="D2669" s="524" t="s">
        <v>397</v>
      </c>
      <c r="E2669" s="524" t="s">
        <v>1122</v>
      </c>
      <c r="F2669" s="528" t="s">
        <v>1896</v>
      </c>
      <c r="G2669" s="252">
        <f t="shared" si="54"/>
        <v>0.69</v>
      </c>
    </row>
    <row r="2670" spans="1:7" x14ac:dyDescent="0.3">
      <c r="A2670" s="524" t="s">
        <v>508</v>
      </c>
      <c r="B2670" s="524" t="s">
        <v>1897</v>
      </c>
      <c r="C2670" s="525" t="s">
        <v>1898</v>
      </c>
      <c r="D2670" s="524" t="s">
        <v>397</v>
      </c>
      <c r="E2670" s="524" t="s">
        <v>1122</v>
      </c>
      <c r="F2670" s="528" t="s">
        <v>1899</v>
      </c>
      <c r="G2670" s="252">
        <f t="shared" si="54"/>
        <v>7.54</v>
      </c>
    </row>
    <row r="2671" spans="1:7" x14ac:dyDescent="0.3">
      <c r="A2671" s="524" t="s">
        <v>522</v>
      </c>
      <c r="B2671" s="524" t="s">
        <v>611</v>
      </c>
      <c r="C2671" s="525" t="s">
        <v>546</v>
      </c>
      <c r="D2671" s="524" t="s">
        <v>32</v>
      </c>
      <c r="E2671" s="524" t="s">
        <v>1900</v>
      </c>
      <c r="F2671" s="528" t="s">
        <v>1646</v>
      </c>
      <c r="G2671" s="252">
        <f t="shared" si="54"/>
        <v>0.5</v>
      </c>
    </row>
    <row r="2672" spans="1:7" x14ac:dyDescent="0.3">
      <c r="A2672" s="524" t="s">
        <v>522</v>
      </c>
      <c r="B2672" s="524" t="s">
        <v>610</v>
      </c>
      <c r="C2672" s="525" t="s">
        <v>543</v>
      </c>
      <c r="D2672" s="524" t="s">
        <v>32</v>
      </c>
      <c r="E2672" s="524" t="s">
        <v>1900</v>
      </c>
      <c r="F2672" s="528" t="s">
        <v>1647</v>
      </c>
      <c r="G2672" s="252">
        <f t="shared" si="54"/>
        <v>0.64</v>
      </c>
    </row>
    <row r="2673" spans="1:7" x14ac:dyDescent="0.3">
      <c r="A2673" s="680" t="s">
        <v>1152</v>
      </c>
      <c r="B2673" s="681"/>
      <c r="C2673" s="681"/>
      <c r="D2673" s="681"/>
      <c r="E2673" s="681"/>
      <c r="F2673" s="682"/>
      <c r="G2673" s="252">
        <f>SUM(G2668:G2672)</f>
        <v>9.370000000000001</v>
      </c>
    </row>
    <row r="2674" spans="1:7" x14ac:dyDescent="0.3">
      <c r="A2674" s="683">
        <f>TRUNC(E2674*F2674,2)</f>
        <v>0</v>
      </c>
      <c r="B2674" s="684"/>
      <c r="C2674" s="684"/>
      <c r="D2674" s="684"/>
      <c r="E2674" s="684"/>
      <c r="F2674" s="684"/>
      <c r="G2674" s="685"/>
    </row>
    <row r="2675" spans="1:7" ht="28.8" x14ac:dyDescent="0.3">
      <c r="A2675" s="529" t="s">
        <v>368</v>
      </c>
      <c r="B2675" s="529">
        <v>93655</v>
      </c>
      <c r="C2675" s="530" t="s">
        <v>142</v>
      </c>
      <c r="D2675" s="529" t="s">
        <v>44</v>
      </c>
      <c r="E2675" s="252"/>
      <c r="F2675" s="531">
        <v>10.59</v>
      </c>
      <c r="G2675" s="252">
        <f t="shared" si="54"/>
        <v>0</v>
      </c>
    </row>
    <row r="2676" spans="1:7" ht="28.8" x14ac:dyDescent="0.3">
      <c r="A2676" s="524" t="s">
        <v>508</v>
      </c>
      <c r="B2676" s="524" t="s">
        <v>1901</v>
      </c>
      <c r="C2676" s="525" t="s">
        <v>1902</v>
      </c>
      <c r="D2676" s="524" t="s">
        <v>397</v>
      </c>
      <c r="E2676" s="524" t="s">
        <v>1122</v>
      </c>
      <c r="F2676" s="528" t="s">
        <v>1903</v>
      </c>
      <c r="G2676" s="252">
        <f t="shared" si="54"/>
        <v>0.9</v>
      </c>
    </row>
    <row r="2677" spans="1:7" x14ac:dyDescent="0.3">
      <c r="A2677" s="524" t="s">
        <v>508</v>
      </c>
      <c r="B2677" s="524" t="s">
        <v>1897</v>
      </c>
      <c r="C2677" s="525" t="s">
        <v>1898</v>
      </c>
      <c r="D2677" s="524" t="s">
        <v>397</v>
      </c>
      <c r="E2677" s="524" t="s">
        <v>1122</v>
      </c>
      <c r="F2677" s="528" t="s">
        <v>1899</v>
      </c>
      <c r="G2677" s="252">
        <f t="shared" si="54"/>
        <v>7.54</v>
      </c>
    </row>
    <row r="2678" spans="1:7" x14ac:dyDescent="0.3">
      <c r="A2678" s="524" t="s">
        <v>522</v>
      </c>
      <c r="B2678" s="524" t="s">
        <v>611</v>
      </c>
      <c r="C2678" s="525" t="s">
        <v>546</v>
      </c>
      <c r="D2678" s="524" t="s">
        <v>32</v>
      </c>
      <c r="E2678" s="524" t="s">
        <v>1904</v>
      </c>
      <c r="F2678" s="528" t="s">
        <v>1646</v>
      </c>
      <c r="G2678" s="252">
        <f t="shared" si="54"/>
        <v>0.94</v>
      </c>
    </row>
    <row r="2679" spans="1:7" x14ac:dyDescent="0.3">
      <c r="A2679" s="524" t="s">
        <v>522</v>
      </c>
      <c r="B2679" s="524" t="s">
        <v>610</v>
      </c>
      <c r="C2679" s="525" t="s">
        <v>543</v>
      </c>
      <c r="D2679" s="524" t="s">
        <v>32</v>
      </c>
      <c r="E2679" s="524" t="s">
        <v>1904</v>
      </c>
      <c r="F2679" s="528" t="s">
        <v>1647</v>
      </c>
      <c r="G2679" s="252">
        <f t="shared" si="54"/>
        <v>1.21</v>
      </c>
    </row>
    <row r="2680" spans="1:7" x14ac:dyDescent="0.3">
      <c r="A2680" s="680" t="s">
        <v>1152</v>
      </c>
      <c r="B2680" s="681"/>
      <c r="C2680" s="681"/>
      <c r="D2680" s="681"/>
      <c r="E2680" s="681"/>
      <c r="F2680" s="682"/>
      <c r="G2680" s="252">
        <f>SUM(G2675:G2679)</f>
        <v>10.59</v>
      </c>
    </row>
    <row r="2681" spans="1:7" x14ac:dyDescent="0.3">
      <c r="A2681" s="683">
        <f>TRUNC(E2681*F2681,2)</f>
        <v>0</v>
      </c>
      <c r="B2681" s="684"/>
      <c r="C2681" s="684"/>
      <c r="D2681" s="684"/>
      <c r="E2681" s="684"/>
      <c r="F2681" s="684"/>
      <c r="G2681" s="685"/>
    </row>
    <row r="2682" spans="1:7" ht="28.8" x14ac:dyDescent="0.3">
      <c r="A2682" s="529" t="s">
        <v>339</v>
      </c>
      <c r="B2682" s="529">
        <v>93657</v>
      </c>
      <c r="C2682" s="530" t="s">
        <v>143</v>
      </c>
      <c r="D2682" s="529" t="s">
        <v>44</v>
      </c>
      <c r="E2682" s="252"/>
      <c r="F2682" s="531">
        <v>11.59</v>
      </c>
      <c r="G2682" s="252">
        <f t="shared" si="54"/>
        <v>0</v>
      </c>
    </row>
    <row r="2683" spans="1:7" ht="28.8" x14ac:dyDescent="0.3">
      <c r="A2683" s="524" t="s">
        <v>508</v>
      </c>
      <c r="B2683" s="524" t="s">
        <v>1905</v>
      </c>
      <c r="C2683" s="525" t="s">
        <v>1906</v>
      </c>
      <c r="D2683" s="524" t="s">
        <v>397</v>
      </c>
      <c r="E2683" s="524" t="s">
        <v>1122</v>
      </c>
      <c r="F2683" s="528" t="s">
        <v>1907</v>
      </c>
      <c r="G2683" s="252">
        <f t="shared" si="54"/>
        <v>1.08</v>
      </c>
    </row>
    <row r="2684" spans="1:7" x14ac:dyDescent="0.3">
      <c r="A2684" s="524" t="s">
        <v>508</v>
      </c>
      <c r="B2684" s="524" t="s">
        <v>1897</v>
      </c>
      <c r="C2684" s="525" t="s">
        <v>1898</v>
      </c>
      <c r="D2684" s="524" t="s">
        <v>397</v>
      </c>
      <c r="E2684" s="524" t="s">
        <v>1122</v>
      </c>
      <c r="F2684" s="528" t="s">
        <v>1899</v>
      </c>
      <c r="G2684" s="252">
        <f t="shared" si="54"/>
        <v>7.54</v>
      </c>
    </row>
    <row r="2685" spans="1:7" x14ac:dyDescent="0.3">
      <c r="A2685" s="524" t="s">
        <v>522</v>
      </c>
      <c r="B2685" s="524" t="s">
        <v>611</v>
      </c>
      <c r="C2685" s="525" t="s">
        <v>546</v>
      </c>
      <c r="D2685" s="524" t="s">
        <v>32</v>
      </c>
      <c r="E2685" s="524" t="s">
        <v>1908</v>
      </c>
      <c r="F2685" s="528" t="s">
        <v>1646</v>
      </c>
      <c r="G2685" s="252">
        <f t="shared" si="54"/>
        <v>1.3</v>
      </c>
    </row>
    <row r="2686" spans="1:7" x14ac:dyDescent="0.3">
      <c r="A2686" s="524" t="s">
        <v>522</v>
      </c>
      <c r="B2686" s="524" t="s">
        <v>610</v>
      </c>
      <c r="C2686" s="525" t="s">
        <v>543</v>
      </c>
      <c r="D2686" s="524" t="s">
        <v>32</v>
      </c>
      <c r="E2686" s="524" t="s">
        <v>1908</v>
      </c>
      <c r="F2686" s="528" t="s">
        <v>1647</v>
      </c>
      <c r="G2686" s="252">
        <f t="shared" si="54"/>
        <v>1.67</v>
      </c>
    </row>
    <row r="2687" spans="1:7" x14ac:dyDescent="0.3">
      <c r="A2687" s="680" t="s">
        <v>1152</v>
      </c>
      <c r="B2687" s="681"/>
      <c r="C2687" s="681"/>
      <c r="D2687" s="681"/>
      <c r="E2687" s="681"/>
      <c r="F2687" s="682"/>
      <c r="G2687" s="252">
        <f>SUM(G2682:G2686)</f>
        <v>11.590000000000002</v>
      </c>
    </row>
    <row r="2688" spans="1:7" x14ac:dyDescent="0.3">
      <c r="A2688" s="683">
        <f>TRUNC(E2688*F2688,2)</f>
        <v>0</v>
      </c>
      <c r="B2688" s="684"/>
      <c r="C2688" s="684"/>
      <c r="D2688" s="684"/>
      <c r="E2688" s="684"/>
      <c r="F2688" s="684"/>
      <c r="G2688" s="685"/>
    </row>
    <row r="2689" spans="1:7" ht="28.8" x14ac:dyDescent="0.3">
      <c r="A2689" s="529" t="s">
        <v>340</v>
      </c>
      <c r="B2689" s="529">
        <v>93660</v>
      </c>
      <c r="C2689" s="530" t="s">
        <v>144</v>
      </c>
      <c r="D2689" s="529" t="s">
        <v>44</v>
      </c>
      <c r="E2689" s="252"/>
      <c r="F2689" s="531">
        <v>46.9</v>
      </c>
      <c r="G2689" s="252">
        <f t="shared" si="54"/>
        <v>0</v>
      </c>
    </row>
    <row r="2690" spans="1:7" ht="28.8" x14ac:dyDescent="0.3">
      <c r="A2690" s="524" t="s">
        <v>508</v>
      </c>
      <c r="B2690" s="524" t="s">
        <v>1894</v>
      </c>
      <c r="C2690" s="525" t="s">
        <v>1895</v>
      </c>
      <c r="D2690" s="524" t="s">
        <v>397</v>
      </c>
      <c r="E2690" s="524" t="s">
        <v>1523</v>
      </c>
      <c r="F2690" s="528" t="s">
        <v>1896</v>
      </c>
      <c r="G2690" s="252">
        <f t="shared" si="54"/>
        <v>1.38</v>
      </c>
    </row>
    <row r="2691" spans="1:7" x14ac:dyDescent="0.3">
      <c r="A2691" s="524" t="s">
        <v>508</v>
      </c>
      <c r="B2691" s="524" t="s">
        <v>1909</v>
      </c>
      <c r="C2691" s="525" t="s">
        <v>1910</v>
      </c>
      <c r="D2691" s="524" t="s">
        <v>397</v>
      </c>
      <c r="E2691" s="524" t="s">
        <v>1122</v>
      </c>
      <c r="F2691" s="528" t="s">
        <v>1911</v>
      </c>
      <c r="G2691" s="252">
        <f t="shared" si="54"/>
        <v>43.24</v>
      </c>
    </row>
    <row r="2692" spans="1:7" x14ac:dyDescent="0.3">
      <c r="A2692" s="524" t="s">
        <v>522</v>
      </c>
      <c r="B2692" s="524" t="s">
        <v>611</v>
      </c>
      <c r="C2692" s="525" t="s">
        <v>546</v>
      </c>
      <c r="D2692" s="524" t="s">
        <v>32</v>
      </c>
      <c r="E2692" s="524" t="s">
        <v>1728</v>
      </c>
      <c r="F2692" s="528" t="s">
        <v>1646</v>
      </c>
      <c r="G2692" s="252">
        <f t="shared" si="54"/>
        <v>1</v>
      </c>
    </row>
    <row r="2693" spans="1:7" x14ac:dyDescent="0.3">
      <c r="A2693" s="524" t="s">
        <v>522</v>
      </c>
      <c r="B2693" s="524" t="s">
        <v>610</v>
      </c>
      <c r="C2693" s="525" t="s">
        <v>543</v>
      </c>
      <c r="D2693" s="524" t="s">
        <v>32</v>
      </c>
      <c r="E2693" s="524" t="s">
        <v>1728</v>
      </c>
      <c r="F2693" s="528" t="s">
        <v>1647</v>
      </c>
      <c r="G2693" s="252">
        <f t="shared" si="54"/>
        <v>1.28</v>
      </c>
    </row>
    <row r="2694" spans="1:7" x14ac:dyDescent="0.3">
      <c r="A2694" s="680" t="s">
        <v>1152</v>
      </c>
      <c r="B2694" s="681"/>
      <c r="C2694" s="681"/>
      <c r="D2694" s="681"/>
      <c r="E2694" s="681"/>
      <c r="F2694" s="682"/>
      <c r="G2694" s="252">
        <f>SUM(G2689:G2693)</f>
        <v>46.900000000000006</v>
      </c>
    </row>
    <row r="2695" spans="1:7" x14ac:dyDescent="0.3">
      <c r="A2695" s="683">
        <f>TRUNC(E2695*F2695,2)</f>
        <v>0</v>
      </c>
      <c r="B2695" s="684"/>
      <c r="C2695" s="684"/>
      <c r="D2695" s="684"/>
      <c r="E2695" s="684"/>
      <c r="F2695" s="684"/>
      <c r="G2695" s="685"/>
    </row>
    <row r="2696" spans="1:7" ht="28.8" x14ac:dyDescent="0.3">
      <c r="A2696" s="529" t="s">
        <v>343</v>
      </c>
      <c r="B2696" s="529">
        <v>93662</v>
      </c>
      <c r="C2696" s="530" t="s">
        <v>145</v>
      </c>
      <c r="D2696" s="529" t="s">
        <v>44</v>
      </c>
      <c r="E2696" s="252"/>
      <c r="F2696" s="531">
        <v>49.38</v>
      </c>
      <c r="G2696" s="252">
        <f t="shared" si="54"/>
        <v>0</v>
      </c>
    </row>
    <row r="2697" spans="1:7" ht="28.8" x14ac:dyDescent="0.3">
      <c r="A2697" s="524" t="s">
        <v>508</v>
      </c>
      <c r="B2697" s="524" t="s">
        <v>1901</v>
      </c>
      <c r="C2697" s="525" t="s">
        <v>1902</v>
      </c>
      <c r="D2697" s="524" t="s">
        <v>397</v>
      </c>
      <c r="E2697" s="524" t="s">
        <v>1523</v>
      </c>
      <c r="F2697" s="528" t="s">
        <v>1903</v>
      </c>
      <c r="G2697" s="252">
        <f t="shared" si="54"/>
        <v>1.8</v>
      </c>
    </row>
    <row r="2698" spans="1:7" x14ac:dyDescent="0.3">
      <c r="A2698" s="524" t="s">
        <v>508</v>
      </c>
      <c r="B2698" s="524" t="s">
        <v>1909</v>
      </c>
      <c r="C2698" s="525" t="s">
        <v>1910</v>
      </c>
      <c r="D2698" s="524" t="s">
        <v>397</v>
      </c>
      <c r="E2698" s="524" t="s">
        <v>1122</v>
      </c>
      <c r="F2698" s="528" t="s">
        <v>1911</v>
      </c>
      <c r="G2698" s="252">
        <f t="shared" si="54"/>
        <v>43.24</v>
      </c>
    </row>
    <row r="2699" spans="1:7" x14ac:dyDescent="0.3">
      <c r="A2699" s="524" t="s">
        <v>522</v>
      </c>
      <c r="B2699" s="524" t="s">
        <v>611</v>
      </c>
      <c r="C2699" s="525" t="s">
        <v>546</v>
      </c>
      <c r="D2699" s="524" t="s">
        <v>32</v>
      </c>
      <c r="E2699" s="524" t="s">
        <v>1912</v>
      </c>
      <c r="F2699" s="528" t="s">
        <v>1646</v>
      </c>
      <c r="G2699" s="252">
        <f t="shared" si="54"/>
        <v>1.9</v>
      </c>
    </row>
    <row r="2700" spans="1:7" x14ac:dyDescent="0.3">
      <c r="A2700" s="524" t="s">
        <v>522</v>
      </c>
      <c r="B2700" s="524" t="s">
        <v>610</v>
      </c>
      <c r="C2700" s="525" t="s">
        <v>543</v>
      </c>
      <c r="D2700" s="524" t="s">
        <v>32</v>
      </c>
      <c r="E2700" s="524" t="s">
        <v>1912</v>
      </c>
      <c r="F2700" s="528" t="s">
        <v>1647</v>
      </c>
      <c r="G2700" s="252">
        <f t="shared" si="54"/>
        <v>2.44</v>
      </c>
    </row>
    <row r="2701" spans="1:7" x14ac:dyDescent="0.3">
      <c r="A2701" s="680" t="s">
        <v>1152</v>
      </c>
      <c r="B2701" s="681"/>
      <c r="C2701" s="681"/>
      <c r="D2701" s="681"/>
      <c r="E2701" s="681"/>
      <c r="F2701" s="682"/>
      <c r="G2701" s="252">
        <f>SUM(G2696:G2700)</f>
        <v>49.379999999999995</v>
      </c>
    </row>
    <row r="2702" spans="1:7" x14ac:dyDescent="0.3">
      <c r="A2702" s="683">
        <f>TRUNC(E2702*F2702,2)</f>
        <v>0</v>
      </c>
      <c r="B2702" s="684"/>
      <c r="C2702" s="684"/>
      <c r="D2702" s="684"/>
      <c r="E2702" s="684"/>
      <c r="F2702" s="684"/>
      <c r="G2702" s="685"/>
    </row>
    <row r="2703" spans="1:7" ht="28.8" x14ac:dyDescent="0.3">
      <c r="A2703" s="529" t="s">
        <v>346</v>
      </c>
      <c r="B2703" s="529">
        <v>93664</v>
      </c>
      <c r="C2703" s="530" t="s">
        <v>146</v>
      </c>
      <c r="D2703" s="529" t="s">
        <v>44</v>
      </c>
      <c r="E2703" s="252"/>
      <c r="F2703" s="531">
        <v>51.34</v>
      </c>
      <c r="G2703" s="252">
        <f t="shared" si="54"/>
        <v>0</v>
      </c>
    </row>
    <row r="2704" spans="1:7" ht="28.8" x14ac:dyDescent="0.3">
      <c r="A2704" s="524" t="s">
        <v>508</v>
      </c>
      <c r="B2704" s="524" t="s">
        <v>1905</v>
      </c>
      <c r="C2704" s="525" t="s">
        <v>1906</v>
      </c>
      <c r="D2704" s="524" t="s">
        <v>397</v>
      </c>
      <c r="E2704" s="524" t="s">
        <v>1523</v>
      </c>
      <c r="F2704" s="528" t="s">
        <v>1907</v>
      </c>
      <c r="G2704" s="252">
        <f t="shared" si="54"/>
        <v>2.16</v>
      </c>
    </row>
    <row r="2705" spans="1:7" x14ac:dyDescent="0.3">
      <c r="A2705" s="524" t="s">
        <v>508</v>
      </c>
      <c r="B2705" s="524" t="s">
        <v>1909</v>
      </c>
      <c r="C2705" s="525" t="s">
        <v>1910</v>
      </c>
      <c r="D2705" s="524" t="s">
        <v>397</v>
      </c>
      <c r="E2705" s="524" t="s">
        <v>1122</v>
      </c>
      <c r="F2705" s="528" t="s">
        <v>1911</v>
      </c>
      <c r="G2705" s="252">
        <f t="shared" si="54"/>
        <v>43.24</v>
      </c>
    </row>
    <row r="2706" spans="1:7" x14ac:dyDescent="0.3">
      <c r="A2706" s="524" t="s">
        <v>522</v>
      </c>
      <c r="B2706" s="524" t="s">
        <v>611</v>
      </c>
      <c r="C2706" s="525" t="s">
        <v>546</v>
      </c>
      <c r="D2706" s="524" t="s">
        <v>32</v>
      </c>
      <c r="E2706" s="524" t="s">
        <v>1082</v>
      </c>
      <c r="F2706" s="528" t="s">
        <v>1646</v>
      </c>
      <c r="G2706" s="252">
        <f t="shared" si="54"/>
        <v>2.6</v>
      </c>
    </row>
    <row r="2707" spans="1:7" x14ac:dyDescent="0.3">
      <c r="A2707" s="524" t="s">
        <v>522</v>
      </c>
      <c r="B2707" s="524" t="s">
        <v>610</v>
      </c>
      <c r="C2707" s="525" t="s">
        <v>543</v>
      </c>
      <c r="D2707" s="524" t="s">
        <v>32</v>
      </c>
      <c r="E2707" s="524" t="s">
        <v>1082</v>
      </c>
      <c r="F2707" s="528" t="s">
        <v>1647</v>
      </c>
      <c r="G2707" s="252">
        <f t="shared" si="54"/>
        <v>3.34</v>
      </c>
    </row>
    <row r="2708" spans="1:7" x14ac:dyDescent="0.3">
      <c r="A2708" s="680" t="s">
        <v>1152</v>
      </c>
      <c r="B2708" s="681"/>
      <c r="C2708" s="681"/>
      <c r="D2708" s="681"/>
      <c r="E2708" s="681"/>
      <c r="F2708" s="682"/>
      <c r="G2708" s="252">
        <f>SUM(G2703:G2707)</f>
        <v>51.34</v>
      </c>
    </row>
    <row r="2709" spans="1:7" x14ac:dyDescent="0.3">
      <c r="A2709" s="683">
        <f>TRUNC(E2709*F2709,2)</f>
        <v>0</v>
      </c>
      <c r="B2709" s="684"/>
      <c r="C2709" s="684"/>
      <c r="D2709" s="684"/>
      <c r="E2709" s="684"/>
      <c r="F2709" s="684"/>
      <c r="G2709" s="685"/>
    </row>
    <row r="2710" spans="1:7" ht="28.8" x14ac:dyDescent="0.3">
      <c r="A2710" s="529" t="s">
        <v>245</v>
      </c>
      <c r="B2710" s="529">
        <v>93673</v>
      </c>
      <c r="C2710" s="530" t="s">
        <v>147</v>
      </c>
      <c r="D2710" s="529" t="s">
        <v>44</v>
      </c>
      <c r="E2710" s="252"/>
      <c r="F2710" s="531">
        <v>75.680000000000007</v>
      </c>
      <c r="G2710" s="252">
        <f t="shared" si="54"/>
        <v>0</v>
      </c>
    </row>
    <row r="2711" spans="1:7" ht="28.8" x14ac:dyDescent="0.3">
      <c r="A2711" s="524" t="s">
        <v>508</v>
      </c>
      <c r="B2711" s="524" t="s">
        <v>1913</v>
      </c>
      <c r="C2711" s="525" t="s">
        <v>1914</v>
      </c>
      <c r="D2711" s="524" t="s">
        <v>397</v>
      </c>
      <c r="E2711" s="524" t="s">
        <v>1915</v>
      </c>
      <c r="F2711" s="528" t="s">
        <v>1916</v>
      </c>
      <c r="G2711" s="252">
        <f t="shared" si="54"/>
        <v>4.1399999999999997</v>
      </c>
    </row>
    <row r="2712" spans="1:7" x14ac:dyDescent="0.3">
      <c r="A2712" s="524" t="s">
        <v>508</v>
      </c>
      <c r="B2712" s="524" t="s">
        <v>1917</v>
      </c>
      <c r="C2712" s="525" t="s">
        <v>1918</v>
      </c>
      <c r="D2712" s="524" t="s">
        <v>397</v>
      </c>
      <c r="E2712" s="524" t="s">
        <v>1122</v>
      </c>
      <c r="F2712" s="528" t="s">
        <v>1919</v>
      </c>
      <c r="G2712" s="252">
        <f t="shared" si="54"/>
        <v>52.98</v>
      </c>
    </row>
    <row r="2713" spans="1:7" x14ac:dyDescent="0.3">
      <c r="A2713" s="524" t="s">
        <v>522</v>
      </c>
      <c r="B2713" s="524" t="s">
        <v>611</v>
      </c>
      <c r="C2713" s="525" t="s">
        <v>546</v>
      </c>
      <c r="D2713" s="524" t="s">
        <v>32</v>
      </c>
      <c r="E2713" s="524" t="s">
        <v>1920</v>
      </c>
      <c r="F2713" s="528" t="s">
        <v>1646</v>
      </c>
      <c r="G2713" s="252">
        <f t="shared" si="54"/>
        <v>8.1300000000000008</v>
      </c>
    </row>
    <row r="2714" spans="1:7" x14ac:dyDescent="0.3">
      <c r="A2714" s="524" t="s">
        <v>522</v>
      </c>
      <c r="B2714" s="524" t="s">
        <v>610</v>
      </c>
      <c r="C2714" s="525" t="s">
        <v>543</v>
      </c>
      <c r="D2714" s="524" t="s">
        <v>32</v>
      </c>
      <c r="E2714" s="524" t="s">
        <v>1920</v>
      </c>
      <c r="F2714" s="528" t="s">
        <v>1647</v>
      </c>
      <c r="G2714" s="252">
        <f t="shared" si="54"/>
        <v>10.43</v>
      </c>
    </row>
    <row r="2715" spans="1:7" x14ac:dyDescent="0.3">
      <c r="A2715" s="680" t="s">
        <v>1152</v>
      </c>
      <c r="B2715" s="681"/>
      <c r="C2715" s="681"/>
      <c r="D2715" s="681"/>
      <c r="E2715" s="681"/>
      <c r="F2715" s="682"/>
      <c r="G2715" s="252">
        <f>SUM(G2710:G2714)</f>
        <v>75.680000000000007</v>
      </c>
    </row>
    <row r="2716" spans="1:7" x14ac:dyDescent="0.3">
      <c r="A2716" s="683">
        <f>TRUNC(E2716*F2716,2)</f>
        <v>0</v>
      </c>
      <c r="B2716" s="684"/>
      <c r="C2716" s="684"/>
      <c r="D2716" s="684"/>
      <c r="E2716" s="684"/>
      <c r="F2716" s="684"/>
      <c r="G2716" s="685"/>
    </row>
    <row r="2717" spans="1:7" ht="28.8" x14ac:dyDescent="0.3">
      <c r="A2717" s="529" t="s">
        <v>246</v>
      </c>
      <c r="B2717" s="529">
        <v>93667</v>
      </c>
      <c r="C2717" s="530" t="s">
        <v>148</v>
      </c>
      <c r="D2717" s="529" t="s">
        <v>44</v>
      </c>
      <c r="E2717" s="252"/>
      <c r="F2717" s="531">
        <v>58.47</v>
      </c>
      <c r="G2717" s="252">
        <f t="shared" si="54"/>
        <v>0</v>
      </c>
    </row>
    <row r="2718" spans="1:7" ht="28.8" x14ac:dyDescent="0.3">
      <c r="A2718" s="524" t="s">
        <v>508</v>
      </c>
      <c r="B2718" s="524" t="s">
        <v>1894</v>
      </c>
      <c r="C2718" s="525" t="s">
        <v>1895</v>
      </c>
      <c r="D2718" s="524" t="s">
        <v>397</v>
      </c>
      <c r="E2718" s="524" t="s">
        <v>1915</v>
      </c>
      <c r="F2718" s="528" t="s">
        <v>1896</v>
      </c>
      <c r="G2718" s="252">
        <f t="shared" si="54"/>
        <v>2.0699999999999998</v>
      </c>
    </row>
    <row r="2719" spans="1:7" x14ac:dyDescent="0.3">
      <c r="A2719" s="524" t="s">
        <v>508</v>
      </c>
      <c r="B2719" s="524" t="s">
        <v>1917</v>
      </c>
      <c r="C2719" s="525" t="s">
        <v>1918</v>
      </c>
      <c r="D2719" s="524" t="s">
        <v>397</v>
      </c>
      <c r="E2719" s="524" t="s">
        <v>1122</v>
      </c>
      <c r="F2719" s="528" t="s">
        <v>1919</v>
      </c>
      <c r="G2719" s="252">
        <f t="shared" si="54"/>
        <v>52.98</v>
      </c>
    </row>
    <row r="2720" spans="1:7" x14ac:dyDescent="0.3">
      <c r="A2720" s="524" t="s">
        <v>522</v>
      </c>
      <c r="B2720" s="524" t="s">
        <v>611</v>
      </c>
      <c r="C2720" s="525" t="s">
        <v>546</v>
      </c>
      <c r="D2720" s="524" t="s">
        <v>32</v>
      </c>
      <c r="E2720" s="524" t="s">
        <v>1921</v>
      </c>
      <c r="F2720" s="528" t="s">
        <v>1646</v>
      </c>
      <c r="G2720" s="252">
        <f t="shared" si="54"/>
        <v>1.5</v>
      </c>
    </row>
    <row r="2721" spans="1:7" x14ac:dyDescent="0.3">
      <c r="A2721" s="524" t="s">
        <v>522</v>
      </c>
      <c r="B2721" s="524" t="s">
        <v>610</v>
      </c>
      <c r="C2721" s="525" t="s">
        <v>543</v>
      </c>
      <c r="D2721" s="524" t="s">
        <v>32</v>
      </c>
      <c r="E2721" s="524" t="s">
        <v>1921</v>
      </c>
      <c r="F2721" s="528" t="s">
        <v>1647</v>
      </c>
      <c r="G2721" s="252">
        <f t="shared" si="54"/>
        <v>1.92</v>
      </c>
    </row>
    <row r="2722" spans="1:7" x14ac:dyDescent="0.3">
      <c r="A2722" s="680" t="s">
        <v>1152</v>
      </c>
      <c r="B2722" s="681"/>
      <c r="C2722" s="681"/>
      <c r="D2722" s="681"/>
      <c r="E2722" s="681"/>
      <c r="F2722" s="682"/>
      <c r="G2722" s="252">
        <f>SUM(G2717:G2721)</f>
        <v>58.47</v>
      </c>
    </row>
    <row r="2723" spans="1:7" x14ac:dyDescent="0.3">
      <c r="A2723" s="683">
        <f>TRUNC(E2723*F2723,2)</f>
        <v>0</v>
      </c>
      <c r="B2723" s="684"/>
      <c r="C2723" s="684"/>
      <c r="D2723" s="684"/>
      <c r="E2723" s="684"/>
      <c r="F2723" s="684"/>
      <c r="G2723" s="685"/>
    </row>
    <row r="2724" spans="1:7" ht="28.8" x14ac:dyDescent="0.3">
      <c r="A2724" s="529" t="s">
        <v>247</v>
      </c>
      <c r="B2724" s="529">
        <v>93669</v>
      </c>
      <c r="C2724" s="530" t="s">
        <v>149</v>
      </c>
      <c r="D2724" s="529" t="s">
        <v>44</v>
      </c>
      <c r="E2724" s="252"/>
      <c r="F2724" s="531">
        <v>62.18</v>
      </c>
      <c r="G2724" s="252">
        <f t="shared" si="54"/>
        <v>0</v>
      </c>
    </row>
    <row r="2725" spans="1:7" ht="28.8" x14ac:dyDescent="0.3">
      <c r="A2725" s="524" t="s">
        <v>508</v>
      </c>
      <c r="B2725" s="524" t="s">
        <v>1901</v>
      </c>
      <c r="C2725" s="525" t="s">
        <v>1902</v>
      </c>
      <c r="D2725" s="524" t="s">
        <v>397</v>
      </c>
      <c r="E2725" s="524" t="s">
        <v>1915</v>
      </c>
      <c r="F2725" s="528" t="s">
        <v>1903</v>
      </c>
      <c r="G2725" s="252">
        <f t="shared" si="54"/>
        <v>2.7</v>
      </c>
    </row>
    <row r="2726" spans="1:7" x14ac:dyDescent="0.3">
      <c r="A2726" s="524" t="s">
        <v>508</v>
      </c>
      <c r="B2726" s="524" t="s">
        <v>1917</v>
      </c>
      <c r="C2726" s="525" t="s">
        <v>1918</v>
      </c>
      <c r="D2726" s="524" t="s">
        <v>397</v>
      </c>
      <c r="E2726" s="524" t="s">
        <v>1122</v>
      </c>
      <c r="F2726" s="528" t="s">
        <v>1919</v>
      </c>
      <c r="G2726" s="252">
        <f t="shared" si="54"/>
        <v>52.98</v>
      </c>
    </row>
    <row r="2727" spans="1:7" x14ac:dyDescent="0.3">
      <c r="A2727" s="524" t="s">
        <v>522</v>
      </c>
      <c r="B2727" s="524" t="s">
        <v>611</v>
      </c>
      <c r="C2727" s="525" t="s">
        <v>546</v>
      </c>
      <c r="D2727" s="524" t="s">
        <v>32</v>
      </c>
      <c r="E2727" s="524" t="s">
        <v>1922</v>
      </c>
      <c r="F2727" s="528" t="s">
        <v>1646</v>
      </c>
      <c r="G2727" s="252">
        <f t="shared" si="54"/>
        <v>2.85</v>
      </c>
    </row>
    <row r="2728" spans="1:7" x14ac:dyDescent="0.3">
      <c r="A2728" s="524" t="s">
        <v>522</v>
      </c>
      <c r="B2728" s="524" t="s">
        <v>610</v>
      </c>
      <c r="C2728" s="525" t="s">
        <v>543</v>
      </c>
      <c r="D2728" s="524" t="s">
        <v>32</v>
      </c>
      <c r="E2728" s="524" t="s">
        <v>1922</v>
      </c>
      <c r="F2728" s="528" t="s">
        <v>1647</v>
      </c>
      <c r="G2728" s="252">
        <f t="shared" si="54"/>
        <v>3.65</v>
      </c>
    </row>
    <row r="2729" spans="1:7" x14ac:dyDescent="0.3">
      <c r="A2729" s="680" t="s">
        <v>1152</v>
      </c>
      <c r="B2729" s="681"/>
      <c r="C2729" s="681"/>
      <c r="D2729" s="681"/>
      <c r="E2729" s="681"/>
      <c r="F2729" s="682"/>
      <c r="G2729" s="252">
        <f>SUM(G2724:G2728)</f>
        <v>62.18</v>
      </c>
    </row>
    <row r="2730" spans="1:7" x14ac:dyDescent="0.3">
      <c r="A2730" s="683">
        <f>TRUNC(E2730*F2730,2)</f>
        <v>0</v>
      </c>
      <c r="B2730" s="684"/>
      <c r="C2730" s="684"/>
      <c r="D2730" s="684"/>
      <c r="E2730" s="684"/>
      <c r="F2730" s="684"/>
      <c r="G2730" s="685"/>
    </row>
    <row r="2731" spans="1:7" ht="43.2" x14ac:dyDescent="0.3">
      <c r="A2731" s="529" t="s">
        <v>248</v>
      </c>
      <c r="B2731" s="529" t="s">
        <v>351</v>
      </c>
      <c r="C2731" s="530" t="s">
        <v>352</v>
      </c>
      <c r="D2731" s="529" t="s">
        <v>44</v>
      </c>
      <c r="E2731" s="252"/>
      <c r="F2731" s="531">
        <v>459.34</v>
      </c>
      <c r="G2731" s="252">
        <f t="shared" si="54"/>
        <v>0</v>
      </c>
    </row>
    <row r="2732" spans="1:7" ht="28.8" x14ac:dyDescent="0.3">
      <c r="A2732" s="524" t="s">
        <v>508</v>
      </c>
      <c r="B2732" s="524" t="s">
        <v>2092</v>
      </c>
      <c r="C2732" s="525" t="s">
        <v>2093</v>
      </c>
      <c r="D2732" s="524" t="s">
        <v>397</v>
      </c>
      <c r="E2732" s="524" t="s">
        <v>1122</v>
      </c>
      <c r="F2732" s="526" t="s">
        <v>2094</v>
      </c>
      <c r="G2732" s="252">
        <f t="shared" ref="G2732:G2734" si="62">TRUNC(E2732*F2732,2)</f>
        <v>377.57</v>
      </c>
    </row>
    <row r="2733" spans="1:7" x14ac:dyDescent="0.3">
      <c r="A2733" s="524" t="s">
        <v>522</v>
      </c>
      <c r="B2733" s="524" t="s">
        <v>611</v>
      </c>
      <c r="C2733" s="525" t="s">
        <v>546</v>
      </c>
      <c r="D2733" s="524" t="s">
        <v>32</v>
      </c>
      <c r="E2733" s="524" t="s">
        <v>1521</v>
      </c>
      <c r="F2733" s="526" t="s">
        <v>1646</v>
      </c>
      <c r="G2733" s="252">
        <f t="shared" si="62"/>
        <v>35.82</v>
      </c>
    </row>
    <row r="2734" spans="1:7" x14ac:dyDescent="0.3">
      <c r="A2734" s="524" t="s">
        <v>522</v>
      </c>
      <c r="B2734" s="524" t="s">
        <v>610</v>
      </c>
      <c r="C2734" s="525" t="s">
        <v>543</v>
      </c>
      <c r="D2734" s="524" t="s">
        <v>32</v>
      </c>
      <c r="E2734" s="524" t="s">
        <v>1521</v>
      </c>
      <c r="F2734" s="526" t="s">
        <v>1647</v>
      </c>
      <c r="G2734" s="252">
        <f t="shared" si="62"/>
        <v>45.95</v>
      </c>
    </row>
    <row r="2735" spans="1:7" x14ac:dyDescent="0.3">
      <c r="A2735" s="680" t="s">
        <v>1152</v>
      </c>
      <c r="B2735" s="681"/>
      <c r="C2735" s="681"/>
      <c r="D2735" s="681"/>
      <c r="E2735" s="681"/>
      <c r="F2735" s="682"/>
      <c r="G2735" s="252">
        <f>SUM(G2730:G2734)</f>
        <v>459.34</v>
      </c>
    </row>
    <row r="2736" spans="1:7" x14ac:dyDescent="0.3">
      <c r="A2736" s="683">
        <f>TRUNC(E2736*F2736,2)</f>
        <v>0</v>
      </c>
      <c r="B2736" s="684"/>
      <c r="C2736" s="684"/>
      <c r="D2736" s="684"/>
      <c r="E2736" s="684"/>
      <c r="F2736" s="684"/>
      <c r="G2736" s="685"/>
    </row>
    <row r="2737" spans="1:7" ht="43.2" x14ac:dyDescent="0.3">
      <c r="A2737" s="529" t="s">
        <v>249</v>
      </c>
      <c r="B2737" s="529" t="s">
        <v>153</v>
      </c>
      <c r="C2737" s="530" t="s">
        <v>154</v>
      </c>
      <c r="D2737" s="529" t="s">
        <v>44</v>
      </c>
      <c r="E2737" s="252"/>
      <c r="F2737" s="531">
        <v>606.13</v>
      </c>
      <c r="G2737" s="252">
        <f t="shared" si="54"/>
        <v>0</v>
      </c>
    </row>
    <row r="2738" spans="1:7" ht="28.8" x14ac:dyDescent="0.3">
      <c r="A2738" s="524" t="s">
        <v>508</v>
      </c>
      <c r="B2738" s="524" t="s">
        <v>1930</v>
      </c>
      <c r="C2738" s="525" t="s">
        <v>1931</v>
      </c>
      <c r="D2738" s="524" t="s">
        <v>397</v>
      </c>
      <c r="E2738" s="524" t="s">
        <v>1122</v>
      </c>
      <c r="F2738" s="528" t="s">
        <v>1932</v>
      </c>
      <c r="G2738" s="252">
        <f t="shared" si="54"/>
        <v>491.65</v>
      </c>
    </row>
    <row r="2739" spans="1:7" x14ac:dyDescent="0.3">
      <c r="A2739" s="524" t="s">
        <v>522</v>
      </c>
      <c r="B2739" s="524" t="s">
        <v>611</v>
      </c>
      <c r="C2739" s="525" t="s">
        <v>546</v>
      </c>
      <c r="D2739" s="524" t="s">
        <v>32</v>
      </c>
      <c r="E2739" s="524" t="s">
        <v>1933</v>
      </c>
      <c r="F2739" s="528" t="s">
        <v>1646</v>
      </c>
      <c r="G2739" s="252">
        <f t="shared" si="54"/>
        <v>50.15</v>
      </c>
    </row>
    <row r="2740" spans="1:7" x14ac:dyDescent="0.3">
      <c r="A2740" s="524" t="s">
        <v>522</v>
      </c>
      <c r="B2740" s="524" t="s">
        <v>610</v>
      </c>
      <c r="C2740" s="525" t="s">
        <v>543</v>
      </c>
      <c r="D2740" s="524" t="s">
        <v>32</v>
      </c>
      <c r="E2740" s="524" t="s">
        <v>1933</v>
      </c>
      <c r="F2740" s="528" t="s">
        <v>1647</v>
      </c>
      <c r="G2740" s="252">
        <f t="shared" si="54"/>
        <v>64.33</v>
      </c>
    </row>
    <row r="2741" spans="1:7" x14ac:dyDescent="0.3">
      <c r="A2741" s="680" t="s">
        <v>1152</v>
      </c>
      <c r="B2741" s="681"/>
      <c r="C2741" s="681"/>
      <c r="D2741" s="681"/>
      <c r="E2741" s="681"/>
      <c r="F2741" s="682"/>
      <c r="G2741" s="527">
        <f>SUM(G2737:G2740)</f>
        <v>606.13</v>
      </c>
    </row>
    <row r="2742" spans="1:7" x14ac:dyDescent="0.3">
      <c r="A2742" s="683">
        <f>TRUNC(E2742*F2742,2)</f>
        <v>0</v>
      </c>
      <c r="B2742" s="684"/>
      <c r="C2742" s="684"/>
      <c r="D2742" s="684"/>
      <c r="E2742" s="684"/>
      <c r="F2742" s="684"/>
      <c r="G2742" s="685"/>
    </row>
    <row r="2743" spans="1:7" ht="28.8" x14ac:dyDescent="0.3">
      <c r="A2743" s="529" t="s">
        <v>250</v>
      </c>
      <c r="B2743" s="529">
        <v>91941</v>
      </c>
      <c r="C2743" s="530" t="s">
        <v>150</v>
      </c>
      <c r="D2743" s="529" t="s">
        <v>44</v>
      </c>
      <c r="E2743" s="252"/>
      <c r="F2743" s="531">
        <v>6.8</v>
      </c>
      <c r="G2743" s="252">
        <f t="shared" si="54"/>
        <v>0</v>
      </c>
    </row>
    <row r="2744" spans="1:7" x14ac:dyDescent="0.3">
      <c r="A2744" s="524" t="s">
        <v>508</v>
      </c>
      <c r="B2744" s="524" t="s">
        <v>1681</v>
      </c>
      <c r="C2744" s="525" t="s">
        <v>1682</v>
      </c>
      <c r="D2744" s="524" t="s">
        <v>397</v>
      </c>
      <c r="E2744" s="524" t="s">
        <v>1122</v>
      </c>
      <c r="F2744" s="526" t="s">
        <v>1683</v>
      </c>
      <c r="G2744" s="252">
        <f t="shared" si="54"/>
        <v>1.69</v>
      </c>
    </row>
    <row r="2745" spans="1:7" x14ac:dyDescent="0.3">
      <c r="A2745" s="524" t="s">
        <v>522</v>
      </c>
      <c r="B2745" s="524" t="s">
        <v>611</v>
      </c>
      <c r="C2745" s="525" t="s">
        <v>546</v>
      </c>
      <c r="D2745" s="524" t="s">
        <v>32</v>
      </c>
      <c r="E2745" s="524" t="s">
        <v>1684</v>
      </c>
      <c r="F2745" s="526" t="s">
        <v>1646</v>
      </c>
      <c r="G2745" s="252">
        <f t="shared" si="54"/>
        <v>2.0699999999999998</v>
      </c>
    </row>
    <row r="2746" spans="1:7" x14ac:dyDescent="0.3">
      <c r="A2746" s="524" t="s">
        <v>522</v>
      </c>
      <c r="B2746" s="524" t="s">
        <v>610</v>
      </c>
      <c r="C2746" s="525" t="s">
        <v>543</v>
      </c>
      <c r="D2746" s="524" t="s">
        <v>32</v>
      </c>
      <c r="E2746" s="524" t="s">
        <v>1684</v>
      </c>
      <c r="F2746" s="526" t="s">
        <v>1647</v>
      </c>
      <c r="G2746" s="252">
        <f t="shared" si="54"/>
        <v>2.66</v>
      </c>
    </row>
    <row r="2747" spans="1:7" ht="28.8" x14ac:dyDescent="0.3">
      <c r="A2747" s="524" t="s">
        <v>522</v>
      </c>
      <c r="B2747" s="524" t="s">
        <v>1685</v>
      </c>
      <c r="C2747" s="525" t="s">
        <v>1686</v>
      </c>
      <c r="D2747" s="524" t="s">
        <v>41</v>
      </c>
      <c r="E2747" s="524" t="s">
        <v>1687</v>
      </c>
      <c r="F2747" s="526" t="s">
        <v>1688</v>
      </c>
      <c r="G2747" s="252">
        <f t="shared" si="54"/>
        <v>0.38</v>
      </c>
    </row>
    <row r="2748" spans="1:7" x14ac:dyDescent="0.3">
      <c r="A2748" s="680" t="s">
        <v>1152</v>
      </c>
      <c r="B2748" s="681"/>
      <c r="C2748" s="681"/>
      <c r="D2748" s="681"/>
      <c r="E2748" s="681"/>
      <c r="F2748" s="682"/>
      <c r="G2748" s="527">
        <f>SUM(G2744:G2747)</f>
        <v>6.8</v>
      </c>
    </row>
    <row r="2749" spans="1:7" x14ac:dyDescent="0.3">
      <c r="A2749" s="683">
        <f>TRUNC(E2749*F2749,2)</f>
        <v>0</v>
      </c>
      <c r="B2749" s="684"/>
      <c r="C2749" s="684"/>
      <c r="D2749" s="684"/>
      <c r="E2749" s="684"/>
      <c r="F2749" s="684"/>
      <c r="G2749" s="685"/>
    </row>
    <row r="2750" spans="1:7" ht="43.2" x14ac:dyDescent="0.3">
      <c r="A2750" s="529" t="s">
        <v>251</v>
      </c>
      <c r="B2750" s="529" t="s">
        <v>158</v>
      </c>
      <c r="C2750" s="530" t="s">
        <v>159</v>
      </c>
      <c r="D2750" s="529" t="s">
        <v>55</v>
      </c>
      <c r="E2750" s="252"/>
      <c r="F2750" s="531">
        <v>60.92</v>
      </c>
      <c r="G2750" s="252">
        <f t="shared" si="54"/>
        <v>0</v>
      </c>
    </row>
    <row r="2751" spans="1:7" x14ac:dyDescent="0.3">
      <c r="A2751" s="596" t="s">
        <v>541</v>
      </c>
      <c r="B2751" s="596" t="s">
        <v>542</v>
      </c>
      <c r="C2751" s="592" t="s">
        <v>543</v>
      </c>
      <c r="D2751" s="596" t="s">
        <v>32</v>
      </c>
      <c r="E2751" s="608">
        <v>0.4</v>
      </c>
      <c r="F2751" s="598">
        <v>18.38</v>
      </c>
      <c r="G2751" s="252">
        <f t="shared" si="54"/>
        <v>7.35</v>
      </c>
    </row>
    <row r="2752" spans="1:7" x14ac:dyDescent="0.3">
      <c r="A2752" s="596" t="s">
        <v>541</v>
      </c>
      <c r="B2752" s="596" t="s">
        <v>545</v>
      </c>
      <c r="C2752" s="592" t="s">
        <v>546</v>
      </c>
      <c r="D2752" s="596" t="s">
        <v>32</v>
      </c>
      <c r="E2752" s="608">
        <v>0.4</v>
      </c>
      <c r="F2752" s="598">
        <v>14.33</v>
      </c>
      <c r="G2752" s="252">
        <f t="shared" si="54"/>
        <v>5.73</v>
      </c>
    </row>
    <row r="2753" spans="1:7" x14ac:dyDescent="0.3">
      <c r="A2753" s="596" t="s">
        <v>547</v>
      </c>
      <c r="B2753" s="596" t="s">
        <v>548</v>
      </c>
      <c r="C2753" s="592" t="s">
        <v>549</v>
      </c>
      <c r="D2753" s="596" t="s">
        <v>55</v>
      </c>
      <c r="E2753" s="608">
        <v>1</v>
      </c>
      <c r="F2753" s="598" t="s">
        <v>551</v>
      </c>
      <c r="G2753" s="252">
        <f t="shared" si="54"/>
        <v>10.8</v>
      </c>
    </row>
    <row r="2754" spans="1:7" x14ac:dyDescent="0.3">
      <c r="A2754" s="596" t="s">
        <v>547</v>
      </c>
      <c r="B2754" s="596" t="s">
        <v>552</v>
      </c>
      <c r="C2754" s="592" t="s">
        <v>536</v>
      </c>
      <c r="D2754" s="596" t="s">
        <v>55</v>
      </c>
      <c r="E2754" s="608">
        <v>1</v>
      </c>
      <c r="F2754" s="598">
        <v>30</v>
      </c>
      <c r="G2754" s="252">
        <f t="shared" ref="G2754:G2757" si="63">TRUNC(E2754*F2754,2)</f>
        <v>30</v>
      </c>
    </row>
    <row r="2755" spans="1:7" x14ac:dyDescent="0.3">
      <c r="A2755" s="596" t="s">
        <v>554</v>
      </c>
      <c r="B2755" s="596" t="s">
        <v>555</v>
      </c>
      <c r="C2755" s="592" t="s">
        <v>556</v>
      </c>
      <c r="D2755" s="596" t="s">
        <v>55</v>
      </c>
      <c r="E2755" s="608">
        <v>0.5</v>
      </c>
      <c r="F2755" s="598" t="s">
        <v>559</v>
      </c>
      <c r="G2755" s="252">
        <f t="shared" si="63"/>
        <v>2.75</v>
      </c>
    </row>
    <row r="2756" spans="1:7" x14ac:dyDescent="0.3">
      <c r="A2756" s="596" t="s">
        <v>554</v>
      </c>
      <c r="B2756" s="596" t="s">
        <v>560</v>
      </c>
      <c r="C2756" s="592" t="s">
        <v>561</v>
      </c>
      <c r="D2756" s="596" t="s">
        <v>55</v>
      </c>
      <c r="E2756" s="608">
        <v>1</v>
      </c>
      <c r="F2756" s="598" t="s">
        <v>562</v>
      </c>
      <c r="G2756" s="252">
        <f t="shared" si="63"/>
        <v>2.1</v>
      </c>
    </row>
    <row r="2757" spans="1:7" x14ac:dyDescent="0.3">
      <c r="A2757" s="596" t="s">
        <v>554</v>
      </c>
      <c r="B2757" s="596" t="s">
        <v>563</v>
      </c>
      <c r="C2757" s="592" t="s">
        <v>564</v>
      </c>
      <c r="D2757" s="596" t="s">
        <v>55</v>
      </c>
      <c r="E2757" s="608">
        <v>0.3</v>
      </c>
      <c r="F2757" s="598" t="s">
        <v>567</v>
      </c>
      <c r="G2757" s="252">
        <f t="shared" si="63"/>
        <v>2.19</v>
      </c>
    </row>
    <row r="2758" spans="1:7" x14ac:dyDescent="0.3">
      <c r="A2758" s="680" t="s">
        <v>1152</v>
      </c>
      <c r="B2758" s="681"/>
      <c r="C2758" s="681"/>
      <c r="D2758" s="681"/>
      <c r="E2758" s="681"/>
      <c r="F2758" s="682"/>
      <c r="G2758" s="527">
        <f>SUM(G2750:G2757)</f>
        <v>60.92</v>
      </c>
    </row>
    <row r="2759" spans="1:7" x14ac:dyDescent="0.3">
      <c r="A2759" s="686"/>
      <c r="B2759" s="687"/>
      <c r="C2759" s="687"/>
      <c r="D2759" s="687"/>
      <c r="E2759" s="687"/>
      <c r="F2759" s="687"/>
      <c r="G2759" s="688"/>
    </row>
    <row r="2760" spans="1:7" ht="28.8" x14ac:dyDescent="0.3">
      <c r="A2760" s="529" t="s">
        <v>702</v>
      </c>
      <c r="B2760" s="529">
        <v>93008</v>
      </c>
      <c r="C2760" s="530" t="s">
        <v>353</v>
      </c>
      <c r="D2760" s="529" t="s">
        <v>55</v>
      </c>
      <c r="E2760" s="252"/>
      <c r="F2760" s="531">
        <v>9.9</v>
      </c>
      <c r="G2760" s="252">
        <f t="shared" si="54"/>
        <v>0</v>
      </c>
    </row>
    <row r="2761" spans="1:7" x14ac:dyDescent="0.3">
      <c r="A2761" s="524" t="s">
        <v>508</v>
      </c>
      <c r="B2761" s="524" t="s">
        <v>2095</v>
      </c>
      <c r="C2761" s="525" t="s">
        <v>2096</v>
      </c>
      <c r="D2761" s="524" t="s">
        <v>55</v>
      </c>
      <c r="E2761" s="524" t="s">
        <v>1662</v>
      </c>
      <c r="F2761" s="526" t="s">
        <v>2097</v>
      </c>
      <c r="G2761" s="252">
        <f t="shared" ref="G2761:G2763" si="64">TRUNC(E2761*F2761,2)</f>
        <v>6.25</v>
      </c>
    </row>
    <row r="2762" spans="1:7" x14ac:dyDescent="0.3">
      <c r="A2762" s="524" t="s">
        <v>522</v>
      </c>
      <c r="B2762" s="524" t="s">
        <v>611</v>
      </c>
      <c r="C2762" s="525" t="s">
        <v>546</v>
      </c>
      <c r="D2762" s="524" t="s">
        <v>32</v>
      </c>
      <c r="E2762" s="524" t="s">
        <v>2098</v>
      </c>
      <c r="F2762" s="526" t="s">
        <v>1646</v>
      </c>
      <c r="G2762" s="252">
        <f t="shared" si="64"/>
        <v>1.6</v>
      </c>
    </row>
    <row r="2763" spans="1:7" x14ac:dyDescent="0.3">
      <c r="A2763" s="524" t="s">
        <v>522</v>
      </c>
      <c r="B2763" s="524" t="s">
        <v>610</v>
      </c>
      <c r="C2763" s="525" t="s">
        <v>543</v>
      </c>
      <c r="D2763" s="524" t="s">
        <v>32</v>
      </c>
      <c r="E2763" s="524" t="s">
        <v>2098</v>
      </c>
      <c r="F2763" s="526" t="s">
        <v>1647</v>
      </c>
      <c r="G2763" s="252">
        <f t="shared" si="64"/>
        <v>2.0499999999999998</v>
      </c>
    </row>
    <row r="2764" spans="1:7" x14ac:dyDescent="0.3">
      <c r="A2764" s="680" t="s">
        <v>1152</v>
      </c>
      <c r="B2764" s="681"/>
      <c r="C2764" s="681"/>
      <c r="D2764" s="681"/>
      <c r="E2764" s="681"/>
      <c r="F2764" s="682"/>
      <c r="G2764" s="527">
        <f>SUM(G2760:G2763)</f>
        <v>9.8999999999999986</v>
      </c>
    </row>
    <row r="2765" spans="1:7" x14ac:dyDescent="0.3">
      <c r="A2765" s="686"/>
      <c r="B2765" s="687"/>
      <c r="C2765" s="687"/>
      <c r="D2765" s="687"/>
      <c r="E2765" s="687"/>
      <c r="F2765" s="687"/>
      <c r="G2765" s="688"/>
    </row>
    <row r="2766" spans="1:7" x14ac:dyDescent="0.3">
      <c r="A2766" s="529" t="s">
        <v>208</v>
      </c>
      <c r="B2766" s="529"/>
      <c r="C2766" s="530" t="s">
        <v>161</v>
      </c>
      <c r="D2766" s="529"/>
      <c r="E2766" s="252"/>
      <c r="F2766" s="531"/>
      <c r="G2766" s="252">
        <f t="shared" si="54"/>
        <v>0</v>
      </c>
    </row>
    <row r="2767" spans="1:7" ht="28.8" x14ac:dyDescent="0.3">
      <c r="A2767" s="529" t="s">
        <v>208</v>
      </c>
      <c r="B2767" s="529">
        <v>91844</v>
      </c>
      <c r="C2767" s="530" t="s">
        <v>354</v>
      </c>
      <c r="D2767" s="529" t="s">
        <v>55</v>
      </c>
      <c r="E2767" s="252"/>
      <c r="F2767" s="531">
        <v>4.29</v>
      </c>
      <c r="G2767" s="252">
        <f t="shared" si="54"/>
        <v>0</v>
      </c>
    </row>
    <row r="2768" spans="1:7" x14ac:dyDescent="0.3">
      <c r="A2768" s="524" t="s">
        <v>508</v>
      </c>
      <c r="B2768" s="524" t="s">
        <v>2099</v>
      </c>
      <c r="C2768" s="525" t="s">
        <v>2100</v>
      </c>
      <c r="D2768" s="524" t="s">
        <v>55</v>
      </c>
      <c r="E2768" s="524" t="s">
        <v>1662</v>
      </c>
      <c r="F2768" s="526" t="s">
        <v>2101</v>
      </c>
      <c r="G2768" s="252">
        <f t="shared" ref="G2768:G2771" si="65">TRUNC(E2768*F2768,2)</f>
        <v>1.44</v>
      </c>
    </row>
    <row r="2769" spans="1:7" ht="28.8" x14ac:dyDescent="0.3">
      <c r="A2769" s="524" t="s">
        <v>508</v>
      </c>
      <c r="B2769" s="524" t="s">
        <v>1669</v>
      </c>
      <c r="C2769" s="525" t="s">
        <v>1670</v>
      </c>
      <c r="D2769" s="524" t="s">
        <v>426</v>
      </c>
      <c r="E2769" s="524" t="s">
        <v>2102</v>
      </c>
      <c r="F2769" s="526" t="s">
        <v>1672</v>
      </c>
      <c r="G2769" s="252">
        <f t="shared" si="65"/>
        <v>0.02</v>
      </c>
    </row>
    <row r="2770" spans="1:7" x14ac:dyDescent="0.3">
      <c r="A2770" s="524" t="s">
        <v>522</v>
      </c>
      <c r="B2770" s="524" t="s">
        <v>611</v>
      </c>
      <c r="C2770" s="525" t="s">
        <v>546</v>
      </c>
      <c r="D2770" s="524" t="s">
        <v>32</v>
      </c>
      <c r="E2770" s="524" t="s">
        <v>2103</v>
      </c>
      <c r="F2770" s="526" t="s">
        <v>1646</v>
      </c>
      <c r="G2770" s="252">
        <f t="shared" si="65"/>
        <v>1.24</v>
      </c>
    </row>
    <row r="2771" spans="1:7" x14ac:dyDescent="0.3">
      <c r="A2771" s="524" t="s">
        <v>522</v>
      </c>
      <c r="B2771" s="524" t="s">
        <v>610</v>
      </c>
      <c r="C2771" s="525" t="s">
        <v>543</v>
      </c>
      <c r="D2771" s="524" t="s">
        <v>32</v>
      </c>
      <c r="E2771" s="524" t="s">
        <v>2103</v>
      </c>
      <c r="F2771" s="526" t="s">
        <v>1647</v>
      </c>
      <c r="G2771" s="252">
        <f t="shared" si="65"/>
        <v>1.59</v>
      </c>
    </row>
    <row r="2772" spans="1:7" x14ac:dyDescent="0.3">
      <c r="A2772" s="680" t="s">
        <v>1152</v>
      </c>
      <c r="B2772" s="681"/>
      <c r="C2772" s="681"/>
      <c r="D2772" s="681"/>
      <c r="E2772" s="681"/>
      <c r="F2772" s="682"/>
      <c r="G2772" s="527">
        <f>SUM(G2768:G2771)</f>
        <v>4.29</v>
      </c>
    </row>
    <row r="2773" spans="1:7" x14ac:dyDescent="0.3">
      <c r="A2773" s="686"/>
      <c r="B2773" s="687"/>
      <c r="C2773" s="687"/>
      <c r="D2773" s="687"/>
      <c r="E2773" s="687"/>
      <c r="F2773" s="687"/>
      <c r="G2773" s="688"/>
    </row>
    <row r="2774" spans="1:7" ht="28.8" x14ac:dyDescent="0.3">
      <c r="A2774" s="529" t="s">
        <v>252</v>
      </c>
      <c r="B2774" s="529">
        <v>91941</v>
      </c>
      <c r="C2774" s="530" t="s">
        <v>150</v>
      </c>
      <c r="D2774" s="529" t="s">
        <v>44</v>
      </c>
      <c r="E2774" s="252"/>
      <c r="F2774" s="531">
        <v>6.8</v>
      </c>
      <c r="G2774" s="252">
        <f t="shared" si="54"/>
        <v>0</v>
      </c>
    </row>
    <row r="2775" spans="1:7" x14ac:dyDescent="0.3">
      <c r="A2775" s="524" t="s">
        <v>508</v>
      </c>
      <c r="B2775" s="524" t="s">
        <v>1681</v>
      </c>
      <c r="C2775" s="525" t="s">
        <v>1682</v>
      </c>
      <c r="D2775" s="524" t="s">
        <v>397</v>
      </c>
      <c r="E2775" s="524" t="s">
        <v>1122</v>
      </c>
      <c r="F2775" s="526" t="s">
        <v>1683</v>
      </c>
      <c r="G2775" s="252">
        <f t="shared" si="54"/>
        <v>1.69</v>
      </c>
    </row>
    <row r="2776" spans="1:7" x14ac:dyDescent="0.3">
      <c r="A2776" s="524" t="s">
        <v>522</v>
      </c>
      <c r="B2776" s="524" t="s">
        <v>611</v>
      </c>
      <c r="C2776" s="525" t="s">
        <v>546</v>
      </c>
      <c r="D2776" s="524" t="s">
        <v>32</v>
      </c>
      <c r="E2776" s="524" t="s">
        <v>1684</v>
      </c>
      <c r="F2776" s="526" t="s">
        <v>1646</v>
      </c>
      <c r="G2776" s="252">
        <f t="shared" si="54"/>
        <v>2.0699999999999998</v>
      </c>
    </row>
    <row r="2777" spans="1:7" x14ac:dyDescent="0.3">
      <c r="A2777" s="524" t="s">
        <v>522</v>
      </c>
      <c r="B2777" s="524" t="s">
        <v>610</v>
      </c>
      <c r="C2777" s="525" t="s">
        <v>543</v>
      </c>
      <c r="D2777" s="524" t="s">
        <v>32</v>
      </c>
      <c r="E2777" s="524" t="s">
        <v>1684</v>
      </c>
      <c r="F2777" s="526" t="s">
        <v>1647</v>
      </c>
      <c r="G2777" s="252">
        <f t="shared" si="54"/>
        <v>2.66</v>
      </c>
    </row>
    <row r="2778" spans="1:7" ht="28.8" x14ac:dyDescent="0.3">
      <c r="A2778" s="524" t="s">
        <v>522</v>
      </c>
      <c r="B2778" s="524" t="s">
        <v>1685</v>
      </c>
      <c r="C2778" s="525" t="s">
        <v>1686</v>
      </c>
      <c r="D2778" s="524" t="s">
        <v>41</v>
      </c>
      <c r="E2778" s="524" t="s">
        <v>1687</v>
      </c>
      <c r="F2778" s="526" t="s">
        <v>1688</v>
      </c>
      <c r="G2778" s="252">
        <f t="shared" si="54"/>
        <v>0.38</v>
      </c>
    </row>
    <row r="2779" spans="1:7" x14ac:dyDescent="0.3">
      <c r="A2779" s="680" t="s">
        <v>1152</v>
      </c>
      <c r="B2779" s="681"/>
      <c r="C2779" s="681"/>
      <c r="D2779" s="681"/>
      <c r="E2779" s="681"/>
      <c r="F2779" s="682"/>
      <c r="G2779" s="527">
        <f>SUM(G2775:G2778)</f>
        <v>6.8</v>
      </c>
    </row>
    <row r="2780" spans="1:7" x14ac:dyDescent="0.3">
      <c r="A2780" s="683">
        <f>TRUNC(E2780*F2780,2)</f>
        <v>0</v>
      </c>
      <c r="B2780" s="684"/>
      <c r="C2780" s="684"/>
      <c r="D2780" s="684"/>
      <c r="E2780" s="684"/>
      <c r="F2780" s="684"/>
      <c r="G2780" s="685"/>
    </row>
    <row r="2781" spans="1:7" ht="28.8" x14ac:dyDescent="0.3">
      <c r="A2781" s="529" t="s">
        <v>209</v>
      </c>
      <c r="B2781" s="529">
        <v>90447</v>
      </c>
      <c r="C2781" s="530" t="s">
        <v>127</v>
      </c>
      <c r="D2781" s="529" t="s">
        <v>55</v>
      </c>
      <c r="E2781" s="252"/>
      <c r="F2781" s="531">
        <v>4.45</v>
      </c>
      <c r="G2781" s="252">
        <f t="shared" si="54"/>
        <v>0</v>
      </c>
    </row>
    <row r="2782" spans="1:7" x14ac:dyDescent="0.3">
      <c r="A2782" s="524" t="s">
        <v>522</v>
      </c>
      <c r="B2782" s="524" t="s">
        <v>611</v>
      </c>
      <c r="C2782" s="525" t="s">
        <v>546</v>
      </c>
      <c r="D2782" s="524" t="s">
        <v>32</v>
      </c>
      <c r="E2782" s="524" t="s">
        <v>1658</v>
      </c>
      <c r="F2782" s="528" t="s">
        <v>1646</v>
      </c>
      <c r="G2782" s="252">
        <f t="shared" si="54"/>
        <v>0.48</v>
      </c>
    </row>
    <row r="2783" spans="1:7" x14ac:dyDescent="0.3">
      <c r="A2783" s="524" t="s">
        <v>522</v>
      </c>
      <c r="B2783" s="524" t="s">
        <v>610</v>
      </c>
      <c r="C2783" s="525" t="s">
        <v>543</v>
      </c>
      <c r="D2783" s="524" t="s">
        <v>32</v>
      </c>
      <c r="E2783" s="524" t="s">
        <v>1659</v>
      </c>
      <c r="F2783" s="528" t="s">
        <v>1647</v>
      </c>
      <c r="G2783" s="252">
        <f t="shared" si="54"/>
        <v>3.97</v>
      </c>
    </row>
    <row r="2784" spans="1:7" x14ac:dyDescent="0.3">
      <c r="A2784" s="680" t="s">
        <v>1152</v>
      </c>
      <c r="B2784" s="681"/>
      <c r="C2784" s="681"/>
      <c r="D2784" s="681"/>
      <c r="E2784" s="681"/>
      <c r="F2784" s="682"/>
      <c r="G2784" s="527">
        <f>SUM(G2775:G2783)</f>
        <v>18.05</v>
      </c>
    </row>
    <row r="2785" spans="1:7" x14ac:dyDescent="0.3">
      <c r="A2785" s="683">
        <f>TRUNC(E2785*F2785,2)</f>
        <v>0</v>
      </c>
      <c r="B2785" s="684"/>
      <c r="C2785" s="684"/>
      <c r="D2785" s="684"/>
      <c r="E2785" s="684"/>
      <c r="F2785" s="684"/>
      <c r="G2785" s="685"/>
    </row>
    <row r="2786" spans="1:7" ht="43.2" x14ac:dyDescent="0.3">
      <c r="A2786" s="529" t="s">
        <v>253</v>
      </c>
      <c r="B2786" s="529" t="s">
        <v>178</v>
      </c>
      <c r="C2786" s="530" t="s">
        <v>179</v>
      </c>
      <c r="D2786" s="529" t="s">
        <v>44</v>
      </c>
      <c r="E2786" s="252"/>
      <c r="F2786" s="531">
        <v>1488.24</v>
      </c>
      <c r="G2786" s="252">
        <f t="shared" si="54"/>
        <v>0</v>
      </c>
    </row>
    <row r="2787" spans="1:7" x14ac:dyDescent="0.3">
      <c r="A2787" s="529"/>
      <c r="B2787" s="529" t="s">
        <v>570</v>
      </c>
      <c r="C2787" s="530" t="s">
        <v>571</v>
      </c>
      <c r="D2787" s="529" t="s">
        <v>397</v>
      </c>
      <c r="E2787" s="609">
        <v>1</v>
      </c>
      <c r="F2787" s="531">
        <v>164.45</v>
      </c>
      <c r="G2787" s="252">
        <f t="shared" si="54"/>
        <v>164.45</v>
      </c>
    </row>
    <row r="2788" spans="1:7" x14ac:dyDescent="0.3">
      <c r="A2788" s="529"/>
      <c r="B2788" s="529" t="s">
        <v>807</v>
      </c>
      <c r="C2788" s="530" t="s">
        <v>573</v>
      </c>
      <c r="D2788" s="529" t="s">
        <v>397</v>
      </c>
      <c r="E2788" s="609">
        <v>1</v>
      </c>
      <c r="F2788" s="531">
        <v>75.58</v>
      </c>
      <c r="G2788" s="252">
        <f t="shared" si="54"/>
        <v>75.58</v>
      </c>
    </row>
    <row r="2789" spans="1:7" x14ac:dyDescent="0.3">
      <c r="A2789" s="529"/>
      <c r="B2789" s="529" t="s">
        <v>807</v>
      </c>
      <c r="C2789" s="530" t="s">
        <v>574</v>
      </c>
      <c r="D2789" s="529" t="s">
        <v>397</v>
      </c>
      <c r="E2789" s="609">
        <v>1</v>
      </c>
      <c r="F2789" s="531">
        <v>62.05</v>
      </c>
      <c r="G2789" s="252">
        <f t="shared" si="54"/>
        <v>62.05</v>
      </c>
    </row>
    <row r="2790" spans="1:7" ht="28.8" x14ac:dyDescent="0.3">
      <c r="A2790" s="529"/>
      <c r="B2790" s="529" t="s">
        <v>807</v>
      </c>
      <c r="C2790" s="530" t="s">
        <v>575</v>
      </c>
      <c r="D2790" s="529" t="s">
        <v>397</v>
      </c>
      <c r="E2790" s="609">
        <v>1</v>
      </c>
      <c r="F2790" s="531">
        <v>922.58</v>
      </c>
      <c r="G2790" s="252">
        <f t="shared" si="54"/>
        <v>922.58</v>
      </c>
    </row>
    <row r="2791" spans="1:7" x14ac:dyDescent="0.3">
      <c r="A2791" s="529"/>
      <c r="B2791" s="529" t="s">
        <v>807</v>
      </c>
      <c r="C2791" s="530" t="s">
        <v>576</v>
      </c>
      <c r="D2791" s="529" t="s">
        <v>397</v>
      </c>
      <c r="E2791" s="609">
        <v>2</v>
      </c>
      <c r="F2791" s="531">
        <v>66.37</v>
      </c>
      <c r="G2791" s="252">
        <f t="shared" si="54"/>
        <v>132.74</v>
      </c>
    </row>
    <row r="2792" spans="1:7" x14ac:dyDescent="0.3">
      <c r="A2792" s="529"/>
      <c r="B2792" s="524" t="s">
        <v>610</v>
      </c>
      <c r="C2792" s="525" t="s">
        <v>543</v>
      </c>
      <c r="D2792" s="529" t="s">
        <v>32</v>
      </c>
      <c r="E2792" s="609">
        <v>4</v>
      </c>
      <c r="F2792" s="531">
        <v>18.38</v>
      </c>
      <c r="G2792" s="252">
        <f t="shared" si="54"/>
        <v>73.52</v>
      </c>
    </row>
    <row r="2793" spans="1:7" x14ac:dyDescent="0.3">
      <c r="A2793" s="529"/>
      <c r="B2793" s="524" t="s">
        <v>611</v>
      </c>
      <c r="C2793" s="525" t="s">
        <v>546</v>
      </c>
      <c r="D2793" s="529" t="s">
        <v>32</v>
      </c>
      <c r="E2793" s="609">
        <v>4</v>
      </c>
      <c r="F2793" s="531">
        <v>14.33</v>
      </c>
      <c r="G2793" s="252">
        <f t="shared" si="54"/>
        <v>57.32</v>
      </c>
    </row>
    <row r="2794" spans="1:7" x14ac:dyDescent="0.3">
      <c r="A2794" s="680" t="s">
        <v>1152</v>
      </c>
      <c r="B2794" s="681"/>
      <c r="C2794" s="681"/>
      <c r="D2794" s="681"/>
      <c r="E2794" s="681"/>
      <c r="F2794" s="682"/>
      <c r="G2794" s="527">
        <f>SUM(G2786:G2793)</f>
        <v>1488.24</v>
      </c>
    </row>
    <row r="2795" spans="1:7" x14ac:dyDescent="0.3">
      <c r="A2795" s="686"/>
      <c r="B2795" s="687"/>
      <c r="C2795" s="687"/>
      <c r="D2795" s="687"/>
      <c r="E2795" s="687"/>
      <c r="F2795" s="687"/>
      <c r="G2795" s="688"/>
    </row>
    <row r="2796" spans="1:7" x14ac:dyDescent="0.3">
      <c r="A2796" s="529" t="s">
        <v>254</v>
      </c>
      <c r="B2796" s="529">
        <v>98302</v>
      </c>
      <c r="C2796" s="530" t="s">
        <v>174</v>
      </c>
      <c r="D2796" s="529" t="s">
        <v>44</v>
      </c>
      <c r="E2796" s="252"/>
      <c r="F2796" s="531">
        <v>497.66</v>
      </c>
      <c r="G2796" s="252">
        <f t="shared" si="54"/>
        <v>0</v>
      </c>
    </row>
    <row r="2797" spans="1:7" x14ac:dyDescent="0.3">
      <c r="A2797" s="524" t="s">
        <v>508</v>
      </c>
      <c r="B2797" s="524" t="s">
        <v>1703</v>
      </c>
      <c r="C2797" s="525" t="s">
        <v>1704</v>
      </c>
      <c r="D2797" s="524" t="s">
        <v>397</v>
      </c>
      <c r="E2797" s="524" t="s">
        <v>1122</v>
      </c>
      <c r="F2797" s="526" t="s">
        <v>1706</v>
      </c>
      <c r="G2797" s="252">
        <f t="shared" si="54"/>
        <v>294.85000000000002</v>
      </c>
    </row>
    <row r="2798" spans="1:7" x14ac:dyDescent="0.3">
      <c r="A2798" s="524" t="s">
        <v>522</v>
      </c>
      <c r="B2798" s="524" t="s">
        <v>611</v>
      </c>
      <c r="C2798" s="525" t="s">
        <v>546</v>
      </c>
      <c r="D2798" s="524" t="s">
        <v>32</v>
      </c>
      <c r="E2798" s="524" t="s">
        <v>1705</v>
      </c>
      <c r="F2798" s="526" t="s">
        <v>1646</v>
      </c>
      <c r="G2798" s="252">
        <f t="shared" si="54"/>
        <v>88.85</v>
      </c>
    </row>
    <row r="2799" spans="1:7" x14ac:dyDescent="0.3">
      <c r="A2799" s="524" t="s">
        <v>522</v>
      </c>
      <c r="B2799" s="524" t="s">
        <v>610</v>
      </c>
      <c r="C2799" s="525" t="s">
        <v>543</v>
      </c>
      <c r="D2799" s="524" t="s">
        <v>32</v>
      </c>
      <c r="E2799" s="524" t="s">
        <v>1705</v>
      </c>
      <c r="F2799" s="526" t="s">
        <v>1647</v>
      </c>
      <c r="G2799" s="252">
        <f t="shared" si="54"/>
        <v>113.96</v>
      </c>
    </row>
    <row r="2800" spans="1:7" x14ac:dyDescent="0.3">
      <c r="A2800" s="680" t="s">
        <v>1152</v>
      </c>
      <c r="B2800" s="681"/>
      <c r="C2800" s="681"/>
      <c r="D2800" s="681"/>
      <c r="E2800" s="681"/>
      <c r="F2800" s="682"/>
      <c r="G2800" s="527">
        <f>SUM(G2796:G2799)</f>
        <v>497.66</v>
      </c>
    </row>
    <row r="2801" spans="1:7" x14ac:dyDescent="0.3">
      <c r="A2801" s="683">
        <f>TRUNC(E2801*F2801,2)</f>
        <v>0</v>
      </c>
      <c r="B2801" s="684"/>
      <c r="C2801" s="684"/>
      <c r="D2801" s="684"/>
      <c r="E2801" s="684"/>
      <c r="F2801" s="684"/>
      <c r="G2801" s="685"/>
    </row>
    <row r="2802" spans="1:7" ht="28.8" x14ac:dyDescent="0.3">
      <c r="A2802" s="529" t="s">
        <v>255</v>
      </c>
      <c r="B2802" s="529">
        <v>98296</v>
      </c>
      <c r="C2802" s="530" t="s">
        <v>172</v>
      </c>
      <c r="D2802" s="529" t="s">
        <v>55</v>
      </c>
      <c r="E2802" s="252"/>
      <c r="F2802" s="531">
        <v>2.52</v>
      </c>
      <c r="G2802" s="252">
        <f t="shared" si="54"/>
        <v>0</v>
      </c>
    </row>
    <row r="2803" spans="1:7" x14ac:dyDescent="0.3">
      <c r="A2803" s="524" t="s">
        <v>508</v>
      </c>
      <c r="B2803" s="524" t="s">
        <v>1700</v>
      </c>
      <c r="C2803" s="525" t="s">
        <v>1701</v>
      </c>
      <c r="D2803" s="524" t="s">
        <v>55</v>
      </c>
      <c r="E2803" s="524" t="s">
        <v>1697</v>
      </c>
      <c r="F2803" s="526" t="s">
        <v>1702</v>
      </c>
      <c r="G2803" s="252">
        <f t="shared" si="54"/>
        <v>1.65</v>
      </c>
    </row>
    <row r="2804" spans="1:7" x14ac:dyDescent="0.3">
      <c r="A2804" s="524" t="s">
        <v>522</v>
      </c>
      <c r="B2804" s="524" t="s">
        <v>611</v>
      </c>
      <c r="C2804" s="525" t="s">
        <v>546</v>
      </c>
      <c r="D2804" s="524" t="s">
        <v>32</v>
      </c>
      <c r="E2804" s="524" t="s">
        <v>1151</v>
      </c>
      <c r="F2804" s="526" t="s">
        <v>1646</v>
      </c>
      <c r="G2804" s="252">
        <f t="shared" si="54"/>
        <v>0.38</v>
      </c>
    </row>
    <row r="2805" spans="1:7" x14ac:dyDescent="0.3">
      <c r="A2805" s="524" t="s">
        <v>522</v>
      </c>
      <c r="B2805" s="524" t="s">
        <v>610</v>
      </c>
      <c r="C2805" s="525" t="s">
        <v>543</v>
      </c>
      <c r="D2805" s="524" t="s">
        <v>32</v>
      </c>
      <c r="E2805" s="524" t="s">
        <v>1151</v>
      </c>
      <c r="F2805" s="526" t="s">
        <v>1647</v>
      </c>
      <c r="G2805" s="252">
        <f t="shared" si="54"/>
        <v>0.49</v>
      </c>
    </row>
    <row r="2806" spans="1:7" x14ac:dyDescent="0.3">
      <c r="A2806" s="680" t="s">
        <v>1152</v>
      </c>
      <c r="B2806" s="681"/>
      <c r="C2806" s="681"/>
      <c r="D2806" s="681"/>
      <c r="E2806" s="681"/>
      <c r="F2806" s="682"/>
      <c r="G2806" s="527">
        <f>SUM(G2802:G2805)</f>
        <v>2.5199999999999996</v>
      </c>
    </row>
    <row r="2807" spans="1:7" x14ac:dyDescent="0.3">
      <c r="A2807" s="683">
        <f>TRUNC(E2807*F2807,2)</f>
        <v>0</v>
      </c>
      <c r="B2807" s="684"/>
      <c r="C2807" s="684"/>
      <c r="D2807" s="684"/>
      <c r="E2807" s="684"/>
      <c r="F2807" s="684"/>
      <c r="G2807" s="685"/>
    </row>
    <row r="2808" spans="1:7" x14ac:dyDescent="0.3">
      <c r="A2808" s="529" t="s">
        <v>211</v>
      </c>
      <c r="B2808" s="529"/>
      <c r="C2808" s="530" t="s">
        <v>187</v>
      </c>
      <c r="D2808" s="529"/>
      <c r="E2808" s="252"/>
      <c r="F2808" s="531"/>
      <c r="G2808" s="252">
        <f t="shared" si="54"/>
        <v>0</v>
      </c>
    </row>
    <row r="2809" spans="1:7" x14ac:dyDescent="0.3">
      <c r="A2809" s="529" t="s">
        <v>213</v>
      </c>
      <c r="B2809" s="529"/>
      <c r="C2809" s="530" t="s">
        <v>189</v>
      </c>
      <c r="D2809" s="529"/>
      <c r="E2809" s="252"/>
      <c r="F2809" s="531"/>
      <c r="G2809" s="252">
        <f t="shared" si="54"/>
        <v>0</v>
      </c>
    </row>
    <row r="2810" spans="1:7" ht="28.8" x14ac:dyDescent="0.3">
      <c r="A2810" s="529" t="s">
        <v>263</v>
      </c>
      <c r="B2810" s="529">
        <v>90443</v>
      </c>
      <c r="C2810" s="530" t="s">
        <v>190</v>
      </c>
      <c r="D2810" s="529" t="s">
        <v>55</v>
      </c>
      <c r="E2810" s="252"/>
      <c r="F2810" s="531">
        <v>8.9499999999999993</v>
      </c>
      <c r="G2810" s="252">
        <f t="shared" si="54"/>
        <v>0</v>
      </c>
    </row>
    <row r="2811" spans="1:7" ht="28.8" x14ac:dyDescent="0.3">
      <c r="A2811" s="524" t="s">
        <v>522</v>
      </c>
      <c r="B2811" s="524" t="s">
        <v>1726</v>
      </c>
      <c r="C2811" s="525" t="s">
        <v>1727</v>
      </c>
      <c r="D2811" s="524" t="s">
        <v>32</v>
      </c>
      <c r="E2811" s="524" t="s">
        <v>1728</v>
      </c>
      <c r="F2811" s="526" t="s">
        <v>1729</v>
      </c>
      <c r="G2811" s="252">
        <f t="shared" si="54"/>
        <v>0.97</v>
      </c>
    </row>
    <row r="2812" spans="1:7" x14ac:dyDescent="0.3">
      <c r="A2812" s="524" t="s">
        <v>522</v>
      </c>
      <c r="B2812" s="524" t="s">
        <v>1367</v>
      </c>
      <c r="C2812" s="525" t="s">
        <v>1368</v>
      </c>
      <c r="D2812" s="524" t="s">
        <v>32</v>
      </c>
      <c r="E2812" s="524" t="s">
        <v>1730</v>
      </c>
      <c r="F2812" s="526" t="s">
        <v>1370</v>
      </c>
      <c r="G2812" s="252">
        <f t="shared" si="54"/>
        <v>7.98</v>
      </c>
    </row>
    <row r="2813" spans="1:7" x14ac:dyDescent="0.3">
      <c r="A2813" s="680" t="s">
        <v>1152</v>
      </c>
      <c r="B2813" s="681"/>
      <c r="C2813" s="681"/>
      <c r="D2813" s="681"/>
      <c r="E2813" s="681"/>
      <c r="F2813" s="682"/>
      <c r="G2813" s="527">
        <f>SUM(G2809:G2812)</f>
        <v>8.9500000000000011</v>
      </c>
    </row>
    <row r="2814" spans="1:7" x14ac:dyDescent="0.3">
      <c r="A2814" s="683">
        <f>TRUNC(E2814*F2814,2)</f>
        <v>0</v>
      </c>
      <c r="B2814" s="684"/>
      <c r="C2814" s="684"/>
      <c r="D2814" s="684"/>
      <c r="E2814" s="684"/>
      <c r="F2814" s="684"/>
      <c r="G2814" s="685"/>
    </row>
    <row r="2815" spans="1:7" ht="28.8" x14ac:dyDescent="0.3">
      <c r="A2815" s="529" t="s">
        <v>264</v>
      </c>
      <c r="B2815" s="529">
        <v>93358</v>
      </c>
      <c r="C2815" s="530" t="s">
        <v>355</v>
      </c>
      <c r="D2815" s="529" t="s">
        <v>41</v>
      </c>
      <c r="E2815" s="252"/>
      <c r="F2815" s="531">
        <v>56.84</v>
      </c>
      <c r="G2815" s="252">
        <f t="shared" si="54"/>
        <v>0</v>
      </c>
    </row>
    <row r="2816" spans="1:7" x14ac:dyDescent="0.3">
      <c r="A2816" s="524" t="s">
        <v>522</v>
      </c>
      <c r="B2816" s="524" t="s">
        <v>1359</v>
      </c>
      <c r="C2816" s="525" t="s">
        <v>801</v>
      </c>
      <c r="D2816" s="524" t="s">
        <v>32</v>
      </c>
      <c r="E2816" s="524" t="s">
        <v>2104</v>
      </c>
      <c r="F2816" s="526" t="s">
        <v>1361</v>
      </c>
      <c r="G2816" s="252">
        <f t="shared" ref="G2816" si="66">TRUNC(E2816*F2816,2)</f>
        <v>56.84</v>
      </c>
    </row>
    <row r="2817" spans="1:7" x14ac:dyDescent="0.3">
      <c r="A2817" s="680" t="s">
        <v>1152</v>
      </c>
      <c r="B2817" s="681"/>
      <c r="C2817" s="681"/>
      <c r="D2817" s="681"/>
      <c r="E2817" s="681"/>
      <c r="F2817" s="682"/>
      <c r="G2817" s="527">
        <f>SUM(G2815:G2816)</f>
        <v>56.84</v>
      </c>
    </row>
    <row r="2818" spans="1:7" x14ac:dyDescent="0.3">
      <c r="A2818" s="683">
        <f>TRUNC(E2818*F2818,2)</f>
        <v>0</v>
      </c>
      <c r="B2818" s="684"/>
      <c r="C2818" s="684"/>
      <c r="D2818" s="684"/>
      <c r="E2818" s="684"/>
      <c r="F2818" s="684"/>
      <c r="G2818" s="685"/>
    </row>
    <row r="2819" spans="1:7" ht="43.2" x14ac:dyDescent="0.3">
      <c r="A2819" s="529" t="s">
        <v>265</v>
      </c>
      <c r="B2819" s="529">
        <v>89707</v>
      </c>
      <c r="C2819" s="530" t="s">
        <v>292</v>
      </c>
      <c r="D2819" s="529" t="s">
        <v>44</v>
      </c>
      <c r="E2819" s="252"/>
      <c r="F2819" s="531">
        <v>25.09</v>
      </c>
      <c r="G2819" s="252">
        <f t="shared" si="54"/>
        <v>0</v>
      </c>
    </row>
    <row r="2820" spans="1:7" x14ac:dyDescent="0.3">
      <c r="A2820" s="524" t="s">
        <v>508</v>
      </c>
      <c r="B2820" s="524" t="s">
        <v>1774</v>
      </c>
      <c r="C2820" s="525" t="s">
        <v>1775</v>
      </c>
      <c r="D2820" s="524" t="s">
        <v>397</v>
      </c>
      <c r="E2820" s="524" t="s">
        <v>2017</v>
      </c>
      <c r="F2820" s="526" t="s">
        <v>1777</v>
      </c>
      <c r="G2820" s="252">
        <f t="shared" ref="G2820:G2827" si="67">TRUNC(E2820*F2820,2)</f>
        <v>1.22</v>
      </c>
    </row>
    <row r="2821" spans="1:7" x14ac:dyDescent="0.3">
      <c r="A2821" s="524" t="s">
        <v>508</v>
      </c>
      <c r="B2821" s="524" t="s">
        <v>1806</v>
      </c>
      <c r="C2821" s="525" t="s">
        <v>1807</v>
      </c>
      <c r="D2821" s="524" t="s">
        <v>397</v>
      </c>
      <c r="E2821" s="524" t="s">
        <v>1122</v>
      </c>
      <c r="F2821" s="526" t="s">
        <v>1455</v>
      </c>
      <c r="G2821" s="252">
        <f t="shared" si="67"/>
        <v>2.0499999999999998</v>
      </c>
    </row>
    <row r="2822" spans="1:7" x14ac:dyDescent="0.3">
      <c r="A2822" s="524" t="s">
        <v>508</v>
      </c>
      <c r="B2822" s="524" t="s">
        <v>2018</v>
      </c>
      <c r="C2822" s="525" t="s">
        <v>2019</v>
      </c>
      <c r="D2822" s="524" t="s">
        <v>397</v>
      </c>
      <c r="E2822" s="524" t="s">
        <v>1122</v>
      </c>
      <c r="F2822" s="526" t="s">
        <v>2020</v>
      </c>
      <c r="G2822" s="252">
        <f t="shared" si="67"/>
        <v>11.59</v>
      </c>
    </row>
    <row r="2823" spans="1:7" ht="28.8" x14ac:dyDescent="0.3">
      <c r="A2823" s="524" t="s">
        <v>508</v>
      </c>
      <c r="B2823" s="524" t="s">
        <v>1798</v>
      </c>
      <c r="C2823" s="525" t="s">
        <v>1799</v>
      </c>
      <c r="D2823" s="524" t="s">
        <v>397</v>
      </c>
      <c r="E2823" s="524" t="s">
        <v>1515</v>
      </c>
      <c r="F2823" s="526" t="s">
        <v>1801</v>
      </c>
      <c r="G2823" s="252">
        <f t="shared" si="67"/>
        <v>0.6</v>
      </c>
    </row>
    <row r="2824" spans="1:7" x14ac:dyDescent="0.3">
      <c r="A2824" s="524" t="s">
        <v>508</v>
      </c>
      <c r="B2824" s="524" t="s">
        <v>1781</v>
      </c>
      <c r="C2824" s="525" t="s">
        <v>1782</v>
      </c>
      <c r="D2824" s="524" t="s">
        <v>397</v>
      </c>
      <c r="E2824" s="524" t="s">
        <v>2021</v>
      </c>
      <c r="F2824" s="526" t="s">
        <v>1784</v>
      </c>
      <c r="G2824" s="252">
        <f t="shared" si="67"/>
        <v>1.61</v>
      </c>
    </row>
    <row r="2825" spans="1:7" x14ac:dyDescent="0.3">
      <c r="A2825" s="524" t="s">
        <v>508</v>
      </c>
      <c r="B2825" s="524" t="s">
        <v>1785</v>
      </c>
      <c r="C2825" s="525" t="s">
        <v>1786</v>
      </c>
      <c r="D2825" s="524" t="s">
        <v>397</v>
      </c>
      <c r="E2825" s="524" t="s">
        <v>2022</v>
      </c>
      <c r="F2825" s="526" t="s">
        <v>1563</v>
      </c>
      <c r="G2825" s="252">
        <f t="shared" si="67"/>
        <v>0.12</v>
      </c>
    </row>
    <row r="2826" spans="1:7" ht="28.8" x14ac:dyDescent="0.3">
      <c r="A2826" s="524" t="s">
        <v>522</v>
      </c>
      <c r="B2826" s="524" t="s">
        <v>1726</v>
      </c>
      <c r="C2826" s="525" t="s">
        <v>1727</v>
      </c>
      <c r="D2826" s="524" t="s">
        <v>32</v>
      </c>
      <c r="E2826" s="524" t="s">
        <v>1438</v>
      </c>
      <c r="F2826" s="526" t="s">
        <v>1729</v>
      </c>
      <c r="G2826" s="252">
        <f t="shared" si="67"/>
        <v>3.46</v>
      </c>
    </row>
    <row r="2827" spans="1:7" x14ac:dyDescent="0.3">
      <c r="A2827" s="524" t="s">
        <v>522</v>
      </c>
      <c r="B2827" s="524" t="s">
        <v>1367</v>
      </c>
      <c r="C2827" s="525" t="s">
        <v>1368</v>
      </c>
      <c r="D2827" s="524" t="s">
        <v>32</v>
      </c>
      <c r="E2827" s="524" t="s">
        <v>1438</v>
      </c>
      <c r="F2827" s="526" t="s">
        <v>1370</v>
      </c>
      <c r="G2827" s="252">
        <f t="shared" si="67"/>
        <v>4.4400000000000004</v>
      </c>
    </row>
    <row r="2828" spans="1:7" x14ac:dyDescent="0.3">
      <c r="A2828" s="680" t="s">
        <v>1152</v>
      </c>
      <c r="B2828" s="681"/>
      <c r="C2828" s="681"/>
      <c r="D2828" s="681"/>
      <c r="E2828" s="681"/>
      <c r="F2828" s="682"/>
      <c r="G2828" s="527">
        <f>SUM(G2819:G2827)</f>
        <v>25.090000000000003</v>
      </c>
    </row>
    <row r="2829" spans="1:7" x14ac:dyDescent="0.3">
      <c r="A2829" s="683">
        <f>TRUNC(E2829*F2829,2)</f>
        <v>0</v>
      </c>
      <c r="B2829" s="684"/>
      <c r="C2829" s="684"/>
      <c r="D2829" s="684"/>
      <c r="E2829" s="684"/>
      <c r="F2829" s="684"/>
      <c r="G2829" s="685"/>
    </row>
    <row r="2830" spans="1:7" ht="43.2" x14ac:dyDescent="0.3">
      <c r="A2830" s="529" t="s">
        <v>267</v>
      </c>
      <c r="B2830" s="529">
        <v>95471</v>
      </c>
      <c r="C2830" s="530" t="s">
        <v>280</v>
      </c>
      <c r="D2830" s="529" t="s">
        <v>44</v>
      </c>
      <c r="E2830" s="252"/>
      <c r="F2830" s="531">
        <v>611.63</v>
      </c>
      <c r="G2830" s="252">
        <f t="shared" si="54"/>
        <v>0</v>
      </c>
    </row>
    <row r="2831" spans="1:7" ht="28.8" x14ac:dyDescent="0.3">
      <c r="A2831" s="524" t="s">
        <v>508</v>
      </c>
      <c r="B2831" s="524" t="s">
        <v>1824</v>
      </c>
      <c r="C2831" s="525" t="s">
        <v>1825</v>
      </c>
      <c r="D2831" s="524" t="s">
        <v>397</v>
      </c>
      <c r="E2831" s="524" t="s">
        <v>1523</v>
      </c>
      <c r="F2831" s="526" t="s">
        <v>1826</v>
      </c>
      <c r="G2831" s="252">
        <f t="shared" si="54"/>
        <v>31.16</v>
      </c>
    </row>
    <row r="2832" spans="1:7" x14ac:dyDescent="0.3">
      <c r="A2832" s="524" t="s">
        <v>508</v>
      </c>
      <c r="B2832" s="524" t="s">
        <v>1827</v>
      </c>
      <c r="C2832" s="525" t="s">
        <v>1828</v>
      </c>
      <c r="D2832" s="524" t="s">
        <v>397</v>
      </c>
      <c r="E2832" s="524" t="s">
        <v>1122</v>
      </c>
      <c r="F2832" s="526" t="s">
        <v>1829</v>
      </c>
      <c r="G2832" s="252">
        <f t="shared" si="54"/>
        <v>1.83</v>
      </c>
    </row>
    <row r="2833" spans="1:7" ht="28.8" x14ac:dyDescent="0.3">
      <c r="A2833" s="524" t="s">
        <v>508</v>
      </c>
      <c r="B2833" s="524" t="s">
        <v>1830</v>
      </c>
      <c r="C2833" s="525" t="s">
        <v>1831</v>
      </c>
      <c r="D2833" s="524" t="s">
        <v>397</v>
      </c>
      <c r="E2833" s="524" t="s">
        <v>1122</v>
      </c>
      <c r="F2833" s="526" t="s">
        <v>1832</v>
      </c>
      <c r="G2833" s="252">
        <f t="shared" si="54"/>
        <v>543.04999999999995</v>
      </c>
    </row>
    <row r="2834" spans="1:7" x14ac:dyDescent="0.3">
      <c r="A2834" s="524" t="s">
        <v>508</v>
      </c>
      <c r="B2834" s="524" t="s">
        <v>1739</v>
      </c>
      <c r="C2834" s="525" t="s">
        <v>1740</v>
      </c>
      <c r="D2834" s="524" t="s">
        <v>426</v>
      </c>
      <c r="E2834" s="524" t="s">
        <v>1833</v>
      </c>
      <c r="F2834" s="526" t="s">
        <v>1742</v>
      </c>
      <c r="G2834" s="252">
        <f t="shared" si="54"/>
        <v>7.08</v>
      </c>
    </row>
    <row r="2835" spans="1:7" x14ac:dyDescent="0.3">
      <c r="A2835" s="524" t="s">
        <v>522</v>
      </c>
      <c r="B2835" s="524" t="s">
        <v>1367</v>
      </c>
      <c r="C2835" s="525" t="s">
        <v>1368</v>
      </c>
      <c r="D2835" s="524" t="s">
        <v>32</v>
      </c>
      <c r="E2835" s="524" t="s">
        <v>1834</v>
      </c>
      <c r="F2835" s="526" t="s">
        <v>1370</v>
      </c>
      <c r="G2835" s="252">
        <f t="shared" si="54"/>
        <v>20.52</v>
      </c>
    </row>
    <row r="2836" spans="1:7" x14ac:dyDescent="0.3">
      <c r="A2836" s="524" t="s">
        <v>522</v>
      </c>
      <c r="B2836" s="524" t="s">
        <v>1359</v>
      </c>
      <c r="C2836" s="525" t="s">
        <v>801</v>
      </c>
      <c r="D2836" s="524" t="s">
        <v>32</v>
      </c>
      <c r="E2836" s="524" t="s">
        <v>1835</v>
      </c>
      <c r="F2836" s="526" t="s">
        <v>1361</v>
      </c>
      <c r="G2836" s="252">
        <f t="shared" si="54"/>
        <v>7.99</v>
      </c>
    </row>
    <row r="2837" spans="1:7" x14ac:dyDescent="0.3">
      <c r="A2837" s="680" t="s">
        <v>1152</v>
      </c>
      <c r="B2837" s="681"/>
      <c r="C2837" s="681"/>
      <c r="D2837" s="681"/>
      <c r="E2837" s="681"/>
      <c r="F2837" s="682"/>
      <c r="G2837" s="527">
        <f>SUM(G2830:G2836)</f>
        <v>611.63</v>
      </c>
    </row>
    <row r="2838" spans="1:7" x14ac:dyDescent="0.3">
      <c r="A2838" s="683">
        <f>TRUNC(E2838*F2838,2)</f>
        <v>0</v>
      </c>
      <c r="B2838" s="684"/>
      <c r="C2838" s="684"/>
      <c r="D2838" s="684"/>
      <c r="E2838" s="684"/>
      <c r="F2838" s="684"/>
      <c r="G2838" s="685"/>
    </row>
    <row r="2839" spans="1:7" ht="43.2" x14ac:dyDescent="0.3">
      <c r="A2839" s="529" t="s">
        <v>269</v>
      </c>
      <c r="B2839" s="529">
        <v>95470</v>
      </c>
      <c r="C2839" s="530" t="s">
        <v>205</v>
      </c>
      <c r="D2839" s="529" t="s">
        <v>44</v>
      </c>
      <c r="E2839" s="252"/>
      <c r="F2839" s="531">
        <v>169.53</v>
      </c>
      <c r="G2839" s="252">
        <f t="shared" si="54"/>
        <v>0</v>
      </c>
    </row>
    <row r="2840" spans="1:7" ht="28.8" x14ac:dyDescent="0.3">
      <c r="A2840" s="524" t="s">
        <v>508</v>
      </c>
      <c r="B2840" s="524" t="s">
        <v>1837</v>
      </c>
      <c r="C2840" s="525" t="s">
        <v>1838</v>
      </c>
      <c r="D2840" s="524" t="s">
        <v>397</v>
      </c>
      <c r="E2840" s="524" t="s">
        <v>1122</v>
      </c>
      <c r="F2840" s="526" t="s">
        <v>1839</v>
      </c>
      <c r="G2840" s="252">
        <f t="shared" si="54"/>
        <v>6.61</v>
      </c>
    </row>
    <row r="2841" spans="1:7" ht="28.8" x14ac:dyDescent="0.3">
      <c r="A2841" s="524" t="s">
        <v>522</v>
      </c>
      <c r="B2841" s="524" t="s">
        <v>1840</v>
      </c>
      <c r="C2841" s="525" t="s">
        <v>1841</v>
      </c>
      <c r="D2841" s="524" t="s">
        <v>397</v>
      </c>
      <c r="E2841" s="524" t="s">
        <v>1122</v>
      </c>
      <c r="F2841" s="526" t="s">
        <v>1842</v>
      </c>
      <c r="G2841" s="252">
        <f t="shared" si="54"/>
        <v>162.91999999999999</v>
      </c>
    </row>
    <row r="2842" spans="1:7" x14ac:dyDescent="0.3">
      <c r="A2842" s="680" t="s">
        <v>1152</v>
      </c>
      <c r="B2842" s="681"/>
      <c r="C2842" s="681"/>
      <c r="D2842" s="681"/>
      <c r="E2842" s="681"/>
      <c r="F2842" s="682"/>
      <c r="G2842" s="527">
        <f>SUM(G2838:G2841)</f>
        <v>169.53</v>
      </c>
    </row>
    <row r="2843" spans="1:7" x14ac:dyDescent="0.3">
      <c r="A2843" s="683">
        <f>TRUNC(E2843*F2843,2)</f>
        <v>0</v>
      </c>
      <c r="B2843" s="684"/>
      <c r="C2843" s="684"/>
      <c r="D2843" s="684"/>
      <c r="E2843" s="684"/>
      <c r="F2843" s="684"/>
      <c r="G2843" s="685"/>
    </row>
    <row r="2844" spans="1:7" ht="28.8" x14ac:dyDescent="0.3">
      <c r="A2844" s="529" t="s">
        <v>270</v>
      </c>
      <c r="B2844" s="529">
        <v>86889</v>
      </c>
      <c r="C2844" s="530" t="s">
        <v>268</v>
      </c>
      <c r="D2844" s="529" t="s">
        <v>44</v>
      </c>
      <c r="E2844" s="252"/>
      <c r="F2844" s="531">
        <v>574.45000000000005</v>
      </c>
      <c r="G2844" s="252">
        <f t="shared" si="54"/>
        <v>0</v>
      </c>
    </row>
    <row r="2845" spans="1:7" x14ac:dyDescent="0.3">
      <c r="A2845" s="524" t="s">
        <v>508</v>
      </c>
      <c r="B2845" s="524" t="s">
        <v>1731</v>
      </c>
      <c r="C2845" s="525" t="s">
        <v>1732</v>
      </c>
      <c r="D2845" s="524" t="s">
        <v>426</v>
      </c>
      <c r="E2845" s="524" t="s">
        <v>1981</v>
      </c>
      <c r="F2845" s="528" t="s">
        <v>1734</v>
      </c>
      <c r="G2845" s="252">
        <f t="shared" si="54"/>
        <v>19.350000000000001</v>
      </c>
    </row>
    <row r="2846" spans="1:7" ht="28.8" x14ac:dyDescent="0.3">
      <c r="A2846" s="524" t="s">
        <v>508</v>
      </c>
      <c r="B2846" s="524" t="s">
        <v>1425</v>
      </c>
      <c r="C2846" s="525" t="s">
        <v>1426</v>
      </c>
      <c r="D2846" s="524" t="s">
        <v>397</v>
      </c>
      <c r="E2846" s="524" t="s">
        <v>1397</v>
      </c>
      <c r="F2846" s="528" t="s">
        <v>1428</v>
      </c>
      <c r="G2846" s="252">
        <f t="shared" si="54"/>
        <v>3.3</v>
      </c>
    </row>
    <row r="2847" spans="1:7" ht="28.8" x14ac:dyDescent="0.3">
      <c r="A2847" s="524" t="s">
        <v>508</v>
      </c>
      <c r="B2847" s="524" t="s">
        <v>1735</v>
      </c>
      <c r="C2847" s="525" t="s">
        <v>1736</v>
      </c>
      <c r="D2847" s="524" t="s">
        <v>24</v>
      </c>
      <c r="E2847" s="524" t="s">
        <v>1982</v>
      </c>
      <c r="F2847" s="528" t="s">
        <v>1738</v>
      </c>
      <c r="G2847" s="252">
        <f t="shared" si="54"/>
        <v>485.42</v>
      </c>
    </row>
    <row r="2848" spans="1:7" x14ac:dyDescent="0.3">
      <c r="A2848" s="524" t="s">
        <v>508</v>
      </c>
      <c r="B2848" s="524" t="s">
        <v>1739</v>
      </c>
      <c r="C2848" s="525" t="s">
        <v>1740</v>
      </c>
      <c r="D2848" s="524" t="s">
        <v>426</v>
      </c>
      <c r="E2848" s="524" t="s">
        <v>1983</v>
      </c>
      <c r="F2848" s="528" t="s">
        <v>1742</v>
      </c>
      <c r="G2848" s="252">
        <f t="shared" si="54"/>
        <v>1.69</v>
      </c>
    </row>
    <row r="2849" spans="1:7" ht="28.8" x14ac:dyDescent="0.3">
      <c r="A2849" s="524" t="s">
        <v>508</v>
      </c>
      <c r="B2849" s="524" t="s">
        <v>1984</v>
      </c>
      <c r="C2849" s="525" t="s">
        <v>1985</v>
      </c>
      <c r="D2849" s="524" t="s">
        <v>397</v>
      </c>
      <c r="E2849" s="524" t="s">
        <v>1523</v>
      </c>
      <c r="F2849" s="528" t="s">
        <v>1986</v>
      </c>
      <c r="G2849" s="252">
        <f t="shared" si="54"/>
        <v>23.7</v>
      </c>
    </row>
    <row r="2850" spans="1:7" x14ac:dyDescent="0.3">
      <c r="A2850" s="524" t="s">
        <v>522</v>
      </c>
      <c r="B2850" s="524" t="s">
        <v>1746</v>
      </c>
      <c r="C2850" s="525" t="s">
        <v>1747</v>
      </c>
      <c r="D2850" s="524" t="s">
        <v>32</v>
      </c>
      <c r="E2850" s="524" t="s">
        <v>1987</v>
      </c>
      <c r="F2850" s="528" t="s">
        <v>1749</v>
      </c>
      <c r="G2850" s="252">
        <f t="shared" si="54"/>
        <v>26.86</v>
      </c>
    </row>
    <row r="2851" spans="1:7" x14ac:dyDescent="0.3">
      <c r="A2851" s="524" t="s">
        <v>522</v>
      </c>
      <c r="B2851" s="524" t="s">
        <v>1359</v>
      </c>
      <c r="C2851" s="525" t="s">
        <v>801</v>
      </c>
      <c r="D2851" s="524" t="s">
        <v>32</v>
      </c>
      <c r="E2851" s="524" t="s">
        <v>1988</v>
      </c>
      <c r="F2851" s="528" t="s">
        <v>1361</v>
      </c>
      <c r="G2851" s="252">
        <f t="shared" si="54"/>
        <v>14.13</v>
      </c>
    </row>
    <row r="2852" spans="1:7" x14ac:dyDescent="0.3">
      <c r="A2852" s="680" t="s">
        <v>1152</v>
      </c>
      <c r="B2852" s="681"/>
      <c r="C2852" s="681"/>
      <c r="D2852" s="681"/>
      <c r="E2852" s="681"/>
      <c r="F2852" s="682"/>
      <c r="G2852" s="527">
        <f>SUM(G2844:G2851)</f>
        <v>574.45000000000005</v>
      </c>
    </row>
    <row r="2853" spans="1:7" x14ac:dyDescent="0.3">
      <c r="A2853" s="683">
        <f>TRUNC(E2853*F2853,2)</f>
        <v>0</v>
      </c>
      <c r="B2853" s="684"/>
      <c r="C2853" s="684"/>
      <c r="D2853" s="684"/>
      <c r="E2853" s="684"/>
      <c r="F2853" s="684"/>
      <c r="G2853" s="685"/>
    </row>
    <row r="2854" spans="1:7" x14ac:dyDescent="0.3">
      <c r="A2854" s="529" t="s">
        <v>271</v>
      </c>
      <c r="B2854" s="529" t="s">
        <v>283</v>
      </c>
      <c r="C2854" s="530" t="s">
        <v>284</v>
      </c>
      <c r="D2854" s="529" t="s">
        <v>44</v>
      </c>
      <c r="E2854" s="252"/>
      <c r="F2854" s="531">
        <v>690.14</v>
      </c>
      <c r="G2854" s="252">
        <f t="shared" si="54"/>
        <v>0</v>
      </c>
    </row>
    <row r="2855" spans="1:7" ht="28.8" x14ac:dyDescent="0.3">
      <c r="A2855" s="529"/>
      <c r="B2855" s="249">
        <v>4384</v>
      </c>
      <c r="C2855" s="202" t="s">
        <v>600</v>
      </c>
      <c r="D2855" s="249" t="s">
        <v>44</v>
      </c>
      <c r="E2855" s="250">
        <v>2</v>
      </c>
      <c r="F2855" s="251">
        <v>16.309999999999999</v>
      </c>
      <c r="G2855" s="252">
        <f t="shared" si="54"/>
        <v>32.619999999999997</v>
      </c>
    </row>
    <row r="2856" spans="1:7" x14ac:dyDescent="0.3">
      <c r="A2856" s="529"/>
      <c r="B2856" s="249"/>
      <c r="C2856" s="202" t="s">
        <v>284</v>
      </c>
      <c r="D2856" s="249" t="s">
        <v>44</v>
      </c>
      <c r="E2856" s="250">
        <v>1</v>
      </c>
      <c r="F2856" s="251">
        <v>647.71</v>
      </c>
      <c r="G2856" s="252">
        <f t="shared" si="54"/>
        <v>647.71</v>
      </c>
    </row>
    <row r="2857" spans="1:7" x14ac:dyDescent="0.3">
      <c r="A2857" s="529"/>
      <c r="B2857" s="249">
        <v>34356</v>
      </c>
      <c r="C2857" s="202" t="s">
        <v>601</v>
      </c>
      <c r="D2857" s="249" t="s">
        <v>426</v>
      </c>
      <c r="E2857" s="250">
        <v>5.0700000000000002E-2</v>
      </c>
      <c r="F2857" s="251">
        <v>3.15</v>
      </c>
      <c r="G2857" s="252">
        <f t="shared" si="54"/>
        <v>0.15</v>
      </c>
    </row>
    <row r="2858" spans="1:7" x14ac:dyDescent="0.3">
      <c r="A2858" s="529"/>
      <c r="B2858" s="524" t="s">
        <v>1367</v>
      </c>
      <c r="C2858" s="525" t="s">
        <v>1368</v>
      </c>
      <c r="D2858" s="249" t="s">
        <v>32</v>
      </c>
      <c r="E2858" s="250">
        <v>0.39</v>
      </c>
      <c r="F2858" s="251">
        <v>17.79</v>
      </c>
      <c r="G2858" s="252">
        <f t="shared" si="54"/>
        <v>6.93</v>
      </c>
    </row>
    <row r="2859" spans="1:7" x14ac:dyDescent="0.3">
      <c r="A2859" s="529"/>
      <c r="B2859" s="524" t="s">
        <v>1359</v>
      </c>
      <c r="C2859" s="525" t="s">
        <v>801</v>
      </c>
      <c r="D2859" s="249" t="s">
        <v>32</v>
      </c>
      <c r="E2859" s="250">
        <v>0.19</v>
      </c>
      <c r="F2859" s="251">
        <v>14.37</v>
      </c>
      <c r="G2859" s="252">
        <f t="shared" si="54"/>
        <v>2.73</v>
      </c>
    </row>
    <row r="2860" spans="1:7" x14ac:dyDescent="0.3">
      <c r="A2860" s="680" t="s">
        <v>1152</v>
      </c>
      <c r="B2860" s="681"/>
      <c r="C2860" s="681"/>
      <c r="D2860" s="681"/>
      <c r="E2860" s="681"/>
      <c r="F2860" s="682"/>
      <c r="G2860" s="527">
        <f>SUM(G2854:G2859)</f>
        <v>690.14</v>
      </c>
    </row>
    <row r="2861" spans="1:7" x14ac:dyDescent="0.3">
      <c r="A2861" s="683">
        <f>TRUNC(E2861*F2861,2)</f>
        <v>0</v>
      </c>
      <c r="B2861" s="684"/>
      <c r="C2861" s="684"/>
      <c r="D2861" s="684"/>
      <c r="E2861" s="684"/>
      <c r="F2861" s="684"/>
      <c r="G2861" s="685"/>
    </row>
    <row r="2862" spans="1:7" ht="28.8" x14ac:dyDescent="0.3">
      <c r="A2862" s="529" t="s">
        <v>272</v>
      </c>
      <c r="B2862" s="529">
        <v>86901</v>
      </c>
      <c r="C2862" s="530" t="s">
        <v>192</v>
      </c>
      <c r="D2862" s="529" t="s">
        <v>44</v>
      </c>
      <c r="E2862" s="252"/>
      <c r="F2862" s="531">
        <v>108.45</v>
      </c>
      <c r="G2862" s="252">
        <f t="shared" si="54"/>
        <v>0</v>
      </c>
    </row>
    <row r="2863" spans="1:7" x14ac:dyDescent="0.3">
      <c r="A2863" s="524" t="s">
        <v>508</v>
      </c>
      <c r="B2863" s="524" t="s">
        <v>1731</v>
      </c>
      <c r="C2863" s="525" t="s">
        <v>1732</v>
      </c>
      <c r="D2863" s="524" t="s">
        <v>426</v>
      </c>
      <c r="E2863" s="524" t="s">
        <v>1751</v>
      </c>
      <c r="F2863" s="526" t="s">
        <v>1734</v>
      </c>
      <c r="G2863" s="252">
        <f t="shared" si="54"/>
        <v>19.510000000000002</v>
      </c>
    </row>
    <row r="2864" spans="1:7" x14ac:dyDescent="0.3">
      <c r="A2864" s="524" t="s">
        <v>508</v>
      </c>
      <c r="B2864" s="524" t="s">
        <v>1752</v>
      </c>
      <c r="C2864" s="525" t="s">
        <v>1753</v>
      </c>
      <c r="D2864" s="524" t="s">
        <v>397</v>
      </c>
      <c r="E2864" s="524" t="s">
        <v>1122</v>
      </c>
      <c r="F2864" s="526" t="s">
        <v>1754</v>
      </c>
      <c r="G2864" s="252">
        <f t="shared" si="54"/>
        <v>69.92</v>
      </c>
    </row>
    <row r="2865" spans="1:7" x14ac:dyDescent="0.3">
      <c r="A2865" s="524" t="s">
        <v>522</v>
      </c>
      <c r="B2865" s="524" t="s">
        <v>1746</v>
      </c>
      <c r="C2865" s="525" t="s">
        <v>1747</v>
      </c>
      <c r="D2865" s="524" t="s">
        <v>32</v>
      </c>
      <c r="E2865" s="524" t="s">
        <v>1755</v>
      </c>
      <c r="F2865" s="526" t="s">
        <v>1749</v>
      </c>
      <c r="G2865" s="252">
        <f t="shared" si="54"/>
        <v>15.2</v>
      </c>
    </row>
    <row r="2866" spans="1:7" x14ac:dyDescent="0.3">
      <c r="A2866" s="524" t="s">
        <v>522</v>
      </c>
      <c r="B2866" s="524" t="s">
        <v>1359</v>
      </c>
      <c r="C2866" s="525" t="s">
        <v>801</v>
      </c>
      <c r="D2866" s="524" t="s">
        <v>32</v>
      </c>
      <c r="E2866" s="524" t="s">
        <v>1756</v>
      </c>
      <c r="F2866" s="526" t="s">
        <v>1361</v>
      </c>
      <c r="G2866" s="252">
        <f t="shared" si="54"/>
        <v>3.82</v>
      </c>
    </row>
    <row r="2867" spans="1:7" x14ac:dyDescent="0.3">
      <c r="A2867" s="680" t="s">
        <v>1152</v>
      </c>
      <c r="B2867" s="681"/>
      <c r="C2867" s="681"/>
      <c r="D2867" s="681"/>
      <c r="E2867" s="681"/>
      <c r="F2867" s="682"/>
      <c r="G2867" s="527">
        <f>SUM(G2862:G2866)</f>
        <v>108.45</v>
      </c>
    </row>
    <row r="2868" spans="1:7" x14ac:dyDescent="0.3">
      <c r="A2868" s="683">
        <f>TRUNC(E2868*F2868,2)</f>
        <v>0</v>
      </c>
      <c r="B2868" s="684"/>
      <c r="C2868" s="684"/>
      <c r="D2868" s="684"/>
      <c r="E2868" s="684"/>
      <c r="F2868" s="684"/>
      <c r="G2868" s="685"/>
    </row>
    <row r="2869" spans="1:7" ht="28.8" x14ac:dyDescent="0.3">
      <c r="A2869" s="529" t="s">
        <v>274</v>
      </c>
      <c r="B2869" s="529">
        <v>86915</v>
      </c>
      <c r="C2869" s="530" t="s">
        <v>193</v>
      </c>
      <c r="D2869" s="529" t="s">
        <v>44</v>
      </c>
      <c r="E2869" s="252"/>
      <c r="F2869" s="531">
        <v>84.78</v>
      </c>
      <c r="G2869" s="252">
        <f t="shared" si="54"/>
        <v>0</v>
      </c>
    </row>
    <row r="2870" spans="1:7" x14ac:dyDescent="0.3">
      <c r="A2870" s="524" t="s">
        <v>508</v>
      </c>
      <c r="B2870" s="524" t="s">
        <v>1757</v>
      </c>
      <c r="C2870" s="525" t="s">
        <v>1758</v>
      </c>
      <c r="D2870" s="524" t="s">
        <v>397</v>
      </c>
      <c r="E2870" s="524" t="s">
        <v>1759</v>
      </c>
      <c r="F2870" s="526" t="s">
        <v>1760</v>
      </c>
      <c r="G2870" s="252">
        <f t="shared" si="54"/>
        <v>0.08</v>
      </c>
    </row>
    <row r="2871" spans="1:7" x14ac:dyDescent="0.3">
      <c r="A2871" s="524" t="s">
        <v>508</v>
      </c>
      <c r="B2871" s="524" t="s">
        <v>1761</v>
      </c>
      <c r="C2871" s="525" t="s">
        <v>1762</v>
      </c>
      <c r="D2871" s="524" t="s">
        <v>397</v>
      </c>
      <c r="E2871" s="524" t="s">
        <v>1122</v>
      </c>
      <c r="F2871" s="526" t="s">
        <v>1763</v>
      </c>
      <c r="G2871" s="252">
        <f t="shared" si="54"/>
        <v>82.57</v>
      </c>
    </row>
    <row r="2872" spans="1:7" x14ac:dyDescent="0.3">
      <c r="A2872" s="524" t="s">
        <v>522</v>
      </c>
      <c r="B2872" s="524" t="s">
        <v>1367</v>
      </c>
      <c r="C2872" s="525" t="s">
        <v>1368</v>
      </c>
      <c r="D2872" s="524" t="s">
        <v>32</v>
      </c>
      <c r="E2872" s="524" t="s">
        <v>1764</v>
      </c>
      <c r="F2872" s="526" t="s">
        <v>1370</v>
      </c>
      <c r="G2872" s="252">
        <f t="shared" si="54"/>
        <v>1.7</v>
      </c>
    </row>
    <row r="2873" spans="1:7" x14ac:dyDescent="0.3">
      <c r="A2873" s="524" t="s">
        <v>522</v>
      </c>
      <c r="B2873" s="524" t="s">
        <v>1359</v>
      </c>
      <c r="C2873" s="525" t="s">
        <v>801</v>
      </c>
      <c r="D2873" s="524" t="s">
        <v>32</v>
      </c>
      <c r="E2873" s="524" t="s">
        <v>1765</v>
      </c>
      <c r="F2873" s="526" t="s">
        <v>1361</v>
      </c>
      <c r="G2873" s="252">
        <f t="shared" si="54"/>
        <v>0.43</v>
      </c>
    </row>
    <row r="2874" spans="1:7" x14ac:dyDescent="0.3">
      <c r="A2874" s="680" t="s">
        <v>1152</v>
      </c>
      <c r="B2874" s="681"/>
      <c r="C2874" s="681"/>
      <c r="D2874" s="681"/>
      <c r="E2874" s="681"/>
      <c r="F2874" s="682"/>
      <c r="G2874" s="527">
        <f>SUM(G2869:G2873)</f>
        <v>84.78</v>
      </c>
    </row>
    <row r="2875" spans="1:7" x14ac:dyDescent="0.3">
      <c r="A2875" s="683">
        <f>TRUNC(E2875*F2875,2)</f>
        <v>0</v>
      </c>
      <c r="B2875" s="684"/>
      <c r="C2875" s="684"/>
      <c r="D2875" s="684"/>
      <c r="E2875" s="684"/>
      <c r="F2875" s="684"/>
      <c r="G2875" s="685"/>
    </row>
    <row r="2876" spans="1:7" ht="28.8" x14ac:dyDescent="0.3">
      <c r="A2876" s="529" t="s">
        <v>276</v>
      </c>
      <c r="B2876" s="529">
        <v>99635</v>
      </c>
      <c r="C2876" s="530" t="s">
        <v>194</v>
      </c>
      <c r="D2876" s="529" t="s">
        <v>44</v>
      </c>
      <c r="E2876" s="252"/>
      <c r="F2876" s="531">
        <v>184.35</v>
      </c>
      <c r="G2876" s="252">
        <f t="shared" si="54"/>
        <v>0</v>
      </c>
    </row>
    <row r="2877" spans="1:7" x14ac:dyDescent="0.3">
      <c r="A2877" s="524" t="s">
        <v>508</v>
      </c>
      <c r="B2877" s="524" t="s">
        <v>1766</v>
      </c>
      <c r="C2877" s="525" t="s">
        <v>1767</v>
      </c>
      <c r="D2877" s="524" t="s">
        <v>397</v>
      </c>
      <c r="E2877" s="524" t="s">
        <v>1768</v>
      </c>
      <c r="F2877" s="526" t="s">
        <v>1769</v>
      </c>
      <c r="G2877" s="252">
        <f t="shared" si="54"/>
        <v>0.28999999999999998</v>
      </c>
    </row>
    <row r="2878" spans="1:7" ht="28.8" x14ac:dyDescent="0.3">
      <c r="A2878" s="524" t="s">
        <v>508</v>
      </c>
      <c r="B2878" s="524" t="s">
        <v>1770</v>
      </c>
      <c r="C2878" s="525" t="s">
        <v>1771</v>
      </c>
      <c r="D2878" s="524" t="s">
        <v>397</v>
      </c>
      <c r="E2878" s="524" t="s">
        <v>1122</v>
      </c>
      <c r="F2878" s="526" t="s">
        <v>1772</v>
      </c>
      <c r="G2878" s="252">
        <f t="shared" si="54"/>
        <v>159.09</v>
      </c>
    </row>
    <row r="2879" spans="1:7" ht="28.8" x14ac:dyDescent="0.3">
      <c r="A2879" s="524" t="s">
        <v>522</v>
      </c>
      <c r="B2879" s="524" t="s">
        <v>1726</v>
      </c>
      <c r="C2879" s="525" t="s">
        <v>1727</v>
      </c>
      <c r="D2879" s="524" t="s">
        <v>32</v>
      </c>
      <c r="E2879" s="524" t="s">
        <v>1773</v>
      </c>
      <c r="F2879" s="526" t="s">
        <v>1729</v>
      </c>
      <c r="G2879" s="252">
        <f t="shared" si="54"/>
        <v>10.94</v>
      </c>
    </row>
    <row r="2880" spans="1:7" x14ac:dyDescent="0.3">
      <c r="A2880" s="524" t="s">
        <v>522</v>
      </c>
      <c r="B2880" s="524" t="s">
        <v>1367</v>
      </c>
      <c r="C2880" s="525" t="s">
        <v>1368</v>
      </c>
      <c r="D2880" s="524" t="s">
        <v>32</v>
      </c>
      <c r="E2880" s="524" t="s">
        <v>1773</v>
      </c>
      <c r="F2880" s="526" t="s">
        <v>1370</v>
      </c>
      <c r="G2880" s="252">
        <f t="shared" si="54"/>
        <v>14.03</v>
      </c>
    </row>
    <row r="2881" spans="1:7" x14ac:dyDescent="0.3">
      <c r="A2881" s="680" t="s">
        <v>1152</v>
      </c>
      <c r="B2881" s="681"/>
      <c r="C2881" s="681"/>
      <c r="D2881" s="681"/>
      <c r="E2881" s="681"/>
      <c r="F2881" s="682"/>
      <c r="G2881" s="527">
        <f>SUM(G2876:G2880)</f>
        <v>184.35</v>
      </c>
    </row>
    <row r="2882" spans="1:7" x14ac:dyDescent="0.3">
      <c r="A2882" s="683">
        <f>TRUNC(E2882*F2882,2)</f>
        <v>0</v>
      </c>
      <c r="B2882" s="684"/>
      <c r="C2882" s="684"/>
      <c r="D2882" s="684"/>
      <c r="E2882" s="684"/>
      <c r="F2882" s="684"/>
      <c r="G2882" s="685"/>
    </row>
    <row r="2883" spans="1:7" x14ac:dyDescent="0.3">
      <c r="A2883" s="529" t="s">
        <v>278</v>
      </c>
      <c r="B2883" s="529"/>
      <c r="C2883" s="530" t="s">
        <v>201</v>
      </c>
      <c r="D2883" s="529"/>
      <c r="E2883" s="252"/>
      <c r="F2883" s="531"/>
      <c r="G2883" s="252">
        <f t="shared" si="54"/>
        <v>0</v>
      </c>
    </row>
    <row r="2884" spans="1:7" ht="28.8" x14ac:dyDescent="0.3">
      <c r="A2884" s="529" t="s">
        <v>279</v>
      </c>
      <c r="B2884" s="529">
        <v>95544</v>
      </c>
      <c r="C2884" s="530" t="s">
        <v>202</v>
      </c>
      <c r="D2884" s="529" t="s">
        <v>44</v>
      </c>
      <c r="E2884" s="252"/>
      <c r="F2884" s="531">
        <v>30.21</v>
      </c>
      <c r="G2884" s="252">
        <f t="shared" si="54"/>
        <v>0</v>
      </c>
    </row>
    <row r="2885" spans="1:7" x14ac:dyDescent="0.3">
      <c r="A2885" s="524" t="s">
        <v>508</v>
      </c>
      <c r="B2885" s="524" t="s">
        <v>1816</v>
      </c>
      <c r="C2885" s="525" t="s">
        <v>1817</v>
      </c>
      <c r="D2885" s="524" t="s">
        <v>397</v>
      </c>
      <c r="E2885" s="524" t="s">
        <v>1122</v>
      </c>
      <c r="F2885" s="526" t="s">
        <v>1818</v>
      </c>
      <c r="G2885" s="252">
        <f t="shared" si="54"/>
        <v>23.16</v>
      </c>
    </row>
    <row r="2886" spans="1:7" x14ac:dyDescent="0.3">
      <c r="A2886" s="524" t="s">
        <v>522</v>
      </c>
      <c r="B2886" s="524" t="s">
        <v>1367</v>
      </c>
      <c r="C2886" s="525" t="s">
        <v>1368</v>
      </c>
      <c r="D2886" s="524" t="s">
        <v>32</v>
      </c>
      <c r="E2886" s="524" t="s">
        <v>1819</v>
      </c>
      <c r="F2886" s="526" t="s">
        <v>1370</v>
      </c>
      <c r="G2886" s="252">
        <f t="shared" si="54"/>
        <v>5.62</v>
      </c>
    </row>
    <row r="2887" spans="1:7" x14ac:dyDescent="0.3">
      <c r="A2887" s="524" t="s">
        <v>522</v>
      </c>
      <c r="B2887" s="524" t="s">
        <v>1359</v>
      </c>
      <c r="C2887" s="525" t="s">
        <v>801</v>
      </c>
      <c r="D2887" s="524" t="s">
        <v>32</v>
      </c>
      <c r="E2887" s="524" t="s">
        <v>1820</v>
      </c>
      <c r="F2887" s="526" t="s">
        <v>1361</v>
      </c>
      <c r="G2887" s="252">
        <f t="shared" si="54"/>
        <v>1.43</v>
      </c>
    </row>
    <row r="2888" spans="1:7" x14ac:dyDescent="0.3">
      <c r="A2888" s="680" t="s">
        <v>1152</v>
      </c>
      <c r="B2888" s="681"/>
      <c r="C2888" s="681"/>
      <c r="D2888" s="681"/>
      <c r="E2888" s="681"/>
      <c r="F2888" s="682"/>
      <c r="G2888" s="527">
        <f>SUM(G2883:G2887)</f>
        <v>30.21</v>
      </c>
    </row>
    <row r="2889" spans="1:7" x14ac:dyDescent="0.3">
      <c r="A2889" s="683">
        <f>TRUNC(E2889*F2889,2)</f>
        <v>0</v>
      </c>
      <c r="B2889" s="684"/>
      <c r="C2889" s="684"/>
      <c r="D2889" s="684"/>
      <c r="E2889" s="684"/>
      <c r="F2889" s="684"/>
      <c r="G2889" s="685"/>
    </row>
    <row r="2890" spans="1:7" ht="28.8" x14ac:dyDescent="0.3">
      <c r="A2890" s="529" t="s">
        <v>281</v>
      </c>
      <c r="B2890" s="529">
        <v>95545</v>
      </c>
      <c r="C2890" s="530" t="s">
        <v>357</v>
      </c>
      <c r="D2890" s="529" t="s">
        <v>44</v>
      </c>
      <c r="E2890" s="252"/>
      <c r="F2890" s="531">
        <v>29.63</v>
      </c>
      <c r="G2890" s="252">
        <f t="shared" si="54"/>
        <v>0</v>
      </c>
    </row>
    <row r="2891" spans="1:7" x14ac:dyDescent="0.3">
      <c r="A2891" s="524" t="s">
        <v>508</v>
      </c>
      <c r="B2891" s="524" t="s">
        <v>1821</v>
      </c>
      <c r="C2891" s="525" t="s">
        <v>1822</v>
      </c>
      <c r="D2891" s="524" t="s">
        <v>397</v>
      </c>
      <c r="E2891" s="524" t="s">
        <v>1122</v>
      </c>
      <c r="F2891" s="526" t="s">
        <v>1823</v>
      </c>
      <c r="G2891" s="252">
        <f t="shared" si="54"/>
        <v>22.58</v>
      </c>
    </row>
    <row r="2892" spans="1:7" x14ac:dyDescent="0.3">
      <c r="A2892" s="524" t="s">
        <v>522</v>
      </c>
      <c r="B2892" s="524" t="s">
        <v>1367</v>
      </c>
      <c r="C2892" s="525" t="s">
        <v>1368</v>
      </c>
      <c r="D2892" s="524" t="s">
        <v>32</v>
      </c>
      <c r="E2892" s="524" t="s">
        <v>1819</v>
      </c>
      <c r="F2892" s="526" t="s">
        <v>1370</v>
      </c>
      <c r="G2892" s="252">
        <f t="shared" si="54"/>
        <v>5.62</v>
      </c>
    </row>
    <row r="2893" spans="1:7" x14ac:dyDescent="0.3">
      <c r="A2893" s="524" t="s">
        <v>522</v>
      </c>
      <c r="B2893" s="524" t="s">
        <v>1359</v>
      </c>
      <c r="C2893" s="525" t="s">
        <v>801</v>
      </c>
      <c r="D2893" s="524" t="s">
        <v>32</v>
      </c>
      <c r="E2893" s="524" t="s">
        <v>1820</v>
      </c>
      <c r="F2893" s="526" t="s">
        <v>1361</v>
      </c>
      <c r="G2893" s="252">
        <f t="shared" si="54"/>
        <v>1.43</v>
      </c>
    </row>
    <row r="2894" spans="1:7" x14ac:dyDescent="0.3">
      <c r="A2894" s="680" t="s">
        <v>1152</v>
      </c>
      <c r="B2894" s="681"/>
      <c r="C2894" s="681"/>
      <c r="D2894" s="681"/>
      <c r="E2894" s="681"/>
      <c r="F2894" s="682"/>
      <c r="G2894" s="527">
        <f>SUM(G2889:G2893)</f>
        <v>29.63</v>
      </c>
    </row>
    <row r="2895" spans="1:7" x14ac:dyDescent="0.3">
      <c r="A2895" s="683">
        <f>TRUNC(E2895*F2895,2)</f>
        <v>0</v>
      </c>
      <c r="B2895" s="684"/>
      <c r="C2895" s="684"/>
      <c r="D2895" s="684"/>
      <c r="E2895" s="684"/>
      <c r="F2895" s="684"/>
      <c r="G2895" s="685"/>
    </row>
    <row r="2896" spans="1:7" ht="28.8" x14ac:dyDescent="0.3">
      <c r="A2896" s="529" t="s">
        <v>282</v>
      </c>
      <c r="B2896" s="529">
        <v>89714</v>
      </c>
      <c r="C2896" s="530" t="s">
        <v>195</v>
      </c>
      <c r="D2896" s="529" t="s">
        <v>55</v>
      </c>
      <c r="E2896" s="252"/>
      <c r="F2896" s="531">
        <v>42.17</v>
      </c>
      <c r="G2896" s="252">
        <f t="shared" si="54"/>
        <v>0</v>
      </c>
    </row>
    <row r="2897" spans="1:7" x14ac:dyDescent="0.3">
      <c r="A2897" s="524" t="s">
        <v>508</v>
      </c>
      <c r="B2897" s="524" t="s">
        <v>1774</v>
      </c>
      <c r="C2897" s="525" t="s">
        <v>1775</v>
      </c>
      <c r="D2897" s="524" t="s">
        <v>397</v>
      </c>
      <c r="E2897" s="524" t="s">
        <v>1776</v>
      </c>
      <c r="F2897" s="526" t="s">
        <v>1777</v>
      </c>
      <c r="G2897" s="252">
        <f t="shared" si="54"/>
        <v>3</v>
      </c>
    </row>
    <row r="2898" spans="1:7" x14ac:dyDescent="0.3">
      <c r="A2898" s="524" t="s">
        <v>508</v>
      </c>
      <c r="B2898" s="524" t="s">
        <v>1778</v>
      </c>
      <c r="C2898" s="525" t="s">
        <v>1779</v>
      </c>
      <c r="D2898" s="524" t="s">
        <v>55</v>
      </c>
      <c r="E2898" s="524" t="s">
        <v>1697</v>
      </c>
      <c r="F2898" s="526" t="s">
        <v>1780</v>
      </c>
      <c r="G2898" s="252">
        <f t="shared" si="54"/>
        <v>11.01</v>
      </c>
    </row>
    <row r="2899" spans="1:7" x14ac:dyDescent="0.3">
      <c r="A2899" s="524" t="s">
        <v>508</v>
      </c>
      <c r="B2899" s="524" t="s">
        <v>1781</v>
      </c>
      <c r="C2899" s="525" t="s">
        <v>1782</v>
      </c>
      <c r="D2899" s="524" t="s">
        <v>397</v>
      </c>
      <c r="E2899" s="524" t="s">
        <v>1783</v>
      </c>
      <c r="F2899" s="526" t="s">
        <v>1784</v>
      </c>
      <c r="G2899" s="252">
        <f t="shared" si="54"/>
        <v>4.25</v>
      </c>
    </row>
    <row r="2900" spans="1:7" x14ac:dyDescent="0.3">
      <c r="A2900" s="524" t="s">
        <v>508</v>
      </c>
      <c r="B2900" s="524" t="s">
        <v>1785</v>
      </c>
      <c r="C2900" s="525" t="s">
        <v>1786</v>
      </c>
      <c r="D2900" s="524" t="s">
        <v>397</v>
      </c>
      <c r="E2900" s="524" t="s">
        <v>1094</v>
      </c>
      <c r="F2900" s="526" t="s">
        <v>1563</v>
      </c>
      <c r="G2900" s="252">
        <f t="shared" si="54"/>
        <v>0.49</v>
      </c>
    </row>
    <row r="2901" spans="1:7" ht="28.8" x14ac:dyDescent="0.3">
      <c r="A2901" s="524" t="s">
        <v>522</v>
      </c>
      <c r="B2901" s="524" t="s">
        <v>1726</v>
      </c>
      <c r="C2901" s="525" t="s">
        <v>1727</v>
      </c>
      <c r="D2901" s="524" t="s">
        <v>32</v>
      </c>
      <c r="E2901" s="524" t="s">
        <v>1787</v>
      </c>
      <c r="F2901" s="526" t="s">
        <v>1729</v>
      </c>
      <c r="G2901" s="252">
        <f t="shared" si="54"/>
        <v>10.26</v>
      </c>
    </row>
    <row r="2902" spans="1:7" x14ac:dyDescent="0.3">
      <c r="A2902" s="524" t="s">
        <v>522</v>
      </c>
      <c r="B2902" s="524" t="s">
        <v>1367</v>
      </c>
      <c r="C2902" s="525" t="s">
        <v>1368</v>
      </c>
      <c r="D2902" s="524" t="s">
        <v>32</v>
      </c>
      <c r="E2902" s="524" t="s">
        <v>1787</v>
      </c>
      <c r="F2902" s="526" t="s">
        <v>1370</v>
      </c>
      <c r="G2902" s="252">
        <f t="shared" si="54"/>
        <v>13.16</v>
      </c>
    </row>
    <row r="2903" spans="1:7" x14ac:dyDescent="0.3">
      <c r="A2903" s="680" t="s">
        <v>1152</v>
      </c>
      <c r="B2903" s="681"/>
      <c r="C2903" s="681"/>
      <c r="D2903" s="681"/>
      <c r="E2903" s="681"/>
      <c r="F2903" s="682"/>
      <c r="G2903" s="527">
        <f>SUM(G2896:G2902)</f>
        <v>42.17</v>
      </c>
    </row>
    <row r="2904" spans="1:7" x14ac:dyDescent="0.3">
      <c r="A2904" s="683">
        <f>TRUNC(E2904*F2904,2)</f>
        <v>0</v>
      </c>
      <c r="B2904" s="684"/>
      <c r="C2904" s="684"/>
      <c r="D2904" s="684"/>
      <c r="E2904" s="684"/>
      <c r="F2904" s="684"/>
      <c r="G2904" s="685"/>
    </row>
    <row r="2905" spans="1:7" ht="28.8" x14ac:dyDescent="0.3">
      <c r="A2905" s="529" t="s">
        <v>285</v>
      </c>
      <c r="B2905" s="529">
        <v>89712</v>
      </c>
      <c r="C2905" s="530" t="s">
        <v>196</v>
      </c>
      <c r="D2905" s="529" t="s">
        <v>55</v>
      </c>
      <c r="E2905" s="252"/>
      <c r="F2905" s="531">
        <v>21.1</v>
      </c>
      <c r="G2905" s="252">
        <f t="shared" si="54"/>
        <v>0</v>
      </c>
    </row>
    <row r="2906" spans="1:7" x14ac:dyDescent="0.3">
      <c r="A2906" s="524" t="s">
        <v>508</v>
      </c>
      <c r="B2906" s="524" t="s">
        <v>1774</v>
      </c>
      <c r="C2906" s="525" t="s">
        <v>1775</v>
      </c>
      <c r="D2906" s="524" t="s">
        <v>397</v>
      </c>
      <c r="E2906" s="524" t="s">
        <v>1788</v>
      </c>
      <c r="F2906" s="526" t="s">
        <v>1777</v>
      </c>
      <c r="G2906" s="252">
        <f t="shared" si="54"/>
        <v>0.89</v>
      </c>
    </row>
    <row r="2907" spans="1:7" x14ac:dyDescent="0.3">
      <c r="A2907" s="524" t="s">
        <v>508</v>
      </c>
      <c r="B2907" s="524" t="s">
        <v>1789</v>
      </c>
      <c r="C2907" s="525" t="s">
        <v>1790</v>
      </c>
      <c r="D2907" s="524" t="s">
        <v>55</v>
      </c>
      <c r="E2907" s="524" t="s">
        <v>1697</v>
      </c>
      <c r="F2907" s="526" t="s">
        <v>1791</v>
      </c>
      <c r="G2907" s="252">
        <f t="shared" si="54"/>
        <v>6.76</v>
      </c>
    </row>
    <row r="2908" spans="1:7" x14ac:dyDescent="0.3">
      <c r="A2908" s="524" t="s">
        <v>508</v>
      </c>
      <c r="B2908" s="524" t="s">
        <v>1781</v>
      </c>
      <c r="C2908" s="525" t="s">
        <v>1782</v>
      </c>
      <c r="D2908" s="524" t="s">
        <v>397</v>
      </c>
      <c r="E2908" s="524" t="s">
        <v>1792</v>
      </c>
      <c r="F2908" s="526" t="s">
        <v>1784</v>
      </c>
      <c r="G2908" s="252">
        <f t="shared" si="54"/>
        <v>1.17</v>
      </c>
    </row>
    <row r="2909" spans="1:7" x14ac:dyDescent="0.3">
      <c r="A2909" s="524" t="s">
        <v>508</v>
      </c>
      <c r="B2909" s="524" t="s">
        <v>1785</v>
      </c>
      <c r="C2909" s="525" t="s">
        <v>1786</v>
      </c>
      <c r="D2909" s="524" t="s">
        <v>397</v>
      </c>
      <c r="E2909" s="524" t="s">
        <v>1793</v>
      </c>
      <c r="F2909" s="526" t="s">
        <v>1563</v>
      </c>
      <c r="G2909" s="252">
        <f t="shared" si="54"/>
        <v>0.25</v>
      </c>
    </row>
    <row r="2910" spans="1:7" ht="28.8" x14ac:dyDescent="0.3">
      <c r="A2910" s="524" t="s">
        <v>522</v>
      </c>
      <c r="B2910" s="524" t="s">
        <v>1726</v>
      </c>
      <c r="C2910" s="525" t="s">
        <v>1727</v>
      </c>
      <c r="D2910" s="524" t="s">
        <v>32</v>
      </c>
      <c r="E2910" s="524" t="s">
        <v>1794</v>
      </c>
      <c r="F2910" s="526" t="s">
        <v>1729</v>
      </c>
      <c r="G2910" s="252">
        <f t="shared" si="54"/>
        <v>5.27</v>
      </c>
    </row>
    <row r="2911" spans="1:7" x14ac:dyDescent="0.3">
      <c r="A2911" s="524" t="s">
        <v>522</v>
      </c>
      <c r="B2911" s="524" t="s">
        <v>1367</v>
      </c>
      <c r="C2911" s="525" t="s">
        <v>1368</v>
      </c>
      <c r="D2911" s="524" t="s">
        <v>32</v>
      </c>
      <c r="E2911" s="524" t="s">
        <v>1794</v>
      </c>
      <c r="F2911" s="526" t="s">
        <v>1370</v>
      </c>
      <c r="G2911" s="252">
        <f t="shared" si="54"/>
        <v>6.76</v>
      </c>
    </row>
    <row r="2912" spans="1:7" x14ac:dyDescent="0.3">
      <c r="A2912" s="680" t="s">
        <v>1152</v>
      </c>
      <c r="B2912" s="681"/>
      <c r="C2912" s="681"/>
      <c r="D2912" s="681"/>
      <c r="E2912" s="681"/>
      <c r="F2912" s="682"/>
      <c r="G2912" s="527">
        <f>SUM(G2905:G2911)</f>
        <v>21.1</v>
      </c>
    </row>
    <row r="2913" spans="1:7" x14ac:dyDescent="0.3">
      <c r="A2913" s="683">
        <f>TRUNC(E2913*F2913,2)</f>
        <v>0</v>
      </c>
      <c r="B2913" s="684"/>
      <c r="C2913" s="684"/>
      <c r="D2913" s="684"/>
      <c r="E2913" s="684"/>
      <c r="F2913" s="684"/>
      <c r="G2913" s="685"/>
    </row>
    <row r="2914" spans="1:7" ht="28.8" x14ac:dyDescent="0.3">
      <c r="A2914" s="529" t="s">
        <v>287</v>
      </c>
      <c r="B2914" s="529">
        <v>89567</v>
      </c>
      <c r="C2914" s="530" t="s">
        <v>197</v>
      </c>
      <c r="D2914" s="529" t="s">
        <v>44</v>
      </c>
      <c r="E2914" s="252"/>
      <c r="F2914" s="531">
        <v>57.95</v>
      </c>
      <c r="G2914" s="252">
        <f t="shared" si="54"/>
        <v>0</v>
      </c>
    </row>
    <row r="2915" spans="1:7" x14ac:dyDescent="0.3">
      <c r="A2915" s="524" t="s">
        <v>508</v>
      </c>
      <c r="B2915" s="524" t="s">
        <v>1795</v>
      </c>
      <c r="C2915" s="525" t="s">
        <v>1796</v>
      </c>
      <c r="D2915" s="524" t="s">
        <v>397</v>
      </c>
      <c r="E2915" s="524" t="s">
        <v>1523</v>
      </c>
      <c r="F2915" s="526" t="s">
        <v>1797</v>
      </c>
      <c r="G2915" s="252">
        <f t="shared" si="54"/>
        <v>7.26</v>
      </c>
    </row>
    <row r="2916" spans="1:7" ht="28.8" x14ac:dyDescent="0.3">
      <c r="A2916" s="524" t="s">
        <v>508</v>
      </c>
      <c r="B2916" s="524" t="s">
        <v>1798</v>
      </c>
      <c r="C2916" s="525" t="s">
        <v>1799</v>
      </c>
      <c r="D2916" s="524" t="s">
        <v>397</v>
      </c>
      <c r="E2916" s="524" t="s">
        <v>1800</v>
      </c>
      <c r="F2916" s="526" t="s">
        <v>1801</v>
      </c>
      <c r="G2916" s="252">
        <f t="shared" si="54"/>
        <v>2.78</v>
      </c>
    </row>
    <row r="2917" spans="1:7" x14ac:dyDescent="0.3">
      <c r="A2917" s="524" t="s">
        <v>508</v>
      </c>
      <c r="B2917" s="524" t="s">
        <v>1802</v>
      </c>
      <c r="C2917" s="525" t="s">
        <v>1803</v>
      </c>
      <c r="D2917" s="524" t="s">
        <v>397</v>
      </c>
      <c r="E2917" s="524" t="s">
        <v>1122</v>
      </c>
      <c r="F2917" s="526" t="s">
        <v>1804</v>
      </c>
      <c r="G2917" s="252">
        <f t="shared" si="54"/>
        <v>42.06</v>
      </c>
    </row>
    <row r="2918" spans="1:7" ht="28.8" x14ac:dyDescent="0.3">
      <c r="A2918" s="524" t="s">
        <v>522</v>
      </c>
      <c r="B2918" s="524" t="s">
        <v>1726</v>
      </c>
      <c r="C2918" s="525" t="s">
        <v>1727</v>
      </c>
      <c r="D2918" s="524" t="s">
        <v>32</v>
      </c>
      <c r="E2918" s="524" t="s">
        <v>1805</v>
      </c>
      <c r="F2918" s="526" t="s">
        <v>1729</v>
      </c>
      <c r="G2918" s="252">
        <f t="shared" si="54"/>
        <v>2.56</v>
      </c>
    </row>
    <row r="2919" spans="1:7" x14ac:dyDescent="0.3">
      <c r="A2919" s="524" t="s">
        <v>522</v>
      </c>
      <c r="B2919" s="524" t="s">
        <v>1367</v>
      </c>
      <c r="C2919" s="525" t="s">
        <v>1368</v>
      </c>
      <c r="D2919" s="524" t="s">
        <v>32</v>
      </c>
      <c r="E2919" s="524" t="s">
        <v>1805</v>
      </c>
      <c r="F2919" s="526" t="s">
        <v>1370</v>
      </c>
      <c r="G2919" s="252">
        <f t="shared" si="54"/>
        <v>3.29</v>
      </c>
    </row>
    <row r="2920" spans="1:7" x14ac:dyDescent="0.3">
      <c r="A2920" s="680" t="s">
        <v>1152</v>
      </c>
      <c r="B2920" s="681"/>
      <c r="C2920" s="681"/>
      <c r="D2920" s="681"/>
      <c r="E2920" s="681"/>
      <c r="F2920" s="682"/>
      <c r="G2920" s="527">
        <f>SUM(G2913:G2919)</f>
        <v>57.95</v>
      </c>
    </row>
    <row r="2921" spans="1:7" x14ac:dyDescent="0.3">
      <c r="A2921" s="683">
        <f>TRUNC(E2921*F2921,2)</f>
        <v>0</v>
      </c>
      <c r="B2921" s="684"/>
      <c r="C2921" s="684"/>
      <c r="D2921" s="684"/>
      <c r="E2921" s="684"/>
      <c r="F2921" s="684"/>
      <c r="G2921" s="685"/>
    </row>
    <row r="2922" spans="1:7" ht="28.8" x14ac:dyDescent="0.3">
      <c r="A2922" s="529" t="s">
        <v>289</v>
      </c>
      <c r="B2922" s="529">
        <v>86881</v>
      </c>
      <c r="C2922" s="530" t="s">
        <v>286</v>
      </c>
      <c r="D2922" s="529" t="s">
        <v>44</v>
      </c>
      <c r="E2922" s="252"/>
      <c r="F2922" s="531">
        <v>155.91999999999999</v>
      </c>
      <c r="G2922" s="252">
        <f t="shared" si="54"/>
        <v>0</v>
      </c>
    </row>
    <row r="2923" spans="1:7" x14ac:dyDescent="0.3">
      <c r="A2923" s="524" t="s">
        <v>508</v>
      </c>
      <c r="B2923" s="524" t="s">
        <v>1757</v>
      </c>
      <c r="C2923" s="525" t="s">
        <v>1758</v>
      </c>
      <c r="D2923" s="524" t="s">
        <v>397</v>
      </c>
      <c r="E2923" s="524" t="s">
        <v>2002</v>
      </c>
      <c r="F2923" s="526" t="s">
        <v>1760</v>
      </c>
      <c r="G2923" s="252">
        <f t="shared" si="54"/>
        <v>0.14000000000000001</v>
      </c>
    </row>
    <row r="2924" spans="1:7" x14ac:dyDescent="0.3">
      <c r="A2924" s="524" t="s">
        <v>508</v>
      </c>
      <c r="B2924" s="524" t="s">
        <v>2003</v>
      </c>
      <c r="C2924" s="525" t="s">
        <v>2004</v>
      </c>
      <c r="D2924" s="524" t="s">
        <v>397</v>
      </c>
      <c r="E2924" s="524" t="s">
        <v>1122</v>
      </c>
      <c r="F2924" s="526" t="s">
        <v>2005</v>
      </c>
      <c r="G2924" s="252">
        <f t="shared" si="54"/>
        <v>149.69</v>
      </c>
    </row>
    <row r="2925" spans="1:7" x14ac:dyDescent="0.3">
      <c r="A2925" s="524" t="s">
        <v>522</v>
      </c>
      <c r="B2925" s="524" t="s">
        <v>1367</v>
      </c>
      <c r="C2925" s="525" t="s">
        <v>1368</v>
      </c>
      <c r="D2925" s="524" t="s">
        <v>32</v>
      </c>
      <c r="E2925" s="524" t="s">
        <v>2006</v>
      </c>
      <c r="F2925" s="526" t="s">
        <v>1370</v>
      </c>
      <c r="G2925" s="252">
        <f t="shared" si="54"/>
        <v>4.8600000000000003</v>
      </c>
    </row>
    <row r="2926" spans="1:7" x14ac:dyDescent="0.3">
      <c r="A2926" s="524" t="s">
        <v>522</v>
      </c>
      <c r="B2926" s="524" t="s">
        <v>1359</v>
      </c>
      <c r="C2926" s="525" t="s">
        <v>801</v>
      </c>
      <c r="D2926" s="524" t="s">
        <v>32</v>
      </c>
      <c r="E2926" s="524" t="s">
        <v>2007</v>
      </c>
      <c r="F2926" s="526" t="s">
        <v>1361</v>
      </c>
      <c r="G2926" s="252">
        <f t="shared" si="54"/>
        <v>1.23</v>
      </c>
    </row>
    <row r="2927" spans="1:7" x14ac:dyDescent="0.3">
      <c r="A2927" s="680" t="s">
        <v>1152</v>
      </c>
      <c r="B2927" s="681"/>
      <c r="C2927" s="681"/>
      <c r="D2927" s="681"/>
      <c r="E2927" s="681"/>
      <c r="F2927" s="682"/>
      <c r="G2927" s="527">
        <f>SUM(G2922:G2926)</f>
        <v>155.91999999999999</v>
      </c>
    </row>
    <row r="2928" spans="1:7" x14ac:dyDescent="0.3">
      <c r="A2928" s="683">
        <f>TRUNC(E2928*F2928,2)</f>
        <v>0</v>
      </c>
      <c r="B2928" s="684"/>
      <c r="C2928" s="684"/>
      <c r="D2928" s="684"/>
      <c r="E2928" s="684"/>
      <c r="F2928" s="684"/>
      <c r="G2928" s="685"/>
    </row>
    <row r="2929" spans="1:7" ht="28.8" x14ac:dyDescent="0.3">
      <c r="A2929" s="529" t="s">
        <v>291</v>
      </c>
      <c r="B2929" s="529" t="s">
        <v>810</v>
      </c>
      <c r="C2929" s="530" t="s">
        <v>808</v>
      </c>
      <c r="D2929" s="529" t="s">
        <v>397</v>
      </c>
      <c r="E2929" s="252"/>
      <c r="F2929" s="531">
        <v>234.28</v>
      </c>
      <c r="G2929" s="252">
        <f t="shared" si="54"/>
        <v>0</v>
      </c>
    </row>
    <row r="2930" spans="1:7" x14ac:dyDescent="0.3">
      <c r="A2930" s="529"/>
      <c r="B2930" s="529">
        <v>88316</v>
      </c>
      <c r="C2930" s="525" t="s">
        <v>801</v>
      </c>
      <c r="D2930" s="529" t="s">
        <v>32</v>
      </c>
      <c r="E2930" s="609">
        <v>0.1</v>
      </c>
      <c r="F2930" s="526" t="s">
        <v>1361</v>
      </c>
      <c r="G2930" s="252">
        <f t="shared" si="54"/>
        <v>1.43</v>
      </c>
    </row>
    <row r="2931" spans="1:7" x14ac:dyDescent="0.3">
      <c r="A2931" s="529"/>
      <c r="B2931" s="529">
        <v>88309</v>
      </c>
      <c r="C2931" s="610" t="s">
        <v>1363</v>
      </c>
      <c r="D2931" s="529" t="s">
        <v>32</v>
      </c>
      <c r="E2931" s="609">
        <v>0.24560000000000001</v>
      </c>
      <c r="F2931" s="531">
        <v>17.760000000000002</v>
      </c>
      <c r="G2931" s="252">
        <f t="shared" si="54"/>
        <v>4.3600000000000003</v>
      </c>
    </row>
    <row r="2932" spans="1:7" ht="28.8" x14ac:dyDescent="0.3">
      <c r="A2932" s="529"/>
      <c r="B2932" s="529" t="s">
        <v>807</v>
      </c>
      <c r="C2932" s="530" t="s">
        <v>808</v>
      </c>
      <c r="D2932" s="529" t="s">
        <v>397</v>
      </c>
      <c r="E2932" s="609">
        <v>1</v>
      </c>
      <c r="F2932" s="531">
        <v>228.49</v>
      </c>
      <c r="G2932" s="252">
        <f t="shared" si="54"/>
        <v>228.49</v>
      </c>
    </row>
    <row r="2933" spans="1:7" x14ac:dyDescent="0.3">
      <c r="A2933" s="680" t="s">
        <v>1152</v>
      </c>
      <c r="B2933" s="681"/>
      <c r="C2933" s="681"/>
      <c r="D2933" s="681"/>
      <c r="E2933" s="681"/>
      <c r="F2933" s="682"/>
      <c r="G2933" s="527">
        <f>SUM(G2929:G2932)</f>
        <v>234.28</v>
      </c>
    </row>
    <row r="2934" spans="1:7" x14ac:dyDescent="0.3">
      <c r="A2934" s="683">
        <f>TRUNC(E2934*F2934,2)</f>
        <v>0</v>
      </c>
      <c r="B2934" s="684"/>
      <c r="C2934" s="684"/>
      <c r="D2934" s="684"/>
      <c r="E2934" s="684"/>
      <c r="F2934" s="684"/>
      <c r="G2934" s="685"/>
    </row>
    <row r="2935" spans="1:7" ht="28.8" x14ac:dyDescent="0.3">
      <c r="A2935" s="529" t="s">
        <v>293</v>
      </c>
      <c r="B2935" s="529" t="s">
        <v>811</v>
      </c>
      <c r="C2935" s="530" t="s">
        <v>809</v>
      </c>
      <c r="D2935" s="529" t="s">
        <v>397</v>
      </c>
      <c r="E2935" s="252"/>
      <c r="F2935" s="531">
        <v>198.74</v>
      </c>
      <c r="G2935" s="252">
        <f t="shared" si="54"/>
        <v>0</v>
      </c>
    </row>
    <row r="2936" spans="1:7" x14ac:dyDescent="0.3">
      <c r="A2936" s="529"/>
      <c r="B2936" s="200">
        <v>88316</v>
      </c>
      <c r="C2936" s="202" t="s">
        <v>801</v>
      </c>
      <c r="D2936" s="200" t="s">
        <v>32</v>
      </c>
      <c r="E2936" s="203">
        <v>0.1</v>
      </c>
      <c r="F2936" s="526" t="s">
        <v>1361</v>
      </c>
      <c r="G2936" s="252">
        <f t="shared" si="54"/>
        <v>1.43</v>
      </c>
    </row>
    <row r="2937" spans="1:7" x14ac:dyDescent="0.3">
      <c r="A2937" s="529"/>
      <c r="B2937" s="200">
        <v>88309</v>
      </c>
      <c r="C2937" s="525" t="s">
        <v>1363</v>
      </c>
      <c r="D2937" s="200" t="s">
        <v>32</v>
      </c>
      <c r="E2937" s="203">
        <v>0.24560000000000001</v>
      </c>
      <c r="F2937" s="531">
        <v>17.760000000000002</v>
      </c>
      <c r="G2937" s="252">
        <f t="shared" si="54"/>
        <v>4.3600000000000003</v>
      </c>
    </row>
    <row r="2938" spans="1:7" ht="28.8" x14ac:dyDescent="0.3">
      <c r="A2938" s="529"/>
      <c r="B2938" s="201" t="s">
        <v>807</v>
      </c>
      <c r="C2938" s="202" t="s">
        <v>808</v>
      </c>
      <c r="D2938" s="201" t="s">
        <v>397</v>
      </c>
      <c r="E2938" s="204">
        <v>1</v>
      </c>
      <c r="F2938" s="205">
        <v>192.95</v>
      </c>
      <c r="G2938" s="252">
        <f t="shared" si="54"/>
        <v>192.95</v>
      </c>
    </row>
    <row r="2939" spans="1:7" x14ac:dyDescent="0.3">
      <c r="A2939" s="680" t="s">
        <v>1152</v>
      </c>
      <c r="B2939" s="681"/>
      <c r="C2939" s="681"/>
      <c r="D2939" s="681"/>
      <c r="E2939" s="681"/>
      <c r="F2939" s="682"/>
      <c r="G2939" s="527">
        <f>SUM(G2935:G2938)</f>
        <v>198.73999999999998</v>
      </c>
    </row>
    <row r="2940" spans="1:7" x14ac:dyDescent="0.3">
      <c r="A2940" s="683">
        <f>TRUNC(E2940*F2940,2)</f>
        <v>0</v>
      </c>
      <c r="B2940" s="684"/>
      <c r="C2940" s="684"/>
      <c r="D2940" s="684"/>
      <c r="E2940" s="684"/>
      <c r="F2940" s="684"/>
      <c r="G2940" s="685"/>
    </row>
    <row r="2941" spans="1:7" ht="28.8" x14ac:dyDescent="0.3">
      <c r="A2941" s="529" t="s">
        <v>294</v>
      </c>
      <c r="B2941" s="529">
        <v>86877</v>
      </c>
      <c r="C2941" s="530" t="s">
        <v>288</v>
      </c>
      <c r="D2941" s="529" t="s">
        <v>44</v>
      </c>
      <c r="E2941" s="252"/>
      <c r="F2941" s="531">
        <v>25.76</v>
      </c>
      <c r="G2941" s="252">
        <f t="shared" si="54"/>
        <v>0</v>
      </c>
    </row>
    <row r="2942" spans="1:7" x14ac:dyDescent="0.3">
      <c r="A2942" s="524" t="s">
        <v>508</v>
      </c>
      <c r="B2942" s="524" t="s">
        <v>1757</v>
      </c>
      <c r="C2942" s="525" t="s">
        <v>1758</v>
      </c>
      <c r="D2942" s="524" t="s">
        <v>397</v>
      </c>
      <c r="E2942" s="524" t="s">
        <v>2008</v>
      </c>
      <c r="F2942" s="526" t="s">
        <v>1760</v>
      </c>
      <c r="G2942" s="252">
        <f t="shared" si="54"/>
        <v>0.2</v>
      </c>
    </row>
    <row r="2943" spans="1:7" x14ac:dyDescent="0.3">
      <c r="A2943" s="524" t="s">
        <v>508</v>
      </c>
      <c r="B2943" s="524" t="s">
        <v>2009</v>
      </c>
      <c r="C2943" s="525" t="s">
        <v>2010</v>
      </c>
      <c r="D2943" s="524" t="s">
        <v>397</v>
      </c>
      <c r="E2943" s="524" t="s">
        <v>1122</v>
      </c>
      <c r="F2943" s="526" t="s">
        <v>2011</v>
      </c>
      <c r="G2943" s="252">
        <f t="shared" si="54"/>
        <v>21.69</v>
      </c>
    </row>
    <row r="2944" spans="1:7" x14ac:dyDescent="0.3">
      <c r="A2944" s="524" t="s">
        <v>522</v>
      </c>
      <c r="B2944" s="524" t="s">
        <v>1367</v>
      </c>
      <c r="C2944" s="525" t="s">
        <v>1368</v>
      </c>
      <c r="D2944" s="524" t="s">
        <v>32</v>
      </c>
      <c r="E2944" s="524" t="s">
        <v>1196</v>
      </c>
      <c r="F2944" s="526" t="s">
        <v>1370</v>
      </c>
      <c r="G2944" s="252">
        <f t="shared" si="54"/>
        <v>3.09</v>
      </c>
    </row>
    <row r="2945" spans="1:7" x14ac:dyDescent="0.3">
      <c r="A2945" s="524" t="s">
        <v>522</v>
      </c>
      <c r="B2945" s="524" t="s">
        <v>1359</v>
      </c>
      <c r="C2945" s="525" t="s">
        <v>801</v>
      </c>
      <c r="D2945" s="524" t="s">
        <v>32</v>
      </c>
      <c r="E2945" s="524" t="s">
        <v>1625</v>
      </c>
      <c r="F2945" s="526" t="s">
        <v>1361</v>
      </c>
      <c r="G2945" s="252">
        <f t="shared" si="54"/>
        <v>0.78</v>
      </c>
    </row>
    <row r="2946" spans="1:7" x14ac:dyDescent="0.3">
      <c r="A2946" s="680" t="s">
        <v>1152</v>
      </c>
      <c r="B2946" s="681"/>
      <c r="C2946" s="681"/>
      <c r="D2946" s="681"/>
      <c r="E2946" s="681"/>
      <c r="F2946" s="682"/>
      <c r="G2946" s="527">
        <f>SUM(G2941:G2945)</f>
        <v>25.76</v>
      </c>
    </row>
    <row r="2947" spans="1:7" x14ac:dyDescent="0.3">
      <c r="A2947" s="683">
        <f>TRUNC(E2947*F2947,2)</f>
        <v>0</v>
      </c>
      <c r="B2947" s="684"/>
      <c r="C2947" s="684"/>
      <c r="D2947" s="684"/>
      <c r="E2947" s="684"/>
      <c r="F2947" s="684"/>
      <c r="G2947" s="685"/>
    </row>
    <row r="2948" spans="1:7" ht="28.8" x14ac:dyDescent="0.3">
      <c r="A2948" s="529" t="s">
        <v>295</v>
      </c>
      <c r="B2948" s="529">
        <v>86887</v>
      </c>
      <c r="C2948" s="530" t="s">
        <v>290</v>
      </c>
      <c r="D2948" s="529" t="s">
        <v>44</v>
      </c>
      <c r="E2948" s="252"/>
      <c r="F2948" s="531">
        <v>41.05</v>
      </c>
      <c r="G2948" s="252">
        <f t="shared" si="54"/>
        <v>0</v>
      </c>
    </row>
    <row r="2949" spans="1:7" x14ac:dyDescent="0.3">
      <c r="A2949" s="524" t="s">
        <v>508</v>
      </c>
      <c r="B2949" s="524" t="s">
        <v>1757</v>
      </c>
      <c r="C2949" s="525" t="s">
        <v>1758</v>
      </c>
      <c r="D2949" s="524" t="s">
        <v>397</v>
      </c>
      <c r="E2949" s="524" t="s">
        <v>1759</v>
      </c>
      <c r="F2949" s="526" t="s">
        <v>1760</v>
      </c>
      <c r="G2949" s="252">
        <f t="shared" si="54"/>
        <v>0.08</v>
      </c>
    </row>
    <row r="2950" spans="1:7" x14ac:dyDescent="0.3">
      <c r="A2950" s="524" t="s">
        <v>508</v>
      </c>
      <c r="B2950" s="524" t="s">
        <v>2012</v>
      </c>
      <c r="C2950" s="525" t="s">
        <v>2013</v>
      </c>
      <c r="D2950" s="524" t="s">
        <v>397</v>
      </c>
      <c r="E2950" s="524" t="s">
        <v>1122</v>
      </c>
      <c r="F2950" s="526" t="s">
        <v>2014</v>
      </c>
      <c r="G2950" s="252">
        <f t="shared" si="54"/>
        <v>37.57</v>
      </c>
    </row>
    <row r="2951" spans="1:7" x14ac:dyDescent="0.3">
      <c r="A2951" s="524" t="s">
        <v>522</v>
      </c>
      <c r="B2951" s="524" t="s">
        <v>1367</v>
      </c>
      <c r="C2951" s="525" t="s">
        <v>1368</v>
      </c>
      <c r="D2951" s="524" t="s">
        <v>32</v>
      </c>
      <c r="E2951" s="524" t="s">
        <v>2015</v>
      </c>
      <c r="F2951" s="526" t="s">
        <v>1370</v>
      </c>
      <c r="G2951" s="252">
        <f t="shared" si="54"/>
        <v>2.71</v>
      </c>
    </row>
    <row r="2952" spans="1:7" x14ac:dyDescent="0.3">
      <c r="A2952" s="524" t="s">
        <v>522</v>
      </c>
      <c r="B2952" s="524" t="s">
        <v>1359</v>
      </c>
      <c r="C2952" s="525" t="s">
        <v>801</v>
      </c>
      <c r="D2952" s="524" t="s">
        <v>32</v>
      </c>
      <c r="E2952" s="524" t="s">
        <v>2016</v>
      </c>
      <c r="F2952" s="526" t="s">
        <v>1361</v>
      </c>
      <c r="G2952" s="252">
        <f t="shared" si="54"/>
        <v>0.69</v>
      </c>
    </row>
    <row r="2953" spans="1:7" x14ac:dyDescent="0.3">
      <c r="A2953" s="680" t="s">
        <v>1152</v>
      </c>
      <c r="B2953" s="681"/>
      <c r="C2953" s="681"/>
      <c r="D2953" s="681"/>
      <c r="E2953" s="681"/>
      <c r="F2953" s="682"/>
      <c r="G2953" s="527">
        <f>SUM(G2948:G2952)</f>
        <v>41.05</v>
      </c>
    </row>
    <row r="2954" spans="1:7" x14ac:dyDescent="0.3">
      <c r="A2954" s="683">
        <f>TRUNC(E2954*F2954,2)</f>
        <v>0</v>
      </c>
      <c r="B2954" s="684"/>
      <c r="C2954" s="684"/>
      <c r="D2954" s="684"/>
      <c r="E2954" s="684"/>
      <c r="F2954" s="684"/>
      <c r="G2954" s="685"/>
    </row>
    <row r="2955" spans="1:7" x14ac:dyDescent="0.3">
      <c r="A2955" s="529">
        <v>11</v>
      </c>
      <c r="B2955" s="529"/>
      <c r="C2955" s="530" t="s">
        <v>207</v>
      </c>
      <c r="D2955" s="529"/>
      <c r="E2955" s="252"/>
      <c r="F2955" s="531"/>
      <c r="G2955" s="252">
        <f t="shared" si="54"/>
        <v>0</v>
      </c>
    </row>
    <row r="2956" spans="1:7" x14ac:dyDescent="0.3">
      <c r="A2956" s="529" t="s">
        <v>300</v>
      </c>
      <c r="B2956" s="529">
        <v>72178</v>
      </c>
      <c r="C2956" s="530" t="s">
        <v>50</v>
      </c>
      <c r="D2956" s="529" t="s">
        <v>24</v>
      </c>
      <c r="E2956" s="252"/>
      <c r="F2956" s="531">
        <v>22.6</v>
      </c>
      <c r="G2956" s="252">
        <f t="shared" si="54"/>
        <v>0</v>
      </c>
    </row>
    <row r="2957" spans="1:7" x14ac:dyDescent="0.3">
      <c r="A2957" s="524" t="s">
        <v>522</v>
      </c>
      <c r="B2957" s="524" t="s">
        <v>1376</v>
      </c>
      <c r="C2957" s="525" t="s">
        <v>1377</v>
      </c>
      <c r="D2957" s="524" t="s">
        <v>32</v>
      </c>
      <c r="E2957" s="524" t="s">
        <v>1378</v>
      </c>
      <c r="F2957" s="612" t="s">
        <v>1379</v>
      </c>
      <c r="G2957" s="252">
        <f t="shared" ref="G2957" si="68">TRUNC(E2957*F2957,2)</f>
        <v>22.6</v>
      </c>
    </row>
    <row r="2958" spans="1:7" x14ac:dyDescent="0.3">
      <c r="A2958" s="680" t="s">
        <v>1152</v>
      </c>
      <c r="B2958" s="681"/>
      <c r="C2958" s="681"/>
      <c r="D2958" s="681"/>
      <c r="E2958" s="681"/>
      <c r="F2958" s="682"/>
      <c r="G2958" s="527">
        <f>SUM(G2956:G2957)</f>
        <v>22.6</v>
      </c>
    </row>
    <row r="2959" spans="1:7" x14ac:dyDescent="0.3">
      <c r="A2959" s="683">
        <f>TRUNC(E2959*F2959,2)</f>
        <v>0</v>
      </c>
      <c r="B2959" s="684"/>
      <c r="C2959" s="684"/>
      <c r="D2959" s="684"/>
      <c r="E2959" s="684"/>
      <c r="F2959" s="684"/>
      <c r="G2959" s="685"/>
    </row>
    <row r="2960" spans="1:7" ht="43.2" x14ac:dyDescent="0.3">
      <c r="A2960" s="529" t="s">
        <v>707</v>
      </c>
      <c r="B2960" s="529">
        <v>72181</v>
      </c>
      <c r="C2960" s="530" t="s">
        <v>210</v>
      </c>
      <c r="D2960" s="529" t="s">
        <v>24</v>
      </c>
      <c r="E2960" s="252"/>
      <c r="F2960" s="531">
        <v>28.84</v>
      </c>
      <c r="G2960" s="252">
        <f t="shared" ref="G2960:G3313" si="69">TRUNC(E2960*F2960,2)</f>
        <v>0</v>
      </c>
    </row>
    <row r="2961" spans="1:7" x14ac:dyDescent="0.3">
      <c r="A2961" s="524" t="s">
        <v>508</v>
      </c>
      <c r="B2961" s="524" t="s">
        <v>518</v>
      </c>
      <c r="C2961" s="525" t="s">
        <v>519</v>
      </c>
      <c r="D2961" s="524" t="s">
        <v>426</v>
      </c>
      <c r="E2961" s="524" t="s">
        <v>1528</v>
      </c>
      <c r="F2961" s="526" t="s">
        <v>521</v>
      </c>
      <c r="G2961" s="252">
        <f t="shared" si="69"/>
        <v>2.2799999999999998</v>
      </c>
    </row>
    <row r="2962" spans="1:7" x14ac:dyDescent="0.3">
      <c r="A2962" s="524" t="s">
        <v>522</v>
      </c>
      <c r="B2962" s="524" t="s">
        <v>1376</v>
      </c>
      <c r="C2962" s="525" t="s">
        <v>1377</v>
      </c>
      <c r="D2962" s="524" t="s">
        <v>32</v>
      </c>
      <c r="E2962" s="524" t="s">
        <v>1452</v>
      </c>
      <c r="F2962" s="526" t="s">
        <v>1379</v>
      </c>
      <c r="G2962" s="252">
        <f t="shared" si="69"/>
        <v>15.07</v>
      </c>
    </row>
    <row r="2963" spans="1:7" x14ac:dyDescent="0.3">
      <c r="A2963" s="524" t="s">
        <v>522</v>
      </c>
      <c r="B2963" s="524" t="s">
        <v>1359</v>
      </c>
      <c r="C2963" s="525" t="s">
        <v>801</v>
      </c>
      <c r="D2963" s="524" t="s">
        <v>32</v>
      </c>
      <c r="E2963" s="524" t="s">
        <v>1452</v>
      </c>
      <c r="F2963" s="526" t="s">
        <v>1361</v>
      </c>
      <c r="G2963" s="252">
        <f t="shared" si="69"/>
        <v>11.49</v>
      </c>
    </row>
    <row r="2964" spans="1:7" x14ac:dyDescent="0.3">
      <c r="A2964" s="680" t="s">
        <v>1152</v>
      </c>
      <c r="B2964" s="681"/>
      <c r="C2964" s="681"/>
      <c r="D2964" s="681"/>
      <c r="E2964" s="681"/>
      <c r="F2964" s="682"/>
      <c r="G2964" s="527">
        <f>SUM(G2961:G2963)</f>
        <v>28.840000000000003</v>
      </c>
    </row>
    <row r="2965" spans="1:7" x14ac:dyDescent="0.3">
      <c r="A2965" s="683">
        <f>TRUNC(E2965*F2965,2)</f>
        <v>0</v>
      </c>
      <c r="B2965" s="684"/>
      <c r="C2965" s="684"/>
      <c r="D2965" s="684"/>
      <c r="E2965" s="684"/>
      <c r="F2965" s="684"/>
      <c r="G2965" s="685"/>
    </row>
    <row r="2966" spans="1:7" ht="28.8" x14ac:dyDescent="0.3">
      <c r="A2966" s="529" t="s">
        <v>301</v>
      </c>
      <c r="B2966" s="529">
        <v>98555</v>
      </c>
      <c r="C2966" s="530" t="s">
        <v>359</v>
      </c>
      <c r="D2966" s="529" t="s">
        <v>305</v>
      </c>
      <c r="E2966" s="252"/>
      <c r="F2966" s="531">
        <v>19.09</v>
      </c>
      <c r="G2966" s="252">
        <f t="shared" si="69"/>
        <v>0</v>
      </c>
    </row>
    <row r="2967" spans="1:7" ht="28.8" x14ac:dyDescent="0.3">
      <c r="A2967" s="524" t="s">
        <v>508</v>
      </c>
      <c r="B2967" s="524" t="s">
        <v>2105</v>
      </c>
      <c r="C2967" s="525" t="s">
        <v>2106</v>
      </c>
      <c r="D2967" s="524" t="s">
        <v>426</v>
      </c>
      <c r="E2967" s="524" t="s">
        <v>1546</v>
      </c>
      <c r="F2967" s="526" t="s">
        <v>2107</v>
      </c>
      <c r="G2967" s="252">
        <f t="shared" si="69"/>
        <v>7.39</v>
      </c>
    </row>
    <row r="2968" spans="1:7" x14ac:dyDescent="0.3">
      <c r="A2968" s="524" t="s">
        <v>522</v>
      </c>
      <c r="B2968" s="524" t="s">
        <v>2108</v>
      </c>
      <c r="C2968" s="525" t="s">
        <v>2109</v>
      </c>
      <c r="D2968" s="524" t="s">
        <v>32</v>
      </c>
      <c r="E2968" s="524" t="s">
        <v>2110</v>
      </c>
      <c r="F2968" s="526" t="s">
        <v>2111</v>
      </c>
      <c r="G2968" s="252">
        <f t="shared" si="69"/>
        <v>1.85</v>
      </c>
    </row>
    <row r="2969" spans="1:7" x14ac:dyDescent="0.3">
      <c r="A2969" s="524" t="s">
        <v>522</v>
      </c>
      <c r="B2969" s="524" t="s">
        <v>2112</v>
      </c>
      <c r="C2969" s="525" t="s">
        <v>2113</v>
      </c>
      <c r="D2969" s="524" t="s">
        <v>32</v>
      </c>
      <c r="E2969" s="524" t="s">
        <v>2114</v>
      </c>
      <c r="F2969" s="526" t="s">
        <v>2115</v>
      </c>
      <c r="G2969" s="252">
        <f t="shared" si="69"/>
        <v>9.85</v>
      </c>
    </row>
    <row r="2970" spans="1:7" x14ac:dyDescent="0.3">
      <c r="A2970" s="680" t="s">
        <v>1152</v>
      </c>
      <c r="B2970" s="681"/>
      <c r="C2970" s="681"/>
      <c r="D2970" s="681"/>
      <c r="E2970" s="681"/>
      <c r="F2970" s="682"/>
      <c r="G2970" s="527">
        <f>SUM(G2967:G2969)</f>
        <v>19.09</v>
      </c>
    </row>
    <row r="2971" spans="1:7" x14ac:dyDescent="0.3">
      <c r="A2971" s="683">
        <f>TRUNC(E2971*F2971,2)</f>
        <v>0</v>
      </c>
      <c r="B2971" s="684"/>
      <c r="C2971" s="684"/>
      <c r="D2971" s="684"/>
      <c r="E2971" s="684"/>
      <c r="F2971" s="684"/>
      <c r="G2971" s="685"/>
    </row>
    <row r="2972" spans="1:7" x14ac:dyDescent="0.3">
      <c r="A2972" s="529">
        <v>12</v>
      </c>
      <c r="B2972" s="529"/>
      <c r="C2972" s="530" t="s">
        <v>212</v>
      </c>
      <c r="D2972" s="529"/>
      <c r="E2972" s="252"/>
      <c r="F2972" s="531"/>
      <c r="G2972" s="252">
        <f t="shared" si="69"/>
        <v>0</v>
      </c>
    </row>
    <row r="2973" spans="1:7" ht="28.8" x14ac:dyDescent="0.3">
      <c r="A2973" s="529" t="s">
        <v>388</v>
      </c>
      <c r="B2973" s="529">
        <v>96114</v>
      </c>
      <c r="C2973" s="530" t="s">
        <v>639</v>
      </c>
      <c r="D2973" s="529" t="s">
        <v>24</v>
      </c>
      <c r="E2973" s="252"/>
      <c r="F2973" s="531">
        <v>49.24</v>
      </c>
      <c r="G2973" s="252">
        <f t="shared" si="69"/>
        <v>0</v>
      </c>
    </row>
    <row r="2974" spans="1:7" ht="28.8" x14ac:dyDescent="0.3">
      <c r="A2974" s="524" t="s">
        <v>508</v>
      </c>
      <c r="B2974" s="524" t="s">
        <v>1843</v>
      </c>
      <c r="C2974" s="525" t="s">
        <v>1844</v>
      </c>
      <c r="D2974" s="524" t="s">
        <v>24</v>
      </c>
      <c r="E2974" s="606">
        <v>1</v>
      </c>
      <c r="F2974" s="526" t="s">
        <v>1845</v>
      </c>
      <c r="G2974" s="252">
        <f t="shared" si="69"/>
        <v>19.97</v>
      </c>
    </row>
    <row r="2975" spans="1:7" ht="28.8" x14ac:dyDescent="0.3">
      <c r="A2975" s="524" t="s">
        <v>508</v>
      </c>
      <c r="B2975" s="524" t="s">
        <v>1846</v>
      </c>
      <c r="C2975" s="525" t="s">
        <v>1847</v>
      </c>
      <c r="D2975" s="524" t="s">
        <v>55</v>
      </c>
      <c r="E2975" s="606">
        <v>3</v>
      </c>
      <c r="F2975" s="526" t="s">
        <v>1848</v>
      </c>
      <c r="G2975" s="252">
        <f t="shared" si="69"/>
        <v>11.79</v>
      </c>
    </row>
    <row r="2976" spans="1:7" ht="28.8" x14ac:dyDescent="0.3">
      <c r="A2976" s="524" t="s">
        <v>508</v>
      </c>
      <c r="B2976" s="524" t="s">
        <v>1849</v>
      </c>
      <c r="C2976" s="525" t="s">
        <v>1850</v>
      </c>
      <c r="D2976" s="524" t="s">
        <v>397</v>
      </c>
      <c r="E2976" s="606">
        <v>1</v>
      </c>
      <c r="F2976" s="526" t="s">
        <v>1851</v>
      </c>
      <c r="G2976" s="252">
        <f t="shared" si="69"/>
        <v>1.48</v>
      </c>
    </row>
    <row r="2977" spans="1:7" ht="28.8" x14ac:dyDescent="0.3">
      <c r="A2977" s="524" t="s">
        <v>508</v>
      </c>
      <c r="B2977" s="524" t="s">
        <v>1852</v>
      </c>
      <c r="C2977" s="525" t="s">
        <v>1853</v>
      </c>
      <c r="D2977" s="524" t="s">
        <v>55</v>
      </c>
      <c r="E2977" s="606">
        <v>1.4</v>
      </c>
      <c r="F2977" s="526" t="s">
        <v>1854</v>
      </c>
      <c r="G2977" s="252">
        <f t="shared" si="69"/>
        <v>4.1399999999999997</v>
      </c>
    </row>
    <row r="2978" spans="1:7" ht="28.8" x14ac:dyDescent="0.3">
      <c r="A2978" s="524" t="s">
        <v>508</v>
      </c>
      <c r="B2978" s="524" t="s">
        <v>1855</v>
      </c>
      <c r="C2978" s="525" t="s">
        <v>1856</v>
      </c>
      <c r="D2978" s="524" t="s">
        <v>426</v>
      </c>
      <c r="E2978" s="606">
        <v>0.5</v>
      </c>
      <c r="F2978" s="526" t="s">
        <v>1501</v>
      </c>
      <c r="G2978" s="252">
        <f t="shared" si="69"/>
        <v>1.98</v>
      </c>
    </row>
    <row r="2979" spans="1:7" ht="28.8" x14ac:dyDescent="0.3">
      <c r="A2979" s="524" t="s">
        <v>508</v>
      </c>
      <c r="B2979" s="524" t="s">
        <v>1857</v>
      </c>
      <c r="C2979" s="525" t="s">
        <v>1858</v>
      </c>
      <c r="D2979" s="524" t="s">
        <v>397</v>
      </c>
      <c r="E2979" s="606">
        <v>7</v>
      </c>
      <c r="F2979" s="526" t="s">
        <v>1327</v>
      </c>
      <c r="G2979" s="252">
        <f t="shared" si="69"/>
        <v>0.49</v>
      </c>
    </row>
    <row r="2980" spans="1:7" ht="28.8" x14ac:dyDescent="0.3">
      <c r="A2980" s="524" t="s">
        <v>508</v>
      </c>
      <c r="B2980" s="524" t="s">
        <v>1859</v>
      </c>
      <c r="C2980" s="525" t="s">
        <v>1860</v>
      </c>
      <c r="D2980" s="524" t="s">
        <v>397</v>
      </c>
      <c r="E2980" s="606">
        <v>2</v>
      </c>
      <c r="F2980" s="526" t="s">
        <v>1861</v>
      </c>
      <c r="G2980" s="252">
        <f t="shared" si="69"/>
        <v>0.32</v>
      </c>
    </row>
    <row r="2981" spans="1:7" x14ac:dyDescent="0.3">
      <c r="A2981" s="524" t="s">
        <v>508</v>
      </c>
      <c r="B2981" s="524" t="s">
        <v>1862</v>
      </c>
      <c r="C2981" s="525" t="s">
        <v>1863</v>
      </c>
      <c r="D2981" s="524" t="s">
        <v>1458</v>
      </c>
      <c r="E2981" s="524" t="s">
        <v>1864</v>
      </c>
      <c r="F2981" s="526" t="s">
        <v>1865</v>
      </c>
      <c r="G2981" s="252">
        <f t="shared" si="69"/>
        <v>0.24</v>
      </c>
    </row>
    <row r="2982" spans="1:7" ht="28.8" x14ac:dyDescent="0.3">
      <c r="A2982" s="524" t="s">
        <v>508</v>
      </c>
      <c r="B2982" s="524" t="s">
        <v>1866</v>
      </c>
      <c r="C2982" s="525" t="s">
        <v>1867</v>
      </c>
      <c r="D2982" s="524" t="s">
        <v>426</v>
      </c>
      <c r="E2982" s="524" t="s">
        <v>1868</v>
      </c>
      <c r="F2982" s="526" t="s">
        <v>1869</v>
      </c>
      <c r="G2982" s="252">
        <f t="shared" si="69"/>
        <v>0.68</v>
      </c>
    </row>
    <row r="2983" spans="1:7" x14ac:dyDescent="0.3">
      <c r="A2983" s="524" t="s">
        <v>522</v>
      </c>
      <c r="B2983" s="524" t="s">
        <v>1870</v>
      </c>
      <c r="C2983" s="525" t="s">
        <v>1871</v>
      </c>
      <c r="D2983" s="524" t="s">
        <v>32</v>
      </c>
      <c r="E2983" s="607">
        <v>0.3</v>
      </c>
      <c r="F2983" s="526" t="s">
        <v>1872</v>
      </c>
      <c r="G2983" s="252">
        <f t="shared" si="69"/>
        <v>3.84</v>
      </c>
    </row>
    <row r="2984" spans="1:7" x14ac:dyDescent="0.3">
      <c r="A2984" s="524" t="s">
        <v>522</v>
      </c>
      <c r="B2984" s="524" t="s">
        <v>1359</v>
      </c>
      <c r="C2984" s="525" t="s">
        <v>801</v>
      </c>
      <c r="D2984" s="524" t="s">
        <v>32</v>
      </c>
      <c r="E2984" s="607">
        <v>0.3</v>
      </c>
      <c r="F2984" s="526" t="s">
        <v>1361</v>
      </c>
      <c r="G2984" s="252">
        <f t="shared" si="69"/>
        <v>4.3099999999999996</v>
      </c>
    </row>
    <row r="2985" spans="1:7" x14ac:dyDescent="0.3">
      <c r="A2985" s="680" t="s">
        <v>1152</v>
      </c>
      <c r="B2985" s="681"/>
      <c r="C2985" s="681"/>
      <c r="D2985" s="681"/>
      <c r="E2985" s="681"/>
      <c r="F2985" s="682"/>
      <c r="G2985" s="527">
        <f>SUM(G2972:G2984)</f>
        <v>49.239999999999995</v>
      </c>
    </row>
    <row r="2986" spans="1:7" x14ac:dyDescent="0.3">
      <c r="A2986" s="683">
        <f>TRUNC(E2986*F2986,2)</f>
        <v>0</v>
      </c>
      <c r="B2986" s="684"/>
      <c r="C2986" s="684"/>
      <c r="D2986" s="684"/>
      <c r="E2986" s="684"/>
      <c r="F2986" s="684"/>
      <c r="G2986" s="685"/>
    </row>
    <row r="2987" spans="1:7" x14ac:dyDescent="0.3">
      <c r="A2987" s="529" t="s">
        <v>20</v>
      </c>
      <c r="B2987" s="529"/>
      <c r="C2987" s="530" t="s">
        <v>37</v>
      </c>
      <c r="D2987" s="529"/>
      <c r="E2987" s="252"/>
      <c r="F2987" s="531"/>
      <c r="G2987" s="252">
        <f t="shared" si="69"/>
        <v>0</v>
      </c>
    </row>
    <row r="2988" spans="1:7" ht="28.8" x14ac:dyDescent="0.3">
      <c r="A2988" s="529" t="s">
        <v>22</v>
      </c>
      <c r="B2988" s="529">
        <v>97622</v>
      </c>
      <c r="C2988" s="530" t="s">
        <v>303</v>
      </c>
      <c r="D2988" s="529" t="s">
        <v>304</v>
      </c>
      <c r="E2988" s="252"/>
      <c r="F2988" s="531">
        <v>37.39</v>
      </c>
      <c r="G2988" s="252">
        <f t="shared" si="69"/>
        <v>0</v>
      </c>
    </row>
    <row r="2989" spans="1:7" x14ac:dyDescent="0.3">
      <c r="A2989" s="524" t="s">
        <v>522</v>
      </c>
      <c r="B2989" s="524" t="s">
        <v>1362</v>
      </c>
      <c r="C2989" s="525" t="s">
        <v>1363</v>
      </c>
      <c r="D2989" s="524" t="s">
        <v>32</v>
      </c>
      <c r="E2989" s="524" t="s">
        <v>1374</v>
      </c>
      <c r="F2989" s="528" t="s">
        <v>1365</v>
      </c>
      <c r="G2989" s="252">
        <f t="shared" si="69"/>
        <v>3.99</v>
      </c>
    </row>
    <row r="2990" spans="1:7" x14ac:dyDescent="0.3">
      <c r="A2990" s="524" t="s">
        <v>522</v>
      </c>
      <c r="B2990" s="524" t="s">
        <v>1359</v>
      </c>
      <c r="C2990" s="525" t="s">
        <v>801</v>
      </c>
      <c r="D2990" s="524" t="s">
        <v>32</v>
      </c>
      <c r="E2990" s="524" t="s">
        <v>1375</v>
      </c>
      <c r="F2990" s="528" t="s">
        <v>1361</v>
      </c>
      <c r="G2990" s="252">
        <f t="shared" si="69"/>
        <v>33.4</v>
      </c>
    </row>
    <row r="2991" spans="1:7" x14ac:dyDescent="0.3">
      <c r="A2991" s="680" t="s">
        <v>1152</v>
      </c>
      <c r="B2991" s="681"/>
      <c r="C2991" s="681"/>
      <c r="D2991" s="681"/>
      <c r="E2991" s="681"/>
      <c r="F2991" s="682"/>
      <c r="G2991" s="527">
        <f>SUM(G2988:G2990)</f>
        <v>37.39</v>
      </c>
    </row>
    <row r="2992" spans="1:7" x14ac:dyDescent="0.3">
      <c r="A2992" s="683">
        <f>TRUNC(E2992*F2992,2)</f>
        <v>0</v>
      </c>
      <c r="B2992" s="684"/>
      <c r="C2992" s="684"/>
      <c r="D2992" s="684"/>
      <c r="E2992" s="684"/>
      <c r="F2992" s="684"/>
      <c r="G2992" s="685"/>
    </row>
    <row r="2993" spans="1:7" ht="28.8" x14ac:dyDescent="0.3">
      <c r="A2993" s="529" t="s">
        <v>25</v>
      </c>
      <c r="B2993" s="529">
        <v>97633</v>
      </c>
      <c r="C2993" s="530" t="s">
        <v>42</v>
      </c>
      <c r="D2993" s="529" t="s">
        <v>305</v>
      </c>
      <c r="E2993" s="252"/>
      <c r="F2993" s="531">
        <v>14.85</v>
      </c>
      <c r="G2993" s="252">
        <f t="shared" si="69"/>
        <v>0</v>
      </c>
    </row>
    <row r="2994" spans="1:7" x14ac:dyDescent="0.3">
      <c r="A2994" s="524" t="s">
        <v>522</v>
      </c>
      <c r="B2994" s="524" t="s">
        <v>1355</v>
      </c>
      <c r="C2994" s="525" t="s">
        <v>1356</v>
      </c>
      <c r="D2994" s="524" t="s">
        <v>32</v>
      </c>
      <c r="E2994" s="524" t="s">
        <v>1357</v>
      </c>
      <c r="F2994" s="528" t="s">
        <v>1358</v>
      </c>
      <c r="G2994" s="252">
        <f t="shared" si="69"/>
        <v>4.5199999999999996</v>
      </c>
    </row>
    <row r="2995" spans="1:7" x14ac:dyDescent="0.3">
      <c r="A2995" s="524" t="s">
        <v>522</v>
      </c>
      <c r="B2995" s="524" t="s">
        <v>1359</v>
      </c>
      <c r="C2995" s="525" t="s">
        <v>801</v>
      </c>
      <c r="D2995" s="524" t="s">
        <v>32</v>
      </c>
      <c r="E2995" s="524" t="s">
        <v>1360</v>
      </c>
      <c r="F2995" s="528" t="s">
        <v>1361</v>
      </c>
      <c r="G2995" s="252">
        <f t="shared" si="69"/>
        <v>10.33</v>
      </c>
    </row>
    <row r="2996" spans="1:7" x14ac:dyDescent="0.3">
      <c r="A2996" s="680" t="s">
        <v>1152</v>
      </c>
      <c r="B2996" s="681"/>
      <c r="C2996" s="681"/>
      <c r="D2996" s="681"/>
      <c r="E2996" s="681"/>
      <c r="F2996" s="682"/>
      <c r="G2996" s="527">
        <f>SUM(G2988:G2995)</f>
        <v>89.63</v>
      </c>
    </row>
    <row r="2997" spans="1:7" x14ac:dyDescent="0.3">
      <c r="A2997" s="683">
        <f>TRUNC(E2997*F2997,2)</f>
        <v>0</v>
      </c>
      <c r="B2997" s="684"/>
      <c r="C2997" s="684"/>
      <c r="D2997" s="684"/>
      <c r="E2997" s="684"/>
      <c r="F2997" s="684"/>
      <c r="G2997" s="685"/>
    </row>
    <row r="2998" spans="1:7" x14ac:dyDescent="0.3">
      <c r="A2998" s="529" t="s">
        <v>56</v>
      </c>
      <c r="B2998" s="529" t="s">
        <v>356</v>
      </c>
      <c r="C2998" s="530" t="s">
        <v>49</v>
      </c>
      <c r="D2998" s="529" t="s">
        <v>305</v>
      </c>
      <c r="E2998" s="252"/>
      <c r="F2998" s="531">
        <v>16.2</v>
      </c>
      <c r="G2998" s="252">
        <f t="shared" si="69"/>
        <v>0</v>
      </c>
    </row>
    <row r="2999" spans="1:7" x14ac:dyDescent="0.3">
      <c r="A2999" s="524" t="s">
        <v>522</v>
      </c>
      <c r="B2999" s="524" t="s">
        <v>1362</v>
      </c>
      <c r="C2999" s="525" t="s">
        <v>1363</v>
      </c>
      <c r="D2999" s="524" t="s">
        <v>32</v>
      </c>
      <c r="E2999" s="607">
        <v>0.5</v>
      </c>
      <c r="F2999" s="528" t="s">
        <v>1365</v>
      </c>
      <c r="G2999" s="252">
        <f t="shared" si="69"/>
        <v>8.8800000000000008</v>
      </c>
    </row>
    <row r="3000" spans="1:7" x14ac:dyDescent="0.3">
      <c r="A3000" s="524" t="s">
        <v>522</v>
      </c>
      <c r="B3000" s="524" t="s">
        <v>1359</v>
      </c>
      <c r="C3000" s="525" t="s">
        <v>801</v>
      </c>
      <c r="D3000" s="524" t="s">
        <v>32</v>
      </c>
      <c r="E3000" s="607">
        <v>0.51</v>
      </c>
      <c r="F3000" s="528" t="s">
        <v>1361</v>
      </c>
      <c r="G3000" s="252">
        <f t="shared" si="69"/>
        <v>7.32</v>
      </c>
    </row>
    <row r="3001" spans="1:7" x14ac:dyDescent="0.3">
      <c r="A3001" s="680" t="s">
        <v>1152</v>
      </c>
      <c r="B3001" s="681"/>
      <c r="C3001" s="681"/>
      <c r="D3001" s="681"/>
      <c r="E3001" s="681"/>
      <c r="F3001" s="682"/>
      <c r="G3001" s="527">
        <f>SUM(G2998:G3000)</f>
        <v>16.200000000000003</v>
      </c>
    </row>
    <row r="3002" spans="1:7" x14ac:dyDescent="0.3">
      <c r="A3002" s="683">
        <f>TRUNC(E3002*F3002,2)</f>
        <v>0</v>
      </c>
      <c r="B3002" s="684"/>
      <c r="C3002" s="684"/>
      <c r="D3002" s="684"/>
      <c r="E3002" s="684"/>
      <c r="F3002" s="684"/>
      <c r="G3002" s="685"/>
    </row>
    <row r="3003" spans="1:7" x14ac:dyDescent="0.3">
      <c r="A3003" s="529" t="s">
        <v>216</v>
      </c>
      <c r="B3003" s="529" t="s">
        <v>39</v>
      </c>
      <c r="C3003" s="530" t="s">
        <v>40</v>
      </c>
      <c r="D3003" s="529" t="s">
        <v>41</v>
      </c>
      <c r="E3003" s="252"/>
      <c r="F3003" s="531">
        <v>209.74</v>
      </c>
      <c r="G3003" s="252">
        <f t="shared" si="69"/>
        <v>0</v>
      </c>
    </row>
    <row r="3004" spans="1:7" x14ac:dyDescent="0.3">
      <c r="A3004" s="524" t="s">
        <v>522</v>
      </c>
      <c r="B3004" s="524" t="s">
        <v>1362</v>
      </c>
      <c r="C3004" s="525" t="s">
        <v>1363</v>
      </c>
      <c r="D3004" s="524" t="s">
        <v>32</v>
      </c>
      <c r="E3004" s="603">
        <v>1.3</v>
      </c>
      <c r="F3004" s="528">
        <v>17.64</v>
      </c>
      <c r="G3004" s="252">
        <f t="shared" si="69"/>
        <v>22.93</v>
      </c>
    </row>
    <row r="3005" spans="1:7" x14ac:dyDescent="0.3">
      <c r="A3005" s="524" t="s">
        <v>522</v>
      </c>
      <c r="B3005" s="524" t="s">
        <v>1359</v>
      </c>
      <c r="C3005" s="525" t="s">
        <v>801</v>
      </c>
      <c r="D3005" s="524" t="s">
        <v>32</v>
      </c>
      <c r="E3005" s="603">
        <v>13</v>
      </c>
      <c r="F3005" s="528">
        <v>14.37</v>
      </c>
      <c r="G3005" s="252">
        <f t="shared" si="69"/>
        <v>186.81</v>
      </c>
    </row>
    <row r="3006" spans="1:7" x14ac:dyDescent="0.3">
      <c r="A3006" s="680" t="s">
        <v>1152</v>
      </c>
      <c r="B3006" s="681"/>
      <c r="C3006" s="681"/>
      <c r="D3006" s="681"/>
      <c r="E3006" s="681"/>
      <c r="F3006" s="682"/>
      <c r="G3006" s="527">
        <f>SUM(G3003:G3005)</f>
        <v>209.74</v>
      </c>
    </row>
    <row r="3007" spans="1:7" x14ac:dyDescent="0.3">
      <c r="A3007" s="683">
        <f>TRUNC(E3007*F3007,2)</f>
        <v>0</v>
      </c>
      <c r="B3007" s="684"/>
      <c r="C3007" s="684"/>
      <c r="D3007" s="684"/>
      <c r="E3007" s="684"/>
      <c r="F3007" s="684"/>
      <c r="G3007" s="685"/>
    </row>
    <row r="3008" spans="1:7" x14ac:dyDescent="0.3">
      <c r="A3008" s="529" t="s">
        <v>217</v>
      </c>
      <c r="B3008" s="529">
        <v>97644</v>
      </c>
      <c r="C3008" s="530" t="s">
        <v>43</v>
      </c>
      <c r="D3008" s="529" t="s">
        <v>305</v>
      </c>
      <c r="E3008" s="252"/>
      <c r="F3008" s="531">
        <v>6.04</v>
      </c>
      <c r="G3008" s="252">
        <f t="shared" si="69"/>
        <v>0</v>
      </c>
    </row>
    <row r="3009" spans="1:7" x14ac:dyDescent="0.3">
      <c r="A3009" s="524" t="s">
        <v>522</v>
      </c>
      <c r="B3009" s="524" t="s">
        <v>1362</v>
      </c>
      <c r="C3009" s="525" t="s">
        <v>1363</v>
      </c>
      <c r="D3009" s="524" t="s">
        <v>32</v>
      </c>
      <c r="E3009" s="524" t="s">
        <v>1364</v>
      </c>
      <c r="F3009" s="528" t="s">
        <v>1365</v>
      </c>
      <c r="G3009" s="252">
        <f t="shared" si="69"/>
        <v>2.33</v>
      </c>
    </row>
    <row r="3010" spans="1:7" x14ac:dyDescent="0.3">
      <c r="A3010" s="524" t="s">
        <v>522</v>
      </c>
      <c r="B3010" s="524" t="s">
        <v>1359</v>
      </c>
      <c r="C3010" s="525" t="s">
        <v>801</v>
      </c>
      <c r="D3010" s="524" t="s">
        <v>32</v>
      </c>
      <c r="E3010" s="524" t="s">
        <v>1366</v>
      </c>
      <c r="F3010" s="528" t="s">
        <v>1361</v>
      </c>
      <c r="G3010" s="252">
        <f t="shared" si="69"/>
        <v>3.71</v>
      </c>
    </row>
    <row r="3011" spans="1:7" x14ac:dyDescent="0.3">
      <c r="A3011" s="680" t="s">
        <v>1152</v>
      </c>
      <c r="B3011" s="681"/>
      <c r="C3011" s="681"/>
      <c r="D3011" s="681"/>
      <c r="E3011" s="681"/>
      <c r="F3011" s="682"/>
      <c r="G3011" s="527">
        <f>SUM(G3007:G3010)</f>
        <v>6.04</v>
      </c>
    </row>
    <row r="3012" spans="1:7" x14ac:dyDescent="0.3">
      <c r="A3012" s="683">
        <f>TRUNC(E3012*F3012,2)</f>
        <v>0</v>
      </c>
      <c r="B3012" s="684"/>
      <c r="C3012" s="684"/>
      <c r="D3012" s="684"/>
      <c r="E3012" s="684"/>
      <c r="F3012" s="684"/>
      <c r="G3012" s="685"/>
    </row>
    <row r="3013" spans="1:7" x14ac:dyDescent="0.3">
      <c r="A3013" s="529" t="s">
        <v>219</v>
      </c>
      <c r="B3013" s="529">
        <v>97663</v>
      </c>
      <c r="C3013" s="530" t="s">
        <v>45</v>
      </c>
      <c r="D3013" s="529" t="s">
        <v>44</v>
      </c>
      <c r="E3013" s="252"/>
      <c r="F3013" s="531">
        <v>8.07</v>
      </c>
      <c r="G3013" s="252">
        <f t="shared" si="69"/>
        <v>0</v>
      </c>
    </row>
    <row r="3014" spans="1:7" x14ac:dyDescent="0.3">
      <c r="A3014" s="524" t="s">
        <v>522</v>
      </c>
      <c r="B3014" s="524" t="s">
        <v>1367</v>
      </c>
      <c r="C3014" s="525" t="s">
        <v>1368</v>
      </c>
      <c r="D3014" s="524" t="s">
        <v>32</v>
      </c>
      <c r="E3014" s="524" t="s">
        <v>1369</v>
      </c>
      <c r="F3014" s="528" t="s">
        <v>1370</v>
      </c>
      <c r="G3014" s="252">
        <f t="shared" si="69"/>
        <v>3.12</v>
      </c>
    </row>
    <row r="3015" spans="1:7" x14ac:dyDescent="0.3">
      <c r="A3015" s="524" t="s">
        <v>522</v>
      </c>
      <c r="B3015" s="524" t="s">
        <v>1359</v>
      </c>
      <c r="C3015" s="525" t="s">
        <v>801</v>
      </c>
      <c r="D3015" s="524" t="s">
        <v>32</v>
      </c>
      <c r="E3015" s="524" t="s">
        <v>1371</v>
      </c>
      <c r="F3015" s="528" t="s">
        <v>1361</v>
      </c>
      <c r="G3015" s="252">
        <f t="shared" si="69"/>
        <v>4.95</v>
      </c>
    </row>
    <row r="3016" spans="1:7" x14ac:dyDescent="0.3">
      <c r="A3016" s="680" t="s">
        <v>1152</v>
      </c>
      <c r="B3016" s="681"/>
      <c r="C3016" s="681"/>
      <c r="D3016" s="681"/>
      <c r="E3016" s="681"/>
      <c r="F3016" s="682"/>
      <c r="G3016" s="527">
        <f>SUM(G3013:G3015)</f>
        <v>8.07</v>
      </c>
    </row>
    <row r="3017" spans="1:7" x14ac:dyDescent="0.3">
      <c r="A3017" s="683">
        <f>TRUNC(E3017*F3017,2)</f>
        <v>0</v>
      </c>
      <c r="B3017" s="684"/>
      <c r="C3017" s="684"/>
      <c r="D3017" s="684"/>
      <c r="E3017" s="684"/>
      <c r="F3017" s="684"/>
      <c r="G3017" s="685"/>
    </row>
    <row r="3018" spans="1:7" ht="28.8" x14ac:dyDescent="0.3">
      <c r="A3018" s="529" t="s">
        <v>220</v>
      </c>
      <c r="B3018" s="529">
        <v>97666</v>
      </c>
      <c r="C3018" s="530" t="s">
        <v>46</v>
      </c>
      <c r="D3018" s="529" t="s">
        <v>44</v>
      </c>
      <c r="E3018" s="252"/>
      <c r="F3018" s="531">
        <v>5.88</v>
      </c>
      <c r="G3018" s="252">
        <f t="shared" si="69"/>
        <v>0</v>
      </c>
    </row>
    <row r="3019" spans="1:7" x14ac:dyDescent="0.3">
      <c r="A3019" s="524" t="s">
        <v>522</v>
      </c>
      <c r="B3019" s="524" t="s">
        <v>1367</v>
      </c>
      <c r="C3019" s="525" t="s">
        <v>1368</v>
      </c>
      <c r="D3019" s="524" t="s">
        <v>32</v>
      </c>
      <c r="E3019" s="524" t="s">
        <v>1372</v>
      </c>
      <c r="F3019" s="528" t="s">
        <v>1370</v>
      </c>
      <c r="G3019" s="252">
        <f t="shared" si="69"/>
        <v>2.27</v>
      </c>
    </row>
    <row r="3020" spans="1:7" x14ac:dyDescent="0.3">
      <c r="A3020" s="524" t="s">
        <v>522</v>
      </c>
      <c r="B3020" s="524" t="s">
        <v>1359</v>
      </c>
      <c r="C3020" s="525" t="s">
        <v>801</v>
      </c>
      <c r="D3020" s="524" t="s">
        <v>32</v>
      </c>
      <c r="E3020" s="524" t="s">
        <v>1373</v>
      </c>
      <c r="F3020" s="528" t="s">
        <v>1361</v>
      </c>
      <c r="G3020" s="252">
        <f t="shared" si="69"/>
        <v>3.61</v>
      </c>
    </row>
    <row r="3021" spans="1:7" x14ac:dyDescent="0.3">
      <c r="A3021" s="680" t="s">
        <v>1152</v>
      </c>
      <c r="B3021" s="681"/>
      <c r="C3021" s="681"/>
      <c r="D3021" s="681"/>
      <c r="E3021" s="681"/>
      <c r="F3021" s="682"/>
      <c r="G3021" s="527">
        <f>SUM(G3018:G3020)</f>
        <v>5.88</v>
      </c>
    </row>
    <row r="3022" spans="1:7" x14ac:dyDescent="0.3">
      <c r="A3022" s="683">
        <f>TRUNC(E3022*F3022,2)</f>
        <v>0</v>
      </c>
      <c r="B3022" s="684"/>
      <c r="C3022" s="684"/>
      <c r="D3022" s="684"/>
      <c r="E3022" s="684"/>
      <c r="F3022" s="684"/>
      <c r="G3022" s="685"/>
    </row>
    <row r="3023" spans="1:7" x14ac:dyDescent="0.3">
      <c r="A3023" s="529" t="s">
        <v>60</v>
      </c>
      <c r="B3023" s="529"/>
      <c r="C3023" s="530" t="s">
        <v>51</v>
      </c>
      <c r="D3023" s="529"/>
      <c r="E3023" s="252"/>
      <c r="F3023" s="531"/>
      <c r="G3023" s="252">
        <f t="shared" si="69"/>
        <v>0</v>
      </c>
    </row>
    <row r="3024" spans="1:7" ht="57.6" x14ac:dyDescent="0.3">
      <c r="A3024" s="529" t="s">
        <v>64</v>
      </c>
      <c r="B3024" s="529">
        <v>90843</v>
      </c>
      <c r="C3024" s="530" t="s">
        <v>53</v>
      </c>
      <c r="D3024" s="529" t="s">
        <v>44</v>
      </c>
      <c r="E3024" s="252"/>
      <c r="F3024" s="531">
        <v>742.69</v>
      </c>
      <c r="G3024" s="252">
        <f t="shared" si="69"/>
        <v>0</v>
      </c>
    </row>
    <row r="3025" spans="1:7" ht="28.8" x14ac:dyDescent="0.3">
      <c r="A3025" s="524" t="s">
        <v>522</v>
      </c>
      <c r="B3025" s="524" t="s">
        <v>1380</v>
      </c>
      <c r="C3025" s="525" t="s">
        <v>1381</v>
      </c>
      <c r="D3025" s="524" t="s">
        <v>397</v>
      </c>
      <c r="E3025" s="524" t="s">
        <v>1122</v>
      </c>
      <c r="F3025" s="526">
        <v>200</v>
      </c>
      <c r="G3025" s="252">
        <f t="shared" si="69"/>
        <v>200</v>
      </c>
    </row>
    <row r="3026" spans="1:7" ht="43.2" x14ac:dyDescent="0.3">
      <c r="A3026" s="524" t="s">
        <v>522</v>
      </c>
      <c r="B3026" s="524" t="s">
        <v>956</v>
      </c>
      <c r="C3026" s="525" t="s">
        <v>957</v>
      </c>
      <c r="D3026" s="524" t="s">
        <v>397</v>
      </c>
      <c r="E3026" s="524" t="s">
        <v>1122</v>
      </c>
      <c r="F3026" s="526">
        <v>300</v>
      </c>
      <c r="G3026" s="252">
        <f t="shared" si="69"/>
        <v>300</v>
      </c>
    </row>
    <row r="3027" spans="1:7" ht="43.2" x14ac:dyDescent="0.3">
      <c r="A3027" s="524" t="s">
        <v>522</v>
      </c>
      <c r="B3027" s="524" t="s">
        <v>1383</v>
      </c>
      <c r="C3027" s="525" t="s">
        <v>1384</v>
      </c>
      <c r="D3027" s="524" t="s">
        <v>397</v>
      </c>
      <c r="E3027" s="524" t="s">
        <v>1122</v>
      </c>
      <c r="F3027" s="526">
        <v>90</v>
      </c>
      <c r="G3027" s="252">
        <f t="shared" si="69"/>
        <v>90</v>
      </c>
    </row>
    <row r="3028" spans="1:7" ht="28.8" x14ac:dyDescent="0.3">
      <c r="A3028" s="524" t="s">
        <v>522</v>
      </c>
      <c r="B3028" s="524" t="s">
        <v>1386</v>
      </c>
      <c r="C3028" s="525" t="s">
        <v>1387</v>
      </c>
      <c r="D3028" s="524" t="s">
        <v>55</v>
      </c>
      <c r="E3028" s="524" t="s">
        <v>1388</v>
      </c>
      <c r="F3028" s="526">
        <v>5</v>
      </c>
      <c r="G3028" s="252">
        <f t="shared" si="69"/>
        <v>50</v>
      </c>
    </row>
    <row r="3029" spans="1:7" x14ac:dyDescent="0.3">
      <c r="A3029" s="680" t="s">
        <v>1152</v>
      </c>
      <c r="B3029" s="681"/>
      <c r="C3029" s="681"/>
      <c r="D3029" s="681"/>
      <c r="E3029" s="681"/>
      <c r="F3029" s="682"/>
      <c r="G3029" s="527">
        <f>SUM(G3022:G3028)</f>
        <v>640</v>
      </c>
    </row>
    <row r="3030" spans="1:7" x14ac:dyDescent="0.3">
      <c r="A3030" s="683">
        <f>TRUNC(E3030*F3030,2)</f>
        <v>0</v>
      </c>
      <c r="B3030" s="684"/>
      <c r="C3030" s="684"/>
      <c r="D3030" s="684"/>
      <c r="E3030" s="684"/>
      <c r="F3030" s="684"/>
      <c r="G3030" s="685"/>
    </row>
    <row r="3031" spans="1:7" ht="28.8" x14ac:dyDescent="0.3">
      <c r="A3031" s="529" t="s">
        <v>69</v>
      </c>
      <c r="B3031" s="529">
        <v>91338</v>
      </c>
      <c r="C3031" s="530" t="s">
        <v>57</v>
      </c>
      <c r="D3031" s="529" t="s">
        <v>24</v>
      </c>
      <c r="E3031" s="252"/>
      <c r="F3031" s="531">
        <v>871.17</v>
      </c>
      <c r="G3031" s="252">
        <f t="shared" si="69"/>
        <v>0</v>
      </c>
    </row>
    <row r="3032" spans="1:7" ht="28.8" x14ac:dyDescent="0.3">
      <c r="A3032" s="524" t="s">
        <v>508</v>
      </c>
      <c r="B3032" s="524" t="s">
        <v>1417</v>
      </c>
      <c r="C3032" s="525" t="s">
        <v>1418</v>
      </c>
      <c r="D3032" s="524" t="s">
        <v>1419</v>
      </c>
      <c r="E3032" s="606">
        <v>0.8</v>
      </c>
      <c r="F3032" s="526">
        <v>20</v>
      </c>
      <c r="G3032" s="252">
        <f t="shared" si="69"/>
        <v>16</v>
      </c>
    </row>
    <row r="3033" spans="1:7" ht="28.8" x14ac:dyDescent="0.3">
      <c r="A3033" s="524" t="s">
        <v>508</v>
      </c>
      <c r="B3033" s="524" t="s">
        <v>1422</v>
      </c>
      <c r="C3033" s="525" t="s">
        <v>1423</v>
      </c>
      <c r="D3033" s="524" t="s">
        <v>24</v>
      </c>
      <c r="E3033" s="606">
        <v>1</v>
      </c>
      <c r="F3033" s="526">
        <v>800</v>
      </c>
      <c r="G3033" s="252">
        <f t="shared" si="69"/>
        <v>800</v>
      </c>
    </row>
    <row r="3034" spans="1:7" ht="28.8" x14ac:dyDescent="0.3">
      <c r="A3034" s="524" t="s">
        <v>508</v>
      </c>
      <c r="B3034" s="524" t="s">
        <v>1425</v>
      </c>
      <c r="C3034" s="525" t="s">
        <v>1426</v>
      </c>
      <c r="D3034" s="524" t="s">
        <v>397</v>
      </c>
      <c r="E3034" s="606">
        <v>4</v>
      </c>
      <c r="F3034" s="526" t="s">
        <v>1428</v>
      </c>
      <c r="G3034" s="252">
        <f t="shared" si="69"/>
        <v>2.2000000000000002</v>
      </c>
    </row>
    <row r="3035" spans="1:7" ht="28.8" x14ac:dyDescent="0.3">
      <c r="A3035" s="524" t="s">
        <v>508</v>
      </c>
      <c r="B3035" s="524" t="s">
        <v>1429</v>
      </c>
      <c r="C3035" s="525" t="s">
        <v>1430</v>
      </c>
      <c r="D3035" s="524" t="s">
        <v>55</v>
      </c>
      <c r="E3035" s="606">
        <v>6.5</v>
      </c>
      <c r="F3035" s="526">
        <v>7</v>
      </c>
      <c r="G3035" s="252">
        <f t="shared" si="69"/>
        <v>45.5</v>
      </c>
    </row>
    <row r="3036" spans="1:7" x14ac:dyDescent="0.3">
      <c r="A3036" s="524" t="s">
        <v>522</v>
      </c>
      <c r="B3036" s="524" t="s">
        <v>1362</v>
      </c>
      <c r="C3036" s="525" t="s">
        <v>1363</v>
      </c>
      <c r="D3036" s="524" t="s">
        <v>32</v>
      </c>
      <c r="E3036" s="606">
        <v>0.3</v>
      </c>
      <c r="F3036" s="526" t="s">
        <v>1365</v>
      </c>
      <c r="G3036" s="252">
        <f t="shared" si="69"/>
        <v>5.32</v>
      </c>
    </row>
    <row r="3037" spans="1:7" x14ac:dyDescent="0.3">
      <c r="A3037" s="524" t="s">
        <v>522</v>
      </c>
      <c r="B3037" s="524" t="s">
        <v>1359</v>
      </c>
      <c r="C3037" s="525" t="s">
        <v>801</v>
      </c>
      <c r="D3037" s="524" t="s">
        <v>32</v>
      </c>
      <c r="E3037" s="606">
        <v>0.15</v>
      </c>
      <c r="F3037" s="526" t="s">
        <v>1361</v>
      </c>
      <c r="G3037" s="252">
        <f t="shared" si="69"/>
        <v>2.15</v>
      </c>
    </row>
    <row r="3038" spans="1:7" x14ac:dyDescent="0.3">
      <c r="A3038" s="680" t="s">
        <v>1152</v>
      </c>
      <c r="B3038" s="681"/>
      <c r="C3038" s="681"/>
      <c r="D3038" s="681"/>
      <c r="E3038" s="681"/>
      <c r="F3038" s="682"/>
      <c r="G3038" s="527">
        <f>SUM(G3031:G3037)</f>
        <v>871.17000000000007</v>
      </c>
    </row>
    <row r="3039" spans="1:7" x14ac:dyDescent="0.3">
      <c r="A3039" s="683">
        <f>TRUNC(E3039*F3039,2)</f>
        <v>0</v>
      </c>
      <c r="B3039" s="684"/>
      <c r="C3039" s="684"/>
      <c r="D3039" s="684"/>
      <c r="E3039" s="684"/>
      <c r="F3039" s="684"/>
      <c r="G3039" s="685"/>
    </row>
    <row r="3040" spans="1:7" x14ac:dyDescent="0.3">
      <c r="A3040" s="529" t="s">
        <v>74</v>
      </c>
      <c r="B3040" s="529"/>
      <c r="C3040" s="530" t="s">
        <v>61</v>
      </c>
      <c r="D3040" s="529"/>
      <c r="E3040" s="252"/>
      <c r="F3040" s="531"/>
      <c r="G3040" s="252">
        <f t="shared" si="69"/>
        <v>0</v>
      </c>
    </row>
    <row r="3041" spans="1:7" ht="43.2" x14ac:dyDescent="0.3">
      <c r="A3041" s="529" t="s">
        <v>77</v>
      </c>
      <c r="B3041" s="529">
        <v>87266</v>
      </c>
      <c r="C3041" s="530" t="s">
        <v>65</v>
      </c>
      <c r="D3041" s="529" t="s">
        <v>24</v>
      </c>
      <c r="E3041" s="252"/>
      <c r="F3041" s="531">
        <v>32.79</v>
      </c>
      <c r="G3041" s="252">
        <f t="shared" si="69"/>
        <v>0</v>
      </c>
    </row>
    <row r="3042" spans="1:7" ht="28.8" x14ac:dyDescent="0.3">
      <c r="A3042" s="524" t="s">
        <v>508</v>
      </c>
      <c r="B3042" s="524" t="s">
        <v>1441</v>
      </c>
      <c r="C3042" s="525" t="s">
        <v>1442</v>
      </c>
      <c r="D3042" s="524" t="s">
        <v>24</v>
      </c>
      <c r="E3042" s="606">
        <v>1</v>
      </c>
      <c r="F3042" s="526">
        <v>14</v>
      </c>
      <c r="G3042" s="252">
        <f t="shared" si="69"/>
        <v>14</v>
      </c>
    </row>
    <row r="3043" spans="1:7" x14ac:dyDescent="0.3">
      <c r="A3043" s="524" t="s">
        <v>508</v>
      </c>
      <c r="B3043" s="524" t="s">
        <v>1444</v>
      </c>
      <c r="C3043" s="525" t="s">
        <v>1445</v>
      </c>
      <c r="D3043" s="524" t="s">
        <v>426</v>
      </c>
      <c r="E3043" s="606">
        <v>4</v>
      </c>
      <c r="F3043" s="526" t="s">
        <v>1447</v>
      </c>
      <c r="G3043" s="252">
        <f t="shared" si="69"/>
        <v>2.6</v>
      </c>
    </row>
    <row r="3044" spans="1:7" x14ac:dyDescent="0.3">
      <c r="A3044" s="524" t="s">
        <v>508</v>
      </c>
      <c r="B3044" s="524" t="s">
        <v>1448</v>
      </c>
      <c r="C3044" s="525" t="s">
        <v>1449</v>
      </c>
      <c r="D3044" s="524" t="s">
        <v>426</v>
      </c>
      <c r="E3044" s="524" t="s">
        <v>1450</v>
      </c>
      <c r="F3044" s="526" t="s">
        <v>1451</v>
      </c>
      <c r="G3044" s="252">
        <f t="shared" si="69"/>
        <v>1.6</v>
      </c>
    </row>
    <row r="3045" spans="1:7" x14ac:dyDescent="0.3">
      <c r="A3045" s="524" t="s">
        <v>522</v>
      </c>
      <c r="B3045" s="524" t="s">
        <v>1355</v>
      </c>
      <c r="C3045" s="525" t="s">
        <v>1356</v>
      </c>
      <c r="D3045" s="524" t="s">
        <v>32</v>
      </c>
      <c r="E3045" s="606">
        <v>0.5</v>
      </c>
      <c r="F3045" s="526" t="s">
        <v>1358</v>
      </c>
      <c r="G3045" s="252">
        <f t="shared" si="69"/>
        <v>8.85</v>
      </c>
    </row>
    <row r="3046" spans="1:7" x14ac:dyDescent="0.3">
      <c r="A3046" s="524" t="s">
        <v>522</v>
      </c>
      <c r="B3046" s="524" t="s">
        <v>1359</v>
      </c>
      <c r="C3046" s="525" t="s">
        <v>801</v>
      </c>
      <c r="D3046" s="524" t="s">
        <v>32</v>
      </c>
      <c r="E3046" s="606">
        <v>0.4</v>
      </c>
      <c r="F3046" s="526" t="s">
        <v>1361</v>
      </c>
      <c r="G3046" s="252">
        <f t="shared" si="69"/>
        <v>5.74</v>
      </c>
    </row>
    <row r="3047" spans="1:7" x14ac:dyDescent="0.3">
      <c r="A3047" s="680" t="s">
        <v>1152</v>
      </c>
      <c r="B3047" s="681"/>
      <c r="C3047" s="681"/>
      <c r="D3047" s="681"/>
      <c r="E3047" s="681"/>
      <c r="F3047" s="682"/>
      <c r="G3047" s="527">
        <f>SUM(G3041:G3046)</f>
        <v>32.790000000000006</v>
      </c>
    </row>
    <row r="3048" spans="1:7" x14ac:dyDescent="0.3">
      <c r="A3048" s="683">
        <f>TRUNC(E3048*F3048,2)</f>
        <v>0</v>
      </c>
      <c r="B3048" s="684"/>
      <c r="C3048" s="684"/>
      <c r="D3048" s="684"/>
      <c r="E3048" s="684"/>
      <c r="F3048" s="684"/>
      <c r="G3048" s="685"/>
    </row>
    <row r="3049" spans="1:7" ht="43.2" x14ac:dyDescent="0.3">
      <c r="A3049" s="529" t="s">
        <v>83</v>
      </c>
      <c r="B3049" s="529">
        <v>87879</v>
      </c>
      <c r="C3049" s="530" t="s">
        <v>225</v>
      </c>
      <c r="D3049" s="529" t="s">
        <v>24</v>
      </c>
      <c r="E3049" s="252"/>
      <c r="F3049" s="531">
        <v>2.72</v>
      </c>
      <c r="G3049" s="252">
        <f t="shared" si="69"/>
        <v>0</v>
      </c>
    </row>
    <row r="3050" spans="1:7" ht="28.8" x14ac:dyDescent="0.3">
      <c r="A3050" s="524" t="s">
        <v>522</v>
      </c>
      <c r="B3050" s="524" t="s">
        <v>1957</v>
      </c>
      <c r="C3050" s="525" t="s">
        <v>1958</v>
      </c>
      <c r="D3050" s="524" t="s">
        <v>41</v>
      </c>
      <c r="E3050" s="524" t="s">
        <v>1959</v>
      </c>
      <c r="F3050" s="528" t="s">
        <v>1960</v>
      </c>
      <c r="G3050" s="252">
        <f t="shared" si="69"/>
        <v>1.38</v>
      </c>
    </row>
    <row r="3051" spans="1:7" x14ac:dyDescent="0.3">
      <c r="A3051" s="524" t="s">
        <v>522</v>
      </c>
      <c r="B3051" s="524" t="s">
        <v>1362</v>
      </c>
      <c r="C3051" s="525" t="s">
        <v>1363</v>
      </c>
      <c r="D3051" s="524" t="s">
        <v>32</v>
      </c>
      <c r="E3051" s="524" t="s">
        <v>1728</v>
      </c>
      <c r="F3051" s="528" t="s">
        <v>1365</v>
      </c>
      <c r="G3051" s="252">
        <f t="shared" si="69"/>
        <v>1.24</v>
      </c>
    </row>
    <row r="3052" spans="1:7" x14ac:dyDescent="0.3">
      <c r="A3052" s="524" t="s">
        <v>522</v>
      </c>
      <c r="B3052" s="524" t="s">
        <v>1359</v>
      </c>
      <c r="C3052" s="525" t="s">
        <v>801</v>
      </c>
      <c r="D3052" s="524" t="s">
        <v>32</v>
      </c>
      <c r="E3052" s="524" t="s">
        <v>1961</v>
      </c>
      <c r="F3052" s="528" t="s">
        <v>1361</v>
      </c>
      <c r="G3052" s="252">
        <f t="shared" si="69"/>
        <v>0.1</v>
      </c>
    </row>
    <row r="3053" spans="1:7" x14ac:dyDescent="0.3">
      <c r="A3053" s="680" t="s">
        <v>1152</v>
      </c>
      <c r="B3053" s="681"/>
      <c r="C3053" s="681"/>
      <c r="D3053" s="681"/>
      <c r="E3053" s="681"/>
      <c r="F3053" s="682"/>
      <c r="G3053" s="527">
        <f>SUM(G3049:G3052)</f>
        <v>2.72</v>
      </c>
    </row>
    <row r="3054" spans="1:7" x14ac:dyDescent="0.3">
      <c r="A3054" s="683">
        <f>TRUNC(E3054*F3054,2)</f>
        <v>0</v>
      </c>
      <c r="B3054" s="684"/>
      <c r="C3054" s="684"/>
      <c r="D3054" s="684"/>
      <c r="E3054" s="684"/>
      <c r="F3054" s="684"/>
      <c r="G3054" s="685"/>
    </row>
    <row r="3055" spans="1:7" ht="43.2" x14ac:dyDescent="0.3">
      <c r="A3055" s="529" t="s">
        <v>322</v>
      </c>
      <c r="B3055" s="529">
        <v>90408</v>
      </c>
      <c r="C3055" s="530" t="s">
        <v>73</v>
      </c>
      <c r="D3055" s="529" t="s">
        <v>24</v>
      </c>
      <c r="E3055" s="252"/>
      <c r="F3055" s="531">
        <v>22.64</v>
      </c>
      <c r="G3055" s="252">
        <f t="shared" si="69"/>
        <v>0</v>
      </c>
    </row>
    <row r="3056" spans="1:7" ht="43.2" x14ac:dyDescent="0.3">
      <c r="A3056" s="524" t="s">
        <v>522</v>
      </c>
      <c r="B3056" s="524" t="s">
        <v>1464</v>
      </c>
      <c r="C3056" s="525" t="s">
        <v>1465</v>
      </c>
      <c r="D3056" s="524" t="s">
        <v>41</v>
      </c>
      <c r="E3056" s="524" t="s">
        <v>1470</v>
      </c>
      <c r="F3056" s="526" t="s">
        <v>1467</v>
      </c>
      <c r="G3056" s="252">
        <f t="shared" si="69"/>
        <v>7.43</v>
      </c>
    </row>
    <row r="3057" spans="1:7" x14ac:dyDescent="0.3">
      <c r="A3057" s="524" t="s">
        <v>522</v>
      </c>
      <c r="B3057" s="524" t="s">
        <v>1362</v>
      </c>
      <c r="C3057" s="525" t="s">
        <v>1363</v>
      </c>
      <c r="D3057" s="524" t="s">
        <v>32</v>
      </c>
      <c r="E3057" s="524" t="s">
        <v>1471</v>
      </c>
      <c r="F3057" s="526" t="s">
        <v>1365</v>
      </c>
      <c r="G3057" s="252">
        <f t="shared" si="69"/>
        <v>11.72</v>
      </c>
    </row>
    <row r="3058" spans="1:7" x14ac:dyDescent="0.3">
      <c r="A3058" s="524" t="s">
        <v>522</v>
      </c>
      <c r="B3058" s="524" t="s">
        <v>1359</v>
      </c>
      <c r="C3058" s="525" t="s">
        <v>801</v>
      </c>
      <c r="D3058" s="524" t="s">
        <v>32</v>
      </c>
      <c r="E3058" s="524" t="s">
        <v>1472</v>
      </c>
      <c r="F3058" s="526" t="s">
        <v>1361</v>
      </c>
      <c r="G3058" s="252">
        <f t="shared" si="69"/>
        <v>3.49</v>
      </c>
    </row>
    <row r="3059" spans="1:7" x14ac:dyDescent="0.3">
      <c r="A3059" s="680" t="s">
        <v>1152</v>
      </c>
      <c r="B3059" s="681"/>
      <c r="C3059" s="681"/>
      <c r="D3059" s="681"/>
      <c r="E3059" s="681"/>
      <c r="F3059" s="682"/>
      <c r="G3059" s="527">
        <f>SUM(G3055:G3058)</f>
        <v>22.64</v>
      </c>
    </row>
    <row r="3060" spans="1:7" x14ac:dyDescent="0.3">
      <c r="A3060" s="683">
        <f>TRUNC(E3060*F3060,2)</f>
        <v>0</v>
      </c>
      <c r="B3060" s="684"/>
      <c r="C3060" s="684"/>
      <c r="D3060" s="684"/>
      <c r="E3060" s="684"/>
      <c r="F3060" s="684"/>
      <c r="G3060" s="685"/>
    </row>
    <row r="3061" spans="1:7" x14ac:dyDescent="0.3">
      <c r="A3061" s="529" t="s">
        <v>85</v>
      </c>
      <c r="B3061" s="529"/>
      <c r="C3061" s="530" t="s">
        <v>221</v>
      </c>
      <c r="D3061" s="529"/>
      <c r="E3061" s="252"/>
      <c r="F3061" s="531"/>
      <c r="G3061" s="252">
        <f t="shared" si="69"/>
        <v>0</v>
      </c>
    </row>
    <row r="3062" spans="1:7" ht="28.8" x14ac:dyDescent="0.3">
      <c r="A3062" s="529" t="s">
        <v>87</v>
      </c>
      <c r="B3062" s="529">
        <v>79627</v>
      </c>
      <c r="C3062" s="530" t="s">
        <v>222</v>
      </c>
      <c r="D3062" s="529" t="s">
        <v>305</v>
      </c>
      <c r="E3062" s="252"/>
      <c r="F3062" s="531">
        <v>658</v>
      </c>
      <c r="G3062" s="252">
        <f t="shared" si="69"/>
        <v>0</v>
      </c>
    </row>
    <row r="3063" spans="1:7" x14ac:dyDescent="0.3">
      <c r="A3063" s="524" t="s">
        <v>508</v>
      </c>
      <c r="B3063" s="524" t="s">
        <v>1873</v>
      </c>
      <c r="C3063" s="525" t="s">
        <v>1874</v>
      </c>
      <c r="D3063" s="524" t="s">
        <v>426</v>
      </c>
      <c r="E3063" s="524" t="s">
        <v>1439</v>
      </c>
      <c r="F3063" s="526" t="s">
        <v>1875</v>
      </c>
      <c r="G3063" s="252">
        <f t="shared" si="69"/>
        <v>2.0499999999999998</v>
      </c>
    </row>
    <row r="3064" spans="1:7" ht="28.8" x14ac:dyDescent="0.3">
      <c r="A3064" s="524" t="s">
        <v>508</v>
      </c>
      <c r="B3064" s="524" t="s">
        <v>1876</v>
      </c>
      <c r="C3064" s="525" t="s">
        <v>1877</v>
      </c>
      <c r="D3064" s="524" t="s">
        <v>24</v>
      </c>
      <c r="E3064" s="524" t="s">
        <v>1122</v>
      </c>
      <c r="F3064" s="526" t="s">
        <v>1878</v>
      </c>
      <c r="G3064" s="252">
        <f t="shared" si="69"/>
        <v>535.34</v>
      </c>
    </row>
    <row r="3065" spans="1:7" x14ac:dyDescent="0.3">
      <c r="A3065" s="524" t="s">
        <v>522</v>
      </c>
      <c r="B3065" s="524" t="s">
        <v>1746</v>
      </c>
      <c r="C3065" s="525" t="s">
        <v>1747</v>
      </c>
      <c r="D3065" s="524" t="s">
        <v>32</v>
      </c>
      <c r="E3065" s="524" t="s">
        <v>1879</v>
      </c>
      <c r="F3065" s="526" t="s">
        <v>1749</v>
      </c>
      <c r="G3065" s="252">
        <f t="shared" si="69"/>
        <v>86.3</v>
      </c>
    </row>
    <row r="3066" spans="1:7" x14ac:dyDescent="0.3">
      <c r="A3066" s="524" t="s">
        <v>522</v>
      </c>
      <c r="B3066" s="524" t="s">
        <v>1359</v>
      </c>
      <c r="C3066" s="525" t="s">
        <v>801</v>
      </c>
      <c r="D3066" s="524" t="s">
        <v>32</v>
      </c>
      <c r="E3066" s="524" t="s">
        <v>1880</v>
      </c>
      <c r="F3066" s="526" t="s">
        <v>1361</v>
      </c>
      <c r="G3066" s="252">
        <f t="shared" si="69"/>
        <v>33.049999999999997</v>
      </c>
    </row>
    <row r="3067" spans="1:7" ht="28.8" x14ac:dyDescent="0.3">
      <c r="A3067" s="524" t="s">
        <v>522</v>
      </c>
      <c r="B3067" s="524" t="s">
        <v>1881</v>
      </c>
      <c r="C3067" s="525" t="s">
        <v>1882</v>
      </c>
      <c r="D3067" s="524" t="s">
        <v>41</v>
      </c>
      <c r="E3067" s="524" t="s">
        <v>1883</v>
      </c>
      <c r="F3067" s="526" t="s">
        <v>1884</v>
      </c>
      <c r="G3067" s="252">
        <f t="shared" si="69"/>
        <v>1.26</v>
      </c>
    </row>
    <row r="3068" spans="1:7" x14ac:dyDescent="0.3">
      <c r="A3068" s="680" t="s">
        <v>1152</v>
      </c>
      <c r="B3068" s="681"/>
      <c r="C3068" s="681"/>
      <c r="D3068" s="681"/>
      <c r="E3068" s="681"/>
      <c r="F3068" s="682"/>
      <c r="G3068" s="527">
        <f>SUM(G3062:G3067)</f>
        <v>657.99999999999989</v>
      </c>
    </row>
    <row r="3069" spans="1:7" x14ac:dyDescent="0.3">
      <c r="A3069" s="683">
        <f>TRUNC(E3069*F3069,2)</f>
        <v>0</v>
      </c>
      <c r="B3069" s="684"/>
      <c r="C3069" s="684"/>
      <c r="D3069" s="684"/>
      <c r="E3069" s="684"/>
      <c r="F3069" s="684"/>
      <c r="G3069" s="685"/>
    </row>
    <row r="3070" spans="1:7" ht="43.2" x14ac:dyDescent="0.3">
      <c r="A3070" s="529" t="s">
        <v>90</v>
      </c>
      <c r="B3070" s="529">
        <v>87477</v>
      </c>
      <c r="C3070" s="530" t="s">
        <v>70</v>
      </c>
      <c r="D3070" s="529" t="s">
        <v>24</v>
      </c>
      <c r="E3070" s="252"/>
      <c r="F3070" s="531">
        <v>40.9</v>
      </c>
      <c r="G3070" s="252">
        <f t="shared" si="69"/>
        <v>0</v>
      </c>
    </row>
    <row r="3071" spans="1:7" ht="28.8" x14ac:dyDescent="0.3">
      <c r="A3071" s="524" t="s">
        <v>508</v>
      </c>
      <c r="B3071" s="524" t="s">
        <v>1453</v>
      </c>
      <c r="C3071" s="525" t="s">
        <v>1454</v>
      </c>
      <c r="D3071" s="524" t="s">
        <v>55</v>
      </c>
      <c r="E3071" s="524" t="s">
        <v>1450</v>
      </c>
      <c r="F3071" s="526" t="s">
        <v>1455</v>
      </c>
      <c r="G3071" s="252">
        <f t="shared" si="69"/>
        <v>0.86</v>
      </c>
    </row>
    <row r="3072" spans="1:7" x14ac:dyDescent="0.3">
      <c r="A3072" s="524" t="s">
        <v>508</v>
      </c>
      <c r="B3072" s="524" t="s">
        <v>1456</v>
      </c>
      <c r="C3072" s="525" t="s">
        <v>1457</v>
      </c>
      <c r="D3072" s="524" t="s">
        <v>1458</v>
      </c>
      <c r="E3072" s="524" t="s">
        <v>1393</v>
      </c>
      <c r="F3072" s="526" t="s">
        <v>1459</v>
      </c>
      <c r="G3072" s="252">
        <f t="shared" si="69"/>
        <v>0.17</v>
      </c>
    </row>
    <row r="3073" spans="1:7" ht="28.8" x14ac:dyDescent="0.3">
      <c r="A3073" s="524" t="s">
        <v>508</v>
      </c>
      <c r="B3073" s="524" t="s">
        <v>1460</v>
      </c>
      <c r="C3073" s="525" t="s">
        <v>1461</v>
      </c>
      <c r="D3073" s="524" t="s">
        <v>397</v>
      </c>
      <c r="E3073" s="524" t="s">
        <v>1462</v>
      </c>
      <c r="F3073" s="526" t="s">
        <v>1463</v>
      </c>
      <c r="G3073" s="252">
        <f t="shared" si="69"/>
        <v>24.29</v>
      </c>
    </row>
    <row r="3074" spans="1:7" ht="43.2" x14ac:dyDescent="0.3">
      <c r="A3074" s="524" t="s">
        <v>522</v>
      </c>
      <c r="B3074" s="524" t="s">
        <v>1464</v>
      </c>
      <c r="C3074" s="525" t="s">
        <v>1465</v>
      </c>
      <c r="D3074" s="524" t="s">
        <v>41</v>
      </c>
      <c r="E3074" s="524" t="s">
        <v>1466</v>
      </c>
      <c r="F3074" s="526" t="s">
        <v>1467</v>
      </c>
      <c r="G3074" s="252">
        <f t="shared" si="69"/>
        <v>3.62</v>
      </c>
    </row>
    <row r="3075" spans="1:7" x14ac:dyDescent="0.3">
      <c r="A3075" s="524" t="s">
        <v>522</v>
      </c>
      <c r="B3075" s="524" t="s">
        <v>1362</v>
      </c>
      <c r="C3075" s="525" t="s">
        <v>1363</v>
      </c>
      <c r="D3075" s="524" t="s">
        <v>32</v>
      </c>
      <c r="E3075" s="524" t="s">
        <v>1468</v>
      </c>
      <c r="F3075" s="526" t="s">
        <v>1365</v>
      </c>
      <c r="G3075" s="252">
        <f t="shared" si="69"/>
        <v>8.52</v>
      </c>
    </row>
    <row r="3076" spans="1:7" x14ac:dyDescent="0.3">
      <c r="A3076" s="524" t="s">
        <v>522</v>
      </c>
      <c r="B3076" s="524" t="s">
        <v>1359</v>
      </c>
      <c r="C3076" s="525" t="s">
        <v>801</v>
      </c>
      <c r="D3076" s="524" t="s">
        <v>32</v>
      </c>
      <c r="E3076" s="524" t="s">
        <v>1469</v>
      </c>
      <c r="F3076" s="526" t="s">
        <v>1361</v>
      </c>
      <c r="G3076" s="252">
        <f t="shared" si="69"/>
        <v>3.44</v>
      </c>
    </row>
    <row r="3077" spans="1:7" x14ac:dyDescent="0.3">
      <c r="A3077" s="680" t="s">
        <v>1152</v>
      </c>
      <c r="B3077" s="681"/>
      <c r="C3077" s="681"/>
      <c r="D3077" s="681"/>
      <c r="E3077" s="681"/>
      <c r="F3077" s="682"/>
      <c r="G3077" s="527">
        <f>SUM(G3071:G3076)</f>
        <v>40.9</v>
      </c>
    </row>
    <row r="3078" spans="1:7" x14ac:dyDescent="0.3">
      <c r="A3078" s="683">
        <f>TRUNC(E3078*F3078,2)</f>
        <v>0</v>
      </c>
      <c r="B3078" s="684"/>
      <c r="C3078" s="684"/>
      <c r="D3078" s="684"/>
      <c r="E3078" s="684"/>
      <c r="F3078" s="684"/>
      <c r="G3078" s="685"/>
    </row>
    <row r="3079" spans="1:7" x14ac:dyDescent="0.3">
      <c r="A3079" s="529" t="s">
        <v>95</v>
      </c>
      <c r="B3079" s="529"/>
      <c r="C3079" s="530" t="s">
        <v>75</v>
      </c>
      <c r="D3079" s="529"/>
      <c r="E3079" s="252"/>
      <c r="F3079" s="531"/>
      <c r="G3079" s="252">
        <f t="shared" si="69"/>
        <v>0</v>
      </c>
    </row>
    <row r="3080" spans="1:7" ht="43.2" x14ac:dyDescent="0.3">
      <c r="A3080" s="529" t="s">
        <v>97</v>
      </c>
      <c r="B3080" s="529">
        <v>94993</v>
      </c>
      <c r="C3080" s="530" t="s">
        <v>78</v>
      </c>
      <c r="D3080" s="529" t="s">
        <v>24</v>
      </c>
      <c r="E3080" s="252"/>
      <c r="F3080" s="531">
        <v>62.94</v>
      </c>
      <c r="G3080" s="252">
        <f t="shared" si="69"/>
        <v>0</v>
      </c>
    </row>
    <row r="3081" spans="1:7" x14ac:dyDescent="0.3">
      <c r="A3081" s="524" t="s">
        <v>508</v>
      </c>
      <c r="B3081" s="524" t="s">
        <v>1475</v>
      </c>
      <c r="C3081" s="525" t="s">
        <v>1476</v>
      </c>
      <c r="D3081" s="524" t="s">
        <v>24</v>
      </c>
      <c r="E3081" s="524" t="s">
        <v>1477</v>
      </c>
      <c r="F3081" s="526" t="s">
        <v>1478</v>
      </c>
      <c r="G3081" s="252">
        <f t="shared" si="69"/>
        <v>1.03</v>
      </c>
    </row>
    <row r="3082" spans="1:7" ht="28.8" x14ac:dyDescent="0.3">
      <c r="A3082" s="524" t="s">
        <v>508</v>
      </c>
      <c r="B3082" s="524" t="s">
        <v>1479</v>
      </c>
      <c r="C3082" s="525" t="s">
        <v>1480</v>
      </c>
      <c r="D3082" s="524" t="s">
        <v>55</v>
      </c>
      <c r="E3082" s="524" t="s">
        <v>1481</v>
      </c>
      <c r="F3082" s="526" t="s">
        <v>1482</v>
      </c>
      <c r="G3082" s="252">
        <f t="shared" si="69"/>
        <v>0.9</v>
      </c>
    </row>
    <row r="3083" spans="1:7" ht="28.8" x14ac:dyDescent="0.3">
      <c r="A3083" s="524" t="s">
        <v>508</v>
      </c>
      <c r="B3083" s="524" t="s">
        <v>1483</v>
      </c>
      <c r="C3083" s="525" t="s">
        <v>1484</v>
      </c>
      <c r="D3083" s="524" t="s">
        <v>24</v>
      </c>
      <c r="E3083" s="524" t="s">
        <v>1485</v>
      </c>
      <c r="F3083" s="526" t="s">
        <v>1486</v>
      </c>
      <c r="G3083" s="252">
        <f t="shared" si="69"/>
        <v>26.02</v>
      </c>
    </row>
    <row r="3084" spans="1:7" ht="28.8" x14ac:dyDescent="0.3">
      <c r="A3084" s="524" t="s">
        <v>508</v>
      </c>
      <c r="B3084" s="524" t="s">
        <v>1487</v>
      </c>
      <c r="C3084" s="525" t="s">
        <v>1488</v>
      </c>
      <c r="D3084" s="524" t="s">
        <v>41</v>
      </c>
      <c r="E3084" s="524" t="s">
        <v>1489</v>
      </c>
      <c r="F3084" s="526" t="s">
        <v>1490</v>
      </c>
      <c r="G3084" s="252">
        <f t="shared" si="69"/>
        <v>26.87</v>
      </c>
    </row>
    <row r="3085" spans="1:7" x14ac:dyDescent="0.3">
      <c r="A3085" s="524" t="s">
        <v>522</v>
      </c>
      <c r="B3085" s="524" t="s">
        <v>527</v>
      </c>
      <c r="C3085" s="525" t="s">
        <v>528</v>
      </c>
      <c r="D3085" s="524" t="s">
        <v>32</v>
      </c>
      <c r="E3085" s="524" t="s">
        <v>1491</v>
      </c>
      <c r="F3085" s="526" t="s">
        <v>530</v>
      </c>
      <c r="G3085" s="252">
        <f t="shared" si="69"/>
        <v>2.38</v>
      </c>
    </row>
    <row r="3086" spans="1:7" x14ac:dyDescent="0.3">
      <c r="A3086" s="524" t="s">
        <v>522</v>
      </c>
      <c r="B3086" s="524" t="s">
        <v>1362</v>
      </c>
      <c r="C3086" s="525" t="s">
        <v>1363</v>
      </c>
      <c r="D3086" s="524" t="s">
        <v>32</v>
      </c>
      <c r="E3086" s="524" t="s">
        <v>1492</v>
      </c>
      <c r="F3086" s="526" t="s">
        <v>1365</v>
      </c>
      <c r="G3086" s="252">
        <f t="shared" si="69"/>
        <v>2.1</v>
      </c>
    </row>
    <row r="3087" spans="1:7" x14ac:dyDescent="0.3">
      <c r="A3087" s="524" t="s">
        <v>522</v>
      </c>
      <c r="B3087" s="524" t="s">
        <v>1359</v>
      </c>
      <c r="C3087" s="525" t="s">
        <v>801</v>
      </c>
      <c r="D3087" s="524" t="s">
        <v>32</v>
      </c>
      <c r="E3087" s="524" t="s">
        <v>1493</v>
      </c>
      <c r="F3087" s="526" t="s">
        <v>1361</v>
      </c>
      <c r="G3087" s="252">
        <f t="shared" si="69"/>
        <v>3.64</v>
      </c>
    </row>
    <row r="3088" spans="1:7" x14ac:dyDescent="0.3">
      <c r="A3088" s="680" t="s">
        <v>1152</v>
      </c>
      <c r="B3088" s="681"/>
      <c r="C3088" s="681"/>
      <c r="D3088" s="681"/>
      <c r="E3088" s="681"/>
      <c r="F3088" s="682"/>
      <c r="G3088" s="527">
        <f>SUM(G3080:G3087)</f>
        <v>62.940000000000005</v>
      </c>
    </row>
    <row r="3089" spans="1:7" x14ac:dyDescent="0.3">
      <c r="A3089" s="683">
        <f>TRUNC(E3089*F3089,2)</f>
        <v>0</v>
      </c>
      <c r="B3089" s="684"/>
      <c r="C3089" s="684"/>
      <c r="D3089" s="684"/>
      <c r="E3089" s="684"/>
      <c r="F3089" s="684"/>
      <c r="G3089" s="685"/>
    </row>
    <row r="3090" spans="1:7" ht="43.2" x14ac:dyDescent="0.3">
      <c r="A3090" s="529" t="s">
        <v>100</v>
      </c>
      <c r="B3090" s="529">
        <v>87620</v>
      </c>
      <c r="C3090" s="530" t="s">
        <v>640</v>
      </c>
      <c r="D3090" s="529" t="s">
        <v>24</v>
      </c>
      <c r="E3090" s="252"/>
      <c r="F3090" s="531">
        <v>23.42</v>
      </c>
      <c r="G3090" s="252">
        <f t="shared" si="69"/>
        <v>0</v>
      </c>
    </row>
    <row r="3091" spans="1:7" x14ac:dyDescent="0.3">
      <c r="A3091" s="524" t="s">
        <v>508</v>
      </c>
      <c r="B3091" s="524" t="s">
        <v>1540</v>
      </c>
      <c r="C3091" s="525" t="s">
        <v>1541</v>
      </c>
      <c r="D3091" s="524" t="s">
        <v>426</v>
      </c>
      <c r="E3091" s="524" t="s">
        <v>1636</v>
      </c>
      <c r="F3091" s="526" t="s">
        <v>1543</v>
      </c>
      <c r="G3091" s="252">
        <f t="shared" si="69"/>
        <v>0.24</v>
      </c>
    </row>
    <row r="3092" spans="1:7" x14ac:dyDescent="0.3">
      <c r="A3092" s="524" t="s">
        <v>508</v>
      </c>
      <c r="B3092" s="524" t="s">
        <v>2068</v>
      </c>
      <c r="C3092" s="525" t="s">
        <v>2069</v>
      </c>
      <c r="D3092" s="524" t="s">
        <v>1392</v>
      </c>
      <c r="E3092" s="524" t="s">
        <v>2070</v>
      </c>
      <c r="F3092" s="526" t="s">
        <v>2071</v>
      </c>
      <c r="G3092" s="252">
        <f t="shared" si="69"/>
        <v>4.32</v>
      </c>
    </row>
    <row r="3093" spans="1:7" ht="28.8" x14ac:dyDescent="0.3">
      <c r="A3093" s="524" t="s">
        <v>522</v>
      </c>
      <c r="B3093" s="524" t="s">
        <v>2072</v>
      </c>
      <c r="C3093" s="525" t="s">
        <v>2073</v>
      </c>
      <c r="D3093" s="524" t="s">
        <v>41</v>
      </c>
      <c r="E3093" s="524" t="s">
        <v>2074</v>
      </c>
      <c r="F3093" s="526" t="s">
        <v>2075</v>
      </c>
      <c r="G3093" s="252">
        <f t="shared" si="69"/>
        <v>11.63</v>
      </c>
    </row>
    <row r="3094" spans="1:7" x14ac:dyDescent="0.3">
      <c r="A3094" s="524" t="s">
        <v>522</v>
      </c>
      <c r="B3094" s="524" t="s">
        <v>1362</v>
      </c>
      <c r="C3094" s="525" t="s">
        <v>1363</v>
      </c>
      <c r="D3094" s="524" t="s">
        <v>32</v>
      </c>
      <c r="E3094" s="524" t="s">
        <v>2053</v>
      </c>
      <c r="F3094" s="526" t="s">
        <v>1365</v>
      </c>
      <c r="G3094" s="252">
        <f t="shared" si="69"/>
        <v>5.15</v>
      </c>
    </row>
    <row r="3095" spans="1:7" x14ac:dyDescent="0.3">
      <c r="A3095" s="524" t="s">
        <v>522</v>
      </c>
      <c r="B3095" s="524" t="s">
        <v>1359</v>
      </c>
      <c r="C3095" s="525" t="s">
        <v>801</v>
      </c>
      <c r="D3095" s="524" t="s">
        <v>32</v>
      </c>
      <c r="E3095" s="524" t="s">
        <v>1684</v>
      </c>
      <c r="F3095" s="526" t="s">
        <v>1361</v>
      </c>
      <c r="G3095" s="252">
        <f t="shared" si="69"/>
        <v>2.08</v>
      </c>
    </row>
    <row r="3096" spans="1:7" x14ac:dyDescent="0.3">
      <c r="A3096" s="680" t="s">
        <v>1152</v>
      </c>
      <c r="B3096" s="681"/>
      <c r="C3096" s="681"/>
      <c r="D3096" s="681"/>
      <c r="E3096" s="681"/>
      <c r="F3096" s="682"/>
      <c r="G3096" s="527">
        <f>SUM(G3090:G3095)</f>
        <v>23.42</v>
      </c>
    </row>
    <row r="3097" spans="1:7" x14ac:dyDescent="0.3">
      <c r="A3097" s="683">
        <f>TRUNC(E3097*F3097,2)</f>
        <v>0</v>
      </c>
      <c r="B3097" s="684"/>
      <c r="C3097" s="684"/>
      <c r="D3097" s="684"/>
      <c r="E3097" s="684"/>
      <c r="F3097" s="684"/>
      <c r="G3097" s="685"/>
    </row>
    <row r="3098" spans="1:7" ht="43.2" x14ac:dyDescent="0.3">
      <c r="A3098" s="529" t="s">
        <v>105</v>
      </c>
      <c r="B3098" s="529">
        <v>87262</v>
      </c>
      <c r="C3098" s="530" t="s">
        <v>84</v>
      </c>
      <c r="D3098" s="529" t="s">
        <v>24</v>
      </c>
      <c r="E3098" s="252"/>
      <c r="F3098" s="531">
        <v>82.17</v>
      </c>
      <c r="G3098" s="252">
        <f t="shared" si="69"/>
        <v>0</v>
      </c>
    </row>
    <row r="3099" spans="1:7" x14ac:dyDescent="0.3">
      <c r="A3099" s="524" t="s">
        <v>508</v>
      </c>
      <c r="B3099" s="524" t="s">
        <v>1448</v>
      </c>
      <c r="C3099" s="525" t="s">
        <v>1449</v>
      </c>
      <c r="D3099" s="524" t="s">
        <v>426</v>
      </c>
      <c r="E3099" s="524" t="s">
        <v>1559</v>
      </c>
      <c r="F3099" s="526" t="s">
        <v>1451</v>
      </c>
      <c r="G3099" s="252">
        <f t="shared" si="69"/>
        <v>0.53</v>
      </c>
    </row>
    <row r="3100" spans="1:7" x14ac:dyDescent="0.3">
      <c r="A3100" s="524" t="s">
        <v>508</v>
      </c>
      <c r="B3100" s="524" t="s">
        <v>1560</v>
      </c>
      <c r="C3100" s="525" t="s">
        <v>1561</v>
      </c>
      <c r="D3100" s="524" t="s">
        <v>426</v>
      </c>
      <c r="E3100" s="606">
        <v>8</v>
      </c>
      <c r="F3100" s="526" t="s">
        <v>1563</v>
      </c>
      <c r="G3100" s="252">
        <f t="shared" si="69"/>
        <v>15.92</v>
      </c>
    </row>
    <row r="3101" spans="1:7" x14ac:dyDescent="0.3">
      <c r="A3101" s="524" t="s">
        <v>508</v>
      </c>
      <c r="B3101" s="524" t="s">
        <v>1564</v>
      </c>
      <c r="C3101" s="525" t="s">
        <v>1565</v>
      </c>
      <c r="D3101" s="524" t="s">
        <v>24</v>
      </c>
      <c r="E3101" s="606" t="s">
        <v>1566</v>
      </c>
      <c r="F3101" s="526">
        <v>50</v>
      </c>
      <c r="G3101" s="252">
        <f t="shared" si="69"/>
        <v>54</v>
      </c>
    </row>
    <row r="3102" spans="1:7" x14ac:dyDescent="0.3">
      <c r="A3102" s="524" t="s">
        <v>522</v>
      </c>
      <c r="B3102" s="524" t="s">
        <v>1355</v>
      </c>
      <c r="C3102" s="525" t="s">
        <v>1356</v>
      </c>
      <c r="D3102" s="524" t="s">
        <v>32</v>
      </c>
      <c r="E3102" s="606">
        <v>0.5</v>
      </c>
      <c r="F3102" s="526" t="s">
        <v>1358</v>
      </c>
      <c r="G3102" s="252">
        <f t="shared" si="69"/>
        <v>8.85</v>
      </c>
    </row>
    <row r="3103" spans="1:7" x14ac:dyDescent="0.3">
      <c r="A3103" s="524" t="s">
        <v>522</v>
      </c>
      <c r="B3103" s="524" t="s">
        <v>1359</v>
      </c>
      <c r="C3103" s="525" t="s">
        <v>801</v>
      </c>
      <c r="D3103" s="524" t="s">
        <v>32</v>
      </c>
      <c r="E3103" s="606">
        <v>0.2</v>
      </c>
      <c r="F3103" s="526" t="s">
        <v>1361</v>
      </c>
      <c r="G3103" s="252">
        <f t="shared" si="69"/>
        <v>2.87</v>
      </c>
    </row>
    <row r="3104" spans="1:7" x14ac:dyDescent="0.3">
      <c r="A3104" s="680" t="s">
        <v>1152</v>
      </c>
      <c r="B3104" s="681"/>
      <c r="C3104" s="681"/>
      <c r="D3104" s="681"/>
      <c r="E3104" s="681"/>
      <c r="F3104" s="682"/>
      <c r="G3104" s="527">
        <f>SUM(G3098:G3103)</f>
        <v>82.17</v>
      </c>
    </row>
    <row r="3105" spans="1:11" x14ac:dyDescent="0.3">
      <c r="A3105" s="683">
        <f>TRUNC(E3105*F3105,2)</f>
        <v>0</v>
      </c>
      <c r="B3105" s="684"/>
      <c r="C3105" s="684"/>
      <c r="D3105" s="684"/>
      <c r="E3105" s="684"/>
      <c r="F3105" s="684"/>
      <c r="G3105" s="685"/>
    </row>
    <row r="3106" spans="1:11" x14ac:dyDescent="0.3">
      <c r="A3106" s="529" t="s">
        <v>116</v>
      </c>
      <c r="B3106" s="529"/>
      <c r="C3106" s="530" t="s">
        <v>86</v>
      </c>
      <c r="D3106" s="529"/>
      <c r="E3106" s="252"/>
      <c r="F3106" s="531"/>
      <c r="G3106" s="252">
        <f t="shared" si="69"/>
        <v>0</v>
      </c>
    </row>
    <row r="3107" spans="1:11" x14ac:dyDescent="0.3">
      <c r="A3107" s="529" t="s">
        <v>118</v>
      </c>
      <c r="B3107" s="529">
        <v>72117</v>
      </c>
      <c r="C3107" s="530" t="s">
        <v>88</v>
      </c>
      <c r="D3107" s="529" t="s">
        <v>24</v>
      </c>
      <c r="E3107" s="252"/>
      <c r="F3107" s="531">
        <v>159.13</v>
      </c>
      <c r="G3107" s="252">
        <f t="shared" si="69"/>
        <v>0</v>
      </c>
    </row>
    <row r="3108" spans="1:11" x14ac:dyDescent="0.3">
      <c r="A3108" s="524" t="s">
        <v>508</v>
      </c>
      <c r="B3108" s="524" t="s">
        <v>1549</v>
      </c>
      <c r="C3108" s="525" t="s">
        <v>1550</v>
      </c>
      <c r="D3108" s="524" t="s">
        <v>24</v>
      </c>
      <c r="E3108" s="524" t="s">
        <v>1122</v>
      </c>
      <c r="F3108" s="526" t="s">
        <v>1551</v>
      </c>
      <c r="G3108" s="252">
        <f t="shared" si="69"/>
        <v>131.59</v>
      </c>
    </row>
    <row r="3109" spans="1:11" x14ac:dyDescent="0.3">
      <c r="A3109" s="524" t="s">
        <v>508</v>
      </c>
      <c r="B3109" s="524" t="s">
        <v>1552</v>
      </c>
      <c r="C3109" s="525" t="s">
        <v>1553</v>
      </c>
      <c r="D3109" s="524" t="s">
        <v>426</v>
      </c>
      <c r="E3109" s="524" t="s">
        <v>1554</v>
      </c>
      <c r="F3109" s="526" t="s">
        <v>1555</v>
      </c>
      <c r="G3109" s="252">
        <f t="shared" si="69"/>
        <v>13.37</v>
      </c>
    </row>
    <row r="3110" spans="1:11" x14ac:dyDescent="0.3">
      <c r="A3110" s="524" t="s">
        <v>522</v>
      </c>
      <c r="B3110" s="524" t="s">
        <v>1359</v>
      </c>
      <c r="C3110" s="525" t="s">
        <v>801</v>
      </c>
      <c r="D3110" s="524" t="s">
        <v>32</v>
      </c>
      <c r="E3110" s="524" t="s">
        <v>1481</v>
      </c>
      <c r="F3110" s="526" t="s">
        <v>1361</v>
      </c>
      <c r="G3110" s="252">
        <f t="shared" si="69"/>
        <v>6.46</v>
      </c>
    </row>
    <row r="3111" spans="1:11" x14ac:dyDescent="0.3">
      <c r="A3111" s="524" t="s">
        <v>522</v>
      </c>
      <c r="B3111" s="524" t="s">
        <v>1556</v>
      </c>
      <c r="C3111" s="525" t="s">
        <v>1557</v>
      </c>
      <c r="D3111" s="524" t="s">
        <v>32</v>
      </c>
      <c r="E3111" s="524" t="s">
        <v>1481</v>
      </c>
      <c r="F3111" s="526" t="s">
        <v>1558</v>
      </c>
      <c r="G3111" s="252">
        <f t="shared" si="69"/>
        <v>7.71</v>
      </c>
    </row>
    <row r="3112" spans="1:11" x14ac:dyDescent="0.3">
      <c r="A3112" s="680" t="s">
        <v>1152</v>
      </c>
      <c r="B3112" s="681"/>
      <c r="C3112" s="681"/>
      <c r="D3112" s="681"/>
      <c r="E3112" s="681"/>
      <c r="F3112" s="682"/>
      <c r="G3112" s="527">
        <f>SUM(G3106:G3111)</f>
        <v>159.13000000000002</v>
      </c>
    </row>
    <row r="3113" spans="1:11" x14ac:dyDescent="0.3">
      <c r="A3113" s="683">
        <f>TRUNC(E3113*F3113,2)</f>
        <v>0</v>
      </c>
      <c r="B3113" s="684"/>
      <c r="C3113" s="684"/>
      <c r="D3113" s="684"/>
      <c r="E3113" s="684"/>
      <c r="F3113" s="684"/>
      <c r="G3113" s="685"/>
    </row>
    <row r="3114" spans="1:11" x14ac:dyDescent="0.3">
      <c r="A3114" s="529" t="s">
        <v>120</v>
      </c>
      <c r="B3114" s="529">
        <v>84886</v>
      </c>
      <c r="C3114" s="530" t="s">
        <v>91</v>
      </c>
      <c r="D3114" s="529" t="s">
        <v>92</v>
      </c>
      <c r="E3114" s="252"/>
      <c r="F3114" s="531">
        <v>1114.46</v>
      </c>
      <c r="G3114" s="252">
        <f t="shared" si="69"/>
        <v>0</v>
      </c>
    </row>
    <row r="3115" spans="1:11" x14ac:dyDescent="0.3">
      <c r="A3115" s="524" t="s">
        <v>508</v>
      </c>
      <c r="B3115" s="524" t="s">
        <v>1568</v>
      </c>
      <c r="C3115" s="525" t="s">
        <v>1569</v>
      </c>
      <c r="D3115" s="524" t="s">
        <v>397</v>
      </c>
      <c r="E3115" s="524" t="s">
        <v>1122</v>
      </c>
      <c r="F3115" s="526">
        <v>1097.3</v>
      </c>
      <c r="G3115" s="252">
        <f t="shared" si="69"/>
        <v>1097.3</v>
      </c>
    </row>
    <row r="3116" spans="1:11" x14ac:dyDescent="0.3">
      <c r="A3116" s="524" t="s">
        <v>522</v>
      </c>
      <c r="B3116" s="524" t="s">
        <v>1359</v>
      </c>
      <c r="C3116" s="525" t="s">
        <v>801</v>
      </c>
      <c r="D3116" s="524" t="s">
        <v>32</v>
      </c>
      <c r="E3116" s="524" t="s">
        <v>1518</v>
      </c>
      <c r="F3116" s="526" t="s">
        <v>1361</v>
      </c>
      <c r="G3116" s="252">
        <f t="shared" si="69"/>
        <v>4.3099999999999996</v>
      </c>
    </row>
    <row r="3117" spans="1:11" x14ac:dyDescent="0.3">
      <c r="A3117" s="524" t="s">
        <v>522</v>
      </c>
      <c r="B3117" s="524" t="s">
        <v>1556</v>
      </c>
      <c r="C3117" s="525" t="s">
        <v>1557</v>
      </c>
      <c r="D3117" s="524" t="s">
        <v>32</v>
      </c>
      <c r="E3117" s="524" t="s">
        <v>1570</v>
      </c>
      <c r="F3117" s="526" t="s">
        <v>1558</v>
      </c>
      <c r="G3117" s="252">
        <f t="shared" si="69"/>
        <v>12.85</v>
      </c>
    </row>
    <row r="3118" spans="1:11" x14ac:dyDescent="0.3">
      <c r="A3118" s="680" t="s">
        <v>1152</v>
      </c>
      <c r="B3118" s="681"/>
      <c r="C3118" s="681"/>
      <c r="D3118" s="681"/>
      <c r="E3118" s="681"/>
      <c r="F3118" s="682"/>
      <c r="G3118" s="527">
        <f>SUM(G3114:G3117)</f>
        <v>1114.4599999999998</v>
      </c>
      <c r="I3118" s="211">
        <f>G3118-F3114</f>
        <v>0</v>
      </c>
      <c r="J3118" s="215">
        <v>1122.46</v>
      </c>
      <c r="K3118" s="211">
        <f>J3118-I3118</f>
        <v>1122.46</v>
      </c>
    </row>
    <row r="3119" spans="1:11" x14ac:dyDescent="0.3">
      <c r="A3119" s="683">
        <f>TRUNC(E3119*F3119,2)</f>
        <v>0</v>
      </c>
      <c r="B3119" s="684"/>
      <c r="C3119" s="684"/>
      <c r="D3119" s="684"/>
      <c r="E3119" s="684"/>
      <c r="F3119" s="684"/>
      <c r="G3119" s="685"/>
    </row>
    <row r="3120" spans="1:11" x14ac:dyDescent="0.3">
      <c r="A3120" s="529"/>
      <c r="B3120" s="529"/>
      <c r="C3120" s="530"/>
      <c r="D3120" s="529"/>
      <c r="E3120" s="252"/>
      <c r="F3120" s="531"/>
      <c r="G3120" s="252"/>
    </row>
    <row r="3121" spans="1:7" ht="43.2" x14ac:dyDescent="0.3">
      <c r="A3121" s="529" t="s">
        <v>122</v>
      </c>
      <c r="B3121" s="529">
        <v>84885</v>
      </c>
      <c r="C3121" s="530" t="s">
        <v>94</v>
      </c>
      <c r="D3121" s="529" t="s">
        <v>44</v>
      </c>
      <c r="E3121" s="252"/>
      <c r="F3121" s="531">
        <v>605.17999999999995</v>
      </c>
      <c r="G3121" s="252">
        <f t="shared" si="69"/>
        <v>0</v>
      </c>
    </row>
    <row r="3122" spans="1:7" ht="43.2" x14ac:dyDescent="0.3">
      <c r="A3122" s="524" t="s">
        <v>508</v>
      </c>
      <c r="B3122" s="524" t="s">
        <v>1571</v>
      </c>
      <c r="C3122" s="525" t="s">
        <v>1572</v>
      </c>
      <c r="D3122" s="524" t="s">
        <v>92</v>
      </c>
      <c r="E3122" s="524" t="s">
        <v>1122</v>
      </c>
      <c r="F3122" s="526" t="s">
        <v>1573</v>
      </c>
      <c r="G3122" s="252">
        <f t="shared" si="69"/>
        <v>376.14</v>
      </c>
    </row>
    <row r="3123" spans="1:7" x14ac:dyDescent="0.3">
      <c r="A3123" s="524" t="s">
        <v>522</v>
      </c>
      <c r="B3123" s="524" t="s">
        <v>523</v>
      </c>
      <c r="C3123" s="525" t="s">
        <v>524</v>
      </c>
      <c r="D3123" s="524" t="s">
        <v>32</v>
      </c>
      <c r="E3123" s="524" t="s">
        <v>1574</v>
      </c>
      <c r="F3123" s="526" t="s">
        <v>526</v>
      </c>
      <c r="G3123" s="252">
        <f t="shared" si="69"/>
        <v>64.11</v>
      </c>
    </row>
    <row r="3124" spans="1:7" x14ac:dyDescent="0.3">
      <c r="A3124" s="524" t="s">
        <v>522</v>
      </c>
      <c r="B3124" s="524" t="s">
        <v>1376</v>
      </c>
      <c r="C3124" s="525" t="s">
        <v>1377</v>
      </c>
      <c r="D3124" s="524" t="s">
        <v>32</v>
      </c>
      <c r="E3124" s="524" t="s">
        <v>1575</v>
      </c>
      <c r="F3124" s="526" t="s">
        <v>1379</v>
      </c>
      <c r="G3124" s="252">
        <f t="shared" si="69"/>
        <v>114.92</v>
      </c>
    </row>
    <row r="3125" spans="1:7" x14ac:dyDescent="0.3">
      <c r="A3125" s="524" t="s">
        <v>522</v>
      </c>
      <c r="B3125" s="524" t="s">
        <v>1556</v>
      </c>
      <c r="C3125" s="525" t="s">
        <v>1557</v>
      </c>
      <c r="D3125" s="524" t="s">
        <v>32</v>
      </c>
      <c r="E3125" s="524" t="s">
        <v>1576</v>
      </c>
      <c r="F3125" s="526" t="s">
        <v>1558</v>
      </c>
      <c r="G3125" s="252">
        <f t="shared" si="69"/>
        <v>57.59</v>
      </c>
    </row>
    <row r="3126" spans="1:7" x14ac:dyDescent="0.3">
      <c r="A3126" s="680" t="s">
        <v>1152</v>
      </c>
      <c r="B3126" s="681"/>
      <c r="C3126" s="681"/>
      <c r="D3126" s="681"/>
      <c r="E3126" s="681"/>
      <c r="F3126" s="682"/>
      <c r="G3126" s="527">
        <f>SUM(G3122:G3125)</f>
        <v>612.76</v>
      </c>
    </row>
    <row r="3127" spans="1:7" x14ac:dyDescent="0.3">
      <c r="A3127" s="683">
        <f>TRUNC(E3127*F3127,2)</f>
        <v>0</v>
      </c>
      <c r="B3127" s="684"/>
      <c r="C3127" s="684"/>
      <c r="D3127" s="684"/>
      <c r="E3127" s="684"/>
      <c r="F3127" s="684"/>
      <c r="G3127" s="685"/>
    </row>
    <row r="3128" spans="1:7" x14ac:dyDescent="0.3">
      <c r="A3128" s="529" t="s">
        <v>160</v>
      </c>
      <c r="B3128" s="529"/>
      <c r="C3128" s="530" t="s">
        <v>96</v>
      </c>
      <c r="D3128" s="529"/>
      <c r="E3128" s="252"/>
      <c r="F3128" s="531"/>
      <c r="G3128" s="252">
        <f t="shared" si="69"/>
        <v>0</v>
      </c>
    </row>
    <row r="3129" spans="1:7" ht="28.8" x14ac:dyDescent="0.3">
      <c r="A3129" s="529" t="s">
        <v>162</v>
      </c>
      <c r="B3129" s="529">
        <v>88423</v>
      </c>
      <c r="C3129" s="530" t="s">
        <v>98</v>
      </c>
      <c r="D3129" s="529" t="s">
        <v>24</v>
      </c>
      <c r="E3129" s="252"/>
      <c r="F3129" s="531">
        <v>13.45</v>
      </c>
      <c r="G3129" s="252">
        <f t="shared" si="69"/>
        <v>0</v>
      </c>
    </row>
    <row r="3130" spans="1:7" x14ac:dyDescent="0.3">
      <c r="A3130" s="524" t="s">
        <v>508</v>
      </c>
      <c r="B3130" s="524" t="s">
        <v>1577</v>
      </c>
      <c r="C3130" s="525" t="s">
        <v>1578</v>
      </c>
      <c r="D3130" s="524" t="s">
        <v>426</v>
      </c>
      <c r="E3130" s="606">
        <v>1.9</v>
      </c>
      <c r="F3130" s="526">
        <v>5</v>
      </c>
      <c r="G3130" s="252">
        <f t="shared" si="69"/>
        <v>9.5</v>
      </c>
    </row>
    <row r="3131" spans="1:7" x14ac:dyDescent="0.3">
      <c r="A3131" s="524" t="s">
        <v>522</v>
      </c>
      <c r="B3131" s="524" t="s">
        <v>1579</v>
      </c>
      <c r="C3131" s="525" t="s">
        <v>1580</v>
      </c>
      <c r="D3131" s="524" t="s">
        <v>32</v>
      </c>
      <c r="E3131" s="524" t="s">
        <v>1581</v>
      </c>
      <c r="F3131" s="526" t="s">
        <v>1582</v>
      </c>
      <c r="G3131" s="252">
        <f t="shared" si="69"/>
        <v>3.32</v>
      </c>
    </row>
    <row r="3132" spans="1:7" x14ac:dyDescent="0.3">
      <c r="A3132" s="524" t="s">
        <v>522</v>
      </c>
      <c r="B3132" s="524" t="s">
        <v>1359</v>
      </c>
      <c r="C3132" s="525" t="s">
        <v>801</v>
      </c>
      <c r="D3132" s="524" t="s">
        <v>32</v>
      </c>
      <c r="E3132" s="524" t="s">
        <v>1583</v>
      </c>
      <c r="F3132" s="526" t="s">
        <v>1361</v>
      </c>
      <c r="G3132" s="252">
        <f t="shared" si="69"/>
        <v>0.63</v>
      </c>
    </row>
    <row r="3133" spans="1:7" x14ac:dyDescent="0.3">
      <c r="A3133" s="680" t="s">
        <v>1152</v>
      </c>
      <c r="B3133" s="681"/>
      <c r="C3133" s="681"/>
      <c r="D3133" s="681"/>
      <c r="E3133" s="681"/>
      <c r="F3133" s="682"/>
      <c r="G3133" s="527">
        <f>SUM(G3129:G3132)</f>
        <v>13.450000000000001</v>
      </c>
    </row>
    <row r="3134" spans="1:7" x14ac:dyDescent="0.3">
      <c r="A3134" s="683">
        <f>TRUNC(E3134*F3134,2)</f>
        <v>0</v>
      </c>
      <c r="B3134" s="684"/>
      <c r="C3134" s="684"/>
      <c r="D3134" s="684"/>
      <c r="E3134" s="684"/>
      <c r="F3134" s="684"/>
      <c r="G3134" s="685"/>
    </row>
    <row r="3135" spans="1:7" x14ac:dyDescent="0.3">
      <c r="A3135" s="529" t="s">
        <v>163</v>
      </c>
      <c r="B3135" s="529">
        <v>88496</v>
      </c>
      <c r="C3135" s="530" t="s">
        <v>101</v>
      </c>
      <c r="D3135" s="529" t="s">
        <v>24</v>
      </c>
      <c r="E3135" s="252"/>
      <c r="F3135" s="531">
        <v>10.51</v>
      </c>
      <c r="G3135" s="252">
        <f t="shared" si="69"/>
        <v>0</v>
      </c>
    </row>
    <row r="3136" spans="1:7" x14ac:dyDescent="0.3">
      <c r="A3136" s="524" t="s">
        <v>508</v>
      </c>
      <c r="B3136" s="524" t="s">
        <v>1584</v>
      </c>
      <c r="C3136" s="525" t="s">
        <v>1585</v>
      </c>
      <c r="D3136" s="524" t="s">
        <v>397</v>
      </c>
      <c r="E3136" s="524" t="s">
        <v>1586</v>
      </c>
      <c r="F3136" s="526" t="s">
        <v>1447</v>
      </c>
      <c r="G3136" s="252">
        <f t="shared" si="69"/>
        <v>0.06</v>
      </c>
    </row>
    <row r="3137" spans="1:7" x14ac:dyDescent="0.3">
      <c r="A3137" s="524" t="s">
        <v>508</v>
      </c>
      <c r="B3137" s="524" t="s">
        <v>1587</v>
      </c>
      <c r="C3137" s="525" t="s">
        <v>1588</v>
      </c>
      <c r="D3137" s="524" t="s">
        <v>1589</v>
      </c>
      <c r="E3137" s="607">
        <v>4.8000000000000001E-2</v>
      </c>
      <c r="F3137" s="526">
        <v>40</v>
      </c>
      <c r="G3137" s="252">
        <f t="shared" si="69"/>
        <v>1.92</v>
      </c>
    </row>
    <row r="3138" spans="1:7" x14ac:dyDescent="0.3">
      <c r="A3138" s="524" t="s">
        <v>522</v>
      </c>
      <c r="B3138" s="524" t="s">
        <v>1579</v>
      </c>
      <c r="C3138" s="525" t="s">
        <v>1580</v>
      </c>
      <c r="D3138" s="524" t="s">
        <v>32</v>
      </c>
      <c r="E3138" s="607">
        <v>0.3</v>
      </c>
      <c r="F3138" s="526" t="s">
        <v>1582</v>
      </c>
      <c r="G3138" s="252">
        <f t="shared" si="69"/>
        <v>5.66</v>
      </c>
    </row>
    <row r="3139" spans="1:7" x14ac:dyDescent="0.3">
      <c r="A3139" s="524" t="s">
        <v>522</v>
      </c>
      <c r="B3139" s="524" t="s">
        <v>1359</v>
      </c>
      <c r="C3139" s="525" t="s">
        <v>801</v>
      </c>
      <c r="D3139" s="524" t="s">
        <v>32</v>
      </c>
      <c r="E3139" s="607">
        <v>0.2</v>
      </c>
      <c r="F3139" s="526" t="s">
        <v>1361</v>
      </c>
      <c r="G3139" s="252">
        <f t="shared" si="69"/>
        <v>2.87</v>
      </c>
    </row>
    <row r="3140" spans="1:7" x14ac:dyDescent="0.3">
      <c r="A3140" s="680" t="s">
        <v>1152</v>
      </c>
      <c r="B3140" s="681"/>
      <c r="C3140" s="681"/>
      <c r="D3140" s="681"/>
      <c r="E3140" s="681"/>
      <c r="F3140" s="682"/>
      <c r="G3140" s="527">
        <f>SUM(G3136:G3139)</f>
        <v>10.510000000000002</v>
      </c>
    </row>
    <row r="3141" spans="1:7" x14ac:dyDescent="0.3">
      <c r="A3141" s="683">
        <f>TRUNC(E3141*F3141,2)</f>
        <v>0</v>
      </c>
      <c r="B3141" s="684"/>
      <c r="C3141" s="684"/>
      <c r="D3141" s="684"/>
      <c r="E3141" s="684"/>
      <c r="F3141" s="684"/>
      <c r="G3141" s="685"/>
    </row>
    <row r="3142" spans="1:7" ht="28.8" x14ac:dyDescent="0.3">
      <c r="A3142" s="529" t="s">
        <v>164</v>
      </c>
      <c r="B3142" s="529">
        <v>88488</v>
      </c>
      <c r="C3142" s="530" t="s">
        <v>104</v>
      </c>
      <c r="D3142" s="529" t="s">
        <v>24</v>
      </c>
      <c r="E3142" s="252"/>
      <c r="F3142" s="531">
        <v>8.42</v>
      </c>
      <c r="G3142" s="252">
        <f t="shared" si="69"/>
        <v>0</v>
      </c>
    </row>
    <row r="3143" spans="1:7" x14ac:dyDescent="0.3">
      <c r="A3143" s="524" t="s">
        <v>508</v>
      </c>
      <c r="B3143" s="524" t="s">
        <v>1592</v>
      </c>
      <c r="C3143" s="525" t="s">
        <v>1593</v>
      </c>
      <c r="D3143" s="524" t="s">
        <v>1392</v>
      </c>
      <c r="E3143" s="606">
        <v>0.3</v>
      </c>
      <c r="F3143" s="526">
        <v>18</v>
      </c>
      <c r="G3143" s="252">
        <f t="shared" si="69"/>
        <v>5.4</v>
      </c>
    </row>
    <row r="3144" spans="1:7" x14ac:dyDescent="0.3">
      <c r="A3144" s="524" t="s">
        <v>522</v>
      </c>
      <c r="B3144" s="524" t="s">
        <v>1579</v>
      </c>
      <c r="C3144" s="525" t="s">
        <v>1580</v>
      </c>
      <c r="D3144" s="524" t="s">
        <v>32</v>
      </c>
      <c r="E3144" s="606">
        <v>0.1</v>
      </c>
      <c r="F3144" s="526" t="s">
        <v>1582</v>
      </c>
      <c r="G3144" s="252">
        <f t="shared" si="69"/>
        <v>1.88</v>
      </c>
    </row>
    <row r="3145" spans="1:7" x14ac:dyDescent="0.3">
      <c r="A3145" s="524" t="s">
        <v>522</v>
      </c>
      <c r="B3145" s="524" t="s">
        <v>1359</v>
      </c>
      <c r="C3145" s="525" t="s">
        <v>801</v>
      </c>
      <c r="D3145" s="524" t="s">
        <v>32</v>
      </c>
      <c r="E3145" s="607">
        <v>0.08</v>
      </c>
      <c r="F3145" s="526" t="s">
        <v>1361</v>
      </c>
      <c r="G3145" s="252">
        <f t="shared" si="69"/>
        <v>1.1399999999999999</v>
      </c>
    </row>
    <row r="3146" spans="1:7" x14ac:dyDescent="0.3">
      <c r="A3146" s="680" t="s">
        <v>1152</v>
      </c>
      <c r="B3146" s="681"/>
      <c r="C3146" s="681"/>
      <c r="D3146" s="681"/>
      <c r="E3146" s="681"/>
      <c r="F3146" s="682"/>
      <c r="G3146" s="527">
        <f>SUM(G3142:G3145)</f>
        <v>8.42</v>
      </c>
    </row>
    <row r="3147" spans="1:7" x14ac:dyDescent="0.3">
      <c r="A3147" s="683">
        <f>TRUNC(E3147*F3147,2)</f>
        <v>0</v>
      </c>
      <c r="B3147" s="684"/>
      <c r="C3147" s="684"/>
      <c r="D3147" s="684"/>
      <c r="E3147" s="684"/>
      <c r="F3147" s="684"/>
      <c r="G3147" s="685"/>
    </row>
    <row r="3148" spans="1:7" x14ac:dyDescent="0.3">
      <c r="A3148" s="529" t="s">
        <v>165</v>
      </c>
      <c r="B3148" s="529">
        <v>88497</v>
      </c>
      <c r="C3148" s="530" t="s">
        <v>232</v>
      </c>
      <c r="D3148" s="529" t="s">
        <v>24</v>
      </c>
      <c r="E3148" s="252"/>
      <c r="F3148" s="531">
        <v>9.74</v>
      </c>
      <c r="G3148" s="252">
        <f t="shared" si="69"/>
        <v>0</v>
      </c>
    </row>
    <row r="3149" spans="1:7" x14ac:dyDescent="0.3">
      <c r="A3149" s="524" t="s">
        <v>508</v>
      </c>
      <c r="B3149" s="524" t="s">
        <v>1584</v>
      </c>
      <c r="C3149" s="525" t="s">
        <v>1585</v>
      </c>
      <c r="D3149" s="524" t="s">
        <v>397</v>
      </c>
      <c r="E3149" s="524" t="s">
        <v>1586</v>
      </c>
      <c r="F3149" s="526" t="s">
        <v>1447</v>
      </c>
      <c r="G3149" s="252">
        <f t="shared" si="69"/>
        <v>0.06</v>
      </c>
    </row>
    <row r="3150" spans="1:7" x14ac:dyDescent="0.3">
      <c r="A3150" s="524" t="s">
        <v>508</v>
      </c>
      <c r="B3150" s="524" t="s">
        <v>1587</v>
      </c>
      <c r="C3150" s="525" t="s">
        <v>1588</v>
      </c>
      <c r="D3150" s="524" t="s">
        <v>1589</v>
      </c>
      <c r="E3150" s="524" t="s">
        <v>1590</v>
      </c>
      <c r="F3150" s="526">
        <v>50</v>
      </c>
      <c r="G3150" s="252">
        <f t="shared" ref="G3150:G3152" si="70">TRUNC(E3150*F3150,2)</f>
        <v>2.44</v>
      </c>
    </row>
    <row r="3151" spans="1:7" x14ac:dyDescent="0.3">
      <c r="A3151" s="524" t="s">
        <v>522</v>
      </c>
      <c r="B3151" s="524" t="s">
        <v>1579</v>
      </c>
      <c r="C3151" s="525" t="s">
        <v>1580</v>
      </c>
      <c r="D3151" s="524" t="s">
        <v>32</v>
      </c>
      <c r="E3151" s="607">
        <v>0.3</v>
      </c>
      <c r="F3151" s="526" t="s">
        <v>1582</v>
      </c>
      <c r="G3151" s="252">
        <f t="shared" si="70"/>
        <v>5.66</v>
      </c>
    </row>
    <row r="3152" spans="1:7" x14ac:dyDescent="0.3">
      <c r="A3152" s="524" t="s">
        <v>522</v>
      </c>
      <c r="B3152" s="524" t="s">
        <v>1359</v>
      </c>
      <c r="C3152" s="525" t="s">
        <v>801</v>
      </c>
      <c r="D3152" s="524" t="s">
        <v>32</v>
      </c>
      <c r="E3152" s="607">
        <v>0.11</v>
      </c>
      <c r="F3152" s="526" t="s">
        <v>1361</v>
      </c>
      <c r="G3152" s="252">
        <f t="shared" si="70"/>
        <v>1.58</v>
      </c>
    </row>
    <row r="3153" spans="1:7" x14ac:dyDescent="0.3">
      <c r="A3153" s="680" t="s">
        <v>1152</v>
      </c>
      <c r="B3153" s="681"/>
      <c r="C3153" s="681"/>
      <c r="D3153" s="681"/>
      <c r="E3153" s="681"/>
      <c r="F3153" s="682"/>
      <c r="G3153" s="527">
        <f>SUM(G3149:G3152)</f>
        <v>9.74</v>
      </c>
    </row>
    <row r="3154" spans="1:7" x14ac:dyDescent="0.3">
      <c r="A3154" s="683">
        <f>TRUNC(E3154*F3154,2)</f>
        <v>0</v>
      </c>
      <c r="B3154" s="684"/>
      <c r="C3154" s="684"/>
      <c r="D3154" s="684"/>
      <c r="E3154" s="684"/>
      <c r="F3154" s="684"/>
      <c r="G3154" s="685"/>
    </row>
    <row r="3155" spans="1:7" ht="28.8" x14ac:dyDescent="0.3">
      <c r="A3155" s="529" t="s">
        <v>166</v>
      </c>
      <c r="B3155" s="529">
        <v>88489</v>
      </c>
      <c r="C3155" s="530" t="s">
        <v>108</v>
      </c>
      <c r="D3155" s="529" t="s">
        <v>24</v>
      </c>
      <c r="E3155" s="252"/>
      <c r="F3155" s="531">
        <v>8.14</v>
      </c>
      <c r="G3155" s="252">
        <f t="shared" si="69"/>
        <v>0</v>
      </c>
    </row>
    <row r="3156" spans="1:7" x14ac:dyDescent="0.3">
      <c r="A3156" s="524" t="s">
        <v>508</v>
      </c>
      <c r="B3156" s="524" t="s">
        <v>1592</v>
      </c>
      <c r="C3156" s="525" t="s">
        <v>1593</v>
      </c>
      <c r="D3156" s="524" t="s">
        <v>1392</v>
      </c>
      <c r="E3156" s="606">
        <v>0.3</v>
      </c>
      <c r="F3156" s="526">
        <v>18</v>
      </c>
      <c r="G3156" s="252">
        <f t="shared" si="69"/>
        <v>5.4</v>
      </c>
    </row>
    <row r="3157" spans="1:7" x14ac:dyDescent="0.3">
      <c r="A3157" s="524" t="s">
        <v>522</v>
      </c>
      <c r="B3157" s="524" t="s">
        <v>1579</v>
      </c>
      <c r="C3157" s="525" t="s">
        <v>1580</v>
      </c>
      <c r="D3157" s="524" t="s">
        <v>32</v>
      </c>
      <c r="E3157" s="606">
        <v>0.1</v>
      </c>
      <c r="F3157" s="526" t="s">
        <v>1582</v>
      </c>
      <c r="G3157" s="252">
        <f t="shared" si="69"/>
        <v>1.88</v>
      </c>
    </row>
    <row r="3158" spans="1:7" x14ac:dyDescent="0.3">
      <c r="A3158" s="524" t="s">
        <v>522</v>
      </c>
      <c r="B3158" s="524" t="s">
        <v>1359</v>
      </c>
      <c r="C3158" s="525" t="s">
        <v>801</v>
      </c>
      <c r="D3158" s="524" t="s">
        <v>32</v>
      </c>
      <c r="E3158" s="524">
        <v>0.06</v>
      </c>
      <c r="F3158" s="526" t="s">
        <v>1361</v>
      </c>
      <c r="G3158" s="252">
        <f t="shared" si="69"/>
        <v>0.86</v>
      </c>
    </row>
    <row r="3159" spans="1:7" x14ac:dyDescent="0.3">
      <c r="A3159" s="680" t="s">
        <v>1152</v>
      </c>
      <c r="B3159" s="681"/>
      <c r="C3159" s="681"/>
      <c r="D3159" s="681"/>
      <c r="E3159" s="681"/>
      <c r="F3159" s="682"/>
      <c r="G3159" s="527">
        <f>SUM(G3155:G3158)</f>
        <v>8.14</v>
      </c>
    </row>
    <row r="3160" spans="1:7" x14ac:dyDescent="0.3">
      <c r="A3160" s="683">
        <f>TRUNC(E3160*F3160,2)</f>
        <v>0</v>
      </c>
      <c r="B3160" s="684"/>
      <c r="C3160" s="684"/>
      <c r="D3160" s="684"/>
      <c r="E3160" s="684"/>
      <c r="F3160" s="684"/>
      <c r="G3160" s="685"/>
    </row>
    <row r="3161" spans="1:7" x14ac:dyDescent="0.3">
      <c r="A3161" s="529" t="s">
        <v>167</v>
      </c>
      <c r="B3161" s="529" t="s">
        <v>364</v>
      </c>
      <c r="C3161" s="530" t="s">
        <v>365</v>
      </c>
      <c r="D3161" s="529" t="s">
        <v>24</v>
      </c>
      <c r="E3161" s="252"/>
      <c r="F3161" s="531">
        <v>19.04</v>
      </c>
      <c r="G3161" s="252">
        <f t="shared" si="69"/>
        <v>0</v>
      </c>
    </row>
    <row r="3162" spans="1:7" x14ac:dyDescent="0.3">
      <c r="A3162" s="524" t="s">
        <v>508</v>
      </c>
      <c r="B3162" s="529"/>
      <c r="C3162" s="530" t="s">
        <v>365</v>
      </c>
      <c r="D3162" s="529" t="s">
        <v>24</v>
      </c>
      <c r="E3162" s="524" t="s">
        <v>1594</v>
      </c>
      <c r="F3162" s="531">
        <v>19.04</v>
      </c>
      <c r="G3162" s="252">
        <f t="shared" si="69"/>
        <v>6.28</v>
      </c>
    </row>
    <row r="3163" spans="1:7" x14ac:dyDescent="0.3">
      <c r="A3163" s="524" t="s">
        <v>522</v>
      </c>
      <c r="B3163" s="524" t="s">
        <v>1579</v>
      </c>
      <c r="C3163" s="525" t="s">
        <v>1580</v>
      </c>
      <c r="D3163" s="524" t="s">
        <v>32</v>
      </c>
      <c r="E3163" s="606">
        <v>0.4</v>
      </c>
      <c r="F3163" s="526" t="s">
        <v>1582</v>
      </c>
      <c r="G3163" s="252">
        <f t="shared" si="69"/>
        <v>7.55</v>
      </c>
    </row>
    <row r="3164" spans="1:7" x14ac:dyDescent="0.3">
      <c r="A3164" s="524" t="s">
        <v>522</v>
      </c>
      <c r="B3164" s="524" t="s">
        <v>1359</v>
      </c>
      <c r="C3164" s="525" t="s">
        <v>801</v>
      </c>
      <c r="D3164" s="524" t="s">
        <v>32</v>
      </c>
      <c r="E3164" s="606">
        <v>0.36299999999999999</v>
      </c>
      <c r="F3164" s="526" t="s">
        <v>1361</v>
      </c>
      <c r="G3164" s="252">
        <f t="shared" si="69"/>
        <v>5.21</v>
      </c>
    </row>
    <row r="3165" spans="1:7" x14ac:dyDescent="0.3">
      <c r="A3165" s="680" t="s">
        <v>1152</v>
      </c>
      <c r="B3165" s="681"/>
      <c r="C3165" s="681"/>
      <c r="D3165" s="681"/>
      <c r="E3165" s="681"/>
      <c r="F3165" s="682"/>
      <c r="G3165" s="527">
        <f>SUM(G3161:G3164)</f>
        <v>19.04</v>
      </c>
    </row>
    <row r="3166" spans="1:7" x14ac:dyDescent="0.3">
      <c r="A3166" s="683">
        <f>TRUNC(E3166*F3166,2)</f>
        <v>0</v>
      </c>
      <c r="B3166" s="684"/>
      <c r="C3166" s="684"/>
      <c r="D3166" s="684"/>
      <c r="E3166" s="684"/>
      <c r="F3166" s="684"/>
      <c r="G3166" s="685"/>
    </row>
    <row r="3167" spans="1:7" x14ac:dyDescent="0.3">
      <c r="A3167" s="529" t="s">
        <v>169</v>
      </c>
      <c r="B3167" s="529" t="s">
        <v>109</v>
      </c>
      <c r="C3167" s="530" t="s">
        <v>110</v>
      </c>
      <c r="D3167" s="529" t="s">
        <v>24</v>
      </c>
      <c r="E3167" s="252"/>
      <c r="F3167" s="531">
        <v>12.4</v>
      </c>
      <c r="G3167" s="252">
        <f t="shared" si="69"/>
        <v>0</v>
      </c>
    </row>
    <row r="3168" spans="1:7" x14ac:dyDescent="0.3">
      <c r="A3168" s="524" t="s">
        <v>508</v>
      </c>
      <c r="B3168" s="524" t="s">
        <v>1584</v>
      </c>
      <c r="C3168" s="525" t="s">
        <v>1585</v>
      </c>
      <c r="D3168" s="524" t="s">
        <v>397</v>
      </c>
      <c r="E3168" s="524" t="s">
        <v>1596</v>
      </c>
      <c r="F3168" s="526" t="s">
        <v>1447</v>
      </c>
      <c r="G3168" s="252">
        <f t="shared" si="69"/>
        <v>0.26</v>
      </c>
    </row>
    <row r="3169" spans="1:7" x14ac:dyDescent="0.3">
      <c r="A3169" s="524" t="s">
        <v>508</v>
      </c>
      <c r="B3169" s="524" t="s">
        <v>1597</v>
      </c>
      <c r="C3169" s="525" t="s">
        <v>1598</v>
      </c>
      <c r="D3169" s="524" t="s">
        <v>1392</v>
      </c>
      <c r="E3169" s="524" t="s">
        <v>1599</v>
      </c>
      <c r="F3169" s="526" t="s">
        <v>1600</v>
      </c>
      <c r="G3169" s="252">
        <f t="shared" si="69"/>
        <v>0.49</v>
      </c>
    </row>
    <row r="3170" spans="1:7" x14ac:dyDescent="0.3">
      <c r="A3170" s="524" t="s">
        <v>508</v>
      </c>
      <c r="B3170" s="524" t="s">
        <v>1601</v>
      </c>
      <c r="C3170" s="525" t="s">
        <v>1602</v>
      </c>
      <c r="D3170" s="524" t="s">
        <v>1392</v>
      </c>
      <c r="E3170" s="524" t="s">
        <v>1603</v>
      </c>
      <c r="F3170" s="526" t="s">
        <v>911</v>
      </c>
      <c r="G3170" s="252">
        <f t="shared" si="69"/>
        <v>3.84</v>
      </c>
    </row>
    <row r="3171" spans="1:7" x14ac:dyDescent="0.3">
      <c r="A3171" s="524" t="s">
        <v>522</v>
      </c>
      <c r="B3171" s="524" t="s">
        <v>1579</v>
      </c>
      <c r="C3171" s="525" t="s">
        <v>1580</v>
      </c>
      <c r="D3171" s="524" t="s">
        <v>32</v>
      </c>
      <c r="E3171" s="607">
        <v>0.3</v>
      </c>
      <c r="F3171" s="526" t="s">
        <v>1582</v>
      </c>
      <c r="G3171" s="252">
        <f t="shared" si="69"/>
        <v>5.66</v>
      </c>
    </row>
    <row r="3172" spans="1:7" x14ac:dyDescent="0.3">
      <c r="A3172" s="524" t="s">
        <v>522</v>
      </c>
      <c r="B3172" s="524" t="s">
        <v>1359</v>
      </c>
      <c r="C3172" s="525" t="s">
        <v>801</v>
      </c>
      <c r="D3172" s="524" t="s">
        <v>32</v>
      </c>
      <c r="E3172" s="607">
        <v>0.15</v>
      </c>
      <c r="F3172" s="526" t="s">
        <v>1361</v>
      </c>
      <c r="G3172" s="252">
        <f t="shared" si="69"/>
        <v>2.15</v>
      </c>
    </row>
    <row r="3173" spans="1:7" x14ac:dyDescent="0.3">
      <c r="A3173" s="680" t="s">
        <v>1152</v>
      </c>
      <c r="B3173" s="681"/>
      <c r="C3173" s="681"/>
      <c r="D3173" s="681"/>
      <c r="E3173" s="681"/>
      <c r="F3173" s="682"/>
      <c r="G3173" s="527">
        <f>SUM(G3167:G3172)</f>
        <v>12.4</v>
      </c>
    </row>
    <row r="3174" spans="1:7" x14ac:dyDescent="0.3">
      <c r="A3174" s="683">
        <f>TRUNC(E3174*F3174,2)</f>
        <v>0</v>
      </c>
      <c r="B3174" s="684"/>
      <c r="C3174" s="684"/>
      <c r="D3174" s="684"/>
      <c r="E3174" s="684"/>
      <c r="F3174" s="684"/>
      <c r="G3174" s="685"/>
    </row>
    <row r="3175" spans="1:7" ht="28.8" x14ac:dyDescent="0.3">
      <c r="A3175" s="529" t="s">
        <v>171</v>
      </c>
      <c r="B3175" s="529">
        <v>100725</v>
      </c>
      <c r="C3175" s="530" t="s">
        <v>804</v>
      </c>
      <c r="D3175" s="529" t="s">
        <v>24</v>
      </c>
      <c r="E3175" s="252"/>
      <c r="F3175" s="531">
        <v>16.12</v>
      </c>
      <c r="G3175" s="252">
        <f t="shared" si="69"/>
        <v>0</v>
      </c>
    </row>
    <row r="3176" spans="1:7" x14ac:dyDescent="0.3">
      <c r="A3176" s="524" t="s">
        <v>508</v>
      </c>
      <c r="B3176" s="524" t="s">
        <v>1597</v>
      </c>
      <c r="C3176" s="525" t="s">
        <v>1598</v>
      </c>
      <c r="D3176" s="524" t="s">
        <v>1392</v>
      </c>
      <c r="E3176" s="524" t="s">
        <v>1604</v>
      </c>
      <c r="F3176" s="528" t="s">
        <v>1600</v>
      </c>
      <c r="G3176" s="252">
        <f t="shared" si="69"/>
        <v>0.77</v>
      </c>
    </row>
    <row r="3177" spans="1:7" x14ac:dyDescent="0.3">
      <c r="A3177" s="524" t="s">
        <v>508</v>
      </c>
      <c r="B3177" s="524" t="s">
        <v>1605</v>
      </c>
      <c r="C3177" s="525" t="s">
        <v>1606</v>
      </c>
      <c r="D3177" s="524" t="s">
        <v>1392</v>
      </c>
      <c r="E3177" s="524" t="s">
        <v>1607</v>
      </c>
      <c r="F3177" s="528" t="s">
        <v>1615</v>
      </c>
      <c r="G3177" s="252">
        <f t="shared" si="69"/>
        <v>5.16</v>
      </c>
    </row>
    <row r="3178" spans="1:7" x14ac:dyDescent="0.3">
      <c r="A3178" s="524" t="s">
        <v>522</v>
      </c>
      <c r="B3178" s="524" t="s">
        <v>1579</v>
      </c>
      <c r="C3178" s="525" t="s">
        <v>1580</v>
      </c>
      <c r="D3178" s="524" t="s">
        <v>32</v>
      </c>
      <c r="E3178" s="524" t="s">
        <v>1608</v>
      </c>
      <c r="F3178" s="528" t="s">
        <v>1582</v>
      </c>
      <c r="G3178" s="252">
        <f t="shared" si="69"/>
        <v>9.94</v>
      </c>
    </row>
    <row r="3179" spans="1:7" ht="43.2" x14ac:dyDescent="0.3">
      <c r="A3179" s="524" t="s">
        <v>522</v>
      </c>
      <c r="B3179" s="524" t="s">
        <v>1609</v>
      </c>
      <c r="C3179" s="525" t="s">
        <v>1610</v>
      </c>
      <c r="D3179" s="524" t="s">
        <v>1437</v>
      </c>
      <c r="E3179" s="524" t="s">
        <v>1611</v>
      </c>
      <c r="F3179" s="528" t="s">
        <v>1616</v>
      </c>
      <c r="G3179" s="252">
        <f t="shared" si="69"/>
        <v>0.05</v>
      </c>
    </row>
    <row r="3180" spans="1:7" ht="43.2" x14ac:dyDescent="0.3">
      <c r="A3180" s="524" t="s">
        <v>522</v>
      </c>
      <c r="B3180" s="524" t="s">
        <v>1612</v>
      </c>
      <c r="C3180" s="525" t="s">
        <v>1613</v>
      </c>
      <c r="D3180" s="524" t="s">
        <v>410</v>
      </c>
      <c r="E3180" s="524" t="s">
        <v>1614</v>
      </c>
      <c r="F3180" s="528" t="s">
        <v>1617</v>
      </c>
      <c r="G3180" s="252">
        <f t="shared" si="69"/>
        <v>0.2</v>
      </c>
    </row>
    <row r="3181" spans="1:7" x14ac:dyDescent="0.3">
      <c r="A3181" s="680" t="s">
        <v>1152</v>
      </c>
      <c r="B3181" s="681"/>
      <c r="C3181" s="681"/>
      <c r="D3181" s="681"/>
      <c r="E3181" s="681"/>
      <c r="F3181" s="682"/>
      <c r="G3181" s="527">
        <f>SUM(G3175:G3180)</f>
        <v>16.12</v>
      </c>
    </row>
    <row r="3182" spans="1:7" x14ac:dyDescent="0.3">
      <c r="A3182" s="683">
        <f>TRUNC(E3182*F3182,2)</f>
        <v>0</v>
      </c>
      <c r="B3182" s="684"/>
      <c r="C3182" s="684"/>
      <c r="D3182" s="684"/>
      <c r="E3182" s="684"/>
      <c r="F3182" s="684"/>
      <c r="G3182" s="685"/>
    </row>
    <row r="3183" spans="1:7" ht="28.8" x14ac:dyDescent="0.3">
      <c r="A3183" s="529" t="s">
        <v>173</v>
      </c>
      <c r="B3183" s="529">
        <v>100727</v>
      </c>
      <c r="C3183" s="530" t="s">
        <v>805</v>
      </c>
      <c r="D3183" s="529" t="s">
        <v>24</v>
      </c>
      <c r="E3183" s="252"/>
      <c r="F3183" s="531">
        <v>11.97</v>
      </c>
      <c r="G3183" s="252">
        <f t="shared" si="69"/>
        <v>0</v>
      </c>
    </row>
    <row r="3184" spans="1:7" x14ac:dyDescent="0.3">
      <c r="A3184" s="524" t="s">
        <v>508</v>
      </c>
      <c r="B3184" s="524" t="s">
        <v>1618</v>
      </c>
      <c r="C3184" s="525" t="s">
        <v>1619</v>
      </c>
      <c r="D3184" s="524" t="s">
        <v>1392</v>
      </c>
      <c r="E3184" s="524" t="s">
        <v>1620</v>
      </c>
      <c r="F3184" s="528" t="s">
        <v>1621</v>
      </c>
      <c r="G3184" s="252">
        <f t="shared" si="69"/>
        <v>1.08</v>
      </c>
    </row>
    <row r="3185" spans="1:7" x14ac:dyDescent="0.3">
      <c r="A3185" s="524" t="s">
        <v>508</v>
      </c>
      <c r="B3185" s="524" t="s">
        <v>1622</v>
      </c>
      <c r="C3185" s="525" t="s">
        <v>1623</v>
      </c>
      <c r="D3185" s="524" t="s">
        <v>1624</v>
      </c>
      <c r="E3185" s="524" t="s">
        <v>1625</v>
      </c>
      <c r="F3185" s="528" t="s">
        <v>1626</v>
      </c>
      <c r="G3185" s="252">
        <f t="shared" si="69"/>
        <v>9.6199999999999992</v>
      </c>
    </row>
    <row r="3186" spans="1:7" x14ac:dyDescent="0.3">
      <c r="A3186" s="524" t="s">
        <v>522</v>
      </c>
      <c r="B3186" s="524" t="s">
        <v>1627</v>
      </c>
      <c r="C3186" s="525" t="s">
        <v>1628</v>
      </c>
      <c r="D3186" s="524" t="s">
        <v>32</v>
      </c>
      <c r="E3186" s="524" t="s">
        <v>1629</v>
      </c>
      <c r="F3186" s="528" t="s">
        <v>1630</v>
      </c>
      <c r="G3186" s="252">
        <f t="shared" si="69"/>
        <v>1.25</v>
      </c>
    </row>
    <row r="3187" spans="1:7" ht="43.2" x14ac:dyDescent="0.3">
      <c r="A3187" s="524" t="s">
        <v>522</v>
      </c>
      <c r="B3187" s="524" t="s">
        <v>1612</v>
      </c>
      <c r="C3187" s="525" t="s">
        <v>1613</v>
      </c>
      <c r="D3187" s="524" t="s">
        <v>410</v>
      </c>
      <c r="E3187" s="524" t="s">
        <v>1631</v>
      </c>
      <c r="F3187" s="528" t="s">
        <v>1617</v>
      </c>
      <c r="G3187" s="252">
        <f t="shared" si="69"/>
        <v>0.02</v>
      </c>
    </row>
    <row r="3188" spans="1:7" x14ac:dyDescent="0.3">
      <c r="A3188" s="680" t="s">
        <v>1152</v>
      </c>
      <c r="B3188" s="681"/>
      <c r="C3188" s="681"/>
      <c r="D3188" s="681"/>
      <c r="E3188" s="681"/>
      <c r="F3188" s="682"/>
      <c r="G3188" s="527">
        <f>SUM(G3183:G3187)</f>
        <v>11.969999999999999</v>
      </c>
    </row>
    <row r="3189" spans="1:7" x14ac:dyDescent="0.3">
      <c r="A3189" s="693"/>
      <c r="B3189" s="694"/>
      <c r="C3189" s="694"/>
      <c r="D3189" s="694"/>
      <c r="E3189" s="694"/>
      <c r="F3189" s="694"/>
      <c r="G3189" s="695"/>
    </row>
    <row r="3190" spans="1:7" ht="28.8" x14ac:dyDescent="0.3">
      <c r="A3190" s="529" t="s">
        <v>175</v>
      </c>
      <c r="B3190" s="529">
        <v>88489</v>
      </c>
      <c r="C3190" s="530" t="s">
        <v>366</v>
      </c>
      <c r="D3190" s="529" t="s">
        <v>24</v>
      </c>
      <c r="E3190" s="252"/>
      <c r="F3190" s="531">
        <v>8.14</v>
      </c>
      <c r="G3190" s="252">
        <f t="shared" si="69"/>
        <v>0</v>
      </c>
    </row>
    <row r="3191" spans="1:7" x14ac:dyDescent="0.3">
      <c r="A3191" s="524" t="s">
        <v>508</v>
      </c>
      <c r="B3191" s="524" t="s">
        <v>1592</v>
      </c>
      <c r="C3191" s="525" t="s">
        <v>1593</v>
      </c>
      <c r="D3191" s="524" t="s">
        <v>1392</v>
      </c>
      <c r="E3191" s="606">
        <v>0.3</v>
      </c>
      <c r="F3191" s="526">
        <v>18</v>
      </c>
      <c r="G3191" s="252">
        <f t="shared" ref="G3191:G3193" si="71">TRUNC(E3191*F3191,2)</f>
        <v>5.4</v>
      </c>
    </row>
    <row r="3192" spans="1:7" x14ac:dyDescent="0.3">
      <c r="A3192" s="524" t="s">
        <v>522</v>
      </c>
      <c r="B3192" s="524" t="s">
        <v>1579</v>
      </c>
      <c r="C3192" s="525" t="s">
        <v>1580</v>
      </c>
      <c r="D3192" s="524" t="s">
        <v>32</v>
      </c>
      <c r="E3192" s="606">
        <v>0.1</v>
      </c>
      <c r="F3192" s="526" t="s">
        <v>1582</v>
      </c>
      <c r="G3192" s="252">
        <f t="shared" si="71"/>
        <v>1.88</v>
      </c>
    </row>
    <row r="3193" spans="1:7" x14ac:dyDescent="0.3">
      <c r="A3193" s="524" t="s">
        <v>522</v>
      </c>
      <c r="B3193" s="524" t="s">
        <v>1359</v>
      </c>
      <c r="C3193" s="525" t="s">
        <v>801</v>
      </c>
      <c r="D3193" s="524" t="s">
        <v>32</v>
      </c>
      <c r="E3193" s="524">
        <v>0.06</v>
      </c>
      <c r="F3193" s="526" t="s">
        <v>1361</v>
      </c>
      <c r="G3193" s="252">
        <f t="shared" si="71"/>
        <v>0.86</v>
      </c>
    </row>
    <row r="3194" spans="1:7" x14ac:dyDescent="0.3">
      <c r="A3194" s="680" t="s">
        <v>1152</v>
      </c>
      <c r="B3194" s="681"/>
      <c r="C3194" s="681"/>
      <c r="D3194" s="681"/>
      <c r="E3194" s="681"/>
      <c r="F3194" s="682"/>
      <c r="G3194" s="527">
        <f>SUM(G3190:G3193)</f>
        <v>8.14</v>
      </c>
    </row>
    <row r="3195" spans="1:7" x14ac:dyDescent="0.3">
      <c r="A3195" s="683">
        <f>TRUNC(E3195*F3195,2)</f>
        <v>0</v>
      </c>
      <c r="B3195" s="684"/>
      <c r="C3195" s="684"/>
      <c r="D3195" s="684"/>
      <c r="E3195" s="684"/>
      <c r="F3195" s="684"/>
      <c r="G3195" s="685"/>
    </row>
    <row r="3196" spans="1:7" x14ac:dyDescent="0.3">
      <c r="A3196" s="529" t="s">
        <v>177</v>
      </c>
      <c r="B3196" s="529" t="s">
        <v>334</v>
      </c>
      <c r="C3196" s="530" t="s">
        <v>113</v>
      </c>
      <c r="D3196" s="529" t="s">
        <v>24</v>
      </c>
      <c r="E3196" s="252"/>
      <c r="F3196" s="531">
        <v>15.01</v>
      </c>
      <c r="G3196" s="252">
        <f t="shared" si="69"/>
        <v>0</v>
      </c>
    </row>
    <row r="3197" spans="1:7" x14ac:dyDescent="0.3">
      <c r="A3197" s="524" t="s">
        <v>508</v>
      </c>
      <c r="B3197" s="529"/>
      <c r="C3197" s="530" t="s">
        <v>113</v>
      </c>
      <c r="D3197" s="529" t="s">
        <v>24</v>
      </c>
      <c r="E3197" s="607">
        <v>0.60699999999999998</v>
      </c>
      <c r="F3197" s="526">
        <v>13.8</v>
      </c>
      <c r="G3197" s="252">
        <f t="shared" si="69"/>
        <v>8.3699999999999992</v>
      </c>
    </row>
    <row r="3198" spans="1:7" x14ac:dyDescent="0.3">
      <c r="A3198" s="524" t="s">
        <v>522</v>
      </c>
      <c r="B3198" s="524" t="s">
        <v>1579</v>
      </c>
      <c r="C3198" s="525" t="s">
        <v>1580</v>
      </c>
      <c r="D3198" s="524" t="s">
        <v>32</v>
      </c>
      <c r="E3198" s="607">
        <v>0.2</v>
      </c>
      <c r="F3198" s="526" t="s">
        <v>1582</v>
      </c>
      <c r="G3198" s="252">
        <f t="shared" si="69"/>
        <v>3.77</v>
      </c>
    </row>
    <row r="3199" spans="1:7" x14ac:dyDescent="0.3">
      <c r="A3199" s="524" t="s">
        <v>522</v>
      </c>
      <c r="B3199" s="524" t="s">
        <v>1359</v>
      </c>
      <c r="C3199" s="525" t="s">
        <v>801</v>
      </c>
      <c r="D3199" s="524" t="s">
        <v>32</v>
      </c>
      <c r="E3199" s="607">
        <v>0.2</v>
      </c>
      <c r="F3199" s="526" t="s">
        <v>1361</v>
      </c>
      <c r="G3199" s="252">
        <f t="shared" si="69"/>
        <v>2.87</v>
      </c>
    </row>
    <row r="3200" spans="1:7" x14ac:dyDescent="0.3">
      <c r="A3200" s="680" t="s">
        <v>1152</v>
      </c>
      <c r="B3200" s="681"/>
      <c r="C3200" s="681"/>
      <c r="D3200" s="681"/>
      <c r="E3200" s="681"/>
      <c r="F3200" s="682"/>
      <c r="G3200" s="527">
        <f>SUM(G3196:G3199)</f>
        <v>15.009999999999998</v>
      </c>
    </row>
    <row r="3201" spans="1:7" x14ac:dyDescent="0.3">
      <c r="A3201" s="683">
        <f>TRUNC(E3201*F3201,2)</f>
        <v>0</v>
      </c>
      <c r="B3201" s="684"/>
      <c r="C3201" s="684"/>
      <c r="D3201" s="684"/>
      <c r="E3201" s="684"/>
      <c r="F3201" s="684"/>
      <c r="G3201" s="685"/>
    </row>
    <row r="3202" spans="1:7" x14ac:dyDescent="0.3">
      <c r="A3202" s="529" t="s">
        <v>186</v>
      </c>
      <c r="B3202" s="529"/>
      <c r="C3202" s="530" t="s">
        <v>117</v>
      </c>
      <c r="D3202" s="529"/>
      <c r="E3202" s="252"/>
      <c r="F3202" s="531"/>
      <c r="G3202" s="252">
        <f t="shared" si="69"/>
        <v>0</v>
      </c>
    </row>
    <row r="3203" spans="1:7" ht="28.8" x14ac:dyDescent="0.3">
      <c r="A3203" s="529" t="s">
        <v>188</v>
      </c>
      <c r="B3203" s="529">
        <v>91932</v>
      </c>
      <c r="C3203" s="530" t="s">
        <v>119</v>
      </c>
      <c r="D3203" s="529" t="s">
        <v>55</v>
      </c>
      <c r="E3203" s="252"/>
      <c r="F3203" s="531">
        <v>9.02</v>
      </c>
      <c r="G3203" s="252">
        <f t="shared" si="69"/>
        <v>0</v>
      </c>
    </row>
    <row r="3204" spans="1:7" ht="28.8" x14ac:dyDescent="0.3">
      <c r="A3204" s="524" t="s">
        <v>508</v>
      </c>
      <c r="B3204" s="524" t="s">
        <v>1637</v>
      </c>
      <c r="C3204" s="525" t="s">
        <v>1638</v>
      </c>
      <c r="D3204" s="524" t="s">
        <v>55</v>
      </c>
      <c r="E3204" s="524" t="s">
        <v>1639</v>
      </c>
      <c r="F3204" s="528" t="s">
        <v>1640</v>
      </c>
      <c r="G3204" s="252">
        <f t="shared" si="69"/>
        <v>7.41</v>
      </c>
    </row>
    <row r="3205" spans="1:7" x14ac:dyDescent="0.3">
      <c r="A3205" s="524" t="s">
        <v>508</v>
      </c>
      <c r="B3205" s="524" t="s">
        <v>1641</v>
      </c>
      <c r="C3205" s="525" t="s">
        <v>1642</v>
      </c>
      <c r="D3205" s="524" t="s">
        <v>397</v>
      </c>
      <c r="E3205" s="524" t="s">
        <v>1643</v>
      </c>
      <c r="F3205" s="528" t="s">
        <v>1644</v>
      </c>
      <c r="G3205" s="252">
        <f t="shared" si="69"/>
        <v>0.03</v>
      </c>
    </row>
    <row r="3206" spans="1:7" x14ac:dyDescent="0.3">
      <c r="A3206" s="524" t="s">
        <v>522</v>
      </c>
      <c r="B3206" s="524" t="s">
        <v>611</v>
      </c>
      <c r="C3206" s="525" t="s">
        <v>546</v>
      </c>
      <c r="D3206" s="524" t="s">
        <v>32</v>
      </c>
      <c r="E3206" s="524" t="s">
        <v>1645</v>
      </c>
      <c r="F3206" s="528" t="s">
        <v>1646</v>
      </c>
      <c r="G3206" s="252">
        <f t="shared" si="69"/>
        <v>1.1000000000000001</v>
      </c>
    </row>
    <row r="3207" spans="1:7" x14ac:dyDescent="0.3">
      <c r="A3207" s="524" t="s">
        <v>522</v>
      </c>
      <c r="B3207" s="524" t="s">
        <v>610</v>
      </c>
      <c r="C3207" s="525" t="s">
        <v>543</v>
      </c>
      <c r="D3207" s="524" t="s">
        <v>32</v>
      </c>
      <c r="E3207" s="524" t="s">
        <v>1645</v>
      </c>
      <c r="F3207" s="528" t="s">
        <v>1647</v>
      </c>
      <c r="G3207" s="252">
        <f t="shared" si="69"/>
        <v>1.41</v>
      </c>
    </row>
    <row r="3208" spans="1:7" x14ac:dyDescent="0.3">
      <c r="A3208" s="680" t="s">
        <v>1152</v>
      </c>
      <c r="B3208" s="681"/>
      <c r="C3208" s="681"/>
      <c r="D3208" s="681"/>
      <c r="E3208" s="681"/>
      <c r="F3208" s="682"/>
      <c r="G3208" s="527">
        <f>SUM(G3204:G3207)</f>
        <v>9.9500000000000011</v>
      </c>
    </row>
    <row r="3209" spans="1:7" x14ac:dyDescent="0.3">
      <c r="A3209" s="683">
        <f>TRUNC(E3209*F3209,2)</f>
        <v>0</v>
      </c>
      <c r="B3209" s="684"/>
      <c r="C3209" s="684"/>
      <c r="D3209" s="684"/>
      <c r="E3209" s="684"/>
      <c r="F3209" s="684"/>
      <c r="G3209" s="685"/>
    </row>
    <row r="3210" spans="1:7" ht="28.8" x14ac:dyDescent="0.3">
      <c r="A3210" s="529" t="s">
        <v>200</v>
      </c>
      <c r="B3210" s="529">
        <v>91930</v>
      </c>
      <c r="C3210" s="530" t="s">
        <v>121</v>
      </c>
      <c r="D3210" s="529" t="s">
        <v>55</v>
      </c>
      <c r="E3210" s="252"/>
      <c r="F3210" s="531">
        <v>5.5</v>
      </c>
      <c r="G3210" s="252">
        <f t="shared" si="69"/>
        <v>0</v>
      </c>
    </row>
    <row r="3211" spans="1:7" ht="28.8" x14ac:dyDescent="0.3">
      <c r="A3211" s="524" t="s">
        <v>508</v>
      </c>
      <c r="B3211" s="524" t="s">
        <v>1648</v>
      </c>
      <c r="C3211" s="525" t="s">
        <v>1649</v>
      </c>
      <c r="D3211" s="524" t="s">
        <v>55</v>
      </c>
      <c r="E3211" s="606">
        <v>1.036</v>
      </c>
      <c r="F3211" s="528" t="s">
        <v>1650</v>
      </c>
      <c r="G3211" s="252">
        <f t="shared" si="69"/>
        <v>3.78</v>
      </c>
    </row>
    <row r="3212" spans="1:7" x14ac:dyDescent="0.3">
      <c r="A3212" s="524" t="s">
        <v>508</v>
      </c>
      <c r="B3212" s="524" t="s">
        <v>1641</v>
      </c>
      <c r="C3212" s="525" t="s">
        <v>1642</v>
      </c>
      <c r="D3212" s="524" t="s">
        <v>397</v>
      </c>
      <c r="E3212" s="524" t="s">
        <v>1643</v>
      </c>
      <c r="F3212" s="528" t="s">
        <v>1644</v>
      </c>
      <c r="G3212" s="252">
        <f t="shared" si="69"/>
        <v>0.03</v>
      </c>
    </row>
    <row r="3213" spans="1:7" x14ac:dyDescent="0.3">
      <c r="A3213" s="524" t="s">
        <v>522</v>
      </c>
      <c r="B3213" s="524" t="s">
        <v>611</v>
      </c>
      <c r="C3213" s="525" t="s">
        <v>546</v>
      </c>
      <c r="D3213" s="524" t="s">
        <v>32</v>
      </c>
      <c r="E3213" s="524" t="s">
        <v>1651</v>
      </c>
      <c r="F3213" s="528" t="s">
        <v>1646</v>
      </c>
      <c r="G3213" s="252">
        <f t="shared" si="69"/>
        <v>0.74</v>
      </c>
    </row>
    <row r="3214" spans="1:7" x14ac:dyDescent="0.3">
      <c r="A3214" s="524" t="s">
        <v>522</v>
      </c>
      <c r="B3214" s="524" t="s">
        <v>610</v>
      </c>
      <c r="C3214" s="525" t="s">
        <v>543</v>
      </c>
      <c r="D3214" s="524" t="s">
        <v>32</v>
      </c>
      <c r="E3214" s="524" t="s">
        <v>1651</v>
      </c>
      <c r="F3214" s="528" t="s">
        <v>1647</v>
      </c>
      <c r="G3214" s="252">
        <f t="shared" si="69"/>
        <v>0.95</v>
      </c>
    </row>
    <row r="3215" spans="1:7" x14ac:dyDescent="0.3">
      <c r="A3215" s="680" t="s">
        <v>1152</v>
      </c>
      <c r="B3215" s="681"/>
      <c r="C3215" s="681"/>
      <c r="D3215" s="681"/>
      <c r="E3215" s="681"/>
      <c r="F3215" s="682"/>
      <c r="G3215" s="527">
        <f>SUM(G3210:G3214)</f>
        <v>5.5</v>
      </c>
    </row>
    <row r="3216" spans="1:7" x14ac:dyDescent="0.3">
      <c r="A3216" s="683">
        <f>TRUNC(E3216*F3216,2)</f>
        <v>0</v>
      </c>
      <c r="B3216" s="684"/>
      <c r="C3216" s="684"/>
      <c r="D3216" s="684"/>
      <c r="E3216" s="684"/>
      <c r="F3216" s="684"/>
      <c r="G3216" s="685"/>
    </row>
    <row r="3217" spans="1:7" ht="28.8" x14ac:dyDescent="0.3">
      <c r="A3217" s="529" t="s">
        <v>236</v>
      </c>
      <c r="B3217" s="529">
        <v>91928</v>
      </c>
      <c r="C3217" s="530" t="s">
        <v>123</v>
      </c>
      <c r="D3217" s="529" t="s">
        <v>55</v>
      </c>
      <c r="E3217" s="252"/>
      <c r="F3217" s="531">
        <v>4.42</v>
      </c>
      <c r="G3217" s="252">
        <f t="shared" si="69"/>
        <v>0</v>
      </c>
    </row>
    <row r="3218" spans="1:7" ht="28.8" x14ac:dyDescent="0.3">
      <c r="A3218" s="524" t="s">
        <v>508</v>
      </c>
      <c r="B3218" s="524" t="s">
        <v>1652</v>
      </c>
      <c r="C3218" s="525" t="s">
        <v>1653</v>
      </c>
      <c r="D3218" s="524" t="s">
        <v>55</v>
      </c>
      <c r="E3218" s="524" t="s">
        <v>1639</v>
      </c>
      <c r="F3218" s="528" t="s">
        <v>1654</v>
      </c>
      <c r="G3218" s="252">
        <f t="shared" si="69"/>
        <v>3.09</v>
      </c>
    </row>
    <row r="3219" spans="1:7" x14ac:dyDescent="0.3">
      <c r="A3219" s="524" t="s">
        <v>508</v>
      </c>
      <c r="B3219" s="524" t="s">
        <v>1641</v>
      </c>
      <c r="C3219" s="525" t="s">
        <v>1642</v>
      </c>
      <c r="D3219" s="524" t="s">
        <v>397</v>
      </c>
      <c r="E3219" s="524" t="s">
        <v>1643</v>
      </c>
      <c r="F3219" s="528" t="s">
        <v>1644</v>
      </c>
      <c r="G3219" s="252">
        <f t="shared" si="69"/>
        <v>0.03</v>
      </c>
    </row>
    <row r="3220" spans="1:7" x14ac:dyDescent="0.3">
      <c r="A3220" s="524" t="s">
        <v>522</v>
      </c>
      <c r="B3220" s="524" t="s">
        <v>611</v>
      </c>
      <c r="C3220" s="525" t="s">
        <v>546</v>
      </c>
      <c r="D3220" s="524" t="s">
        <v>32</v>
      </c>
      <c r="E3220" s="524" t="s">
        <v>1599</v>
      </c>
      <c r="F3220" s="528" t="s">
        <v>1646</v>
      </c>
      <c r="G3220" s="252">
        <f t="shared" si="69"/>
        <v>0.56999999999999995</v>
      </c>
    </row>
    <row r="3221" spans="1:7" x14ac:dyDescent="0.3">
      <c r="A3221" s="524" t="s">
        <v>522</v>
      </c>
      <c r="B3221" s="524" t="s">
        <v>610</v>
      </c>
      <c r="C3221" s="525" t="s">
        <v>543</v>
      </c>
      <c r="D3221" s="524" t="s">
        <v>32</v>
      </c>
      <c r="E3221" s="524" t="s">
        <v>1599</v>
      </c>
      <c r="F3221" s="528" t="s">
        <v>1647</v>
      </c>
      <c r="G3221" s="252">
        <f t="shared" si="69"/>
        <v>0.73</v>
      </c>
    </row>
    <row r="3222" spans="1:7" x14ac:dyDescent="0.3">
      <c r="A3222" s="680" t="s">
        <v>1152</v>
      </c>
      <c r="B3222" s="681"/>
      <c r="C3222" s="681"/>
      <c r="D3222" s="681"/>
      <c r="E3222" s="681"/>
      <c r="F3222" s="682"/>
      <c r="G3222" s="527">
        <f>SUM(G3218:G3221)</f>
        <v>4.42</v>
      </c>
    </row>
    <row r="3223" spans="1:7" x14ac:dyDescent="0.3">
      <c r="A3223" s="683">
        <f>TRUNC(E3223*F3223,2)</f>
        <v>0</v>
      </c>
      <c r="B3223" s="684"/>
      <c r="C3223" s="684"/>
      <c r="D3223" s="684"/>
      <c r="E3223" s="684"/>
      <c r="F3223" s="684"/>
      <c r="G3223" s="685"/>
    </row>
    <row r="3224" spans="1:7" ht="28.8" x14ac:dyDescent="0.3">
      <c r="A3224" s="529" t="s">
        <v>237</v>
      </c>
      <c r="B3224" s="529">
        <v>91927</v>
      </c>
      <c r="C3224" s="530" t="s">
        <v>125</v>
      </c>
      <c r="D3224" s="529" t="s">
        <v>55</v>
      </c>
      <c r="E3224" s="252"/>
      <c r="F3224" s="531">
        <v>3</v>
      </c>
      <c r="G3224" s="252">
        <f t="shared" si="69"/>
        <v>0</v>
      </c>
    </row>
    <row r="3225" spans="1:7" ht="43.2" x14ac:dyDescent="0.3">
      <c r="A3225" s="524" t="s">
        <v>508</v>
      </c>
      <c r="B3225" s="524" t="s">
        <v>1655</v>
      </c>
      <c r="C3225" s="525" t="s">
        <v>1656</v>
      </c>
      <c r="D3225" s="524" t="s">
        <v>55</v>
      </c>
      <c r="E3225" s="606">
        <v>1</v>
      </c>
      <c r="F3225" s="528">
        <v>2</v>
      </c>
      <c r="G3225" s="252">
        <f t="shared" si="69"/>
        <v>2</v>
      </c>
    </row>
    <row r="3226" spans="1:7" x14ac:dyDescent="0.3">
      <c r="A3226" s="524" t="s">
        <v>508</v>
      </c>
      <c r="B3226" s="524" t="s">
        <v>1641</v>
      </c>
      <c r="C3226" s="525" t="s">
        <v>1642</v>
      </c>
      <c r="D3226" s="524" t="s">
        <v>397</v>
      </c>
      <c r="E3226" s="524" t="s">
        <v>1643</v>
      </c>
      <c r="F3226" s="528" t="s">
        <v>1644</v>
      </c>
      <c r="G3226" s="252">
        <f t="shared" si="69"/>
        <v>0.03</v>
      </c>
    </row>
    <row r="3227" spans="1:7" x14ac:dyDescent="0.3">
      <c r="A3227" s="524" t="s">
        <v>522</v>
      </c>
      <c r="B3227" s="524" t="s">
        <v>611</v>
      </c>
      <c r="C3227" s="525" t="s">
        <v>546</v>
      </c>
      <c r="D3227" s="524" t="s">
        <v>32</v>
      </c>
      <c r="E3227" s="524" t="s">
        <v>1657</v>
      </c>
      <c r="F3227" s="528" t="s">
        <v>1646</v>
      </c>
      <c r="G3227" s="252">
        <f t="shared" si="69"/>
        <v>0.42</v>
      </c>
    </row>
    <row r="3228" spans="1:7" x14ac:dyDescent="0.3">
      <c r="A3228" s="524" t="s">
        <v>522</v>
      </c>
      <c r="B3228" s="524" t="s">
        <v>610</v>
      </c>
      <c r="C3228" s="525" t="s">
        <v>543</v>
      </c>
      <c r="D3228" s="524" t="s">
        <v>32</v>
      </c>
      <c r="E3228" s="524" t="s">
        <v>1657</v>
      </c>
      <c r="F3228" s="528" t="s">
        <v>1647</v>
      </c>
      <c r="G3228" s="252">
        <f t="shared" si="69"/>
        <v>0.55000000000000004</v>
      </c>
    </row>
    <row r="3229" spans="1:7" x14ac:dyDescent="0.3">
      <c r="A3229" s="680" t="s">
        <v>1152</v>
      </c>
      <c r="B3229" s="681"/>
      <c r="C3229" s="681"/>
      <c r="D3229" s="681"/>
      <c r="E3229" s="681"/>
      <c r="F3229" s="682"/>
      <c r="G3229" s="527">
        <f>SUM(G3225:G3228)</f>
        <v>3</v>
      </c>
    </row>
    <row r="3230" spans="1:7" x14ac:dyDescent="0.3">
      <c r="A3230" s="683">
        <f>TRUNC(E3230*F3230,2)</f>
        <v>0</v>
      </c>
      <c r="B3230" s="684"/>
      <c r="C3230" s="684"/>
      <c r="D3230" s="684"/>
      <c r="E3230" s="684"/>
      <c r="F3230" s="684"/>
      <c r="G3230" s="685"/>
    </row>
    <row r="3231" spans="1:7" ht="28.8" x14ac:dyDescent="0.3">
      <c r="A3231" s="529" t="s">
        <v>238</v>
      </c>
      <c r="B3231" s="529">
        <v>90447</v>
      </c>
      <c r="C3231" s="530" t="s">
        <v>127</v>
      </c>
      <c r="D3231" s="529" t="s">
        <v>55</v>
      </c>
      <c r="E3231" s="252"/>
      <c r="F3231" s="531">
        <v>4.45</v>
      </c>
      <c r="G3231" s="252">
        <f t="shared" si="69"/>
        <v>0</v>
      </c>
    </row>
    <row r="3232" spans="1:7" x14ac:dyDescent="0.3">
      <c r="A3232" s="524" t="s">
        <v>522</v>
      </c>
      <c r="B3232" s="524" t="s">
        <v>611</v>
      </c>
      <c r="C3232" s="525" t="s">
        <v>546</v>
      </c>
      <c r="D3232" s="524" t="s">
        <v>32</v>
      </c>
      <c r="E3232" s="524" t="s">
        <v>1658</v>
      </c>
      <c r="F3232" s="528" t="s">
        <v>1646</v>
      </c>
      <c r="G3232" s="252">
        <f t="shared" si="69"/>
        <v>0.48</v>
      </c>
    </row>
    <row r="3233" spans="1:7" x14ac:dyDescent="0.3">
      <c r="A3233" s="524" t="s">
        <v>522</v>
      </c>
      <c r="B3233" s="524" t="s">
        <v>610</v>
      </c>
      <c r="C3233" s="525" t="s">
        <v>543</v>
      </c>
      <c r="D3233" s="524" t="s">
        <v>32</v>
      </c>
      <c r="E3233" s="524" t="s">
        <v>1659</v>
      </c>
      <c r="F3233" s="528" t="s">
        <v>1647</v>
      </c>
      <c r="G3233" s="252">
        <f t="shared" si="69"/>
        <v>3.97</v>
      </c>
    </row>
    <row r="3234" spans="1:7" x14ac:dyDescent="0.3">
      <c r="A3234" s="680" t="s">
        <v>1152</v>
      </c>
      <c r="B3234" s="681"/>
      <c r="C3234" s="681"/>
      <c r="D3234" s="681"/>
      <c r="E3234" s="681"/>
      <c r="F3234" s="682"/>
      <c r="G3234" s="527">
        <f>SUM(G3230:G3233)</f>
        <v>4.45</v>
      </c>
    </row>
    <row r="3235" spans="1:7" x14ac:dyDescent="0.3">
      <c r="A3235" s="683">
        <f>TRUNC(E3235*F3235,2)</f>
        <v>0</v>
      </c>
      <c r="B3235" s="684"/>
      <c r="C3235" s="684"/>
      <c r="D3235" s="684"/>
      <c r="E3235" s="684"/>
      <c r="F3235" s="684"/>
      <c r="G3235" s="685"/>
    </row>
    <row r="3236" spans="1:7" ht="28.8" x14ac:dyDescent="0.3">
      <c r="A3236" s="529" t="s">
        <v>239</v>
      </c>
      <c r="B3236" s="529">
        <v>91836</v>
      </c>
      <c r="C3236" s="530" t="s">
        <v>130</v>
      </c>
      <c r="D3236" s="529" t="s">
        <v>55</v>
      </c>
      <c r="E3236" s="252"/>
      <c r="F3236" s="531">
        <v>7.55</v>
      </c>
      <c r="G3236" s="252">
        <f t="shared" si="69"/>
        <v>0</v>
      </c>
    </row>
    <row r="3237" spans="1:7" x14ac:dyDescent="0.3">
      <c r="A3237" s="524" t="s">
        <v>508</v>
      </c>
      <c r="B3237" s="524" t="s">
        <v>1660</v>
      </c>
      <c r="C3237" s="525" t="s">
        <v>1661</v>
      </c>
      <c r="D3237" s="524" t="s">
        <v>55</v>
      </c>
      <c r="E3237" s="524" t="s">
        <v>1662</v>
      </c>
      <c r="F3237" s="528" t="s">
        <v>1663</v>
      </c>
      <c r="G3237" s="252">
        <f t="shared" si="69"/>
        <v>2.46</v>
      </c>
    </row>
    <row r="3238" spans="1:7" x14ac:dyDescent="0.3">
      <c r="A3238" s="524" t="s">
        <v>522</v>
      </c>
      <c r="B3238" s="524" t="s">
        <v>611</v>
      </c>
      <c r="C3238" s="525" t="s">
        <v>546</v>
      </c>
      <c r="D3238" s="524" t="s">
        <v>32</v>
      </c>
      <c r="E3238" s="524" t="s">
        <v>1664</v>
      </c>
      <c r="F3238" s="528" t="s">
        <v>1646</v>
      </c>
      <c r="G3238" s="252">
        <f t="shared" si="69"/>
        <v>1.28</v>
      </c>
    </row>
    <row r="3239" spans="1:7" x14ac:dyDescent="0.3">
      <c r="A3239" s="524" t="s">
        <v>522</v>
      </c>
      <c r="B3239" s="524" t="s">
        <v>610</v>
      </c>
      <c r="C3239" s="525" t="s">
        <v>543</v>
      </c>
      <c r="D3239" s="524" t="s">
        <v>32</v>
      </c>
      <c r="E3239" s="524" t="s">
        <v>1664</v>
      </c>
      <c r="F3239" s="528" t="s">
        <v>1647</v>
      </c>
      <c r="G3239" s="252">
        <f t="shared" si="69"/>
        <v>1.65</v>
      </c>
    </row>
    <row r="3240" spans="1:7" ht="43.2" x14ac:dyDescent="0.3">
      <c r="A3240" s="524" t="s">
        <v>522</v>
      </c>
      <c r="B3240" s="524" t="s">
        <v>959</v>
      </c>
      <c r="C3240" s="525" t="s">
        <v>960</v>
      </c>
      <c r="D3240" s="524" t="s">
        <v>55</v>
      </c>
      <c r="E3240" s="524" t="s">
        <v>1122</v>
      </c>
      <c r="F3240" s="528" t="s">
        <v>962</v>
      </c>
      <c r="G3240" s="252">
        <f t="shared" si="69"/>
        <v>2.16</v>
      </c>
    </row>
    <row r="3241" spans="1:7" x14ac:dyDescent="0.3">
      <c r="A3241" s="680" t="s">
        <v>1152</v>
      </c>
      <c r="B3241" s="681"/>
      <c r="C3241" s="681"/>
      <c r="D3241" s="681"/>
      <c r="E3241" s="681"/>
      <c r="F3241" s="682"/>
      <c r="G3241" s="527">
        <f>SUM(G3237:G3240)</f>
        <v>7.5500000000000007</v>
      </c>
    </row>
    <row r="3242" spans="1:7" x14ac:dyDescent="0.3">
      <c r="A3242" s="683">
        <f>TRUNC(E3242*F3242,2)</f>
        <v>0</v>
      </c>
      <c r="B3242" s="684"/>
      <c r="C3242" s="684"/>
      <c r="D3242" s="684"/>
      <c r="E3242" s="684"/>
      <c r="F3242" s="684"/>
      <c r="G3242" s="685"/>
    </row>
    <row r="3243" spans="1:7" ht="28.8" x14ac:dyDescent="0.3">
      <c r="A3243" s="529" t="s">
        <v>240</v>
      </c>
      <c r="B3243" s="529">
        <v>91869</v>
      </c>
      <c r="C3243" s="530" t="s">
        <v>132</v>
      </c>
      <c r="D3243" s="529" t="s">
        <v>55</v>
      </c>
      <c r="E3243" s="252"/>
      <c r="F3243" s="531">
        <v>10.32</v>
      </c>
      <c r="G3243" s="252">
        <f t="shared" si="69"/>
        <v>0</v>
      </c>
    </row>
    <row r="3244" spans="1:7" x14ac:dyDescent="0.3">
      <c r="A3244" s="524" t="s">
        <v>508</v>
      </c>
      <c r="B3244" s="524" t="s">
        <v>1665</v>
      </c>
      <c r="C3244" s="525" t="s">
        <v>1666</v>
      </c>
      <c r="D3244" s="524" t="s">
        <v>55</v>
      </c>
      <c r="E3244" s="524" t="s">
        <v>1667</v>
      </c>
      <c r="F3244" s="528" t="s">
        <v>1668</v>
      </c>
      <c r="G3244" s="252">
        <f t="shared" si="69"/>
        <v>5.26</v>
      </c>
    </row>
    <row r="3245" spans="1:7" ht="28.8" x14ac:dyDescent="0.3">
      <c r="A3245" s="524" t="s">
        <v>508</v>
      </c>
      <c r="B3245" s="524" t="s">
        <v>1669</v>
      </c>
      <c r="C3245" s="525" t="s">
        <v>1670</v>
      </c>
      <c r="D3245" s="524" t="s">
        <v>426</v>
      </c>
      <c r="E3245" s="524" t="s">
        <v>1671</v>
      </c>
      <c r="F3245" s="528" t="s">
        <v>1672</v>
      </c>
      <c r="G3245" s="252">
        <f t="shared" si="69"/>
        <v>0.03</v>
      </c>
    </row>
    <row r="3246" spans="1:7" x14ac:dyDescent="0.3">
      <c r="A3246" s="524" t="s">
        <v>522</v>
      </c>
      <c r="B3246" s="524" t="s">
        <v>611</v>
      </c>
      <c r="C3246" s="525" t="s">
        <v>546</v>
      </c>
      <c r="D3246" s="524" t="s">
        <v>32</v>
      </c>
      <c r="E3246" s="524" t="s">
        <v>1673</v>
      </c>
      <c r="F3246" s="528" t="s">
        <v>1646</v>
      </c>
      <c r="G3246" s="252">
        <f t="shared" si="69"/>
        <v>2.2000000000000002</v>
      </c>
    </row>
    <row r="3247" spans="1:7" x14ac:dyDescent="0.3">
      <c r="A3247" s="524" t="s">
        <v>522</v>
      </c>
      <c r="B3247" s="524" t="s">
        <v>610</v>
      </c>
      <c r="C3247" s="525" t="s">
        <v>543</v>
      </c>
      <c r="D3247" s="524" t="s">
        <v>32</v>
      </c>
      <c r="E3247" s="524" t="s">
        <v>1673</v>
      </c>
      <c r="F3247" s="528" t="s">
        <v>1647</v>
      </c>
      <c r="G3247" s="252">
        <f t="shared" si="69"/>
        <v>2.83</v>
      </c>
    </row>
    <row r="3248" spans="1:7" x14ac:dyDescent="0.3">
      <c r="A3248" s="680" t="s">
        <v>1152</v>
      </c>
      <c r="B3248" s="681"/>
      <c r="C3248" s="681"/>
      <c r="D3248" s="681"/>
      <c r="E3248" s="681"/>
      <c r="F3248" s="682"/>
      <c r="G3248" s="527">
        <f>SUM(G3244:G3247)</f>
        <v>10.32</v>
      </c>
    </row>
    <row r="3249" spans="1:7" x14ac:dyDescent="0.3">
      <c r="A3249" s="683">
        <f>TRUNC(E3249*F3249,2)</f>
        <v>0</v>
      </c>
      <c r="B3249" s="684"/>
      <c r="C3249" s="684"/>
      <c r="D3249" s="684"/>
      <c r="E3249" s="684"/>
      <c r="F3249" s="684"/>
      <c r="G3249" s="685"/>
    </row>
    <row r="3250" spans="1:7" x14ac:dyDescent="0.3">
      <c r="A3250" s="529" t="s">
        <v>241</v>
      </c>
      <c r="B3250" s="529">
        <v>91990</v>
      </c>
      <c r="C3250" s="530" t="s">
        <v>134</v>
      </c>
      <c r="D3250" s="529" t="s">
        <v>44</v>
      </c>
      <c r="E3250" s="252"/>
      <c r="F3250" s="531">
        <v>21.81</v>
      </c>
      <c r="G3250" s="252">
        <f t="shared" si="69"/>
        <v>0</v>
      </c>
    </row>
    <row r="3251" spans="1:7" x14ac:dyDescent="0.3">
      <c r="A3251" s="524" t="s">
        <v>508</v>
      </c>
      <c r="B3251" s="524" t="s">
        <v>1674</v>
      </c>
      <c r="C3251" s="525" t="s">
        <v>1675</v>
      </c>
      <c r="D3251" s="524" t="s">
        <v>397</v>
      </c>
      <c r="E3251" s="524" t="s">
        <v>1122</v>
      </c>
      <c r="F3251" s="528" t="s">
        <v>1676</v>
      </c>
      <c r="G3251" s="252">
        <f t="shared" si="69"/>
        <v>4.5199999999999996</v>
      </c>
    </row>
    <row r="3252" spans="1:7" x14ac:dyDescent="0.3">
      <c r="A3252" s="524" t="s">
        <v>522</v>
      </c>
      <c r="B3252" s="524" t="s">
        <v>611</v>
      </c>
      <c r="C3252" s="525" t="s">
        <v>546</v>
      </c>
      <c r="D3252" s="524" t="s">
        <v>32</v>
      </c>
      <c r="E3252" s="524" t="s">
        <v>1677</v>
      </c>
      <c r="F3252" s="528" t="s">
        <v>1646</v>
      </c>
      <c r="G3252" s="252">
        <f t="shared" si="69"/>
        <v>7.1</v>
      </c>
    </row>
    <row r="3253" spans="1:7" x14ac:dyDescent="0.3">
      <c r="A3253" s="524" t="s">
        <v>522</v>
      </c>
      <c r="B3253" s="524" t="s">
        <v>610</v>
      </c>
      <c r="C3253" s="525" t="s">
        <v>543</v>
      </c>
      <c r="D3253" s="524" t="s">
        <v>32</v>
      </c>
      <c r="E3253" s="524" t="s">
        <v>1677</v>
      </c>
      <c r="F3253" s="528" t="s">
        <v>1647</v>
      </c>
      <c r="G3253" s="252">
        <f t="shared" si="69"/>
        <v>9.11</v>
      </c>
    </row>
    <row r="3254" spans="1:7" x14ac:dyDescent="0.3">
      <c r="A3254" s="680" t="s">
        <v>1152</v>
      </c>
      <c r="B3254" s="681"/>
      <c r="C3254" s="681"/>
      <c r="D3254" s="681"/>
      <c r="E3254" s="681"/>
      <c r="F3254" s="682"/>
      <c r="G3254" s="527">
        <f>SUM(G3250:G3253)</f>
        <v>20.729999999999997</v>
      </c>
    </row>
    <row r="3255" spans="1:7" x14ac:dyDescent="0.3">
      <c r="A3255" s="683">
        <f>TRUNC(E3255*F3255,2)</f>
        <v>0</v>
      </c>
      <c r="B3255" s="684"/>
      <c r="C3255" s="684"/>
      <c r="D3255" s="684"/>
      <c r="E3255" s="684"/>
      <c r="F3255" s="684"/>
      <c r="G3255" s="685"/>
    </row>
    <row r="3256" spans="1:7" x14ac:dyDescent="0.3">
      <c r="A3256" s="529" t="s">
        <v>242</v>
      </c>
      <c r="B3256" s="529">
        <v>91991</v>
      </c>
      <c r="C3256" s="530" t="s">
        <v>137</v>
      </c>
      <c r="D3256" s="529" t="s">
        <v>44</v>
      </c>
      <c r="E3256" s="252"/>
      <c r="F3256" s="531">
        <v>23.35</v>
      </c>
      <c r="G3256" s="252">
        <f t="shared" si="69"/>
        <v>0</v>
      </c>
    </row>
    <row r="3257" spans="1:7" x14ac:dyDescent="0.3">
      <c r="A3257" s="524" t="s">
        <v>508</v>
      </c>
      <c r="B3257" s="524" t="s">
        <v>1678</v>
      </c>
      <c r="C3257" s="525" t="s">
        <v>1679</v>
      </c>
      <c r="D3257" s="524" t="s">
        <v>397</v>
      </c>
      <c r="E3257" s="524" t="s">
        <v>1122</v>
      </c>
      <c r="F3257" s="528" t="s">
        <v>1680</v>
      </c>
      <c r="G3257" s="252">
        <f t="shared" si="69"/>
        <v>5.78</v>
      </c>
    </row>
    <row r="3258" spans="1:7" x14ac:dyDescent="0.3">
      <c r="A3258" s="524" t="s">
        <v>522</v>
      </c>
      <c r="B3258" s="524" t="s">
        <v>611</v>
      </c>
      <c r="C3258" s="525" t="s">
        <v>546</v>
      </c>
      <c r="D3258" s="524" t="s">
        <v>32</v>
      </c>
      <c r="E3258" s="524" t="s">
        <v>1677</v>
      </c>
      <c r="F3258" s="528" t="s">
        <v>1646</v>
      </c>
      <c r="G3258" s="252">
        <f t="shared" si="69"/>
        <v>7.1</v>
      </c>
    </row>
    <row r="3259" spans="1:7" x14ac:dyDescent="0.3">
      <c r="A3259" s="524" t="s">
        <v>522</v>
      </c>
      <c r="B3259" s="524" t="s">
        <v>610</v>
      </c>
      <c r="C3259" s="525" t="s">
        <v>543</v>
      </c>
      <c r="D3259" s="524" t="s">
        <v>32</v>
      </c>
      <c r="E3259" s="524" t="s">
        <v>1677</v>
      </c>
      <c r="F3259" s="528" t="s">
        <v>1647</v>
      </c>
      <c r="G3259" s="252">
        <f t="shared" si="69"/>
        <v>9.11</v>
      </c>
    </row>
    <row r="3260" spans="1:7" x14ac:dyDescent="0.3">
      <c r="A3260" s="680" t="s">
        <v>1152</v>
      </c>
      <c r="B3260" s="681"/>
      <c r="C3260" s="681"/>
      <c r="D3260" s="681"/>
      <c r="E3260" s="681"/>
      <c r="F3260" s="682"/>
      <c r="G3260" s="527">
        <f>SUM(G3256:G3259)</f>
        <v>21.99</v>
      </c>
    </row>
    <row r="3261" spans="1:7" x14ac:dyDescent="0.3">
      <c r="A3261" s="683">
        <f>TRUNC(E3261*F3261,2)</f>
        <v>0</v>
      </c>
      <c r="B3261" s="684"/>
      <c r="C3261" s="684"/>
      <c r="D3261" s="684"/>
      <c r="E3261" s="684"/>
      <c r="F3261" s="684"/>
      <c r="G3261" s="685"/>
    </row>
    <row r="3262" spans="1:7" ht="28.8" x14ac:dyDescent="0.3">
      <c r="A3262" s="529" t="s">
        <v>243</v>
      </c>
      <c r="B3262" s="529">
        <v>91953</v>
      </c>
      <c r="C3262" s="530" t="s">
        <v>139</v>
      </c>
      <c r="D3262" s="529" t="s">
        <v>44</v>
      </c>
      <c r="E3262" s="252"/>
      <c r="F3262" s="531">
        <v>16.14</v>
      </c>
      <c r="G3262" s="252">
        <f t="shared" si="69"/>
        <v>0</v>
      </c>
    </row>
    <row r="3263" spans="1:7" ht="28.8" x14ac:dyDescent="0.3">
      <c r="A3263" s="524" t="s">
        <v>522</v>
      </c>
      <c r="B3263" s="524" t="s">
        <v>1885</v>
      </c>
      <c r="C3263" s="525" t="s">
        <v>1886</v>
      </c>
      <c r="D3263" s="524" t="s">
        <v>397</v>
      </c>
      <c r="E3263" s="524" t="s">
        <v>1122</v>
      </c>
      <c r="F3263" s="528" t="s">
        <v>1887</v>
      </c>
      <c r="G3263" s="252">
        <f t="shared" si="69"/>
        <v>4.82</v>
      </c>
    </row>
    <row r="3264" spans="1:7" ht="28.8" x14ac:dyDescent="0.3">
      <c r="A3264" s="524" t="s">
        <v>522</v>
      </c>
      <c r="B3264" s="524" t="s">
        <v>1888</v>
      </c>
      <c r="C3264" s="525" t="s">
        <v>1889</v>
      </c>
      <c r="D3264" s="524" t="s">
        <v>397</v>
      </c>
      <c r="E3264" s="524" t="s">
        <v>1122</v>
      </c>
      <c r="F3264" s="528" t="s">
        <v>1890</v>
      </c>
      <c r="G3264" s="252">
        <f t="shared" si="69"/>
        <v>11.32</v>
      </c>
    </row>
    <row r="3265" spans="1:9" x14ac:dyDescent="0.3">
      <c r="A3265" s="680" t="s">
        <v>1152</v>
      </c>
      <c r="B3265" s="681"/>
      <c r="C3265" s="681"/>
      <c r="D3265" s="681"/>
      <c r="E3265" s="681"/>
      <c r="F3265" s="682"/>
      <c r="G3265" s="252">
        <f>SUM(G3262:G3264)</f>
        <v>16.14</v>
      </c>
    </row>
    <row r="3266" spans="1:9" x14ac:dyDescent="0.3">
      <c r="A3266" s="683">
        <f>TRUNC(E3266*F3266,2)</f>
        <v>0</v>
      </c>
      <c r="B3266" s="684"/>
      <c r="C3266" s="684"/>
      <c r="D3266" s="684"/>
      <c r="E3266" s="684"/>
      <c r="F3266" s="684"/>
      <c r="G3266" s="685"/>
    </row>
    <row r="3267" spans="1:9" ht="28.8" x14ac:dyDescent="0.3">
      <c r="A3267" s="529" t="s">
        <v>244</v>
      </c>
      <c r="B3267" s="529">
        <v>91959</v>
      </c>
      <c r="C3267" s="530" t="s">
        <v>140</v>
      </c>
      <c r="D3267" s="529" t="s">
        <v>44</v>
      </c>
      <c r="E3267" s="252"/>
      <c r="F3267" s="531">
        <v>25.5</v>
      </c>
      <c r="G3267" s="252">
        <f t="shared" si="69"/>
        <v>0</v>
      </c>
    </row>
    <row r="3268" spans="1:9" ht="28.8" x14ac:dyDescent="0.3">
      <c r="A3268" s="524" t="s">
        <v>522</v>
      </c>
      <c r="B3268" s="524" t="s">
        <v>1885</v>
      </c>
      <c r="C3268" s="525" t="s">
        <v>1886</v>
      </c>
      <c r="D3268" s="524" t="s">
        <v>397</v>
      </c>
      <c r="E3268" s="524" t="s">
        <v>1122</v>
      </c>
      <c r="F3268" s="528" t="s">
        <v>1887</v>
      </c>
      <c r="G3268" s="252">
        <f t="shared" si="69"/>
        <v>4.82</v>
      </c>
    </row>
    <row r="3269" spans="1:9" ht="28.8" x14ac:dyDescent="0.3">
      <c r="A3269" s="524" t="s">
        <v>522</v>
      </c>
      <c r="B3269" s="524" t="s">
        <v>1891</v>
      </c>
      <c r="C3269" s="525" t="s">
        <v>1892</v>
      </c>
      <c r="D3269" s="524" t="s">
        <v>397</v>
      </c>
      <c r="E3269" s="524" t="s">
        <v>1122</v>
      </c>
      <c r="F3269" s="528" t="s">
        <v>1893</v>
      </c>
      <c r="G3269" s="252">
        <f t="shared" si="69"/>
        <v>20.68</v>
      </c>
    </row>
    <row r="3270" spans="1:9" x14ac:dyDescent="0.3">
      <c r="A3270" s="680" t="s">
        <v>1152</v>
      </c>
      <c r="B3270" s="681"/>
      <c r="C3270" s="681"/>
      <c r="D3270" s="681"/>
      <c r="E3270" s="681"/>
      <c r="F3270" s="682"/>
      <c r="G3270" s="252">
        <f>SUM(G3267:G3269)</f>
        <v>25.5</v>
      </c>
    </row>
    <row r="3271" spans="1:9" x14ac:dyDescent="0.3">
      <c r="A3271" s="683">
        <f>TRUNC(E3271*F3271,2)</f>
        <v>0</v>
      </c>
      <c r="B3271" s="684"/>
      <c r="C3271" s="684"/>
      <c r="D3271" s="684"/>
      <c r="E3271" s="684"/>
      <c r="F3271" s="684"/>
      <c r="G3271" s="685"/>
    </row>
    <row r="3272" spans="1:9" ht="28.8" x14ac:dyDescent="0.3">
      <c r="A3272" s="529" t="s">
        <v>368</v>
      </c>
      <c r="B3272" s="529" t="s">
        <v>341</v>
      </c>
      <c r="C3272" s="530" t="s">
        <v>342</v>
      </c>
      <c r="D3272" s="529" t="s">
        <v>44</v>
      </c>
      <c r="E3272" s="252"/>
      <c r="F3272" s="531">
        <v>72.87</v>
      </c>
      <c r="G3272" s="252">
        <f t="shared" si="69"/>
        <v>0</v>
      </c>
    </row>
    <row r="3273" spans="1:9" x14ac:dyDescent="0.3">
      <c r="A3273" s="524" t="s">
        <v>508</v>
      </c>
      <c r="B3273" s="524" t="s">
        <v>2116</v>
      </c>
      <c r="C3273" s="525" t="s">
        <v>2117</v>
      </c>
      <c r="D3273" s="524" t="s">
        <v>397</v>
      </c>
      <c r="E3273" s="524" t="s">
        <v>1122</v>
      </c>
      <c r="F3273" s="526">
        <v>59.79</v>
      </c>
      <c r="G3273" s="252">
        <f t="shared" si="69"/>
        <v>59.79</v>
      </c>
    </row>
    <row r="3274" spans="1:9" x14ac:dyDescent="0.3">
      <c r="A3274" s="524" t="s">
        <v>522</v>
      </c>
      <c r="B3274" s="524" t="s">
        <v>611</v>
      </c>
      <c r="C3274" s="525" t="s">
        <v>546</v>
      </c>
      <c r="D3274" s="524" t="s">
        <v>32</v>
      </c>
      <c r="E3274" s="524" t="s">
        <v>1596</v>
      </c>
      <c r="F3274" s="526" t="s">
        <v>1646</v>
      </c>
      <c r="G3274" s="252">
        <f t="shared" si="69"/>
        <v>5.73</v>
      </c>
    </row>
    <row r="3275" spans="1:9" x14ac:dyDescent="0.3">
      <c r="A3275" s="524" t="s">
        <v>522</v>
      </c>
      <c r="B3275" s="524" t="s">
        <v>610</v>
      </c>
      <c r="C3275" s="525" t="s">
        <v>543</v>
      </c>
      <c r="D3275" s="524" t="s">
        <v>32</v>
      </c>
      <c r="E3275" s="524" t="s">
        <v>1596</v>
      </c>
      <c r="F3275" s="526" t="s">
        <v>1647</v>
      </c>
      <c r="G3275" s="252">
        <f t="shared" si="69"/>
        <v>7.35</v>
      </c>
    </row>
    <row r="3276" spans="1:9" x14ac:dyDescent="0.3">
      <c r="A3276" s="680" t="s">
        <v>1152</v>
      </c>
      <c r="B3276" s="681"/>
      <c r="C3276" s="681"/>
      <c r="D3276" s="681"/>
      <c r="E3276" s="681"/>
      <c r="F3276" s="682"/>
      <c r="G3276" s="252">
        <f>SUM(G3272:G3275)</f>
        <v>72.86999999999999</v>
      </c>
      <c r="I3276" s="211">
        <f>G3276-F3272</f>
        <v>0</v>
      </c>
    </row>
    <row r="3277" spans="1:9" x14ac:dyDescent="0.3">
      <c r="A3277" s="683">
        <f>TRUNC(E3277*F3277,2)</f>
        <v>0</v>
      </c>
      <c r="B3277" s="684"/>
      <c r="C3277" s="684"/>
      <c r="D3277" s="684"/>
      <c r="E3277" s="684"/>
      <c r="F3277" s="684"/>
      <c r="G3277" s="685"/>
      <c r="I3277">
        <v>65.58</v>
      </c>
    </row>
    <row r="3278" spans="1:9" x14ac:dyDescent="0.3">
      <c r="A3278" s="529" t="s">
        <v>339</v>
      </c>
      <c r="B3278" s="529" t="s">
        <v>344</v>
      </c>
      <c r="C3278" s="530" t="s">
        <v>345</v>
      </c>
      <c r="D3278" s="529" t="s">
        <v>44</v>
      </c>
      <c r="E3278" s="252"/>
      <c r="F3278" s="531">
        <v>50.66</v>
      </c>
      <c r="G3278" s="252">
        <f t="shared" si="69"/>
        <v>0</v>
      </c>
      <c r="I3278" s="211">
        <f>I3277-I3276</f>
        <v>65.58</v>
      </c>
    </row>
    <row r="3279" spans="1:9" x14ac:dyDescent="0.3">
      <c r="A3279" s="524" t="s">
        <v>508</v>
      </c>
      <c r="B3279" s="524" t="s">
        <v>2118</v>
      </c>
      <c r="C3279" s="525" t="s">
        <v>2119</v>
      </c>
      <c r="D3279" s="524" t="s">
        <v>397</v>
      </c>
      <c r="E3279" s="524" t="s">
        <v>1122</v>
      </c>
      <c r="F3279" s="526">
        <v>47.91</v>
      </c>
      <c r="G3279" s="252">
        <f t="shared" si="69"/>
        <v>47.91</v>
      </c>
    </row>
    <row r="3280" spans="1:9" x14ac:dyDescent="0.3">
      <c r="A3280" s="524" t="s">
        <v>522</v>
      </c>
      <c r="B3280" s="524" t="s">
        <v>610</v>
      </c>
      <c r="C3280" s="525" t="s">
        <v>543</v>
      </c>
      <c r="D3280" s="524" t="s">
        <v>32</v>
      </c>
      <c r="E3280" s="524" t="s">
        <v>2120</v>
      </c>
      <c r="F3280" s="526" t="s">
        <v>1647</v>
      </c>
      <c r="G3280" s="252">
        <f t="shared" si="69"/>
        <v>2.75</v>
      </c>
    </row>
    <row r="3281" spans="1:11" x14ac:dyDescent="0.3">
      <c r="A3281" s="680" t="s">
        <v>1152</v>
      </c>
      <c r="B3281" s="681"/>
      <c r="C3281" s="681"/>
      <c r="D3281" s="681"/>
      <c r="E3281" s="681"/>
      <c r="F3281" s="682"/>
      <c r="G3281" s="252">
        <f>SUM(G3277:G3280)</f>
        <v>50.66</v>
      </c>
      <c r="I3281" s="211">
        <f>G3281-F3278</f>
        <v>0</v>
      </c>
      <c r="J3281">
        <v>52.58</v>
      </c>
      <c r="K3281" s="211">
        <f>J3281-I3281</f>
        <v>52.58</v>
      </c>
    </row>
    <row r="3282" spans="1:11" x14ac:dyDescent="0.3">
      <c r="A3282" s="683">
        <f>TRUNC(E3282*F3282,2)</f>
        <v>0</v>
      </c>
      <c r="B3282" s="684"/>
      <c r="C3282" s="684"/>
      <c r="D3282" s="684"/>
      <c r="E3282" s="684"/>
      <c r="F3282" s="684"/>
      <c r="G3282" s="685"/>
    </row>
    <row r="3283" spans="1:11" ht="28.8" x14ac:dyDescent="0.3">
      <c r="A3283" s="529" t="s">
        <v>340</v>
      </c>
      <c r="B3283" s="529" t="s">
        <v>347</v>
      </c>
      <c r="C3283" s="530" t="s">
        <v>348</v>
      </c>
      <c r="D3283" s="529" t="s">
        <v>44</v>
      </c>
      <c r="E3283" s="252"/>
      <c r="F3283" s="531">
        <v>97.3</v>
      </c>
      <c r="G3283" s="252">
        <f t="shared" si="69"/>
        <v>0</v>
      </c>
    </row>
    <row r="3284" spans="1:11" x14ac:dyDescent="0.3">
      <c r="A3284" s="524" t="s">
        <v>508</v>
      </c>
      <c r="B3284" s="524" t="s">
        <v>2121</v>
      </c>
      <c r="C3284" s="525" t="s">
        <v>2122</v>
      </c>
      <c r="D3284" s="524" t="s">
        <v>397</v>
      </c>
      <c r="E3284" s="524" t="s">
        <v>1122</v>
      </c>
      <c r="F3284" s="526">
        <v>84.22</v>
      </c>
      <c r="G3284" s="252">
        <f t="shared" si="69"/>
        <v>84.22</v>
      </c>
    </row>
    <row r="3285" spans="1:11" x14ac:dyDescent="0.3">
      <c r="A3285" s="524" t="s">
        <v>522</v>
      </c>
      <c r="B3285" s="524" t="s">
        <v>611</v>
      </c>
      <c r="C3285" s="525" t="s">
        <v>546</v>
      </c>
      <c r="D3285" s="524" t="s">
        <v>32</v>
      </c>
      <c r="E3285" s="524" t="s">
        <v>1596</v>
      </c>
      <c r="F3285" s="526" t="s">
        <v>1646</v>
      </c>
      <c r="G3285" s="252">
        <f t="shared" si="69"/>
        <v>5.73</v>
      </c>
    </row>
    <row r="3286" spans="1:11" x14ac:dyDescent="0.3">
      <c r="A3286" s="524" t="s">
        <v>522</v>
      </c>
      <c r="B3286" s="524" t="s">
        <v>610</v>
      </c>
      <c r="C3286" s="525" t="s">
        <v>543</v>
      </c>
      <c r="D3286" s="524" t="s">
        <v>32</v>
      </c>
      <c r="E3286" s="524" t="s">
        <v>1596</v>
      </c>
      <c r="F3286" s="526" t="s">
        <v>1647</v>
      </c>
      <c r="G3286" s="252">
        <f t="shared" si="69"/>
        <v>7.35</v>
      </c>
    </row>
    <row r="3287" spans="1:11" x14ac:dyDescent="0.3">
      <c r="A3287" s="680" t="s">
        <v>1152</v>
      </c>
      <c r="B3287" s="681"/>
      <c r="C3287" s="681"/>
      <c r="D3287" s="681"/>
      <c r="E3287" s="681"/>
      <c r="F3287" s="682"/>
      <c r="G3287" s="252">
        <f>SUM(G3283:G3286)</f>
        <v>97.3</v>
      </c>
      <c r="I3287">
        <v>105.48</v>
      </c>
      <c r="J3287" s="215">
        <f>I3287-F3283</f>
        <v>8.1800000000000068</v>
      </c>
    </row>
    <row r="3288" spans="1:11" x14ac:dyDescent="0.3">
      <c r="A3288" s="683">
        <f>TRUNC(E3288*F3288,2)</f>
        <v>0</v>
      </c>
      <c r="B3288" s="684"/>
      <c r="C3288" s="684"/>
      <c r="D3288" s="684"/>
      <c r="E3288" s="684"/>
      <c r="F3288" s="684"/>
      <c r="G3288" s="685"/>
      <c r="J3288" s="215">
        <v>92.4</v>
      </c>
    </row>
    <row r="3289" spans="1:11" ht="28.8" x14ac:dyDescent="0.3">
      <c r="A3289" s="529" t="s">
        <v>343</v>
      </c>
      <c r="B3289" s="529" t="s">
        <v>349</v>
      </c>
      <c r="C3289" s="530" t="s">
        <v>350</v>
      </c>
      <c r="D3289" s="529" t="s">
        <v>44</v>
      </c>
      <c r="E3289" s="252"/>
      <c r="F3289" s="531">
        <v>11.2</v>
      </c>
      <c r="G3289" s="252">
        <f t="shared" si="69"/>
        <v>0</v>
      </c>
    </row>
    <row r="3290" spans="1:11" x14ac:dyDescent="0.3">
      <c r="A3290" s="524" t="s">
        <v>508</v>
      </c>
      <c r="B3290" s="524" t="s">
        <v>2123</v>
      </c>
      <c r="C3290" s="525" t="s">
        <v>2124</v>
      </c>
      <c r="D3290" s="524" t="s">
        <v>397</v>
      </c>
      <c r="E3290" s="524" t="s">
        <v>1122</v>
      </c>
      <c r="F3290" s="526">
        <v>8.91</v>
      </c>
      <c r="G3290" s="252">
        <f t="shared" si="69"/>
        <v>8.91</v>
      </c>
    </row>
    <row r="3291" spans="1:11" x14ac:dyDescent="0.3">
      <c r="A3291" s="524" t="s">
        <v>522</v>
      </c>
      <c r="B3291" s="524" t="s">
        <v>610</v>
      </c>
      <c r="C3291" s="525" t="s">
        <v>543</v>
      </c>
      <c r="D3291" s="524" t="s">
        <v>32</v>
      </c>
      <c r="E3291" s="524" t="s">
        <v>2125</v>
      </c>
      <c r="F3291" s="526" t="s">
        <v>1647</v>
      </c>
      <c r="G3291" s="252">
        <f t="shared" si="69"/>
        <v>2.29</v>
      </c>
    </row>
    <row r="3292" spans="1:11" x14ac:dyDescent="0.3">
      <c r="A3292" s="680" t="s">
        <v>1152</v>
      </c>
      <c r="B3292" s="681"/>
      <c r="C3292" s="681"/>
      <c r="D3292" s="681"/>
      <c r="E3292" s="681"/>
      <c r="F3292" s="682"/>
      <c r="G3292" s="252">
        <f>SUM(G3289:G3291)</f>
        <v>11.2</v>
      </c>
    </row>
    <row r="3293" spans="1:11" x14ac:dyDescent="0.3">
      <c r="A3293" s="683">
        <f>TRUNC(E3293*F3293,2)</f>
        <v>0</v>
      </c>
      <c r="B3293" s="684"/>
      <c r="C3293" s="684"/>
      <c r="D3293" s="684"/>
      <c r="E3293" s="684"/>
      <c r="F3293" s="684"/>
      <c r="G3293" s="685"/>
    </row>
    <row r="3294" spans="1:11" ht="28.8" x14ac:dyDescent="0.3">
      <c r="A3294" s="529" t="s">
        <v>346</v>
      </c>
      <c r="B3294" s="529" t="s">
        <v>369</v>
      </c>
      <c r="C3294" s="530" t="s">
        <v>370</v>
      </c>
      <c r="D3294" s="529" t="s">
        <v>44</v>
      </c>
      <c r="E3294" s="252"/>
      <c r="F3294" s="531">
        <v>432.24</v>
      </c>
      <c r="G3294" s="252">
        <f t="shared" si="69"/>
        <v>0</v>
      </c>
    </row>
    <row r="3295" spans="1:11" x14ac:dyDescent="0.3">
      <c r="A3295" s="524" t="s">
        <v>508</v>
      </c>
      <c r="B3295" s="524" t="s">
        <v>2126</v>
      </c>
      <c r="C3295" s="525" t="s">
        <v>2127</v>
      </c>
      <c r="D3295" s="524" t="s">
        <v>397</v>
      </c>
      <c r="E3295" s="524" t="s">
        <v>1122</v>
      </c>
      <c r="F3295" s="526">
        <v>419.16</v>
      </c>
      <c r="G3295" s="252">
        <f t="shared" si="69"/>
        <v>419.16</v>
      </c>
    </row>
    <row r="3296" spans="1:11" x14ac:dyDescent="0.3">
      <c r="A3296" s="524" t="s">
        <v>522</v>
      </c>
      <c r="B3296" s="524" t="s">
        <v>611</v>
      </c>
      <c r="C3296" s="525" t="s">
        <v>546</v>
      </c>
      <c r="D3296" s="524" t="s">
        <v>32</v>
      </c>
      <c r="E3296" s="524" t="s">
        <v>1596</v>
      </c>
      <c r="F3296" s="526" t="s">
        <v>1646</v>
      </c>
      <c r="G3296" s="252">
        <f t="shared" si="69"/>
        <v>5.73</v>
      </c>
    </row>
    <row r="3297" spans="1:10" x14ac:dyDescent="0.3">
      <c r="A3297" s="524" t="s">
        <v>522</v>
      </c>
      <c r="B3297" s="524" t="s">
        <v>610</v>
      </c>
      <c r="C3297" s="525" t="s">
        <v>543</v>
      </c>
      <c r="D3297" s="524" t="s">
        <v>32</v>
      </c>
      <c r="E3297" s="524" t="s">
        <v>1596</v>
      </c>
      <c r="F3297" s="526" t="s">
        <v>1647</v>
      </c>
      <c r="G3297" s="252">
        <f t="shared" si="69"/>
        <v>7.35</v>
      </c>
    </row>
    <row r="3298" spans="1:10" x14ac:dyDescent="0.3">
      <c r="A3298" s="680" t="s">
        <v>1152</v>
      </c>
      <c r="B3298" s="681"/>
      <c r="C3298" s="681"/>
      <c r="D3298" s="681"/>
      <c r="E3298" s="681"/>
      <c r="F3298" s="682"/>
      <c r="G3298" s="252">
        <f>SUM(G3294:G3297)</f>
        <v>432.24000000000007</v>
      </c>
      <c r="I3298">
        <v>473.16</v>
      </c>
      <c r="J3298" s="211">
        <f>I3298-F3294</f>
        <v>40.920000000000016</v>
      </c>
    </row>
    <row r="3299" spans="1:10" x14ac:dyDescent="0.3">
      <c r="A3299" s="683">
        <f>TRUNC(E3299*F3299,2)</f>
        <v>0</v>
      </c>
      <c r="B3299" s="684"/>
      <c r="C3299" s="684"/>
      <c r="D3299" s="684"/>
      <c r="E3299" s="684"/>
      <c r="F3299" s="684"/>
      <c r="G3299" s="685"/>
      <c r="J3299">
        <v>460.08</v>
      </c>
    </row>
    <row r="3300" spans="1:10" ht="28.8" x14ac:dyDescent="0.3">
      <c r="A3300" s="529" t="s">
        <v>245</v>
      </c>
      <c r="B3300" s="529">
        <v>91944</v>
      </c>
      <c r="C3300" s="530" t="s">
        <v>151</v>
      </c>
      <c r="D3300" s="529" t="s">
        <v>44</v>
      </c>
      <c r="E3300" s="252"/>
      <c r="F3300" s="531">
        <v>9.06</v>
      </c>
      <c r="G3300" s="252">
        <f t="shared" si="69"/>
        <v>0</v>
      </c>
    </row>
    <row r="3301" spans="1:10" x14ac:dyDescent="0.3">
      <c r="A3301" s="524" t="s">
        <v>508</v>
      </c>
      <c r="B3301" s="524" t="s">
        <v>1923</v>
      </c>
      <c r="C3301" s="525" t="s">
        <v>1924</v>
      </c>
      <c r="D3301" s="524" t="s">
        <v>397</v>
      </c>
      <c r="E3301" s="524" t="s">
        <v>1122</v>
      </c>
      <c r="F3301" s="528">
        <v>3.13</v>
      </c>
      <c r="G3301" s="252">
        <f t="shared" si="69"/>
        <v>3.13</v>
      </c>
    </row>
    <row r="3302" spans="1:10" x14ac:dyDescent="0.3">
      <c r="A3302" s="524" t="s">
        <v>522</v>
      </c>
      <c r="B3302" s="524" t="s">
        <v>611</v>
      </c>
      <c r="C3302" s="525" t="s">
        <v>546</v>
      </c>
      <c r="D3302" s="524" t="s">
        <v>32</v>
      </c>
      <c r="E3302" s="524" t="s">
        <v>1925</v>
      </c>
      <c r="F3302" s="528" t="s">
        <v>1646</v>
      </c>
      <c r="G3302" s="252">
        <f t="shared" si="69"/>
        <v>2.37</v>
      </c>
    </row>
    <row r="3303" spans="1:10" x14ac:dyDescent="0.3">
      <c r="A3303" s="524" t="s">
        <v>522</v>
      </c>
      <c r="B3303" s="524" t="s">
        <v>610</v>
      </c>
      <c r="C3303" s="525" t="s">
        <v>543</v>
      </c>
      <c r="D3303" s="524" t="s">
        <v>32</v>
      </c>
      <c r="E3303" s="524" t="s">
        <v>1925</v>
      </c>
      <c r="F3303" s="528" t="s">
        <v>1647</v>
      </c>
      <c r="G3303" s="252">
        <f t="shared" si="69"/>
        <v>3.05</v>
      </c>
    </row>
    <row r="3304" spans="1:10" ht="28.8" x14ac:dyDescent="0.3">
      <c r="A3304" s="524" t="s">
        <v>522</v>
      </c>
      <c r="B3304" s="524" t="s">
        <v>1685</v>
      </c>
      <c r="C3304" s="525" t="s">
        <v>1686</v>
      </c>
      <c r="D3304" s="524" t="s">
        <v>41</v>
      </c>
      <c r="E3304" s="524" t="s">
        <v>1926</v>
      </c>
      <c r="F3304" s="528" t="s">
        <v>1688</v>
      </c>
      <c r="G3304" s="252">
        <f t="shared" si="69"/>
        <v>0.51</v>
      </c>
    </row>
    <row r="3305" spans="1:10" x14ac:dyDescent="0.3">
      <c r="A3305" s="680" t="s">
        <v>1152</v>
      </c>
      <c r="B3305" s="681"/>
      <c r="C3305" s="681"/>
      <c r="D3305" s="681"/>
      <c r="E3305" s="681"/>
      <c r="F3305" s="682"/>
      <c r="G3305" s="527">
        <f>SUM(G3301:G3304)</f>
        <v>9.06</v>
      </c>
    </row>
    <row r="3306" spans="1:10" x14ac:dyDescent="0.3">
      <c r="A3306" s="683">
        <f>TRUNC(E3306*F3306,2)</f>
        <v>0</v>
      </c>
      <c r="B3306" s="684"/>
      <c r="C3306" s="684"/>
      <c r="D3306" s="684"/>
      <c r="E3306" s="684"/>
      <c r="F3306" s="684"/>
      <c r="G3306" s="685"/>
    </row>
    <row r="3307" spans="1:10" ht="43.2" x14ac:dyDescent="0.3">
      <c r="A3307" s="529" t="s">
        <v>246</v>
      </c>
      <c r="B3307" s="529">
        <v>83463</v>
      </c>
      <c r="C3307" s="530" t="s">
        <v>152</v>
      </c>
      <c r="D3307" s="529" t="s">
        <v>44</v>
      </c>
      <c r="E3307" s="252"/>
      <c r="F3307" s="531">
        <v>356.52</v>
      </c>
      <c r="G3307" s="252">
        <f t="shared" si="69"/>
        <v>0</v>
      </c>
    </row>
    <row r="3308" spans="1:10" ht="28.8" x14ac:dyDescent="0.3">
      <c r="A3308" s="524" t="s">
        <v>508</v>
      </c>
      <c r="B3308" s="524" t="s">
        <v>1927</v>
      </c>
      <c r="C3308" s="525" t="s">
        <v>1928</v>
      </c>
      <c r="D3308" s="524" t="s">
        <v>397</v>
      </c>
      <c r="E3308" s="524" t="s">
        <v>1122</v>
      </c>
      <c r="F3308" s="528" t="s">
        <v>1929</v>
      </c>
      <c r="G3308" s="252">
        <f t="shared" si="69"/>
        <v>291.10000000000002</v>
      </c>
    </row>
    <row r="3309" spans="1:10" x14ac:dyDescent="0.3">
      <c r="A3309" s="524" t="s">
        <v>522</v>
      </c>
      <c r="B3309" s="524" t="s">
        <v>611</v>
      </c>
      <c r="C3309" s="525" t="s">
        <v>546</v>
      </c>
      <c r="D3309" s="524" t="s">
        <v>32</v>
      </c>
      <c r="E3309" s="524" t="s">
        <v>1523</v>
      </c>
      <c r="F3309" s="528" t="s">
        <v>1646</v>
      </c>
      <c r="G3309" s="252">
        <f t="shared" si="69"/>
        <v>28.66</v>
      </c>
    </row>
    <row r="3310" spans="1:10" x14ac:dyDescent="0.3">
      <c r="A3310" s="524" t="s">
        <v>522</v>
      </c>
      <c r="B3310" s="524" t="s">
        <v>610</v>
      </c>
      <c r="C3310" s="525" t="s">
        <v>543</v>
      </c>
      <c r="D3310" s="524" t="s">
        <v>32</v>
      </c>
      <c r="E3310" s="524" t="s">
        <v>1523</v>
      </c>
      <c r="F3310" s="528" t="s">
        <v>1647</v>
      </c>
      <c r="G3310" s="252">
        <f t="shared" si="69"/>
        <v>36.76</v>
      </c>
    </row>
    <row r="3311" spans="1:10" x14ac:dyDescent="0.3">
      <c r="A3311" s="680" t="s">
        <v>1152</v>
      </c>
      <c r="B3311" s="681"/>
      <c r="C3311" s="681"/>
      <c r="D3311" s="681"/>
      <c r="E3311" s="681"/>
      <c r="F3311" s="682"/>
      <c r="G3311" s="527">
        <f>SUM(G3307:G3310)</f>
        <v>356.52000000000004</v>
      </c>
    </row>
    <row r="3312" spans="1:10" x14ac:dyDescent="0.3">
      <c r="A3312" s="683">
        <f>TRUNC(E3312*F3312,2)</f>
        <v>0</v>
      </c>
      <c r="B3312" s="684"/>
      <c r="C3312" s="684"/>
      <c r="D3312" s="684"/>
      <c r="E3312" s="684"/>
      <c r="F3312" s="684"/>
      <c r="G3312" s="685"/>
    </row>
    <row r="3313" spans="1:7" ht="43.2" x14ac:dyDescent="0.3">
      <c r="A3313" s="529" t="s">
        <v>247</v>
      </c>
      <c r="B3313" s="529" t="s">
        <v>153</v>
      </c>
      <c r="C3313" s="530" t="s">
        <v>154</v>
      </c>
      <c r="D3313" s="529" t="s">
        <v>44</v>
      </c>
      <c r="E3313" s="252"/>
      <c r="F3313" s="531">
        <v>606.13</v>
      </c>
      <c r="G3313" s="252">
        <f t="shared" si="69"/>
        <v>0</v>
      </c>
    </row>
    <row r="3314" spans="1:7" ht="28.8" x14ac:dyDescent="0.3">
      <c r="A3314" s="524" t="s">
        <v>508</v>
      </c>
      <c r="B3314" s="524" t="s">
        <v>1930</v>
      </c>
      <c r="C3314" s="525" t="s">
        <v>1931</v>
      </c>
      <c r="D3314" s="524" t="s">
        <v>397</v>
      </c>
      <c r="E3314" s="524" t="s">
        <v>1122</v>
      </c>
      <c r="F3314" s="528" t="s">
        <v>1932</v>
      </c>
      <c r="G3314" s="252">
        <f t="shared" ref="G3314:G3316" si="72">TRUNC(E3314*F3314,2)</f>
        <v>491.65</v>
      </c>
    </row>
    <row r="3315" spans="1:7" x14ac:dyDescent="0.3">
      <c r="A3315" s="524" t="s">
        <v>522</v>
      </c>
      <c r="B3315" s="524" t="s">
        <v>611</v>
      </c>
      <c r="C3315" s="525" t="s">
        <v>546</v>
      </c>
      <c r="D3315" s="524" t="s">
        <v>32</v>
      </c>
      <c r="E3315" s="524" t="s">
        <v>1933</v>
      </c>
      <c r="F3315" s="528" t="s">
        <v>1646</v>
      </c>
      <c r="G3315" s="252">
        <f t="shared" si="72"/>
        <v>50.15</v>
      </c>
    </row>
    <row r="3316" spans="1:7" x14ac:dyDescent="0.3">
      <c r="A3316" s="524" t="s">
        <v>522</v>
      </c>
      <c r="B3316" s="524" t="s">
        <v>610</v>
      </c>
      <c r="C3316" s="525" t="s">
        <v>543</v>
      </c>
      <c r="D3316" s="524" t="s">
        <v>32</v>
      </c>
      <c r="E3316" s="524" t="s">
        <v>1933</v>
      </c>
      <c r="F3316" s="528" t="s">
        <v>1647</v>
      </c>
      <c r="G3316" s="252">
        <f t="shared" si="72"/>
        <v>64.33</v>
      </c>
    </row>
    <row r="3317" spans="1:7" x14ac:dyDescent="0.3">
      <c r="A3317" s="680" t="s">
        <v>1152</v>
      </c>
      <c r="B3317" s="681"/>
      <c r="C3317" s="681"/>
      <c r="D3317" s="681"/>
      <c r="E3317" s="681"/>
      <c r="F3317" s="682"/>
      <c r="G3317" s="527">
        <f>SUM(G3313:G3316)</f>
        <v>606.13</v>
      </c>
    </row>
    <row r="3318" spans="1:7" x14ac:dyDescent="0.3">
      <c r="A3318" s="683">
        <f>TRUNC(E3318*F3318,2)</f>
        <v>0</v>
      </c>
      <c r="B3318" s="684"/>
      <c r="C3318" s="684"/>
      <c r="D3318" s="684"/>
      <c r="E3318" s="684"/>
      <c r="F3318" s="684"/>
      <c r="G3318" s="685"/>
    </row>
    <row r="3319" spans="1:7" ht="28.8" x14ac:dyDescent="0.3">
      <c r="A3319" s="529" t="s">
        <v>248</v>
      </c>
      <c r="B3319" s="529">
        <v>91941</v>
      </c>
      <c r="C3319" s="530" t="s">
        <v>150</v>
      </c>
      <c r="D3319" s="529" t="s">
        <v>44</v>
      </c>
      <c r="E3319" s="252"/>
      <c r="F3319" s="531">
        <v>6.8</v>
      </c>
      <c r="G3319" s="252">
        <f t="shared" ref="G3319:G3701" si="73">TRUNC(E3319*F3319,2)</f>
        <v>0</v>
      </c>
    </row>
    <row r="3320" spans="1:7" x14ac:dyDescent="0.3">
      <c r="A3320" s="524" t="s">
        <v>508</v>
      </c>
      <c r="B3320" s="524" t="s">
        <v>1681</v>
      </c>
      <c r="C3320" s="525" t="s">
        <v>1682</v>
      </c>
      <c r="D3320" s="524" t="s">
        <v>397</v>
      </c>
      <c r="E3320" s="524" t="s">
        <v>1122</v>
      </c>
      <c r="F3320" s="526" t="s">
        <v>1683</v>
      </c>
      <c r="G3320" s="252">
        <f t="shared" si="73"/>
        <v>1.69</v>
      </c>
    </row>
    <row r="3321" spans="1:7" x14ac:dyDescent="0.3">
      <c r="A3321" s="524" t="s">
        <v>522</v>
      </c>
      <c r="B3321" s="524" t="s">
        <v>611</v>
      </c>
      <c r="C3321" s="525" t="s">
        <v>546</v>
      </c>
      <c r="D3321" s="524" t="s">
        <v>32</v>
      </c>
      <c r="E3321" s="524" t="s">
        <v>1684</v>
      </c>
      <c r="F3321" s="526" t="s">
        <v>1646</v>
      </c>
      <c r="G3321" s="252">
        <f t="shared" si="73"/>
        <v>2.0699999999999998</v>
      </c>
    </row>
    <row r="3322" spans="1:7" x14ac:dyDescent="0.3">
      <c r="A3322" s="524" t="s">
        <v>522</v>
      </c>
      <c r="B3322" s="524" t="s">
        <v>610</v>
      </c>
      <c r="C3322" s="525" t="s">
        <v>543</v>
      </c>
      <c r="D3322" s="524" t="s">
        <v>32</v>
      </c>
      <c r="E3322" s="524" t="s">
        <v>1684</v>
      </c>
      <c r="F3322" s="526" t="s">
        <v>1647</v>
      </c>
      <c r="G3322" s="252">
        <f t="shared" si="73"/>
        <v>2.66</v>
      </c>
    </row>
    <row r="3323" spans="1:7" ht="28.8" x14ac:dyDescent="0.3">
      <c r="A3323" s="524" t="s">
        <v>522</v>
      </c>
      <c r="B3323" s="524" t="s">
        <v>1685</v>
      </c>
      <c r="C3323" s="525" t="s">
        <v>1686</v>
      </c>
      <c r="D3323" s="524" t="s">
        <v>41</v>
      </c>
      <c r="E3323" s="524" t="s">
        <v>1687</v>
      </c>
      <c r="F3323" s="526" t="s">
        <v>1688</v>
      </c>
      <c r="G3323" s="252">
        <f t="shared" si="73"/>
        <v>0.38</v>
      </c>
    </row>
    <row r="3324" spans="1:7" x14ac:dyDescent="0.3">
      <c r="A3324" s="680" t="s">
        <v>1152</v>
      </c>
      <c r="B3324" s="681"/>
      <c r="C3324" s="681"/>
      <c r="D3324" s="681"/>
      <c r="E3324" s="681"/>
      <c r="F3324" s="682"/>
      <c r="G3324" s="527">
        <f>SUM(G3320:G3323)</f>
        <v>6.8</v>
      </c>
    </row>
    <row r="3325" spans="1:7" x14ac:dyDescent="0.3">
      <c r="A3325" s="683">
        <f>TRUNC(E3325*F3325,2)</f>
        <v>0</v>
      </c>
      <c r="B3325" s="684"/>
      <c r="C3325" s="684"/>
      <c r="D3325" s="684"/>
      <c r="E3325" s="684"/>
      <c r="F3325" s="684"/>
      <c r="G3325" s="685"/>
    </row>
    <row r="3326" spans="1:7" ht="28.8" x14ac:dyDescent="0.3">
      <c r="A3326" s="529" t="s">
        <v>249</v>
      </c>
      <c r="B3326" s="529">
        <v>93012</v>
      </c>
      <c r="C3326" s="530" t="s">
        <v>155</v>
      </c>
      <c r="D3326" s="529" t="s">
        <v>55</v>
      </c>
      <c r="E3326" s="252"/>
      <c r="F3326" s="531">
        <v>36.47</v>
      </c>
      <c r="G3326" s="252">
        <f t="shared" si="73"/>
        <v>0</v>
      </c>
    </row>
    <row r="3327" spans="1:7" x14ac:dyDescent="0.3">
      <c r="A3327" s="524" t="s">
        <v>508</v>
      </c>
      <c r="B3327" s="524" t="s">
        <v>1934</v>
      </c>
      <c r="C3327" s="525" t="s">
        <v>1935</v>
      </c>
      <c r="D3327" s="524" t="s">
        <v>55</v>
      </c>
      <c r="E3327" s="524" t="s">
        <v>1662</v>
      </c>
      <c r="F3327" s="528" t="s">
        <v>1936</v>
      </c>
      <c r="G3327" s="252">
        <f t="shared" si="73"/>
        <v>29.51</v>
      </c>
    </row>
    <row r="3328" spans="1:7" x14ac:dyDescent="0.3">
      <c r="A3328" s="524" t="s">
        <v>522</v>
      </c>
      <c r="B3328" s="524" t="s">
        <v>611</v>
      </c>
      <c r="C3328" s="525" t="s">
        <v>546</v>
      </c>
      <c r="D3328" s="524" t="s">
        <v>32</v>
      </c>
      <c r="E3328" s="524" t="s">
        <v>1937</v>
      </c>
      <c r="F3328" s="528" t="s">
        <v>1646</v>
      </c>
      <c r="G3328" s="252">
        <f t="shared" si="73"/>
        <v>3.05</v>
      </c>
    </row>
    <row r="3329" spans="1:7" x14ac:dyDescent="0.3">
      <c r="A3329" s="524" t="s">
        <v>522</v>
      </c>
      <c r="B3329" s="524" t="s">
        <v>610</v>
      </c>
      <c r="C3329" s="525" t="s">
        <v>543</v>
      </c>
      <c r="D3329" s="524" t="s">
        <v>32</v>
      </c>
      <c r="E3329" s="524" t="s">
        <v>1937</v>
      </c>
      <c r="F3329" s="528" t="s">
        <v>1647</v>
      </c>
      <c r="G3329" s="252">
        <f t="shared" si="73"/>
        <v>3.91</v>
      </c>
    </row>
    <row r="3330" spans="1:7" x14ac:dyDescent="0.3">
      <c r="A3330" s="680" t="s">
        <v>1152</v>
      </c>
      <c r="B3330" s="681"/>
      <c r="C3330" s="681"/>
      <c r="D3330" s="681"/>
      <c r="E3330" s="681"/>
      <c r="F3330" s="682"/>
      <c r="G3330" s="527">
        <f>SUM(G3326:G3329)</f>
        <v>36.47</v>
      </c>
    </row>
    <row r="3331" spans="1:7" x14ac:dyDescent="0.3">
      <c r="A3331" s="683">
        <f>TRUNC(E3331*F3331,2)</f>
        <v>0</v>
      </c>
      <c r="B3331" s="684"/>
      <c r="C3331" s="684"/>
      <c r="D3331" s="684"/>
      <c r="E3331" s="684"/>
      <c r="F3331" s="684"/>
      <c r="G3331" s="685"/>
    </row>
    <row r="3332" spans="1:7" ht="43.2" x14ac:dyDescent="0.3">
      <c r="A3332" s="529" t="s">
        <v>250</v>
      </c>
      <c r="B3332" s="529" t="s">
        <v>156</v>
      </c>
      <c r="C3332" s="530" t="s">
        <v>157</v>
      </c>
      <c r="D3332" s="529" t="s">
        <v>44</v>
      </c>
      <c r="E3332" s="252"/>
      <c r="F3332" s="531">
        <v>852.27</v>
      </c>
      <c r="G3332" s="252">
        <f t="shared" si="73"/>
        <v>0</v>
      </c>
    </row>
    <row r="3333" spans="1:7" ht="28.8" x14ac:dyDescent="0.3">
      <c r="A3333" s="524" t="s">
        <v>508</v>
      </c>
      <c r="B3333" s="524" t="s">
        <v>1938</v>
      </c>
      <c r="C3333" s="525" t="s">
        <v>1939</v>
      </c>
      <c r="D3333" s="524" t="s">
        <v>397</v>
      </c>
      <c r="E3333" s="524" t="s">
        <v>1122</v>
      </c>
      <c r="F3333" s="528" t="s">
        <v>1940</v>
      </c>
      <c r="G3333" s="252">
        <f t="shared" si="73"/>
        <v>721.43</v>
      </c>
    </row>
    <row r="3334" spans="1:7" x14ac:dyDescent="0.3">
      <c r="A3334" s="524" t="s">
        <v>522</v>
      </c>
      <c r="B3334" s="524" t="s">
        <v>611</v>
      </c>
      <c r="C3334" s="525" t="s">
        <v>546</v>
      </c>
      <c r="D3334" s="524" t="s">
        <v>32</v>
      </c>
      <c r="E3334" s="524" t="s">
        <v>1941</v>
      </c>
      <c r="F3334" s="528" t="s">
        <v>1646</v>
      </c>
      <c r="G3334" s="252">
        <f t="shared" si="73"/>
        <v>57.32</v>
      </c>
    </row>
    <row r="3335" spans="1:7" x14ac:dyDescent="0.3">
      <c r="A3335" s="524" t="s">
        <v>522</v>
      </c>
      <c r="B3335" s="524" t="s">
        <v>610</v>
      </c>
      <c r="C3335" s="525" t="s">
        <v>543</v>
      </c>
      <c r="D3335" s="524" t="s">
        <v>32</v>
      </c>
      <c r="E3335" s="524" t="s">
        <v>1941</v>
      </c>
      <c r="F3335" s="528" t="s">
        <v>1647</v>
      </c>
      <c r="G3335" s="252">
        <f t="shared" si="73"/>
        <v>73.52</v>
      </c>
    </row>
    <row r="3336" spans="1:7" x14ac:dyDescent="0.3">
      <c r="A3336" s="680" t="s">
        <v>1152</v>
      </c>
      <c r="B3336" s="681"/>
      <c r="C3336" s="681"/>
      <c r="D3336" s="681"/>
      <c r="E3336" s="681"/>
      <c r="F3336" s="682"/>
      <c r="G3336" s="527">
        <f>SUM(G3332:G3335)</f>
        <v>852.27</v>
      </c>
    </row>
    <row r="3337" spans="1:7" x14ac:dyDescent="0.3">
      <c r="A3337" s="683">
        <f>TRUNC(E3337*F3337,2)</f>
        <v>0</v>
      </c>
      <c r="B3337" s="684"/>
      <c r="C3337" s="684"/>
      <c r="D3337" s="684"/>
      <c r="E3337" s="684"/>
      <c r="F3337" s="684"/>
      <c r="G3337" s="685"/>
    </row>
    <row r="3338" spans="1:7" ht="43.2" x14ac:dyDescent="0.3">
      <c r="A3338" s="529" t="s">
        <v>251</v>
      </c>
      <c r="B3338" s="529" t="s">
        <v>351</v>
      </c>
      <c r="C3338" s="530" t="s">
        <v>352</v>
      </c>
      <c r="D3338" s="529" t="s">
        <v>44</v>
      </c>
      <c r="E3338" s="252"/>
      <c r="F3338" s="531">
        <v>396.73</v>
      </c>
      <c r="G3338" s="252">
        <f t="shared" si="73"/>
        <v>0</v>
      </c>
    </row>
    <row r="3339" spans="1:7" ht="28.8" x14ac:dyDescent="0.3">
      <c r="A3339" s="524" t="s">
        <v>508</v>
      </c>
      <c r="B3339" s="524" t="s">
        <v>2092</v>
      </c>
      <c r="C3339" s="525" t="s">
        <v>2093</v>
      </c>
      <c r="D3339" s="524" t="s">
        <v>397</v>
      </c>
      <c r="E3339" s="524" t="s">
        <v>1122</v>
      </c>
      <c r="F3339" s="526" t="s">
        <v>2094</v>
      </c>
      <c r="G3339" s="252">
        <f t="shared" si="73"/>
        <v>377.57</v>
      </c>
    </row>
    <row r="3340" spans="1:7" x14ac:dyDescent="0.3">
      <c r="A3340" s="524" t="s">
        <v>522</v>
      </c>
      <c r="B3340" s="524" t="s">
        <v>611</v>
      </c>
      <c r="C3340" s="525" t="s">
        <v>546</v>
      </c>
      <c r="D3340" s="524" t="s">
        <v>32</v>
      </c>
      <c r="E3340" s="524" t="s">
        <v>1521</v>
      </c>
      <c r="F3340" s="526" t="s">
        <v>1646</v>
      </c>
      <c r="G3340" s="252">
        <f t="shared" si="73"/>
        <v>35.82</v>
      </c>
    </row>
    <row r="3341" spans="1:7" x14ac:dyDescent="0.3">
      <c r="A3341" s="524" t="s">
        <v>522</v>
      </c>
      <c r="B3341" s="524" t="s">
        <v>610</v>
      </c>
      <c r="C3341" s="525" t="s">
        <v>543</v>
      </c>
      <c r="D3341" s="524" t="s">
        <v>32</v>
      </c>
      <c r="E3341" s="524" t="s">
        <v>1521</v>
      </c>
      <c r="F3341" s="526" t="s">
        <v>1647</v>
      </c>
      <c r="G3341" s="252">
        <f t="shared" si="73"/>
        <v>45.95</v>
      </c>
    </row>
    <row r="3342" spans="1:7" x14ac:dyDescent="0.3">
      <c r="A3342" s="680" t="s">
        <v>1152</v>
      </c>
      <c r="B3342" s="681"/>
      <c r="C3342" s="681"/>
      <c r="D3342" s="681"/>
      <c r="E3342" s="681"/>
      <c r="F3342" s="682"/>
      <c r="G3342" s="252">
        <f>SUM(G3338:G3341)</f>
        <v>459.34</v>
      </c>
    </row>
    <row r="3343" spans="1:7" x14ac:dyDescent="0.3">
      <c r="A3343" s="683">
        <f>TRUNC(E3343*F3343,2)</f>
        <v>0</v>
      </c>
      <c r="B3343" s="684"/>
      <c r="C3343" s="684"/>
      <c r="D3343" s="684"/>
      <c r="E3343" s="684"/>
      <c r="F3343" s="684"/>
      <c r="G3343" s="685"/>
    </row>
    <row r="3344" spans="1:7" x14ac:dyDescent="0.3">
      <c r="A3344" s="529" t="s">
        <v>206</v>
      </c>
      <c r="B3344" s="529"/>
      <c r="C3344" s="530" t="s">
        <v>161</v>
      </c>
      <c r="D3344" s="529"/>
      <c r="E3344" s="252"/>
      <c r="F3344" s="531"/>
      <c r="G3344" s="252">
        <f t="shared" si="73"/>
        <v>0</v>
      </c>
    </row>
    <row r="3345" spans="1:7" ht="28.8" x14ac:dyDescent="0.3">
      <c r="A3345" s="529" t="s">
        <v>208</v>
      </c>
      <c r="B3345" s="529">
        <v>90447</v>
      </c>
      <c r="C3345" s="530" t="s">
        <v>127</v>
      </c>
      <c r="D3345" s="529" t="s">
        <v>55</v>
      </c>
      <c r="E3345" s="252"/>
      <c r="F3345" s="531">
        <v>4.45</v>
      </c>
      <c r="G3345" s="252">
        <f t="shared" si="73"/>
        <v>0</v>
      </c>
    </row>
    <row r="3346" spans="1:7" x14ac:dyDescent="0.3">
      <c r="A3346" s="524" t="s">
        <v>522</v>
      </c>
      <c r="B3346" s="524" t="s">
        <v>611</v>
      </c>
      <c r="C3346" s="525" t="s">
        <v>546</v>
      </c>
      <c r="D3346" s="524" t="s">
        <v>32</v>
      </c>
      <c r="E3346" s="524" t="s">
        <v>1658</v>
      </c>
      <c r="F3346" s="528" t="s">
        <v>1646</v>
      </c>
      <c r="G3346" s="252">
        <f t="shared" si="73"/>
        <v>0.48</v>
      </c>
    </row>
    <row r="3347" spans="1:7" x14ac:dyDescent="0.3">
      <c r="A3347" s="524" t="s">
        <v>522</v>
      </c>
      <c r="B3347" s="524" t="s">
        <v>610</v>
      </c>
      <c r="C3347" s="525" t="s">
        <v>543</v>
      </c>
      <c r="D3347" s="524" t="s">
        <v>32</v>
      </c>
      <c r="E3347" s="524" t="s">
        <v>1659</v>
      </c>
      <c r="F3347" s="528" t="s">
        <v>1647</v>
      </c>
      <c r="G3347" s="252">
        <f t="shared" si="73"/>
        <v>3.97</v>
      </c>
    </row>
    <row r="3348" spans="1:7" x14ac:dyDescent="0.3">
      <c r="A3348" s="680" t="s">
        <v>1152</v>
      </c>
      <c r="B3348" s="681"/>
      <c r="C3348" s="681"/>
      <c r="D3348" s="681"/>
      <c r="E3348" s="681"/>
      <c r="F3348" s="682"/>
      <c r="G3348" s="527">
        <f>SUM(G3344:G3347)</f>
        <v>4.45</v>
      </c>
    </row>
    <row r="3349" spans="1:7" x14ac:dyDescent="0.3">
      <c r="A3349" s="683">
        <f>TRUNC(E3349*F3349,2)</f>
        <v>0</v>
      </c>
      <c r="B3349" s="684"/>
      <c r="C3349" s="684"/>
      <c r="D3349" s="684"/>
      <c r="E3349" s="684"/>
      <c r="F3349" s="684"/>
      <c r="G3349" s="685"/>
    </row>
    <row r="3350" spans="1:7" ht="28.8" x14ac:dyDescent="0.3">
      <c r="A3350" s="529" t="s">
        <v>252</v>
      </c>
      <c r="B3350" s="529">
        <v>91836</v>
      </c>
      <c r="C3350" s="530" t="s">
        <v>130</v>
      </c>
      <c r="D3350" s="529" t="s">
        <v>55</v>
      </c>
      <c r="E3350" s="252"/>
      <c r="F3350" s="531">
        <v>7.55</v>
      </c>
      <c r="G3350" s="252">
        <f t="shared" si="73"/>
        <v>0</v>
      </c>
    </row>
    <row r="3351" spans="1:7" x14ac:dyDescent="0.3">
      <c r="A3351" s="524" t="s">
        <v>508</v>
      </c>
      <c r="B3351" s="524" t="s">
        <v>1660</v>
      </c>
      <c r="C3351" s="525" t="s">
        <v>1661</v>
      </c>
      <c r="D3351" s="524" t="s">
        <v>55</v>
      </c>
      <c r="E3351" s="524" t="s">
        <v>1662</v>
      </c>
      <c r="F3351" s="528" t="s">
        <v>1663</v>
      </c>
      <c r="G3351" s="252">
        <f t="shared" si="73"/>
        <v>2.46</v>
      </c>
    </row>
    <row r="3352" spans="1:7" x14ac:dyDescent="0.3">
      <c r="A3352" s="524" t="s">
        <v>522</v>
      </c>
      <c r="B3352" s="524" t="s">
        <v>611</v>
      </c>
      <c r="C3352" s="525" t="s">
        <v>546</v>
      </c>
      <c r="D3352" s="524" t="s">
        <v>32</v>
      </c>
      <c r="E3352" s="524" t="s">
        <v>1664</v>
      </c>
      <c r="F3352" s="528" t="s">
        <v>1646</v>
      </c>
      <c r="G3352" s="252">
        <f t="shared" si="73"/>
        <v>1.28</v>
      </c>
    </row>
    <row r="3353" spans="1:7" x14ac:dyDescent="0.3">
      <c r="A3353" s="524" t="s">
        <v>522</v>
      </c>
      <c r="B3353" s="524" t="s">
        <v>610</v>
      </c>
      <c r="C3353" s="525" t="s">
        <v>543</v>
      </c>
      <c r="D3353" s="524" t="s">
        <v>32</v>
      </c>
      <c r="E3353" s="524" t="s">
        <v>1664</v>
      </c>
      <c r="F3353" s="528" t="s">
        <v>1647</v>
      </c>
      <c r="G3353" s="252">
        <f t="shared" si="73"/>
        <v>1.65</v>
      </c>
    </row>
    <row r="3354" spans="1:7" ht="43.2" x14ac:dyDescent="0.3">
      <c r="A3354" s="524" t="s">
        <v>522</v>
      </c>
      <c r="B3354" s="524" t="s">
        <v>959</v>
      </c>
      <c r="C3354" s="525" t="s">
        <v>960</v>
      </c>
      <c r="D3354" s="524" t="s">
        <v>55</v>
      </c>
      <c r="E3354" s="524" t="s">
        <v>1122</v>
      </c>
      <c r="F3354" s="528" t="s">
        <v>962</v>
      </c>
      <c r="G3354" s="252">
        <f t="shared" si="73"/>
        <v>2.16</v>
      </c>
    </row>
    <row r="3355" spans="1:7" x14ac:dyDescent="0.3">
      <c r="A3355" s="680" t="s">
        <v>1152</v>
      </c>
      <c r="B3355" s="681"/>
      <c r="C3355" s="681"/>
      <c r="D3355" s="681"/>
      <c r="E3355" s="681"/>
      <c r="F3355" s="682"/>
      <c r="G3355" s="527">
        <f>SUM(G3351:G3354)</f>
        <v>7.5500000000000007</v>
      </c>
    </row>
    <row r="3356" spans="1:7" x14ac:dyDescent="0.3">
      <c r="A3356" s="683">
        <f>TRUNC(E3356*F3356,2)</f>
        <v>0</v>
      </c>
      <c r="B3356" s="684"/>
      <c r="C3356" s="684"/>
      <c r="D3356" s="684"/>
      <c r="E3356" s="684"/>
      <c r="F3356" s="684"/>
      <c r="G3356" s="685"/>
    </row>
    <row r="3357" spans="1:7" ht="28.8" x14ac:dyDescent="0.3">
      <c r="A3357" s="529" t="s">
        <v>209</v>
      </c>
      <c r="B3357" s="529">
        <v>91869</v>
      </c>
      <c r="C3357" s="530" t="s">
        <v>132</v>
      </c>
      <c r="D3357" s="529" t="s">
        <v>55</v>
      </c>
      <c r="E3357" s="252"/>
      <c r="F3357" s="531">
        <v>10.32</v>
      </c>
      <c r="G3357" s="252">
        <f t="shared" si="73"/>
        <v>0</v>
      </c>
    </row>
    <row r="3358" spans="1:7" x14ac:dyDescent="0.3">
      <c r="A3358" s="524" t="s">
        <v>508</v>
      </c>
      <c r="B3358" s="524" t="s">
        <v>1665</v>
      </c>
      <c r="C3358" s="525" t="s">
        <v>1666</v>
      </c>
      <c r="D3358" s="524" t="s">
        <v>55</v>
      </c>
      <c r="E3358" s="524" t="s">
        <v>1667</v>
      </c>
      <c r="F3358" s="528" t="s">
        <v>1668</v>
      </c>
      <c r="G3358" s="252">
        <f t="shared" si="73"/>
        <v>5.26</v>
      </c>
    </row>
    <row r="3359" spans="1:7" ht="28.8" x14ac:dyDescent="0.3">
      <c r="A3359" s="524" t="s">
        <v>508</v>
      </c>
      <c r="B3359" s="524" t="s">
        <v>1669</v>
      </c>
      <c r="C3359" s="525" t="s">
        <v>1670</v>
      </c>
      <c r="D3359" s="524" t="s">
        <v>426</v>
      </c>
      <c r="E3359" s="524" t="s">
        <v>1671</v>
      </c>
      <c r="F3359" s="528" t="s">
        <v>1672</v>
      </c>
      <c r="G3359" s="252">
        <f t="shared" si="73"/>
        <v>0.03</v>
      </c>
    </row>
    <row r="3360" spans="1:7" x14ac:dyDescent="0.3">
      <c r="A3360" s="524" t="s">
        <v>522</v>
      </c>
      <c r="B3360" s="524" t="s">
        <v>611</v>
      </c>
      <c r="C3360" s="525" t="s">
        <v>546</v>
      </c>
      <c r="D3360" s="524" t="s">
        <v>32</v>
      </c>
      <c r="E3360" s="524" t="s">
        <v>1673</v>
      </c>
      <c r="F3360" s="528" t="s">
        <v>1646</v>
      </c>
      <c r="G3360" s="252">
        <f t="shared" si="73"/>
        <v>2.2000000000000002</v>
      </c>
    </row>
    <row r="3361" spans="1:7" x14ac:dyDescent="0.3">
      <c r="A3361" s="524" t="s">
        <v>522</v>
      </c>
      <c r="B3361" s="524" t="s">
        <v>610</v>
      </c>
      <c r="C3361" s="525" t="s">
        <v>543</v>
      </c>
      <c r="D3361" s="524" t="s">
        <v>32</v>
      </c>
      <c r="E3361" s="524" t="s">
        <v>1673</v>
      </c>
      <c r="F3361" s="528" t="s">
        <v>1647</v>
      </c>
      <c r="G3361" s="252">
        <f t="shared" si="73"/>
        <v>2.83</v>
      </c>
    </row>
    <row r="3362" spans="1:7" x14ac:dyDescent="0.3">
      <c r="A3362" s="680" t="s">
        <v>1152</v>
      </c>
      <c r="B3362" s="681"/>
      <c r="C3362" s="681"/>
      <c r="D3362" s="681"/>
      <c r="E3362" s="681"/>
      <c r="F3362" s="682"/>
      <c r="G3362" s="527">
        <f>SUM(G3358:G3361)</f>
        <v>10.32</v>
      </c>
    </row>
    <row r="3363" spans="1:7" x14ac:dyDescent="0.3">
      <c r="A3363" s="683">
        <f>TRUNC(E3363*F3363,2)</f>
        <v>0</v>
      </c>
      <c r="B3363" s="684"/>
      <c r="C3363" s="684"/>
      <c r="D3363" s="684"/>
      <c r="E3363" s="684"/>
      <c r="F3363" s="684"/>
      <c r="G3363" s="685"/>
    </row>
    <row r="3364" spans="1:7" ht="28.8" x14ac:dyDescent="0.3">
      <c r="A3364" s="529" t="s">
        <v>253</v>
      </c>
      <c r="B3364" s="529">
        <v>91941</v>
      </c>
      <c r="C3364" s="530" t="s">
        <v>150</v>
      </c>
      <c r="D3364" s="529" t="s">
        <v>44</v>
      </c>
      <c r="E3364" s="252"/>
      <c r="F3364" s="531">
        <v>6.8</v>
      </c>
      <c r="G3364" s="252">
        <f t="shared" si="73"/>
        <v>0</v>
      </c>
    </row>
    <row r="3365" spans="1:7" x14ac:dyDescent="0.3">
      <c r="A3365" s="524" t="s">
        <v>508</v>
      </c>
      <c r="B3365" s="524" t="s">
        <v>1681</v>
      </c>
      <c r="C3365" s="525" t="s">
        <v>1682</v>
      </c>
      <c r="D3365" s="524" t="s">
        <v>397</v>
      </c>
      <c r="E3365" s="524" t="s">
        <v>1122</v>
      </c>
      <c r="F3365" s="526" t="s">
        <v>1683</v>
      </c>
      <c r="G3365" s="252">
        <f t="shared" ref="G3365:G3368" si="74">TRUNC(E3365*F3365,2)</f>
        <v>1.69</v>
      </c>
    </row>
    <row r="3366" spans="1:7" x14ac:dyDescent="0.3">
      <c r="A3366" s="524" t="s">
        <v>522</v>
      </c>
      <c r="B3366" s="524" t="s">
        <v>611</v>
      </c>
      <c r="C3366" s="525" t="s">
        <v>546</v>
      </c>
      <c r="D3366" s="524" t="s">
        <v>32</v>
      </c>
      <c r="E3366" s="524" t="s">
        <v>1684</v>
      </c>
      <c r="F3366" s="526" t="s">
        <v>1646</v>
      </c>
      <c r="G3366" s="252">
        <f t="shared" si="74"/>
        <v>2.0699999999999998</v>
      </c>
    </row>
    <row r="3367" spans="1:7" x14ac:dyDescent="0.3">
      <c r="A3367" s="524" t="s">
        <v>522</v>
      </c>
      <c r="B3367" s="524" t="s">
        <v>610</v>
      </c>
      <c r="C3367" s="525" t="s">
        <v>543</v>
      </c>
      <c r="D3367" s="524" t="s">
        <v>32</v>
      </c>
      <c r="E3367" s="524" t="s">
        <v>1684</v>
      </c>
      <c r="F3367" s="526" t="s">
        <v>1647</v>
      </c>
      <c r="G3367" s="252">
        <f t="shared" si="74"/>
        <v>2.66</v>
      </c>
    </row>
    <row r="3368" spans="1:7" ht="28.8" x14ac:dyDescent="0.3">
      <c r="A3368" s="524" t="s">
        <v>522</v>
      </c>
      <c r="B3368" s="524" t="s">
        <v>1685</v>
      </c>
      <c r="C3368" s="525" t="s">
        <v>1686</v>
      </c>
      <c r="D3368" s="524" t="s">
        <v>41</v>
      </c>
      <c r="E3368" s="524" t="s">
        <v>1687</v>
      </c>
      <c r="F3368" s="526" t="s">
        <v>1688</v>
      </c>
      <c r="G3368" s="252">
        <f t="shared" si="74"/>
        <v>0.38</v>
      </c>
    </row>
    <row r="3369" spans="1:7" x14ac:dyDescent="0.3">
      <c r="A3369" s="680" t="s">
        <v>1152</v>
      </c>
      <c r="B3369" s="681"/>
      <c r="C3369" s="681"/>
      <c r="D3369" s="681"/>
      <c r="E3369" s="681"/>
      <c r="F3369" s="682"/>
      <c r="G3369" s="527">
        <f>SUM(G3365:G3368)</f>
        <v>6.8</v>
      </c>
    </row>
    <row r="3370" spans="1:7" x14ac:dyDescent="0.3">
      <c r="A3370" s="683">
        <f>TRUNC(E3370*F3370,2)</f>
        <v>0</v>
      </c>
      <c r="B3370" s="684"/>
      <c r="C3370" s="684"/>
      <c r="D3370" s="684"/>
      <c r="E3370" s="684"/>
      <c r="F3370" s="684"/>
      <c r="G3370" s="685"/>
    </row>
    <row r="3371" spans="1:7" ht="28.8" x14ac:dyDescent="0.3">
      <c r="A3371" s="529" t="s">
        <v>254</v>
      </c>
      <c r="B3371" s="529">
        <v>95778</v>
      </c>
      <c r="C3371" s="530" t="s">
        <v>168</v>
      </c>
      <c r="D3371" s="529" t="s">
        <v>55</v>
      </c>
      <c r="E3371" s="252"/>
      <c r="F3371" s="531">
        <v>20.28</v>
      </c>
      <c r="G3371" s="252">
        <f t="shared" si="73"/>
        <v>0</v>
      </c>
    </row>
    <row r="3372" spans="1:7" ht="28.8" x14ac:dyDescent="0.3">
      <c r="A3372" s="524" t="s">
        <v>508</v>
      </c>
      <c r="B3372" s="524" t="s">
        <v>1689</v>
      </c>
      <c r="C3372" s="525" t="s">
        <v>1690</v>
      </c>
      <c r="D3372" s="524" t="s">
        <v>397</v>
      </c>
      <c r="E3372" s="524" t="s">
        <v>1122</v>
      </c>
      <c r="F3372" s="526" t="s">
        <v>1691</v>
      </c>
      <c r="G3372" s="252">
        <f t="shared" si="73"/>
        <v>8.69</v>
      </c>
    </row>
    <row r="3373" spans="1:7" ht="28.8" x14ac:dyDescent="0.3">
      <c r="A3373" s="524" t="s">
        <v>508</v>
      </c>
      <c r="B3373" s="524" t="s">
        <v>1692</v>
      </c>
      <c r="C3373" s="525" t="s">
        <v>1693</v>
      </c>
      <c r="D3373" s="524" t="s">
        <v>397</v>
      </c>
      <c r="E3373" s="524" t="s">
        <v>1523</v>
      </c>
      <c r="F3373" s="526" t="s">
        <v>1694</v>
      </c>
      <c r="G3373" s="252">
        <f t="shared" si="73"/>
        <v>0.36</v>
      </c>
    </row>
    <row r="3374" spans="1:7" x14ac:dyDescent="0.3">
      <c r="A3374" s="524" t="s">
        <v>522</v>
      </c>
      <c r="B3374" s="524" t="s">
        <v>611</v>
      </c>
      <c r="C3374" s="525" t="s">
        <v>546</v>
      </c>
      <c r="D3374" s="524" t="s">
        <v>32</v>
      </c>
      <c r="E3374" s="524" t="s">
        <v>1695</v>
      </c>
      <c r="F3374" s="526" t="s">
        <v>1646</v>
      </c>
      <c r="G3374" s="252">
        <f t="shared" si="73"/>
        <v>4.92</v>
      </c>
    </row>
    <row r="3375" spans="1:7" x14ac:dyDescent="0.3">
      <c r="A3375" s="524" t="s">
        <v>522</v>
      </c>
      <c r="B3375" s="524" t="s">
        <v>610</v>
      </c>
      <c r="C3375" s="525" t="s">
        <v>543</v>
      </c>
      <c r="D3375" s="524" t="s">
        <v>32</v>
      </c>
      <c r="E3375" s="524" t="s">
        <v>1695</v>
      </c>
      <c r="F3375" s="526" t="s">
        <v>1647</v>
      </c>
      <c r="G3375" s="252">
        <f t="shared" si="73"/>
        <v>6.31</v>
      </c>
    </row>
    <row r="3376" spans="1:7" x14ac:dyDescent="0.3">
      <c r="A3376" s="680" t="s">
        <v>1152</v>
      </c>
      <c r="B3376" s="681"/>
      <c r="C3376" s="681"/>
      <c r="D3376" s="681"/>
      <c r="E3376" s="681"/>
      <c r="F3376" s="682"/>
      <c r="G3376" s="527">
        <f>SUM(G3372:G3375)</f>
        <v>20.279999999999998</v>
      </c>
    </row>
    <row r="3377" spans="1:7" x14ac:dyDescent="0.3">
      <c r="A3377" s="683">
        <f>TRUNC(E3377*F3377,2)</f>
        <v>0</v>
      </c>
      <c r="B3377" s="684"/>
      <c r="C3377" s="684"/>
      <c r="D3377" s="684"/>
      <c r="E3377" s="684"/>
      <c r="F3377" s="684"/>
      <c r="G3377" s="685"/>
    </row>
    <row r="3378" spans="1:7" ht="28.8" x14ac:dyDescent="0.3">
      <c r="A3378" s="529" t="s">
        <v>255</v>
      </c>
      <c r="B3378" s="529">
        <v>98296</v>
      </c>
      <c r="C3378" s="530" t="s">
        <v>172</v>
      </c>
      <c r="D3378" s="529" t="s">
        <v>55</v>
      </c>
      <c r="E3378" s="252"/>
      <c r="F3378" s="531">
        <v>2.52</v>
      </c>
      <c r="G3378" s="252">
        <f t="shared" si="73"/>
        <v>0</v>
      </c>
    </row>
    <row r="3379" spans="1:7" x14ac:dyDescent="0.3">
      <c r="A3379" s="524" t="s">
        <v>508</v>
      </c>
      <c r="B3379" s="524" t="s">
        <v>1700</v>
      </c>
      <c r="C3379" s="525" t="s">
        <v>1701</v>
      </c>
      <c r="D3379" s="524" t="s">
        <v>55</v>
      </c>
      <c r="E3379" s="524" t="s">
        <v>1697</v>
      </c>
      <c r="F3379" s="526" t="s">
        <v>1702</v>
      </c>
      <c r="G3379" s="252">
        <f t="shared" si="73"/>
        <v>1.65</v>
      </c>
    </row>
    <row r="3380" spans="1:7" x14ac:dyDescent="0.3">
      <c r="A3380" s="524" t="s">
        <v>522</v>
      </c>
      <c r="B3380" s="524" t="s">
        <v>611</v>
      </c>
      <c r="C3380" s="525" t="s">
        <v>546</v>
      </c>
      <c r="D3380" s="524" t="s">
        <v>32</v>
      </c>
      <c r="E3380" s="524" t="s">
        <v>1151</v>
      </c>
      <c r="F3380" s="526" t="s">
        <v>1646</v>
      </c>
      <c r="G3380" s="252">
        <f t="shared" si="73"/>
        <v>0.38</v>
      </c>
    </row>
    <row r="3381" spans="1:7" x14ac:dyDescent="0.3">
      <c r="A3381" s="524" t="s">
        <v>522</v>
      </c>
      <c r="B3381" s="524" t="s">
        <v>610</v>
      </c>
      <c r="C3381" s="525" t="s">
        <v>543</v>
      </c>
      <c r="D3381" s="524" t="s">
        <v>32</v>
      </c>
      <c r="E3381" s="524" t="s">
        <v>1151</v>
      </c>
      <c r="F3381" s="526" t="s">
        <v>1647</v>
      </c>
      <c r="G3381" s="252">
        <f t="shared" si="73"/>
        <v>0.49</v>
      </c>
    </row>
    <row r="3382" spans="1:7" x14ac:dyDescent="0.3">
      <c r="A3382" s="680" t="s">
        <v>1152</v>
      </c>
      <c r="B3382" s="681"/>
      <c r="C3382" s="681"/>
      <c r="D3382" s="681"/>
      <c r="E3382" s="681"/>
      <c r="F3382" s="682"/>
      <c r="G3382" s="527">
        <f>SUM(G3378:G3381)</f>
        <v>2.5199999999999996</v>
      </c>
    </row>
    <row r="3383" spans="1:7" x14ac:dyDescent="0.3">
      <c r="A3383" s="683">
        <f>TRUNC(E3383*F3383,2)</f>
        <v>0</v>
      </c>
      <c r="B3383" s="684"/>
      <c r="C3383" s="684"/>
      <c r="D3383" s="684"/>
      <c r="E3383" s="684"/>
      <c r="F3383" s="684"/>
      <c r="G3383" s="685"/>
    </row>
    <row r="3384" spans="1:7" x14ac:dyDescent="0.3">
      <c r="A3384" s="529" t="s">
        <v>256</v>
      </c>
      <c r="B3384" s="529">
        <v>98593</v>
      </c>
      <c r="C3384" s="530" t="s">
        <v>176</v>
      </c>
      <c r="D3384" s="529" t="s">
        <v>44</v>
      </c>
      <c r="E3384" s="252"/>
      <c r="F3384" s="531">
        <v>651.96</v>
      </c>
      <c r="G3384" s="252">
        <f t="shared" si="73"/>
        <v>0</v>
      </c>
    </row>
    <row r="3385" spans="1:7" x14ac:dyDescent="0.3">
      <c r="A3385" s="524" t="s">
        <v>508</v>
      </c>
      <c r="B3385" s="524" t="s">
        <v>1707</v>
      </c>
      <c r="C3385" s="525" t="s">
        <v>1708</v>
      </c>
      <c r="D3385" s="524" t="s">
        <v>397</v>
      </c>
      <c r="E3385" s="524" t="s">
        <v>1122</v>
      </c>
      <c r="F3385" s="526" t="s">
        <v>1709</v>
      </c>
      <c r="G3385" s="252">
        <f t="shared" si="73"/>
        <v>247.5</v>
      </c>
    </row>
    <row r="3386" spans="1:7" x14ac:dyDescent="0.3">
      <c r="A3386" s="524" t="s">
        <v>522</v>
      </c>
      <c r="B3386" s="524" t="s">
        <v>611</v>
      </c>
      <c r="C3386" s="525" t="s">
        <v>546</v>
      </c>
      <c r="D3386" s="524" t="s">
        <v>32</v>
      </c>
      <c r="E3386" s="524" t="s">
        <v>1710</v>
      </c>
      <c r="F3386" s="526" t="s">
        <v>1646</v>
      </c>
      <c r="G3386" s="252">
        <f t="shared" si="73"/>
        <v>176.59</v>
      </c>
    </row>
    <row r="3387" spans="1:7" x14ac:dyDescent="0.3">
      <c r="A3387" s="524" t="s">
        <v>522</v>
      </c>
      <c r="B3387" s="524" t="s">
        <v>610</v>
      </c>
      <c r="C3387" s="525" t="s">
        <v>543</v>
      </c>
      <c r="D3387" s="524" t="s">
        <v>32</v>
      </c>
      <c r="E3387" s="524" t="s">
        <v>1710</v>
      </c>
      <c r="F3387" s="526" t="s">
        <v>1647</v>
      </c>
      <c r="G3387" s="252">
        <f t="shared" si="73"/>
        <v>226.5</v>
      </c>
    </row>
    <row r="3388" spans="1:7" x14ac:dyDescent="0.3">
      <c r="A3388" s="680" t="s">
        <v>1152</v>
      </c>
      <c r="B3388" s="681"/>
      <c r="C3388" s="681"/>
      <c r="D3388" s="681"/>
      <c r="E3388" s="681"/>
      <c r="F3388" s="682"/>
      <c r="G3388" s="527">
        <f>SUM(G3384:G3387)</f>
        <v>650.59</v>
      </c>
    </row>
    <row r="3389" spans="1:7" x14ac:dyDescent="0.3">
      <c r="A3389" s="683">
        <f>TRUNC(E3389*F3389,2)</f>
        <v>0</v>
      </c>
      <c r="B3389" s="684"/>
      <c r="C3389" s="684"/>
      <c r="D3389" s="684"/>
      <c r="E3389" s="684"/>
      <c r="F3389" s="684"/>
      <c r="G3389" s="685"/>
    </row>
    <row r="3390" spans="1:7" ht="43.2" x14ac:dyDescent="0.3">
      <c r="A3390" s="529" t="s">
        <v>257</v>
      </c>
      <c r="B3390" s="529" t="s">
        <v>358</v>
      </c>
      <c r="C3390" s="530" t="s">
        <v>179</v>
      </c>
      <c r="D3390" s="529" t="s">
        <v>44</v>
      </c>
      <c r="E3390" s="252"/>
      <c r="F3390" s="531">
        <v>1489.4</v>
      </c>
      <c r="G3390" s="252">
        <f t="shared" si="73"/>
        <v>0</v>
      </c>
    </row>
    <row r="3391" spans="1:7" ht="43.2" x14ac:dyDescent="0.3">
      <c r="A3391" s="529"/>
      <c r="B3391" s="529" t="s">
        <v>358</v>
      </c>
      <c r="C3391" s="530" t="s">
        <v>179</v>
      </c>
      <c r="D3391" s="529" t="s">
        <v>44</v>
      </c>
      <c r="E3391" s="524" t="s">
        <v>1122</v>
      </c>
      <c r="F3391" s="531">
        <v>1376.94</v>
      </c>
      <c r="G3391" s="252">
        <f t="shared" ref="G3391" si="75">TRUNC(E3391*F3391,2)</f>
        <v>1376.94</v>
      </c>
    </row>
    <row r="3392" spans="1:7" x14ac:dyDescent="0.3">
      <c r="A3392" s="524" t="s">
        <v>522</v>
      </c>
      <c r="B3392" s="524" t="s">
        <v>611</v>
      </c>
      <c r="C3392" s="525" t="s">
        <v>546</v>
      </c>
      <c r="D3392" s="524" t="s">
        <v>32</v>
      </c>
      <c r="E3392" s="607">
        <v>4</v>
      </c>
      <c r="F3392" s="526" t="s">
        <v>1646</v>
      </c>
      <c r="G3392" s="252">
        <f t="shared" ref="G3392:G3393" si="76">TRUNC(E3392*F3392,2)</f>
        <v>57.32</v>
      </c>
    </row>
    <row r="3393" spans="1:12" x14ac:dyDescent="0.3">
      <c r="A3393" s="524" t="s">
        <v>522</v>
      </c>
      <c r="B3393" s="524" t="s">
        <v>610</v>
      </c>
      <c r="C3393" s="525" t="s">
        <v>543</v>
      </c>
      <c r="D3393" s="524" t="s">
        <v>32</v>
      </c>
      <c r="E3393" s="607">
        <v>3</v>
      </c>
      <c r="F3393" s="526" t="s">
        <v>1647</v>
      </c>
      <c r="G3393" s="252">
        <f t="shared" si="76"/>
        <v>55.14</v>
      </c>
    </row>
    <row r="3394" spans="1:12" x14ac:dyDescent="0.3">
      <c r="A3394" s="680" t="s">
        <v>1152</v>
      </c>
      <c r="B3394" s="681"/>
      <c r="C3394" s="681"/>
      <c r="D3394" s="681"/>
      <c r="E3394" s="681"/>
      <c r="F3394" s="682"/>
      <c r="G3394" s="527">
        <f>SUM(G3390:G3393)</f>
        <v>1489.4</v>
      </c>
      <c r="I3394" s="215">
        <v>1601.86</v>
      </c>
      <c r="J3394" s="215">
        <v>1489.4</v>
      </c>
      <c r="K3394" s="215">
        <f>I3394-J3394</f>
        <v>112.45999999999981</v>
      </c>
      <c r="L3394" s="215">
        <f>F3391-K3394</f>
        <v>1264.4800000000002</v>
      </c>
    </row>
    <row r="3395" spans="1:12" x14ac:dyDescent="0.3">
      <c r="A3395" s="683">
        <f>TRUNC(E3395*F3395,2)</f>
        <v>0</v>
      </c>
      <c r="B3395" s="684"/>
      <c r="C3395" s="684"/>
      <c r="D3395" s="684"/>
      <c r="E3395" s="684"/>
      <c r="F3395" s="684"/>
      <c r="G3395" s="685"/>
    </row>
    <row r="3396" spans="1:12" x14ac:dyDescent="0.3">
      <c r="A3396" s="529" t="s">
        <v>258</v>
      </c>
      <c r="B3396" s="529">
        <v>98307</v>
      </c>
      <c r="C3396" s="530" t="s">
        <v>182</v>
      </c>
      <c r="D3396" s="529" t="s">
        <v>44</v>
      </c>
      <c r="E3396" s="252"/>
      <c r="F3396" s="531">
        <v>27.38</v>
      </c>
      <c r="G3396" s="252">
        <f t="shared" si="73"/>
        <v>0</v>
      </c>
    </row>
    <row r="3397" spans="1:12" ht="28.8" x14ac:dyDescent="0.3">
      <c r="A3397" s="524" t="s">
        <v>508</v>
      </c>
      <c r="B3397" s="524" t="s">
        <v>1715</v>
      </c>
      <c r="C3397" s="525" t="s">
        <v>1716</v>
      </c>
      <c r="D3397" s="524" t="s">
        <v>397</v>
      </c>
      <c r="E3397" s="524" t="s">
        <v>1122</v>
      </c>
      <c r="F3397" s="526" t="s">
        <v>1717</v>
      </c>
      <c r="G3397" s="252">
        <f t="shared" si="73"/>
        <v>20.65</v>
      </c>
    </row>
    <row r="3398" spans="1:12" x14ac:dyDescent="0.3">
      <c r="A3398" s="524" t="s">
        <v>522</v>
      </c>
      <c r="B3398" s="524" t="s">
        <v>611</v>
      </c>
      <c r="C3398" s="525" t="s">
        <v>546</v>
      </c>
      <c r="D3398" s="524" t="s">
        <v>32</v>
      </c>
      <c r="E3398" s="524" t="s">
        <v>1714</v>
      </c>
      <c r="F3398" s="526" t="s">
        <v>1646</v>
      </c>
      <c r="G3398" s="252">
        <f t="shared" si="73"/>
        <v>2.95</v>
      </c>
    </row>
    <row r="3399" spans="1:12" x14ac:dyDescent="0.3">
      <c r="A3399" s="524" t="s">
        <v>522</v>
      </c>
      <c r="B3399" s="524" t="s">
        <v>610</v>
      </c>
      <c r="C3399" s="525" t="s">
        <v>543</v>
      </c>
      <c r="D3399" s="524" t="s">
        <v>32</v>
      </c>
      <c r="E3399" s="524" t="s">
        <v>1714</v>
      </c>
      <c r="F3399" s="526" t="s">
        <v>1647</v>
      </c>
      <c r="G3399" s="252">
        <f t="shared" si="73"/>
        <v>3.78</v>
      </c>
    </row>
    <row r="3400" spans="1:12" x14ac:dyDescent="0.3">
      <c r="A3400" s="680" t="s">
        <v>1152</v>
      </c>
      <c r="B3400" s="681"/>
      <c r="C3400" s="681"/>
      <c r="D3400" s="681"/>
      <c r="E3400" s="681"/>
      <c r="F3400" s="682"/>
      <c r="G3400" s="527">
        <f>SUM(G3396:G3399)</f>
        <v>27.38</v>
      </c>
    </row>
    <row r="3401" spans="1:12" x14ac:dyDescent="0.3">
      <c r="A3401" s="683">
        <f>TRUNC(E3401*F3401,2)</f>
        <v>0</v>
      </c>
      <c r="B3401" s="684"/>
      <c r="C3401" s="684"/>
      <c r="D3401" s="684"/>
      <c r="E3401" s="684"/>
      <c r="F3401" s="684"/>
      <c r="G3401" s="685"/>
    </row>
    <row r="3402" spans="1:12" ht="28.8" x14ac:dyDescent="0.3">
      <c r="A3402" s="529" t="s">
        <v>259</v>
      </c>
      <c r="B3402" s="529">
        <v>100560</v>
      </c>
      <c r="C3402" s="530" t="s">
        <v>184</v>
      </c>
      <c r="D3402" s="529" t="s">
        <v>185</v>
      </c>
      <c r="E3402" s="252"/>
      <c r="F3402" s="531">
        <v>80.44</v>
      </c>
      <c r="G3402" s="252">
        <f t="shared" si="73"/>
        <v>0</v>
      </c>
    </row>
    <row r="3403" spans="1:12" ht="28.8" x14ac:dyDescent="0.3">
      <c r="A3403" s="524" t="s">
        <v>508</v>
      </c>
      <c r="B3403" s="524" t="s">
        <v>1718</v>
      </c>
      <c r="C3403" s="525" t="s">
        <v>1719</v>
      </c>
      <c r="D3403" s="524" t="s">
        <v>397</v>
      </c>
      <c r="E3403" s="524" t="s">
        <v>1122</v>
      </c>
      <c r="F3403" s="526" t="s">
        <v>1720</v>
      </c>
      <c r="G3403" s="252">
        <f t="shared" si="73"/>
        <v>49.76</v>
      </c>
    </row>
    <row r="3404" spans="1:12" ht="43.2" x14ac:dyDescent="0.3">
      <c r="A3404" s="524" t="s">
        <v>522</v>
      </c>
      <c r="B3404" s="524" t="s">
        <v>1721</v>
      </c>
      <c r="C3404" s="525" t="s">
        <v>1722</v>
      </c>
      <c r="D3404" s="524" t="s">
        <v>41</v>
      </c>
      <c r="E3404" s="524" t="s">
        <v>1723</v>
      </c>
      <c r="F3404" s="526" t="s">
        <v>1724</v>
      </c>
      <c r="G3404" s="252">
        <f t="shared" si="73"/>
        <v>1.9</v>
      </c>
    </row>
    <row r="3405" spans="1:12" x14ac:dyDescent="0.3">
      <c r="A3405" s="524" t="s">
        <v>522</v>
      </c>
      <c r="B3405" s="524" t="s">
        <v>611</v>
      </c>
      <c r="C3405" s="525" t="s">
        <v>546</v>
      </c>
      <c r="D3405" s="524" t="s">
        <v>32</v>
      </c>
      <c r="E3405" s="524" t="s">
        <v>1725</v>
      </c>
      <c r="F3405" s="526" t="s">
        <v>1646</v>
      </c>
      <c r="G3405" s="252">
        <f t="shared" si="73"/>
        <v>12.61</v>
      </c>
    </row>
    <row r="3406" spans="1:12" x14ac:dyDescent="0.3">
      <c r="A3406" s="524" t="s">
        <v>522</v>
      </c>
      <c r="B3406" s="524" t="s">
        <v>610</v>
      </c>
      <c r="C3406" s="525" t="s">
        <v>543</v>
      </c>
      <c r="D3406" s="524" t="s">
        <v>32</v>
      </c>
      <c r="E3406" s="524" t="s">
        <v>1725</v>
      </c>
      <c r="F3406" s="526" t="s">
        <v>1647</v>
      </c>
      <c r="G3406" s="252">
        <f t="shared" si="73"/>
        <v>16.170000000000002</v>
      </c>
    </row>
    <row r="3407" spans="1:12" x14ac:dyDescent="0.3">
      <c r="A3407" s="680" t="s">
        <v>1152</v>
      </c>
      <c r="B3407" s="681"/>
      <c r="C3407" s="681"/>
      <c r="D3407" s="681"/>
      <c r="E3407" s="681"/>
      <c r="F3407" s="682"/>
      <c r="G3407" s="527">
        <f>SUM(G3403:G3406)</f>
        <v>80.44</v>
      </c>
    </row>
    <row r="3408" spans="1:12" x14ac:dyDescent="0.3">
      <c r="A3408" s="683">
        <f>TRUNC(E3408*F3408,2)</f>
        <v>0</v>
      </c>
      <c r="B3408" s="684"/>
      <c r="C3408" s="684"/>
      <c r="D3408" s="684"/>
      <c r="E3408" s="684"/>
      <c r="F3408" s="684"/>
      <c r="G3408" s="685"/>
    </row>
    <row r="3409" spans="1:7" x14ac:dyDescent="0.3">
      <c r="A3409" s="529" t="s">
        <v>211</v>
      </c>
      <c r="B3409" s="529"/>
      <c r="C3409" s="530" t="s">
        <v>187</v>
      </c>
      <c r="D3409" s="529"/>
      <c r="E3409" s="252"/>
      <c r="F3409" s="531"/>
      <c r="G3409" s="252">
        <f t="shared" si="73"/>
        <v>0</v>
      </c>
    </row>
    <row r="3410" spans="1:7" x14ac:dyDescent="0.3">
      <c r="A3410" s="529" t="s">
        <v>213</v>
      </c>
      <c r="B3410" s="529"/>
      <c r="C3410" s="530" t="s">
        <v>189</v>
      </c>
      <c r="D3410" s="529"/>
      <c r="E3410" s="252"/>
      <c r="F3410" s="531"/>
      <c r="G3410" s="252">
        <f t="shared" si="73"/>
        <v>0</v>
      </c>
    </row>
    <row r="3411" spans="1:7" ht="28.8" x14ac:dyDescent="0.3">
      <c r="A3411" s="529" t="s">
        <v>263</v>
      </c>
      <c r="B3411" s="529">
        <v>90443</v>
      </c>
      <c r="C3411" s="530" t="s">
        <v>190</v>
      </c>
      <c r="D3411" s="529" t="s">
        <v>55</v>
      </c>
      <c r="E3411" s="252"/>
      <c r="F3411" s="531">
        <v>8.9499999999999993</v>
      </c>
      <c r="G3411" s="252">
        <f t="shared" si="73"/>
        <v>0</v>
      </c>
    </row>
    <row r="3412" spans="1:7" ht="28.8" x14ac:dyDescent="0.3">
      <c r="A3412" s="524" t="s">
        <v>522</v>
      </c>
      <c r="B3412" s="524" t="s">
        <v>1726</v>
      </c>
      <c r="C3412" s="525" t="s">
        <v>1727</v>
      </c>
      <c r="D3412" s="524" t="s">
        <v>32</v>
      </c>
      <c r="E3412" s="524" t="s">
        <v>1728</v>
      </c>
      <c r="F3412" s="526" t="s">
        <v>1729</v>
      </c>
      <c r="G3412" s="252">
        <f t="shared" si="73"/>
        <v>0.97</v>
      </c>
    </row>
    <row r="3413" spans="1:7" x14ac:dyDescent="0.3">
      <c r="A3413" s="524" t="s">
        <v>522</v>
      </c>
      <c r="B3413" s="524" t="s">
        <v>1367</v>
      </c>
      <c r="C3413" s="525" t="s">
        <v>1368</v>
      </c>
      <c r="D3413" s="524" t="s">
        <v>32</v>
      </c>
      <c r="E3413" s="524" t="s">
        <v>1730</v>
      </c>
      <c r="F3413" s="526" t="s">
        <v>1370</v>
      </c>
      <c r="G3413" s="252">
        <f t="shared" si="73"/>
        <v>7.98</v>
      </c>
    </row>
    <row r="3414" spans="1:7" x14ac:dyDescent="0.3">
      <c r="A3414" s="680" t="s">
        <v>1152</v>
      </c>
      <c r="B3414" s="681"/>
      <c r="C3414" s="681"/>
      <c r="D3414" s="681"/>
      <c r="E3414" s="681"/>
      <c r="F3414" s="682"/>
      <c r="G3414" s="527">
        <f>SUM(G3410:G3413)</f>
        <v>8.9500000000000011</v>
      </c>
    </row>
    <row r="3415" spans="1:7" x14ac:dyDescent="0.3">
      <c r="A3415" s="683">
        <f>TRUNC(E3415*F3415,2)</f>
        <v>0</v>
      </c>
      <c r="B3415" s="684"/>
      <c r="C3415" s="684"/>
      <c r="D3415" s="684"/>
      <c r="E3415" s="684"/>
      <c r="F3415" s="684"/>
      <c r="G3415" s="685"/>
    </row>
    <row r="3416" spans="1:7" ht="28.8" x14ac:dyDescent="0.3">
      <c r="A3416" s="529" t="s">
        <v>264</v>
      </c>
      <c r="B3416" s="529">
        <v>93358</v>
      </c>
      <c r="C3416" s="530" t="s">
        <v>355</v>
      </c>
      <c r="D3416" s="529" t="s">
        <v>304</v>
      </c>
      <c r="E3416" s="252"/>
      <c r="F3416" s="531">
        <v>56.84</v>
      </c>
      <c r="G3416" s="252">
        <f t="shared" si="73"/>
        <v>0</v>
      </c>
    </row>
    <row r="3417" spans="1:7" x14ac:dyDescent="0.3">
      <c r="A3417" s="524" t="s">
        <v>522</v>
      </c>
      <c r="B3417" s="524" t="s">
        <v>1359</v>
      </c>
      <c r="C3417" s="525" t="s">
        <v>801</v>
      </c>
      <c r="D3417" s="524" t="s">
        <v>32</v>
      </c>
      <c r="E3417" s="524" t="s">
        <v>2104</v>
      </c>
      <c r="F3417" s="526" t="s">
        <v>1361</v>
      </c>
      <c r="G3417" s="252">
        <f t="shared" si="73"/>
        <v>56.84</v>
      </c>
    </row>
    <row r="3418" spans="1:7" x14ac:dyDescent="0.3">
      <c r="A3418" s="680" t="s">
        <v>1152</v>
      </c>
      <c r="B3418" s="681"/>
      <c r="C3418" s="681"/>
      <c r="D3418" s="681"/>
      <c r="E3418" s="681"/>
      <c r="F3418" s="682"/>
      <c r="G3418" s="527">
        <f>SUM(G3416:G3417)</f>
        <v>56.84</v>
      </c>
    </row>
    <row r="3419" spans="1:7" x14ac:dyDescent="0.3">
      <c r="A3419" s="683">
        <f>TRUNC(E3419*F3419,2)</f>
        <v>0</v>
      </c>
      <c r="B3419" s="684"/>
      <c r="C3419" s="684"/>
      <c r="D3419" s="684"/>
      <c r="E3419" s="684"/>
      <c r="F3419" s="684"/>
      <c r="G3419" s="685"/>
    </row>
    <row r="3420" spans="1:7" ht="43.2" x14ac:dyDescent="0.3">
      <c r="A3420" s="529" t="s">
        <v>265</v>
      </c>
      <c r="B3420" s="529">
        <v>89707</v>
      </c>
      <c r="C3420" s="530" t="s">
        <v>292</v>
      </c>
      <c r="D3420" s="529" t="s">
        <v>44</v>
      </c>
      <c r="E3420" s="252"/>
      <c r="F3420" s="531">
        <v>25.09</v>
      </c>
      <c r="G3420" s="252">
        <f t="shared" si="73"/>
        <v>0</v>
      </c>
    </row>
    <row r="3421" spans="1:7" x14ac:dyDescent="0.3">
      <c r="A3421" s="524" t="s">
        <v>508</v>
      </c>
      <c r="B3421" s="524" t="s">
        <v>1774</v>
      </c>
      <c r="C3421" s="525" t="s">
        <v>1775</v>
      </c>
      <c r="D3421" s="524" t="s">
        <v>397</v>
      </c>
      <c r="E3421" s="524" t="s">
        <v>2017</v>
      </c>
      <c r="F3421" s="526" t="s">
        <v>1777</v>
      </c>
      <c r="G3421" s="252">
        <f t="shared" si="73"/>
        <v>1.22</v>
      </c>
    </row>
    <row r="3422" spans="1:7" x14ac:dyDescent="0.3">
      <c r="A3422" s="524" t="s">
        <v>508</v>
      </c>
      <c r="B3422" s="524" t="s">
        <v>1806</v>
      </c>
      <c r="C3422" s="525" t="s">
        <v>1807</v>
      </c>
      <c r="D3422" s="524" t="s">
        <v>397</v>
      </c>
      <c r="E3422" s="524" t="s">
        <v>1122</v>
      </c>
      <c r="F3422" s="526" t="s">
        <v>1455</v>
      </c>
      <c r="G3422" s="252">
        <f t="shared" si="73"/>
        <v>2.0499999999999998</v>
      </c>
    </row>
    <row r="3423" spans="1:7" x14ac:dyDescent="0.3">
      <c r="A3423" s="524" t="s">
        <v>508</v>
      </c>
      <c r="B3423" s="524" t="s">
        <v>2018</v>
      </c>
      <c r="C3423" s="525" t="s">
        <v>2019</v>
      </c>
      <c r="D3423" s="524" t="s">
        <v>397</v>
      </c>
      <c r="E3423" s="524" t="s">
        <v>1122</v>
      </c>
      <c r="F3423" s="526" t="s">
        <v>2020</v>
      </c>
      <c r="G3423" s="252">
        <f t="shared" si="73"/>
        <v>11.59</v>
      </c>
    </row>
    <row r="3424" spans="1:7" ht="28.8" x14ac:dyDescent="0.3">
      <c r="A3424" s="524" t="s">
        <v>508</v>
      </c>
      <c r="B3424" s="524" t="s">
        <v>1798</v>
      </c>
      <c r="C3424" s="525" t="s">
        <v>1799</v>
      </c>
      <c r="D3424" s="524" t="s">
        <v>397</v>
      </c>
      <c r="E3424" s="524" t="s">
        <v>1515</v>
      </c>
      <c r="F3424" s="526" t="s">
        <v>1801</v>
      </c>
      <c r="G3424" s="252">
        <f t="shared" si="73"/>
        <v>0.6</v>
      </c>
    </row>
    <row r="3425" spans="1:7" x14ac:dyDescent="0.3">
      <c r="A3425" s="524" t="s">
        <v>508</v>
      </c>
      <c r="B3425" s="524" t="s">
        <v>1781</v>
      </c>
      <c r="C3425" s="525" t="s">
        <v>1782</v>
      </c>
      <c r="D3425" s="524" t="s">
        <v>397</v>
      </c>
      <c r="E3425" s="524" t="s">
        <v>2021</v>
      </c>
      <c r="F3425" s="526" t="s">
        <v>1784</v>
      </c>
      <c r="G3425" s="252">
        <f t="shared" si="73"/>
        <v>1.61</v>
      </c>
    </row>
    <row r="3426" spans="1:7" x14ac:dyDescent="0.3">
      <c r="A3426" s="524" t="s">
        <v>508</v>
      </c>
      <c r="B3426" s="524" t="s">
        <v>1785</v>
      </c>
      <c r="C3426" s="525" t="s">
        <v>1786</v>
      </c>
      <c r="D3426" s="524" t="s">
        <v>397</v>
      </c>
      <c r="E3426" s="524" t="s">
        <v>2022</v>
      </c>
      <c r="F3426" s="526" t="s">
        <v>1563</v>
      </c>
      <c r="G3426" s="252">
        <f t="shared" si="73"/>
        <v>0.12</v>
      </c>
    </row>
    <row r="3427" spans="1:7" ht="28.8" x14ac:dyDescent="0.3">
      <c r="A3427" s="524" t="s">
        <v>522</v>
      </c>
      <c r="B3427" s="524" t="s">
        <v>1726</v>
      </c>
      <c r="C3427" s="525" t="s">
        <v>1727</v>
      </c>
      <c r="D3427" s="524" t="s">
        <v>32</v>
      </c>
      <c r="E3427" s="524" t="s">
        <v>1438</v>
      </c>
      <c r="F3427" s="526" t="s">
        <v>1729</v>
      </c>
      <c r="G3427" s="252">
        <f t="shared" si="73"/>
        <v>3.46</v>
      </c>
    </row>
    <row r="3428" spans="1:7" x14ac:dyDescent="0.3">
      <c r="A3428" s="524" t="s">
        <v>522</v>
      </c>
      <c r="B3428" s="524" t="s">
        <v>1367</v>
      </c>
      <c r="C3428" s="525" t="s">
        <v>1368</v>
      </c>
      <c r="D3428" s="524" t="s">
        <v>32</v>
      </c>
      <c r="E3428" s="524" t="s">
        <v>1438</v>
      </c>
      <c r="F3428" s="526" t="s">
        <v>1370</v>
      </c>
      <c r="G3428" s="252">
        <f t="shared" si="73"/>
        <v>4.4400000000000004</v>
      </c>
    </row>
    <row r="3429" spans="1:7" x14ac:dyDescent="0.3">
      <c r="A3429" s="680" t="s">
        <v>1152</v>
      </c>
      <c r="B3429" s="681"/>
      <c r="C3429" s="681"/>
      <c r="D3429" s="681"/>
      <c r="E3429" s="681"/>
      <c r="F3429" s="682"/>
      <c r="G3429" s="527">
        <f>SUM(G3420:G3428)</f>
        <v>25.090000000000003</v>
      </c>
    </row>
    <row r="3430" spans="1:7" x14ac:dyDescent="0.3">
      <c r="A3430" s="683">
        <f>TRUNC(E3430*F3430,2)</f>
        <v>0</v>
      </c>
      <c r="B3430" s="684"/>
      <c r="C3430" s="684"/>
      <c r="D3430" s="684"/>
      <c r="E3430" s="684"/>
      <c r="F3430" s="684"/>
      <c r="G3430" s="685"/>
    </row>
    <row r="3431" spans="1:7" ht="43.2" x14ac:dyDescent="0.3">
      <c r="A3431" s="529" t="s">
        <v>267</v>
      </c>
      <c r="B3431" s="529">
        <v>95472</v>
      </c>
      <c r="C3431" s="530" t="s">
        <v>280</v>
      </c>
      <c r="D3431" s="529" t="s">
        <v>44</v>
      </c>
      <c r="E3431" s="252"/>
      <c r="F3431" s="531">
        <v>611.63</v>
      </c>
      <c r="G3431" s="252">
        <f t="shared" si="73"/>
        <v>0</v>
      </c>
    </row>
    <row r="3432" spans="1:7" ht="28.8" x14ac:dyDescent="0.3">
      <c r="A3432" s="524" t="s">
        <v>508</v>
      </c>
      <c r="B3432" s="524" t="s">
        <v>1837</v>
      </c>
      <c r="C3432" s="525" t="s">
        <v>1838</v>
      </c>
      <c r="D3432" s="524" t="s">
        <v>397</v>
      </c>
      <c r="E3432" s="524" t="s">
        <v>1122</v>
      </c>
      <c r="F3432" s="526" t="s">
        <v>1839</v>
      </c>
      <c r="G3432" s="252">
        <f t="shared" si="73"/>
        <v>6.61</v>
      </c>
    </row>
    <row r="3433" spans="1:7" ht="28.8" x14ac:dyDescent="0.3">
      <c r="A3433" s="524" t="s">
        <v>522</v>
      </c>
      <c r="B3433" s="524" t="s">
        <v>2036</v>
      </c>
      <c r="C3433" s="525" t="s">
        <v>2037</v>
      </c>
      <c r="D3433" s="524" t="s">
        <v>397</v>
      </c>
      <c r="E3433" s="524" t="s">
        <v>1122</v>
      </c>
      <c r="F3433" s="526">
        <v>605.02</v>
      </c>
      <c r="G3433" s="252">
        <f t="shared" si="73"/>
        <v>605.02</v>
      </c>
    </row>
    <row r="3434" spans="1:7" x14ac:dyDescent="0.3">
      <c r="A3434" s="680" t="s">
        <v>1152</v>
      </c>
      <c r="B3434" s="681"/>
      <c r="C3434" s="681"/>
      <c r="D3434" s="681"/>
      <c r="E3434" s="681"/>
      <c r="F3434" s="682"/>
      <c r="G3434" s="527">
        <f>SUM(G3430:G3433)</f>
        <v>611.63</v>
      </c>
    </row>
    <row r="3435" spans="1:7" x14ac:dyDescent="0.3">
      <c r="A3435" s="683">
        <f>TRUNC(E3435*F3435,2)</f>
        <v>0</v>
      </c>
      <c r="B3435" s="684"/>
      <c r="C3435" s="684"/>
      <c r="D3435" s="684"/>
      <c r="E3435" s="684"/>
      <c r="F3435" s="684"/>
      <c r="G3435" s="685"/>
    </row>
    <row r="3436" spans="1:7" ht="43.2" x14ac:dyDescent="0.3">
      <c r="A3436" s="529" t="s">
        <v>269</v>
      </c>
      <c r="B3436" s="529">
        <v>95470</v>
      </c>
      <c r="C3436" s="530" t="s">
        <v>205</v>
      </c>
      <c r="D3436" s="529" t="s">
        <v>44</v>
      </c>
      <c r="E3436" s="252"/>
      <c r="F3436" s="531">
        <v>169.53</v>
      </c>
      <c r="G3436" s="252">
        <f t="shared" si="73"/>
        <v>0</v>
      </c>
    </row>
    <row r="3437" spans="1:7" ht="28.8" x14ac:dyDescent="0.3">
      <c r="A3437" s="524" t="s">
        <v>508</v>
      </c>
      <c r="B3437" s="524" t="s">
        <v>1837</v>
      </c>
      <c r="C3437" s="525" t="s">
        <v>1838</v>
      </c>
      <c r="D3437" s="524" t="s">
        <v>397</v>
      </c>
      <c r="E3437" s="524" t="s">
        <v>1122</v>
      </c>
      <c r="F3437" s="526" t="s">
        <v>1839</v>
      </c>
      <c r="G3437" s="252">
        <f t="shared" si="73"/>
        <v>6.61</v>
      </c>
    </row>
    <row r="3438" spans="1:7" ht="28.8" x14ac:dyDescent="0.3">
      <c r="A3438" s="524" t="s">
        <v>522</v>
      </c>
      <c r="B3438" s="524" t="s">
        <v>1840</v>
      </c>
      <c r="C3438" s="525" t="s">
        <v>1841</v>
      </c>
      <c r="D3438" s="524" t="s">
        <v>397</v>
      </c>
      <c r="E3438" s="524" t="s">
        <v>1122</v>
      </c>
      <c r="F3438" s="526" t="s">
        <v>1842</v>
      </c>
      <c r="G3438" s="252">
        <f t="shared" si="73"/>
        <v>162.91999999999999</v>
      </c>
    </row>
    <row r="3439" spans="1:7" x14ac:dyDescent="0.3">
      <c r="A3439" s="680" t="s">
        <v>1152</v>
      </c>
      <c r="B3439" s="681"/>
      <c r="C3439" s="681"/>
      <c r="D3439" s="681"/>
      <c r="E3439" s="681"/>
      <c r="F3439" s="682"/>
      <c r="G3439" s="527">
        <f>SUM(G3436:G3438)</f>
        <v>169.53</v>
      </c>
    </row>
    <row r="3440" spans="1:7" x14ac:dyDescent="0.3">
      <c r="A3440" s="683">
        <f>TRUNC(E3440*F3440,2)</f>
        <v>0</v>
      </c>
      <c r="B3440" s="684"/>
      <c r="C3440" s="684"/>
      <c r="D3440" s="684"/>
      <c r="E3440" s="684"/>
      <c r="F3440" s="684"/>
      <c r="G3440" s="685"/>
    </row>
    <row r="3441" spans="1:7" ht="43.2" x14ac:dyDescent="0.3">
      <c r="A3441" s="529" t="s">
        <v>270</v>
      </c>
      <c r="B3441" s="529">
        <v>100858</v>
      </c>
      <c r="C3441" s="530" t="s">
        <v>371</v>
      </c>
      <c r="D3441" s="529" t="s">
        <v>44</v>
      </c>
      <c r="E3441" s="252"/>
      <c r="F3441" s="531">
        <v>437.11</v>
      </c>
      <c r="G3441" s="252">
        <f t="shared" si="73"/>
        <v>0</v>
      </c>
    </row>
    <row r="3442" spans="1:7" x14ac:dyDescent="0.3">
      <c r="A3442" s="524" t="s">
        <v>508</v>
      </c>
      <c r="B3442" s="524" t="s">
        <v>1757</v>
      </c>
      <c r="C3442" s="525" t="s">
        <v>1758</v>
      </c>
      <c r="D3442" s="524" t="s">
        <v>397</v>
      </c>
      <c r="E3442" s="524" t="s">
        <v>2128</v>
      </c>
      <c r="F3442" s="526" t="s">
        <v>1760</v>
      </c>
      <c r="G3442" s="252">
        <f t="shared" si="73"/>
        <v>0.15</v>
      </c>
    </row>
    <row r="3443" spans="1:7" ht="28.8" x14ac:dyDescent="0.3">
      <c r="A3443" s="524" t="s">
        <v>508</v>
      </c>
      <c r="B3443" s="524" t="s">
        <v>2129</v>
      </c>
      <c r="C3443" s="525" t="s">
        <v>2130</v>
      </c>
      <c r="D3443" s="524" t="s">
        <v>397</v>
      </c>
      <c r="E3443" s="524" t="s">
        <v>1523</v>
      </c>
      <c r="F3443" s="526" t="s">
        <v>2131</v>
      </c>
      <c r="G3443" s="252">
        <f t="shared" si="73"/>
        <v>23.1</v>
      </c>
    </row>
    <row r="3444" spans="1:7" ht="28.8" x14ac:dyDescent="0.3">
      <c r="A3444" s="524" t="s">
        <v>508</v>
      </c>
      <c r="B3444" s="524" t="s">
        <v>1837</v>
      </c>
      <c r="C3444" s="525" t="s">
        <v>1838</v>
      </c>
      <c r="D3444" s="524" t="s">
        <v>397</v>
      </c>
      <c r="E3444" s="524" t="s">
        <v>1122</v>
      </c>
      <c r="F3444" s="526" t="s">
        <v>1839</v>
      </c>
      <c r="G3444" s="252">
        <f t="shared" si="73"/>
        <v>6.61</v>
      </c>
    </row>
    <row r="3445" spans="1:7" x14ac:dyDescent="0.3">
      <c r="A3445" s="524" t="s">
        <v>508</v>
      </c>
      <c r="B3445" s="524" t="s">
        <v>2132</v>
      </c>
      <c r="C3445" s="525" t="s">
        <v>2133</v>
      </c>
      <c r="D3445" s="524" t="s">
        <v>397</v>
      </c>
      <c r="E3445" s="524" t="s">
        <v>1122</v>
      </c>
      <c r="F3445" s="526" t="s">
        <v>2134</v>
      </c>
      <c r="G3445" s="252">
        <f t="shared" si="73"/>
        <v>247.8</v>
      </c>
    </row>
    <row r="3446" spans="1:7" ht="28.8" x14ac:dyDescent="0.3">
      <c r="A3446" s="524" t="s">
        <v>508</v>
      </c>
      <c r="B3446" s="524" t="s">
        <v>1172</v>
      </c>
      <c r="C3446" s="525" t="s">
        <v>1173</v>
      </c>
      <c r="D3446" s="524" t="s">
        <v>397</v>
      </c>
      <c r="E3446" s="524" t="s">
        <v>1122</v>
      </c>
      <c r="F3446" s="526" t="s">
        <v>1174</v>
      </c>
      <c r="G3446" s="252">
        <f t="shared" si="73"/>
        <v>136.94</v>
      </c>
    </row>
    <row r="3447" spans="1:7" x14ac:dyDescent="0.3">
      <c r="A3447" s="524" t="s">
        <v>522</v>
      </c>
      <c r="B3447" s="524" t="s">
        <v>1367</v>
      </c>
      <c r="C3447" s="525" t="s">
        <v>1368</v>
      </c>
      <c r="D3447" s="524" t="s">
        <v>32</v>
      </c>
      <c r="E3447" s="524" t="s">
        <v>2135</v>
      </c>
      <c r="F3447" s="526" t="s">
        <v>1370</v>
      </c>
      <c r="G3447" s="252">
        <f t="shared" si="73"/>
        <v>17.95</v>
      </c>
    </row>
    <row r="3448" spans="1:7" x14ac:dyDescent="0.3">
      <c r="A3448" s="524" t="s">
        <v>522</v>
      </c>
      <c r="B3448" s="524" t="s">
        <v>1359</v>
      </c>
      <c r="C3448" s="525" t="s">
        <v>801</v>
      </c>
      <c r="D3448" s="524" t="s">
        <v>32</v>
      </c>
      <c r="E3448" s="524" t="s">
        <v>2136</v>
      </c>
      <c r="F3448" s="526" t="s">
        <v>1361</v>
      </c>
      <c r="G3448" s="252">
        <f t="shared" si="73"/>
        <v>4.5599999999999996</v>
      </c>
    </row>
    <row r="3449" spans="1:7" x14ac:dyDescent="0.3">
      <c r="A3449" s="680" t="s">
        <v>1152</v>
      </c>
      <c r="B3449" s="681"/>
      <c r="C3449" s="681"/>
      <c r="D3449" s="681"/>
      <c r="E3449" s="681"/>
      <c r="F3449" s="682"/>
      <c r="G3449" s="527">
        <f>SUM(G3441:G3448)</f>
        <v>437.11</v>
      </c>
    </row>
    <row r="3450" spans="1:7" x14ac:dyDescent="0.3">
      <c r="A3450" s="683">
        <f>TRUNC(E3450*F3450,2)</f>
        <v>0</v>
      </c>
      <c r="B3450" s="684"/>
      <c r="C3450" s="684"/>
      <c r="D3450" s="684"/>
      <c r="E3450" s="684"/>
      <c r="F3450" s="684"/>
      <c r="G3450" s="685"/>
    </row>
    <row r="3451" spans="1:7" ht="28.8" x14ac:dyDescent="0.3">
      <c r="A3451" s="529" t="s">
        <v>271</v>
      </c>
      <c r="B3451" s="529">
        <v>86889</v>
      </c>
      <c r="C3451" s="530" t="s">
        <v>372</v>
      </c>
      <c r="D3451" s="529" t="s">
        <v>44</v>
      </c>
      <c r="E3451" s="252"/>
      <c r="F3451" s="531">
        <v>574.45000000000005</v>
      </c>
      <c r="G3451" s="252">
        <f t="shared" si="73"/>
        <v>0</v>
      </c>
    </row>
    <row r="3452" spans="1:7" x14ac:dyDescent="0.3">
      <c r="A3452" s="524" t="s">
        <v>508</v>
      </c>
      <c r="B3452" s="524" t="s">
        <v>1731</v>
      </c>
      <c r="C3452" s="525" t="s">
        <v>1732</v>
      </c>
      <c r="D3452" s="524" t="s">
        <v>426</v>
      </c>
      <c r="E3452" s="524" t="s">
        <v>1981</v>
      </c>
      <c r="F3452" s="528" t="s">
        <v>1734</v>
      </c>
      <c r="G3452" s="252">
        <f t="shared" si="73"/>
        <v>19.350000000000001</v>
      </c>
    </row>
    <row r="3453" spans="1:7" ht="28.8" x14ac:dyDescent="0.3">
      <c r="A3453" s="524" t="s">
        <v>508</v>
      </c>
      <c r="B3453" s="524" t="s">
        <v>1425</v>
      </c>
      <c r="C3453" s="525" t="s">
        <v>1426</v>
      </c>
      <c r="D3453" s="524" t="s">
        <v>397</v>
      </c>
      <c r="E3453" s="524" t="s">
        <v>1397</v>
      </c>
      <c r="F3453" s="528" t="s">
        <v>1428</v>
      </c>
      <c r="G3453" s="252">
        <f t="shared" si="73"/>
        <v>3.3</v>
      </c>
    </row>
    <row r="3454" spans="1:7" ht="28.8" x14ac:dyDescent="0.3">
      <c r="A3454" s="524" t="s">
        <v>508</v>
      </c>
      <c r="B3454" s="524" t="s">
        <v>1735</v>
      </c>
      <c r="C3454" s="525" t="s">
        <v>1736</v>
      </c>
      <c r="D3454" s="524" t="s">
        <v>24</v>
      </c>
      <c r="E3454" s="524" t="s">
        <v>1982</v>
      </c>
      <c r="F3454" s="528" t="s">
        <v>1738</v>
      </c>
      <c r="G3454" s="252">
        <f t="shared" si="73"/>
        <v>485.42</v>
      </c>
    </row>
    <row r="3455" spans="1:7" x14ac:dyDescent="0.3">
      <c r="A3455" s="524" t="s">
        <v>508</v>
      </c>
      <c r="B3455" s="524" t="s">
        <v>1739</v>
      </c>
      <c r="C3455" s="525" t="s">
        <v>1740</v>
      </c>
      <c r="D3455" s="524" t="s">
        <v>426</v>
      </c>
      <c r="E3455" s="524" t="s">
        <v>1983</v>
      </c>
      <c r="F3455" s="528" t="s">
        <v>1742</v>
      </c>
      <c r="G3455" s="252">
        <f t="shared" si="73"/>
        <v>1.69</v>
      </c>
    </row>
    <row r="3456" spans="1:7" ht="28.8" x14ac:dyDescent="0.3">
      <c r="A3456" s="524" t="s">
        <v>508</v>
      </c>
      <c r="B3456" s="524" t="s">
        <v>1984</v>
      </c>
      <c r="C3456" s="525" t="s">
        <v>1985</v>
      </c>
      <c r="D3456" s="524" t="s">
        <v>397</v>
      </c>
      <c r="E3456" s="524" t="s">
        <v>1523</v>
      </c>
      <c r="F3456" s="528" t="s">
        <v>1986</v>
      </c>
      <c r="G3456" s="252">
        <f t="shared" si="73"/>
        <v>23.7</v>
      </c>
    </row>
    <row r="3457" spans="1:7" x14ac:dyDescent="0.3">
      <c r="A3457" s="524" t="s">
        <v>522</v>
      </c>
      <c r="B3457" s="524" t="s">
        <v>1746</v>
      </c>
      <c r="C3457" s="525" t="s">
        <v>1747</v>
      </c>
      <c r="D3457" s="524" t="s">
        <v>32</v>
      </c>
      <c r="E3457" s="524" t="s">
        <v>1987</v>
      </c>
      <c r="F3457" s="528" t="s">
        <v>1749</v>
      </c>
      <c r="G3457" s="252">
        <f t="shared" si="73"/>
        <v>26.86</v>
      </c>
    </row>
    <row r="3458" spans="1:7" x14ac:dyDescent="0.3">
      <c r="A3458" s="524" t="s">
        <v>522</v>
      </c>
      <c r="B3458" s="524" t="s">
        <v>1359</v>
      </c>
      <c r="C3458" s="525" t="s">
        <v>801</v>
      </c>
      <c r="D3458" s="524" t="s">
        <v>32</v>
      </c>
      <c r="E3458" s="524" t="s">
        <v>1988</v>
      </c>
      <c r="F3458" s="528" t="s">
        <v>1361</v>
      </c>
      <c r="G3458" s="252">
        <f t="shared" si="73"/>
        <v>14.13</v>
      </c>
    </row>
    <row r="3459" spans="1:7" x14ac:dyDescent="0.3">
      <c r="A3459" s="680" t="s">
        <v>1152</v>
      </c>
      <c r="B3459" s="681"/>
      <c r="C3459" s="681"/>
      <c r="D3459" s="681"/>
      <c r="E3459" s="681"/>
      <c r="F3459" s="682"/>
      <c r="G3459" s="527">
        <f>SUM(G3451:G3458)</f>
        <v>574.45000000000005</v>
      </c>
    </row>
    <row r="3460" spans="1:7" x14ac:dyDescent="0.3">
      <c r="A3460" s="683">
        <f>TRUNC(E3460*F3460,2)</f>
        <v>0</v>
      </c>
      <c r="B3460" s="684"/>
      <c r="C3460" s="684"/>
      <c r="D3460" s="684"/>
      <c r="E3460" s="684"/>
      <c r="F3460" s="684"/>
      <c r="G3460" s="685"/>
    </row>
    <row r="3461" spans="1:7" x14ac:dyDescent="0.3">
      <c r="A3461" s="529" t="s">
        <v>272</v>
      </c>
      <c r="B3461" s="529" t="s">
        <v>283</v>
      </c>
      <c r="C3461" s="530" t="s">
        <v>284</v>
      </c>
      <c r="D3461" s="529" t="s">
        <v>44</v>
      </c>
      <c r="E3461" s="252"/>
      <c r="F3461" s="531">
        <v>690.14</v>
      </c>
      <c r="G3461" s="252">
        <f t="shared" si="73"/>
        <v>0</v>
      </c>
    </row>
    <row r="3462" spans="1:7" ht="28.8" x14ac:dyDescent="0.3">
      <c r="A3462" s="529"/>
      <c r="B3462" s="249">
        <v>4384</v>
      </c>
      <c r="C3462" s="202" t="s">
        <v>600</v>
      </c>
      <c r="D3462" s="249" t="s">
        <v>44</v>
      </c>
      <c r="E3462" s="250">
        <v>2</v>
      </c>
      <c r="F3462" s="251">
        <v>16.309999999999999</v>
      </c>
      <c r="G3462" s="252">
        <f t="shared" si="73"/>
        <v>32.619999999999997</v>
      </c>
    </row>
    <row r="3463" spans="1:7" x14ac:dyDescent="0.3">
      <c r="A3463" s="529"/>
      <c r="B3463" s="249"/>
      <c r="C3463" s="202" t="s">
        <v>284</v>
      </c>
      <c r="D3463" s="249" t="s">
        <v>44</v>
      </c>
      <c r="E3463" s="250">
        <v>1</v>
      </c>
      <c r="F3463" s="251">
        <v>647.71</v>
      </c>
      <c r="G3463" s="252">
        <f t="shared" si="73"/>
        <v>647.71</v>
      </c>
    </row>
    <row r="3464" spans="1:7" x14ac:dyDescent="0.3">
      <c r="A3464" s="529"/>
      <c r="B3464" s="249">
        <v>34356</v>
      </c>
      <c r="C3464" s="202" t="s">
        <v>601</v>
      </c>
      <c r="D3464" s="249" t="s">
        <v>426</v>
      </c>
      <c r="E3464" s="250">
        <v>5.0700000000000002E-2</v>
      </c>
      <c r="F3464" s="251">
        <v>3.15</v>
      </c>
      <c r="G3464" s="252">
        <f t="shared" si="73"/>
        <v>0.15</v>
      </c>
    </row>
    <row r="3465" spans="1:7" x14ac:dyDescent="0.3">
      <c r="A3465" s="529"/>
      <c r="B3465" s="524" t="s">
        <v>1367</v>
      </c>
      <c r="C3465" s="525" t="s">
        <v>1368</v>
      </c>
      <c r="D3465" s="249" t="s">
        <v>32</v>
      </c>
      <c r="E3465" s="250">
        <v>0.39</v>
      </c>
      <c r="F3465" s="251">
        <v>17.79</v>
      </c>
      <c r="G3465" s="252">
        <f t="shared" si="73"/>
        <v>6.93</v>
      </c>
    </row>
    <row r="3466" spans="1:7" x14ac:dyDescent="0.3">
      <c r="A3466" s="529"/>
      <c r="B3466" s="524" t="s">
        <v>1359</v>
      </c>
      <c r="C3466" s="525" t="s">
        <v>801</v>
      </c>
      <c r="D3466" s="249" t="s">
        <v>32</v>
      </c>
      <c r="E3466" s="250">
        <v>0.19</v>
      </c>
      <c r="F3466" s="251">
        <v>14.37</v>
      </c>
      <c r="G3466" s="252">
        <f t="shared" si="73"/>
        <v>2.73</v>
      </c>
    </row>
    <row r="3467" spans="1:7" x14ac:dyDescent="0.3">
      <c r="A3467" s="680" t="s">
        <v>1152</v>
      </c>
      <c r="B3467" s="681"/>
      <c r="C3467" s="681"/>
      <c r="D3467" s="681"/>
      <c r="E3467" s="681"/>
      <c r="F3467" s="682"/>
      <c r="G3467" s="527">
        <f>SUM(G3461:G3466)</f>
        <v>690.14</v>
      </c>
    </row>
    <row r="3468" spans="1:7" x14ac:dyDescent="0.3">
      <c r="A3468" s="683">
        <f>TRUNC(E3468*F3468,2)</f>
        <v>0</v>
      </c>
      <c r="B3468" s="684"/>
      <c r="C3468" s="684"/>
      <c r="D3468" s="684"/>
      <c r="E3468" s="684"/>
      <c r="F3468" s="684"/>
      <c r="G3468" s="685"/>
    </row>
    <row r="3469" spans="1:7" ht="28.8" x14ac:dyDescent="0.3">
      <c r="A3469" s="529" t="s">
        <v>274</v>
      </c>
      <c r="B3469" s="529">
        <v>86901</v>
      </c>
      <c r="C3469" s="530" t="s">
        <v>192</v>
      </c>
      <c r="D3469" s="529" t="s">
        <v>44</v>
      </c>
      <c r="E3469" s="252"/>
      <c r="F3469" s="531">
        <v>108.45</v>
      </c>
      <c r="G3469" s="252">
        <f t="shared" si="73"/>
        <v>0</v>
      </c>
    </row>
    <row r="3470" spans="1:7" x14ac:dyDescent="0.3">
      <c r="A3470" s="524" t="s">
        <v>508</v>
      </c>
      <c r="B3470" s="524" t="s">
        <v>1731</v>
      </c>
      <c r="C3470" s="525" t="s">
        <v>1732</v>
      </c>
      <c r="D3470" s="524" t="s">
        <v>426</v>
      </c>
      <c r="E3470" s="524" t="s">
        <v>1751</v>
      </c>
      <c r="F3470" s="526" t="s">
        <v>1734</v>
      </c>
      <c r="G3470" s="252">
        <f t="shared" si="73"/>
        <v>19.510000000000002</v>
      </c>
    </row>
    <row r="3471" spans="1:7" x14ac:dyDescent="0.3">
      <c r="A3471" s="524" t="s">
        <v>508</v>
      </c>
      <c r="B3471" s="524" t="s">
        <v>1752</v>
      </c>
      <c r="C3471" s="525" t="s">
        <v>1753</v>
      </c>
      <c r="D3471" s="524" t="s">
        <v>397</v>
      </c>
      <c r="E3471" s="524" t="s">
        <v>1122</v>
      </c>
      <c r="F3471" s="526" t="s">
        <v>1754</v>
      </c>
      <c r="G3471" s="252">
        <f t="shared" si="73"/>
        <v>69.92</v>
      </c>
    </row>
    <row r="3472" spans="1:7" x14ac:dyDescent="0.3">
      <c r="A3472" s="524" t="s">
        <v>522</v>
      </c>
      <c r="B3472" s="524" t="s">
        <v>1746</v>
      </c>
      <c r="C3472" s="525" t="s">
        <v>1747</v>
      </c>
      <c r="D3472" s="524" t="s">
        <v>32</v>
      </c>
      <c r="E3472" s="524" t="s">
        <v>1755</v>
      </c>
      <c r="F3472" s="526" t="s">
        <v>1749</v>
      </c>
      <c r="G3472" s="252">
        <f t="shared" si="73"/>
        <v>15.2</v>
      </c>
    </row>
    <row r="3473" spans="1:7" x14ac:dyDescent="0.3">
      <c r="A3473" s="524" t="s">
        <v>522</v>
      </c>
      <c r="B3473" s="524" t="s">
        <v>1359</v>
      </c>
      <c r="C3473" s="525" t="s">
        <v>801</v>
      </c>
      <c r="D3473" s="524" t="s">
        <v>32</v>
      </c>
      <c r="E3473" s="524" t="s">
        <v>1756</v>
      </c>
      <c r="F3473" s="526" t="s">
        <v>1361</v>
      </c>
      <c r="G3473" s="252">
        <f t="shared" si="73"/>
        <v>3.82</v>
      </c>
    </row>
    <row r="3474" spans="1:7" x14ac:dyDescent="0.3">
      <c r="A3474" s="680" t="s">
        <v>1152</v>
      </c>
      <c r="B3474" s="681"/>
      <c r="C3474" s="681"/>
      <c r="D3474" s="681"/>
      <c r="E3474" s="681"/>
      <c r="F3474" s="682"/>
      <c r="G3474" s="527">
        <f>SUM(G3469:G3473)</f>
        <v>108.45</v>
      </c>
    </row>
    <row r="3475" spans="1:7" x14ac:dyDescent="0.3">
      <c r="A3475" s="683">
        <f>TRUNC(E3475*F3475,2)</f>
        <v>0</v>
      </c>
      <c r="B3475" s="684"/>
      <c r="C3475" s="684"/>
      <c r="D3475" s="684"/>
      <c r="E3475" s="684"/>
      <c r="F3475" s="684"/>
      <c r="G3475" s="685"/>
    </row>
    <row r="3476" spans="1:7" ht="28.8" x14ac:dyDescent="0.3">
      <c r="A3476" s="529" t="s">
        <v>276</v>
      </c>
      <c r="B3476" s="529">
        <v>86915</v>
      </c>
      <c r="C3476" s="530" t="s">
        <v>193</v>
      </c>
      <c r="D3476" s="529" t="s">
        <v>44</v>
      </c>
      <c r="E3476" s="252"/>
      <c r="F3476" s="531">
        <v>84.78</v>
      </c>
      <c r="G3476" s="252">
        <f t="shared" si="73"/>
        <v>0</v>
      </c>
    </row>
    <row r="3477" spans="1:7" x14ac:dyDescent="0.3">
      <c r="A3477" s="524" t="s">
        <v>508</v>
      </c>
      <c r="B3477" s="524" t="s">
        <v>1757</v>
      </c>
      <c r="C3477" s="525" t="s">
        <v>1758</v>
      </c>
      <c r="D3477" s="524" t="s">
        <v>397</v>
      </c>
      <c r="E3477" s="524" t="s">
        <v>1759</v>
      </c>
      <c r="F3477" s="526" t="s">
        <v>1760</v>
      </c>
      <c r="G3477" s="252">
        <f t="shared" si="73"/>
        <v>0.08</v>
      </c>
    </row>
    <row r="3478" spans="1:7" x14ac:dyDescent="0.3">
      <c r="A3478" s="524" t="s">
        <v>508</v>
      </c>
      <c r="B3478" s="524" t="s">
        <v>1761</v>
      </c>
      <c r="C3478" s="525" t="s">
        <v>1762</v>
      </c>
      <c r="D3478" s="524" t="s">
        <v>397</v>
      </c>
      <c r="E3478" s="524" t="s">
        <v>1122</v>
      </c>
      <c r="F3478" s="526" t="s">
        <v>1763</v>
      </c>
      <c r="G3478" s="252">
        <f t="shared" si="73"/>
        <v>82.57</v>
      </c>
    </row>
    <row r="3479" spans="1:7" x14ac:dyDescent="0.3">
      <c r="A3479" s="524" t="s">
        <v>522</v>
      </c>
      <c r="B3479" s="524" t="s">
        <v>1367</v>
      </c>
      <c r="C3479" s="525" t="s">
        <v>1368</v>
      </c>
      <c r="D3479" s="524" t="s">
        <v>32</v>
      </c>
      <c r="E3479" s="524" t="s">
        <v>1764</v>
      </c>
      <c r="F3479" s="526" t="s">
        <v>1370</v>
      </c>
      <c r="G3479" s="252">
        <f t="shared" si="73"/>
        <v>1.7</v>
      </c>
    </row>
    <row r="3480" spans="1:7" x14ac:dyDescent="0.3">
      <c r="A3480" s="524" t="s">
        <v>522</v>
      </c>
      <c r="B3480" s="524" t="s">
        <v>1359</v>
      </c>
      <c r="C3480" s="525" t="s">
        <v>801</v>
      </c>
      <c r="D3480" s="524" t="s">
        <v>32</v>
      </c>
      <c r="E3480" s="524" t="s">
        <v>1765</v>
      </c>
      <c r="F3480" s="526" t="s">
        <v>1361</v>
      </c>
      <c r="G3480" s="252">
        <f t="shared" si="73"/>
        <v>0.43</v>
      </c>
    </row>
    <row r="3481" spans="1:7" x14ac:dyDescent="0.3">
      <c r="A3481" s="680" t="s">
        <v>1152</v>
      </c>
      <c r="B3481" s="681"/>
      <c r="C3481" s="681"/>
      <c r="D3481" s="681"/>
      <c r="E3481" s="681"/>
      <c r="F3481" s="682"/>
      <c r="G3481" s="527">
        <f>SUM(G3476:G3480)</f>
        <v>84.78</v>
      </c>
    </row>
    <row r="3482" spans="1:7" x14ac:dyDescent="0.3">
      <c r="A3482" s="683">
        <f>TRUNC(E3482*F3482,2)</f>
        <v>0</v>
      </c>
      <c r="B3482" s="684"/>
      <c r="C3482" s="684"/>
      <c r="D3482" s="684"/>
      <c r="E3482" s="684"/>
      <c r="F3482" s="684"/>
      <c r="G3482" s="685"/>
    </row>
    <row r="3483" spans="1:7" ht="28.8" x14ac:dyDescent="0.3">
      <c r="A3483" s="529" t="s">
        <v>373</v>
      </c>
      <c r="B3483" s="529">
        <v>99635</v>
      </c>
      <c r="C3483" s="530" t="s">
        <v>194</v>
      </c>
      <c r="D3483" s="529" t="s">
        <v>44</v>
      </c>
      <c r="E3483" s="252"/>
      <c r="F3483" s="531">
        <v>184.35</v>
      </c>
      <c r="G3483" s="252">
        <f t="shared" si="73"/>
        <v>0</v>
      </c>
    </row>
    <row r="3484" spans="1:7" x14ac:dyDescent="0.3">
      <c r="A3484" s="524" t="s">
        <v>508</v>
      </c>
      <c r="B3484" s="524" t="s">
        <v>1766</v>
      </c>
      <c r="C3484" s="525" t="s">
        <v>1767</v>
      </c>
      <c r="D3484" s="524" t="s">
        <v>397</v>
      </c>
      <c r="E3484" s="524" t="s">
        <v>1768</v>
      </c>
      <c r="F3484" s="526" t="s">
        <v>1769</v>
      </c>
      <c r="G3484" s="252">
        <f t="shared" si="73"/>
        <v>0.28999999999999998</v>
      </c>
    </row>
    <row r="3485" spans="1:7" ht="28.8" x14ac:dyDescent="0.3">
      <c r="A3485" s="524" t="s">
        <v>508</v>
      </c>
      <c r="B3485" s="524" t="s">
        <v>1770</v>
      </c>
      <c r="C3485" s="525" t="s">
        <v>1771</v>
      </c>
      <c r="D3485" s="524" t="s">
        <v>397</v>
      </c>
      <c r="E3485" s="524" t="s">
        <v>1122</v>
      </c>
      <c r="F3485" s="526" t="s">
        <v>1772</v>
      </c>
      <c r="G3485" s="252">
        <f t="shared" si="73"/>
        <v>159.09</v>
      </c>
    </row>
    <row r="3486" spans="1:7" ht="28.8" x14ac:dyDescent="0.3">
      <c r="A3486" s="524" t="s">
        <v>522</v>
      </c>
      <c r="B3486" s="524" t="s">
        <v>1726</v>
      </c>
      <c r="C3486" s="525" t="s">
        <v>1727</v>
      </c>
      <c r="D3486" s="524" t="s">
        <v>32</v>
      </c>
      <c r="E3486" s="524" t="s">
        <v>1773</v>
      </c>
      <c r="F3486" s="526" t="s">
        <v>1729</v>
      </c>
      <c r="G3486" s="252">
        <f t="shared" si="73"/>
        <v>10.94</v>
      </c>
    </row>
    <row r="3487" spans="1:7" x14ac:dyDescent="0.3">
      <c r="A3487" s="524" t="s">
        <v>522</v>
      </c>
      <c r="B3487" s="524" t="s">
        <v>1367</v>
      </c>
      <c r="C3487" s="525" t="s">
        <v>1368</v>
      </c>
      <c r="D3487" s="524" t="s">
        <v>32</v>
      </c>
      <c r="E3487" s="524" t="s">
        <v>1773</v>
      </c>
      <c r="F3487" s="526" t="s">
        <v>1370</v>
      </c>
      <c r="G3487" s="252">
        <f t="shared" si="73"/>
        <v>14.03</v>
      </c>
    </row>
    <row r="3488" spans="1:7" x14ac:dyDescent="0.3">
      <c r="A3488" s="680" t="s">
        <v>1152</v>
      </c>
      <c r="B3488" s="681"/>
      <c r="C3488" s="681"/>
      <c r="D3488" s="681"/>
      <c r="E3488" s="681"/>
      <c r="F3488" s="682"/>
      <c r="G3488" s="527">
        <f>SUM(G3483:G3487)</f>
        <v>184.35</v>
      </c>
    </row>
    <row r="3489" spans="1:7" x14ac:dyDescent="0.3">
      <c r="A3489" s="683">
        <f>TRUNC(E3489*F3489,2)</f>
        <v>0</v>
      </c>
      <c r="B3489" s="684"/>
      <c r="C3489" s="684"/>
      <c r="D3489" s="684"/>
      <c r="E3489" s="684"/>
      <c r="F3489" s="684"/>
      <c r="G3489" s="685"/>
    </row>
    <row r="3490" spans="1:7" ht="28.8" x14ac:dyDescent="0.3">
      <c r="A3490" s="529" t="s">
        <v>374</v>
      </c>
      <c r="B3490" s="529">
        <v>89984</v>
      </c>
      <c r="C3490" s="530" t="s">
        <v>277</v>
      </c>
      <c r="D3490" s="529" t="s">
        <v>44</v>
      </c>
      <c r="E3490" s="252"/>
      <c r="F3490" s="531">
        <v>53.43</v>
      </c>
      <c r="G3490" s="252">
        <f t="shared" si="73"/>
        <v>0</v>
      </c>
    </row>
    <row r="3491" spans="1:7" x14ac:dyDescent="0.3">
      <c r="A3491" s="524" t="s">
        <v>508</v>
      </c>
      <c r="B3491" s="524" t="s">
        <v>1766</v>
      </c>
      <c r="C3491" s="525" t="s">
        <v>1767</v>
      </c>
      <c r="D3491" s="524" t="s">
        <v>397</v>
      </c>
      <c r="E3491" s="524" t="s">
        <v>1994</v>
      </c>
      <c r="F3491" s="528" t="s">
        <v>1769</v>
      </c>
      <c r="G3491" s="252">
        <f t="shared" si="73"/>
        <v>0.2</v>
      </c>
    </row>
    <row r="3492" spans="1:7" ht="28.8" x14ac:dyDescent="0.3">
      <c r="A3492" s="524" t="s">
        <v>508</v>
      </c>
      <c r="B3492" s="524" t="s">
        <v>1999</v>
      </c>
      <c r="C3492" s="525" t="s">
        <v>2000</v>
      </c>
      <c r="D3492" s="524" t="s">
        <v>397</v>
      </c>
      <c r="E3492" s="524" t="s">
        <v>1122</v>
      </c>
      <c r="F3492" s="528" t="s">
        <v>2001</v>
      </c>
      <c r="G3492" s="252">
        <f t="shared" si="73"/>
        <v>44.71</v>
      </c>
    </row>
    <row r="3493" spans="1:7" ht="28.8" x14ac:dyDescent="0.3">
      <c r="A3493" s="524" t="s">
        <v>522</v>
      </c>
      <c r="B3493" s="524" t="s">
        <v>1726</v>
      </c>
      <c r="C3493" s="525" t="s">
        <v>1727</v>
      </c>
      <c r="D3493" s="524" t="s">
        <v>32</v>
      </c>
      <c r="E3493" s="524" t="s">
        <v>1998</v>
      </c>
      <c r="F3493" s="528" t="s">
        <v>1729</v>
      </c>
      <c r="G3493" s="252">
        <f t="shared" si="73"/>
        <v>3.19</v>
      </c>
    </row>
    <row r="3494" spans="1:7" x14ac:dyDescent="0.3">
      <c r="A3494" s="524" t="s">
        <v>522</v>
      </c>
      <c r="B3494" s="524" t="s">
        <v>1367</v>
      </c>
      <c r="C3494" s="525" t="s">
        <v>1368</v>
      </c>
      <c r="D3494" s="524" t="s">
        <v>32</v>
      </c>
      <c r="E3494" s="524" t="s">
        <v>1518</v>
      </c>
      <c r="F3494" s="528" t="s">
        <v>1370</v>
      </c>
      <c r="G3494" s="252">
        <f t="shared" si="73"/>
        <v>5.33</v>
      </c>
    </row>
    <row r="3495" spans="1:7" x14ac:dyDescent="0.3">
      <c r="A3495" s="680" t="s">
        <v>1152</v>
      </c>
      <c r="B3495" s="681"/>
      <c r="C3495" s="681"/>
      <c r="D3495" s="681"/>
      <c r="E3495" s="681"/>
      <c r="F3495" s="682"/>
      <c r="G3495" s="527">
        <f>SUM(G3490:G3494)</f>
        <v>53.43</v>
      </c>
    </row>
    <row r="3496" spans="1:7" x14ac:dyDescent="0.3">
      <c r="A3496" s="683">
        <f>TRUNC(E3496*F3496,2)</f>
        <v>0</v>
      </c>
      <c r="B3496" s="684"/>
      <c r="C3496" s="684"/>
      <c r="D3496" s="684"/>
      <c r="E3496" s="684"/>
      <c r="F3496" s="684"/>
      <c r="G3496" s="685"/>
    </row>
    <row r="3497" spans="1:7" ht="28.8" x14ac:dyDescent="0.3">
      <c r="A3497" s="529" t="s">
        <v>375</v>
      </c>
      <c r="B3497" s="529">
        <v>86911</v>
      </c>
      <c r="C3497" s="530" t="s">
        <v>313</v>
      </c>
      <c r="D3497" s="529" t="s">
        <v>44</v>
      </c>
      <c r="E3497" s="252"/>
      <c r="F3497" s="531">
        <v>42.42</v>
      </c>
      <c r="G3497" s="252">
        <f t="shared" si="73"/>
        <v>0</v>
      </c>
    </row>
    <row r="3498" spans="1:7" x14ac:dyDescent="0.3">
      <c r="A3498" s="524" t="s">
        <v>508</v>
      </c>
      <c r="B3498" s="524" t="s">
        <v>1757</v>
      </c>
      <c r="C3498" s="525" t="s">
        <v>1758</v>
      </c>
      <c r="D3498" s="524" t="s">
        <v>397</v>
      </c>
      <c r="E3498" s="524" t="s">
        <v>1759</v>
      </c>
      <c r="F3498" s="526" t="s">
        <v>1760</v>
      </c>
      <c r="G3498" s="252">
        <f t="shared" si="73"/>
        <v>0.08</v>
      </c>
    </row>
    <row r="3499" spans="1:7" ht="28.8" x14ac:dyDescent="0.3">
      <c r="A3499" s="524" t="s">
        <v>508</v>
      </c>
      <c r="B3499" s="524" t="s">
        <v>2137</v>
      </c>
      <c r="C3499" s="525" t="s">
        <v>2138</v>
      </c>
      <c r="D3499" s="524" t="s">
        <v>397</v>
      </c>
      <c r="E3499" s="524" t="s">
        <v>1122</v>
      </c>
      <c r="F3499" s="526" t="s">
        <v>2139</v>
      </c>
      <c r="G3499" s="252">
        <f t="shared" si="73"/>
        <v>39.75</v>
      </c>
    </row>
    <row r="3500" spans="1:7" x14ac:dyDescent="0.3">
      <c r="A3500" s="524" t="s">
        <v>522</v>
      </c>
      <c r="B3500" s="524" t="s">
        <v>1367</v>
      </c>
      <c r="C3500" s="525" t="s">
        <v>1368</v>
      </c>
      <c r="D3500" s="524" t="s">
        <v>32</v>
      </c>
      <c r="E3500" s="524" t="s">
        <v>2140</v>
      </c>
      <c r="F3500" s="526" t="s">
        <v>1370</v>
      </c>
      <c r="G3500" s="252">
        <f t="shared" si="73"/>
        <v>2.0699999999999998</v>
      </c>
    </row>
    <row r="3501" spans="1:7" x14ac:dyDescent="0.3">
      <c r="A3501" s="524" t="s">
        <v>522</v>
      </c>
      <c r="B3501" s="524" t="s">
        <v>1359</v>
      </c>
      <c r="C3501" s="525" t="s">
        <v>801</v>
      </c>
      <c r="D3501" s="524" t="s">
        <v>32</v>
      </c>
      <c r="E3501" s="524" t="s">
        <v>2141</v>
      </c>
      <c r="F3501" s="526" t="s">
        <v>1361</v>
      </c>
      <c r="G3501" s="252">
        <f t="shared" si="73"/>
        <v>0.52</v>
      </c>
    </row>
    <row r="3502" spans="1:7" x14ac:dyDescent="0.3">
      <c r="A3502" s="680" t="s">
        <v>1152</v>
      </c>
      <c r="B3502" s="681"/>
      <c r="C3502" s="681"/>
      <c r="D3502" s="681"/>
      <c r="E3502" s="681"/>
      <c r="F3502" s="682"/>
      <c r="G3502" s="527">
        <f>SUM(G3497:G3501)</f>
        <v>42.42</v>
      </c>
    </row>
    <row r="3503" spans="1:7" x14ac:dyDescent="0.3">
      <c r="A3503" s="683">
        <f>TRUNC(E3503*F3503,2)</f>
        <v>0</v>
      </c>
      <c r="B3503" s="684"/>
      <c r="C3503" s="684"/>
      <c r="D3503" s="684"/>
      <c r="E3503" s="684"/>
      <c r="F3503" s="684"/>
      <c r="G3503" s="685"/>
    </row>
    <row r="3504" spans="1:7" ht="57.6" x14ac:dyDescent="0.3">
      <c r="A3504" s="529" t="s">
        <v>376</v>
      </c>
      <c r="B3504" s="529">
        <v>91785</v>
      </c>
      <c r="C3504" s="530" t="s">
        <v>377</v>
      </c>
      <c r="D3504" s="529" t="s">
        <v>55</v>
      </c>
      <c r="E3504" s="252"/>
      <c r="F3504" s="531">
        <v>30.62</v>
      </c>
      <c r="G3504" s="252">
        <f t="shared" si="73"/>
        <v>0</v>
      </c>
    </row>
    <row r="3505" spans="1:7" ht="28.8" x14ac:dyDescent="0.3">
      <c r="A3505" s="524" t="s">
        <v>522</v>
      </c>
      <c r="B3505" s="524" t="s">
        <v>2142</v>
      </c>
      <c r="C3505" s="525" t="s">
        <v>2143</v>
      </c>
      <c r="D3505" s="524" t="s">
        <v>55</v>
      </c>
      <c r="E3505" s="524" t="s">
        <v>2144</v>
      </c>
      <c r="F3505" s="526" t="s">
        <v>2145</v>
      </c>
      <c r="G3505" s="252">
        <f t="shared" si="73"/>
        <v>11.83</v>
      </c>
    </row>
    <row r="3506" spans="1:7" ht="28.8" x14ac:dyDescent="0.3">
      <c r="A3506" s="524" t="s">
        <v>522</v>
      </c>
      <c r="B3506" s="524" t="s">
        <v>2146</v>
      </c>
      <c r="C3506" s="525" t="s">
        <v>2147</v>
      </c>
      <c r="D3506" s="524" t="s">
        <v>397</v>
      </c>
      <c r="E3506" s="524" t="s">
        <v>2148</v>
      </c>
      <c r="F3506" s="526" t="s">
        <v>2149</v>
      </c>
      <c r="G3506" s="252">
        <f t="shared" si="73"/>
        <v>4.26</v>
      </c>
    </row>
    <row r="3507" spans="1:7" ht="43.2" x14ac:dyDescent="0.3">
      <c r="A3507" s="524" t="s">
        <v>522</v>
      </c>
      <c r="B3507" s="524" t="s">
        <v>2150</v>
      </c>
      <c r="C3507" s="525" t="s">
        <v>2151</v>
      </c>
      <c r="D3507" s="524" t="s">
        <v>397</v>
      </c>
      <c r="E3507" s="524" t="s">
        <v>2152</v>
      </c>
      <c r="F3507" s="526" t="s">
        <v>2153</v>
      </c>
      <c r="G3507" s="252">
        <f t="shared" si="73"/>
        <v>1.94</v>
      </c>
    </row>
    <row r="3508" spans="1:7" ht="28.8" x14ac:dyDescent="0.3">
      <c r="A3508" s="524" t="s">
        <v>522</v>
      </c>
      <c r="B3508" s="524" t="s">
        <v>2154</v>
      </c>
      <c r="C3508" s="525" t="s">
        <v>2155</v>
      </c>
      <c r="D3508" s="524" t="s">
        <v>397</v>
      </c>
      <c r="E3508" s="524" t="s">
        <v>2156</v>
      </c>
      <c r="F3508" s="526" t="s">
        <v>2157</v>
      </c>
      <c r="G3508" s="252">
        <f t="shared" si="73"/>
        <v>0.38</v>
      </c>
    </row>
    <row r="3509" spans="1:7" ht="43.2" x14ac:dyDescent="0.3">
      <c r="A3509" s="524" t="s">
        <v>522</v>
      </c>
      <c r="B3509" s="524" t="s">
        <v>2158</v>
      </c>
      <c r="C3509" s="525" t="s">
        <v>2159</v>
      </c>
      <c r="D3509" s="524" t="s">
        <v>397</v>
      </c>
      <c r="E3509" s="524" t="s">
        <v>2160</v>
      </c>
      <c r="F3509" s="526" t="s">
        <v>2161</v>
      </c>
      <c r="G3509" s="252">
        <f t="shared" si="73"/>
        <v>3.29</v>
      </c>
    </row>
    <row r="3510" spans="1:7" ht="28.8" x14ac:dyDescent="0.3">
      <c r="A3510" s="524" t="s">
        <v>522</v>
      </c>
      <c r="B3510" s="524" t="s">
        <v>2162</v>
      </c>
      <c r="C3510" s="525" t="s">
        <v>2163</v>
      </c>
      <c r="D3510" s="524" t="s">
        <v>397</v>
      </c>
      <c r="E3510" s="524" t="s">
        <v>2164</v>
      </c>
      <c r="F3510" s="526" t="s">
        <v>2165</v>
      </c>
      <c r="G3510" s="252">
        <f t="shared" si="73"/>
        <v>2.78</v>
      </c>
    </row>
    <row r="3511" spans="1:7" ht="43.2" x14ac:dyDescent="0.3">
      <c r="A3511" s="524" t="s">
        <v>522</v>
      </c>
      <c r="B3511" s="524" t="s">
        <v>2166</v>
      </c>
      <c r="C3511" s="525" t="s">
        <v>2167</v>
      </c>
      <c r="D3511" s="524" t="s">
        <v>397</v>
      </c>
      <c r="E3511" s="524" t="s">
        <v>2168</v>
      </c>
      <c r="F3511" s="526" t="s">
        <v>2145</v>
      </c>
      <c r="G3511" s="252">
        <f t="shared" si="73"/>
        <v>0.25</v>
      </c>
    </row>
    <row r="3512" spans="1:7" ht="28.8" x14ac:dyDescent="0.3">
      <c r="A3512" s="524" t="s">
        <v>522</v>
      </c>
      <c r="B3512" s="524" t="s">
        <v>2169</v>
      </c>
      <c r="C3512" s="525" t="s">
        <v>2170</v>
      </c>
      <c r="D3512" s="524" t="s">
        <v>397</v>
      </c>
      <c r="E3512" s="524" t="s">
        <v>2171</v>
      </c>
      <c r="F3512" s="526" t="s">
        <v>2172</v>
      </c>
      <c r="G3512" s="252">
        <f t="shared" si="73"/>
        <v>0.16</v>
      </c>
    </row>
    <row r="3513" spans="1:7" ht="28.8" x14ac:dyDescent="0.3">
      <c r="A3513" s="524" t="s">
        <v>522</v>
      </c>
      <c r="B3513" s="524" t="s">
        <v>2173</v>
      </c>
      <c r="C3513" s="525" t="s">
        <v>2174</v>
      </c>
      <c r="D3513" s="524" t="s">
        <v>55</v>
      </c>
      <c r="E3513" s="524" t="s">
        <v>2175</v>
      </c>
      <c r="F3513" s="526" t="s">
        <v>2176</v>
      </c>
      <c r="G3513" s="252">
        <f t="shared" si="73"/>
        <v>0.51</v>
      </c>
    </row>
    <row r="3514" spans="1:7" ht="28.8" x14ac:dyDescent="0.3">
      <c r="A3514" s="524" t="s">
        <v>522</v>
      </c>
      <c r="B3514" s="524" t="s">
        <v>2177</v>
      </c>
      <c r="C3514" s="525" t="s">
        <v>2178</v>
      </c>
      <c r="D3514" s="524" t="s">
        <v>397</v>
      </c>
      <c r="E3514" s="524" t="s">
        <v>2179</v>
      </c>
      <c r="F3514" s="526" t="s">
        <v>2180</v>
      </c>
      <c r="G3514" s="252">
        <f t="shared" si="73"/>
        <v>0.03</v>
      </c>
    </row>
    <row r="3515" spans="1:7" ht="28.8" x14ac:dyDescent="0.3">
      <c r="A3515" s="524" t="s">
        <v>522</v>
      </c>
      <c r="B3515" s="524" t="s">
        <v>2181</v>
      </c>
      <c r="C3515" s="525" t="s">
        <v>2182</v>
      </c>
      <c r="D3515" s="524" t="s">
        <v>397</v>
      </c>
      <c r="E3515" s="524" t="s">
        <v>2183</v>
      </c>
      <c r="F3515" s="526" t="s">
        <v>2184</v>
      </c>
      <c r="G3515" s="252">
        <f t="shared" si="73"/>
        <v>0.04</v>
      </c>
    </row>
    <row r="3516" spans="1:7" ht="28.8" x14ac:dyDescent="0.3">
      <c r="A3516" s="524" t="s">
        <v>522</v>
      </c>
      <c r="B3516" s="524" t="s">
        <v>2185</v>
      </c>
      <c r="C3516" s="525" t="s">
        <v>2186</v>
      </c>
      <c r="D3516" s="524" t="s">
        <v>397</v>
      </c>
      <c r="E3516" s="524" t="s">
        <v>2187</v>
      </c>
      <c r="F3516" s="526" t="s">
        <v>2188</v>
      </c>
      <c r="G3516" s="252">
        <f t="shared" si="73"/>
        <v>0.01</v>
      </c>
    </row>
    <row r="3517" spans="1:7" ht="28.8" x14ac:dyDescent="0.3">
      <c r="A3517" s="524" t="s">
        <v>522</v>
      </c>
      <c r="B3517" s="524" t="s">
        <v>2189</v>
      </c>
      <c r="C3517" s="525" t="s">
        <v>2190</v>
      </c>
      <c r="D3517" s="524" t="s">
        <v>397</v>
      </c>
      <c r="E3517" s="524" t="s">
        <v>2191</v>
      </c>
      <c r="F3517" s="526" t="s">
        <v>2192</v>
      </c>
      <c r="G3517" s="252">
        <f t="shared" si="73"/>
        <v>0.03</v>
      </c>
    </row>
    <row r="3518" spans="1:7" ht="28.8" x14ac:dyDescent="0.3">
      <c r="A3518" s="524" t="s">
        <v>522</v>
      </c>
      <c r="B3518" s="524" t="s">
        <v>2193</v>
      </c>
      <c r="C3518" s="525" t="s">
        <v>2194</v>
      </c>
      <c r="D3518" s="524" t="s">
        <v>55</v>
      </c>
      <c r="E3518" s="524" t="s">
        <v>1372</v>
      </c>
      <c r="F3518" s="526" t="s">
        <v>2195</v>
      </c>
      <c r="G3518" s="252">
        <f t="shared" si="73"/>
        <v>0.44</v>
      </c>
    </row>
    <row r="3519" spans="1:7" ht="28.8" x14ac:dyDescent="0.3">
      <c r="A3519" s="524" t="s">
        <v>522</v>
      </c>
      <c r="B3519" s="524" t="s">
        <v>2196</v>
      </c>
      <c r="C3519" s="525" t="s">
        <v>2197</v>
      </c>
      <c r="D3519" s="524" t="s">
        <v>397</v>
      </c>
      <c r="E3519" s="524" t="s">
        <v>2198</v>
      </c>
      <c r="F3519" s="526" t="s">
        <v>2199</v>
      </c>
      <c r="G3519" s="252">
        <f t="shared" si="73"/>
        <v>0.24</v>
      </c>
    </row>
    <row r="3520" spans="1:7" ht="28.8" x14ac:dyDescent="0.3">
      <c r="A3520" s="524" t="s">
        <v>522</v>
      </c>
      <c r="B3520" s="524" t="s">
        <v>2200</v>
      </c>
      <c r="C3520" s="525" t="s">
        <v>2201</v>
      </c>
      <c r="D3520" s="524" t="s">
        <v>397</v>
      </c>
      <c r="E3520" s="524" t="s">
        <v>2183</v>
      </c>
      <c r="F3520" s="526" t="s">
        <v>2202</v>
      </c>
      <c r="G3520" s="252">
        <f t="shared" ref="G3520:G3528" si="77">TRUNC(E3520*F3520,2)</f>
        <v>0.04</v>
      </c>
    </row>
    <row r="3521" spans="1:7" ht="28.8" x14ac:dyDescent="0.3">
      <c r="A3521" s="524" t="s">
        <v>522</v>
      </c>
      <c r="B3521" s="524" t="s">
        <v>2203</v>
      </c>
      <c r="C3521" s="525" t="s">
        <v>2204</v>
      </c>
      <c r="D3521" s="524" t="s">
        <v>397</v>
      </c>
      <c r="E3521" s="524" t="s">
        <v>2205</v>
      </c>
      <c r="F3521" s="526" t="s">
        <v>2206</v>
      </c>
      <c r="G3521" s="252">
        <f t="shared" si="77"/>
        <v>0.24</v>
      </c>
    </row>
    <row r="3522" spans="1:7" ht="28.8" x14ac:dyDescent="0.3">
      <c r="A3522" s="524" t="s">
        <v>522</v>
      </c>
      <c r="B3522" s="524" t="s">
        <v>2207</v>
      </c>
      <c r="C3522" s="525" t="s">
        <v>2208</v>
      </c>
      <c r="D3522" s="524" t="s">
        <v>397</v>
      </c>
      <c r="E3522" s="524" t="s">
        <v>863</v>
      </c>
      <c r="F3522" s="526" t="s">
        <v>2209</v>
      </c>
      <c r="G3522" s="252">
        <f t="shared" si="77"/>
        <v>0.39</v>
      </c>
    </row>
    <row r="3523" spans="1:7" ht="28.8" x14ac:dyDescent="0.3">
      <c r="A3523" s="524" t="s">
        <v>522</v>
      </c>
      <c r="B3523" s="524" t="s">
        <v>2210</v>
      </c>
      <c r="C3523" s="525" t="s">
        <v>2211</v>
      </c>
      <c r="D3523" s="524" t="s">
        <v>397</v>
      </c>
      <c r="E3523" s="524" t="s">
        <v>2212</v>
      </c>
      <c r="F3523" s="526" t="s">
        <v>2213</v>
      </c>
      <c r="G3523" s="252">
        <f t="shared" si="77"/>
        <v>0.04</v>
      </c>
    </row>
    <row r="3524" spans="1:7" x14ac:dyDescent="0.3">
      <c r="A3524" s="524" t="s">
        <v>522</v>
      </c>
      <c r="B3524" s="524" t="s">
        <v>2214</v>
      </c>
      <c r="C3524" s="525" t="s">
        <v>2215</v>
      </c>
      <c r="D3524" s="524" t="s">
        <v>397</v>
      </c>
      <c r="E3524" s="524" t="s">
        <v>2216</v>
      </c>
      <c r="F3524" s="526" t="s">
        <v>2217</v>
      </c>
      <c r="G3524" s="252">
        <f t="shared" si="77"/>
        <v>0.08</v>
      </c>
    </row>
    <row r="3525" spans="1:7" ht="28.8" x14ac:dyDescent="0.3">
      <c r="A3525" s="524" t="s">
        <v>522</v>
      </c>
      <c r="B3525" s="524" t="s">
        <v>948</v>
      </c>
      <c r="C3525" s="525" t="s">
        <v>190</v>
      </c>
      <c r="D3525" s="524" t="s">
        <v>55</v>
      </c>
      <c r="E3525" s="524" t="s">
        <v>2218</v>
      </c>
      <c r="F3525" s="526" t="s">
        <v>950</v>
      </c>
      <c r="G3525" s="252">
        <f t="shared" si="77"/>
        <v>1.79</v>
      </c>
    </row>
    <row r="3526" spans="1:7" ht="28.8" x14ac:dyDescent="0.3">
      <c r="A3526" s="524" t="s">
        <v>522</v>
      </c>
      <c r="B3526" s="524" t="s">
        <v>2219</v>
      </c>
      <c r="C3526" s="525" t="s">
        <v>2220</v>
      </c>
      <c r="D3526" s="524" t="s">
        <v>397</v>
      </c>
      <c r="E3526" s="524" t="s">
        <v>2221</v>
      </c>
      <c r="F3526" s="526" t="s">
        <v>2222</v>
      </c>
      <c r="G3526" s="252">
        <f t="shared" si="77"/>
        <v>0.01</v>
      </c>
    </row>
    <row r="3527" spans="1:7" ht="28.8" x14ac:dyDescent="0.3">
      <c r="A3527" s="524" t="s">
        <v>522</v>
      </c>
      <c r="B3527" s="524" t="s">
        <v>951</v>
      </c>
      <c r="C3527" s="525" t="s">
        <v>952</v>
      </c>
      <c r="D3527" s="524" t="s">
        <v>55</v>
      </c>
      <c r="E3527" s="524" t="s">
        <v>2218</v>
      </c>
      <c r="F3527" s="526" t="s">
        <v>900</v>
      </c>
      <c r="G3527" s="252">
        <f t="shared" si="77"/>
        <v>1.8</v>
      </c>
    </row>
    <row r="3528" spans="1:7" ht="43.2" x14ac:dyDescent="0.3">
      <c r="A3528" s="524" t="s">
        <v>522</v>
      </c>
      <c r="B3528" s="524" t="s">
        <v>2223</v>
      </c>
      <c r="C3528" s="525" t="s">
        <v>2224</v>
      </c>
      <c r="D3528" s="524" t="s">
        <v>55</v>
      </c>
      <c r="E3528" s="524" t="s">
        <v>2225</v>
      </c>
      <c r="F3528" s="526" t="s">
        <v>2226</v>
      </c>
      <c r="G3528" s="252">
        <f t="shared" si="77"/>
        <v>0.04</v>
      </c>
    </row>
    <row r="3529" spans="1:7" x14ac:dyDescent="0.3">
      <c r="A3529" s="680" t="s">
        <v>1152</v>
      </c>
      <c r="B3529" s="681"/>
      <c r="C3529" s="681"/>
      <c r="D3529" s="681"/>
      <c r="E3529" s="681"/>
      <c r="F3529" s="682"/>
      <c r="G3529" s="527">
        <f>SUM(G3504:G3528)</f>
        <v>30.62</v>
      </c>
    </row>
    <row r="3530" spans="1:7" x14ac:dyDescent="0.3">
      <c r="A3530" s="683">
        <f>TRUNC(E3530*F3530,2)</f>
        <v>0</v>
      </c>
      <c r="B3530" s="684"/>
      <c r="C3530" s="684"/>
      <c r="D3530" s="684"/>
      <c r="E3530" s="684"/>
      <c r="F3530" s="684"/>
      <c r="G3530" s="685"/>
    </row>
    <row r="3531" spans="1:7" x14ac:dyDescent="0.3">
      <c r="A3531" s="529" t="s">
        <v>374</v>
      </c>
      <c r="B3531" s="529"/>
      <c r="C3531" s="530" t="s">
        <v>201</v>
      </c>
      <c r="D3531" s="529"/>
      <c r="E3531" s="252"/>
      <c r="F3531" s="531"/>
      <c r="G3531" s="252">
        <f t="shared" si="73"/>
        <v>0</v>
      </c>
    </row>
    <row r="3532" spans="1:7" ht="28.8" x14ac:dyDescent="0.3">
      <c r="A3532" s="529" t="s">
        <v>375</v>
      </c>
      <c r="B3532" s="529">
        <v>86881</v>
      </c>
      <c r="C3532" s="530" t="s">
        <v>286</v>
      </c>
      <c r="D3532" s="529" t="s">
        <v>44</v>
      </c>
      <c r="E3532" s="252"/>
      <c r="F3532" s="531">
        <v>155.91999999999999</v>
      </c>
      <c r="G3532" s="252">
        <f t="shared" si="73"/>
        <v>0</v>
      </c>
    </row>
    <row r="3533" spans="1:7" x14ac:dyDescent="0.3">
      <c r="A3533" s="524" t="s">
        <v>508</v>
      </c>
      <c r="B3533" s="524" t="s">
        <v>1757</v>
      </c>
      <c r="C3533" s="525" t="s">
        <v>1758</v>
      </c>
      <c r="D3533" s="524" t="s">
        <v>397</v>
      </c>
      <c r="E3533" s="524" t="s">
        <v>2002</v>
      </c>
      <c r="F3533" s="526" t="s">
        <v>1760</v>
      </c>
      <c r="G3533" s="252">
        <f t="shared" si="73"/>
        <v>0.14000000000000001</v>
      </c>
    </row>
    <row r="3534" spans="1:7" x14ac:dyDescent="0.3">
      <c r="A3534" s="524" t="s">
        <v>508</v>
      </c>
      <c r="B3534" s="524" t="s">
        <v>2003</v>
      </c>
      <c r="C3534" s="525" t="s">
        <v>2004</v>
      </c>
      <c r="D3534" s="524" t="s">
        <v>397</v>
      </c>
      <c r="E3534" s="524" t="s">
        <v>1122</v>
      </c>
      <c r="F3534" s="526" t="s">
        <v>2005</v>
      </c>
      <c r="G3534" s="252">
        <f t="shared" si="73"/>
        <v>149.69</v>
      </c>
    </row>
    <row r="3535" spans="1:7" x14ac:dyDescent="0.3">
      <c r="A3535" s="524" t="s">
        <v>522</v>
      </c>
      <c r="B3535" s="524" t="s">
        <v>1367</v>
      </c>
      <c r="C3535" s="525" t="s">
        <v>1368</v>
      </c>
      <c r="D3535" s="524" t="s">
        <v>32</v>
      </c>
      <c r="E3535" s="524" t="s">
        <v>2006</v>
      </c>
      <c r="F3535" s="526" t="s">
        <v>1370</v>
      </c>
      <c r="G3535" s="252">
        <f t="shared" si="73"/>
        <v>4.8600000000000003</v>
      </c>
    </row>
    <row r="3536" spans="1:7" x14ac:dyDescent="0.3">
      <c r="A3536" s="524" t="s">
        <v>522</v>
      </c>
      <c r="B3536" s="524" t="s">
        <v>1359</v>
      </c>
      <c r="C3536" s="525" t="s">
        <v>801</v>
      </c>
      <c r="D3536" s="524" t="s">
        <v>32</v>
      </c>
      <c r="E3536" s="524" t="s">
        <v>2007</v>
      </c>
      <c r="F3536" s="526" t="s">
        <v>1361</v>
      </c>
      <c r="G3536" s="252">
        <f t="shared" si="73"/>
        <v>1.23</v>
      </c>
    </row>
    <row r="3537" spans="1:7" x14ac:dyDescent="0.3">
      <c r="A3537" s="680" t="s">
        <v>1152</v>
      </c>
      <c r="B3537" s="681"/>
      <c r="C3537" s="681"/>
      <c r="D3537" s="681"/>
      <c r="E3537" s="681"/>
      <c r="F3537" s="682"/>
      <c r="G3537" s="527">
        <f>SUM(G3532:G3536)</f>
        <v>155.91999999999999</v>
      </c>
    </row>
    <row r="3538" spans="1:7" x14ac:dyDescent="0.3">
      <c r="A3538" s="683">
        <f>TRUNC(E3538*F3538,2)</f>
        <v>0</v>
      </c>
      <c r="B3538" s="684"/>
      <c r="C3538" s="684"/>
      <c r="D3538" s="684"/>
      <c r="E3538" s="684"/>
      <c r="F3538" s="684"/>
      <c r="G3538" s="685"/>
    </row>
    <row r="3539" spans="1:7" ht="28.8" x14ac:dyDescent="0.3">
      <c r="A3539" s="529" t="s">
        <v>376</v>
      </c>
      <c r="B3539" s="529">
        <v>86877</v>
      </c>
      <c r="C3539" s="530" t="s">
        <v>288</v>
      </c>
      <c r="D3539" s="529" t="s">
        <v>44</v>
      </c>
      <c r="E3539" s="252"/>
      <c r="F3539" s="531">
        <v>25.76</v>
      </c>
      <c r="G3539" s="252">
        <f t="shared" si="73"/>
        <v>0</v>
      </c>
    </row>
    <row r="3540" spans="1:7" x14ac:dyDescent="0.3">
      <c r="A3540" s="524" t="s">
        <v>508</v>
      </c>
      <c r="B3540" s="524" t="s">
        <v>1757</v>
      </c>
      <c r="C3540" s="525" t="s">
        <v>1758</v>
      </c>
      <c r="D3540" s="524" t="s">
        <v>397</v>
      </c>
      <c r="E3540" s="524" t="s">
        <v>2008</v>
      </c>
      <c r="F3540" s="526" t="s">
        <v>1760</v>
      </c>
      <c r="G3540" s="252">
        <f t="shared" si="73"/>
        <v>0.2</v>
      </c>
    </row>
    <row r="3541" spans="1:7" x14ac:dyDescent="0.3">
      <c r="A3541" s="524" t="s">
        <v>508</v>
      </c>
      <c r="B3541" s="524" t="s">
        <v>2009</v>
      </c>
      <c r="C3541" s="525" t="s">
        <v>2010</v>
      </c>
      <c r="D3541" s="524" t="s">
        <v>397</v>
      </c>
      <c r="E3541" s="524" t="s">
        <v>1122</v>
      </c>
      <c r="F3541" s="526" t="s">
        <v>2011</v>
      </c>
      <c r="G3541" s="252">
        <f t="shared" si="73"/>
        <v>21.69</v>
      </c>
    </row>
    <row r="3542" spans="1:7" x14ac:dyDescent="0.3">
      <c r="A3542" s="524" t="s">
        <v>522</v>
      </c>
      <c r="B3542" s="524" t="s">
        <v>1367</v>
      </c>
      <c r="C3542" s="525" t="s">
        <v>1368</v>
      </c>
      <c r="D3542" s="524" t="s">
        <v>32</v>
      </c>
      <c r="E3542" s="524" t="s">
        <v>1196</v>
      </c>
      <c r="F3542" s="526" t="s">
        <v>1370</v>
      </c>
      <c r="G3542" s="252">
        <f t="shared" si="73"/>
        <v>3.09</v>
      </c>
    </row>
    <row r="3543" spans="1:7" x14ac:dyDescent="0.3">
      <c r="A3543" s="524" t="s">
        <v>522</v>
      </c>
      <c r="B3543" s="524" t="s">
        <v>1359</v>
      </c>
      <c r="C3543" s="525" t="s">
        <v>801</v>
      </c>
      <c r="D3543" s="524" t="s">
        <v>32</v>
      </c>
      <c r="E3543" s="524" t="s">
        <v>1625</v>
      </c>
      <c r="F3543" s="526" t="s">
        <v>1361</v>
      </c>
      <c r="G3543" s="252">
        <f t="shared" si="73"/>
        <v>0.78</v>
      </c>
    </row>
    <row r="3544" spans="1:7" x14ac:dyDescent="0.3">
      <c r="A3544" s="680" t="s">
        <v>1152</v>
      </c>
      <c r="B3544" s="681"/>
      <c r="C3544" s="681"/>
      <c r="D3544" s="681"/>
      <c r="E3544" s="681"/>
      <c r="F3544" s="682"/>
      <c r="G3544" s="527">
        <f>SUM(G3539:G3543)</f>
        <v>25.76</v>
      </c>
    </row>
    <row r="3545" spans="1:7" x14ac:dyDescent="0.3">
      <c r="A3545" s="683">
        <f>TRUNC(E3545*F3545,2)</f>
        <v>0</v>
      </c>
      <c r="B3545" s="684"/>
      <c r="C3545" s="684"/>
      <c r="D3545" s="684"/>
      <c r="E3545" s="684"/>
      <c r="F3545" s="684"/>
      <c r="G3545" s="685"/>
    </row>
    <row r="3546" spans="1:7" ht="28.8" x14ac:dyDescent="0.3">
      <c r="A3546" s="529" t="s">
        <v>378</v>
      </c>
      <c r="B3546" s="529">
        <v>86878</v>
      </c>
      <c r="C3546" s="530" t="s">
        <v>314</v>
      </c>
      <c r="D3546" s="529" t="s">
        <v>44</v>
      </c>
      <c r="E3546" s="252"/>
      <c r="F3546" s="531">
        <v>55.19</v>
      </c>
      <c r="G3546" s="252">
        <f t="shared" si="73"/>
        <v>0</v>
      </c>
    </row>
    <row r="3547" spans="1:7" x14ac:dyDescent="0.3">
      <c r="A3547" s="524" t="s">
        <v>508</v>
      </c>
      <c r="B3547" s="524" t="s">
        <v>1757</v>
      </c>
      <c r="C3547" s="525" t="s">
        <v>1758</v>
      </c>
      <c r="D3547" s="524" t="s">
        <v>397</v>
      </c>
      <c r="E3547" s="524" t="s">
        <v>2008</v>
      </c>
      <c r="F3547" s="526" t="s">
        <v>1760</v>
      </c>
      <c r="G3547" s="252">
        <f t="shared" si="73"/>
        <v>0.2</v>
      </c>
    </row>
    <row r="3548" spans="1:7" x14ac:dyDescent="0.3">
      <c r="A3548" s="524" t="s">
        <v>508</v>
      </c>
      <c r="B3548" s="524" t="s">
        <v>2038</v>
      </c>
      <c r="C3548" s="525" t="s">
        <v>2039</v>
      </c>
      <c r="D3548" s="524" t="s">
        <v>397</v>
      </c>
      <c r="E3548" s="524" t="s">
        <v>1122</v>
      </c>
      <c r="F3548" s="526" t="s">
        <v>2040</v>
      </c>
      <c r="G3548" s="252">
        <f t="shared" si="73"/>
        <v>51.12</v>
      </c>
    </row>
    <row r="3549" spans="1:7" x14ac:dyDescent="0.3">
      <c r="A3549" s="524" t="s">
        <v>522</v>
      </c>
      <c r="B3549" s="524" t="s">
        <v>1367</v>
      </c>
      <c r="C3549" s="525" t="s">
        <v>1368</v>
      </c>
      <c r="D3549" s="524" t="s">
        <v>32</v>
      </c>
      <c r="E3549" s="524" t="s">
        <v>1196</v>
      </c>
      <c r="F3549" s="526" t="s">
        <v>1370</v>
      </c>
      <c r="G3549" s="252">
        <f t="shared" si="73"/>
        <v>3.09</v>
      </c>
    </row>
    <row r="3550" spans="1:7" x14ac:dyDescent="0.3">
      <c r="A3550" s="524" t="s">
        <v>522</v>
      </c>
      <c r="B3550" s="524" t="s">
        <v>1359</v>
      </c>
      <c r="C3550" s="525" t="s">
        <v>801</v>
      </c>
      <c r="D3550" s="524" t="s">
        <v>32</v>
      </c>
      <c r="E3550" s="524" t="s">
        <v>1625</v>
      </c>
      <c r="F3550" s="526" t="s">
        <v>1361</v>
      </c>
      <c r="G3550" s="252">
        <f t="shared" si="73"/>
        <v>0.78</v>
      </c>
    </row>
    <row r="3551" spans="1:7" x14ac:dyDescent="0.3">
      <c r="A3551" s="680" t="s">
        <v>1152</v>
      </c>
      <c r="B3551" s="681"/>
      <c r="C3551" s="681"/>
      <c r="D3551" s="681"/>
      <c r="E3551" s="681"/>
      <c r="F3551" s="682"/>
      <c r="G3551" s="527">
        <f>SUM(G3546:G3550)</f>
        <v>55.19</v>
      </c>
    </row>
    <row r="3552" spans="1:7" x14ac:dyDescent="0.3">
      <c r="A3552" s="683">
        <f>TRUNC(E3552*F3552,2)</f>
        <v>0</v>
      </c>
      <c r="B3552" s="684"/>
      <c r="C3552" s="684"/>
      <c r="D3552" s="684"/>
      <c r="E3552" s="684"/>
      <c r="F3552" s="684"/>
      <c r="G3552" s="685"/>
    </row>
    <row r="3553" spans="1:7" ht="28.8" x14ac:dyDescent="0.3">
      <c r="A3553" s="529" t="s">
        <v>379</v>
      </c>
      <c r="B3553" s="529">
        <v>95544</v>
      </c>
      <c r="C3553" s="530" t="s">
        <v>202</v>
      </c>
      <c r="D3553" s="529" t="s">
        <v>44</v>
      </c>
      <c r="E3553" s="252"/>
      <c r="F3553" s="531">
        <v>30.21</v>
      </c>
      <c r="G3553" s="252">
        <f t="shared" si="73"/>
        <v>0</v>
      </c>
    </row>
    <row r="3554" spans="1:7" x14ac:dyDescent="0.3">
      <c r="A3554" s="524" t="s">
        <v>508</v>
      </c>
      <c r="B3554" s="524" t="s">
        <v>1816</v>
      </c>
      <c r="C3554" s="525" t="s">
        <v>1817</v>
      </c>
      <c r="D3554" s="524" t="s">
        <v>397</v>
      </c>
      <c r="E3554" s="524" t="s">
        <v>1122</v>
      </c>
      <c r="F3554" s="526" t="s">
        <v>1818</v>
      </c>
      <c r="G3554" s="252">
        <f t="shared" si="73"/>
        <v>23.16</v>
      </c>
    </row>
    <row r="3555" spans="1:7" x14ac:dyDescent="0.3">
      <c r="A3555" s="524" t="s">
        <v>522</v>
      </c>
      <c r="B3555" s="524" t="s">
        <v>1367</v>
      </c>
      <c r="C3555" s="525" t="s">
        <v>1368</v>
      </c>
      <c r="D3555" s="524" t="s">
        <v>32</v>
      </c>
      <c r="E3555" s="524" t="s">
        <v>1819</v>
      </c>
      <c r="F3555" s="526" t="s">
        <v>1370</v>
      </c>
      <c r="G3555" s="252">
        <f t="shared" si="73"/>
        <v>5.62</v>
      </c>
    </row>
    <row r="3556" spans="1:7" x14ac:dyDescent="0.3">
      <c r="A3556" s="524" t="s">
        <v>522</v>
      </c>
      <c r="B3556" s="524" t="s">
        <v>1359</v>
      </c>
      <c r="C3556" s="525" t="s">
        <v>801</v>
      </c>
      <c r="D3556" s="524" t="s">
        <v>32</v>
      </c>
      <c r="E3556" s="524" t="s">
        <v>1820</v>
      </c>
      <c r="F3556" s="526" t="s">
        <v>1361</v>
      </c>
      <c r="G3556" s="252">
        <f t="shared" si="73"/>
        <v>1.43</v>
      </c>
    </row>
    <row r="3557" spans="1:7" x14ac:dyDescent="0.3">
      <c r="A3557" s="680" t="s">
        <v>1152</v>
      </c>
      <c r="B3557" s="681"/>
      <c r="C3557" s="681"/>
      <c r="D3557" s="681"/>
      <c r="E3557" s="681"/>
      <c r="F3557" s="682"/>
      <c r="G3557" s="527">
        <f>SUM(G3547:G3556)</f>
        <v>140.59</v>
      </c>
    </row>
    <row r="3558" spans="1:7" x14ac:dyDescent="0.3">
      <c r="A3558" s="683">
        <f>TRUNC(E3558*F3558,2)</f>
        <v>0</v>
      </c>
      <c r="B3558" s="684"/>
      <c r="C3558" s="684"/>
      <c r="D3558" s="684"/>
      <c r="E3558" s="684"/>
      <c r="F3558" s="684"/>
      <c r="G3558" s="685"/>
    </row>
    <row r="3559" spans="1:7" ht="28.8" x14ac:dyDescent="0.3">
      <c r="A3559" s="529" t="s">
        <v>380</v>
      </c>
      <c r="B3559" s="529">
        <v>88571</v>
      </c>
      <c r="C3559" s="530" t="s">
        <v>357</v>
      </c>
      <c r="D3559" s="529" t="s">
        <v>44</v>
      </c>
      <c r="E3559" s="252"/>
      <c r="F3559" s="531">
        <v>29.63</v>
      </c>
      <c r="G3559" s="252">
        <f t="shared" si="73"/>
        <v>0</v>
      </c>
    </row>
    <row r="3560" spans="1:7" ht="28.8" x14ac:dyDescent="0.3">
      <c r="A3560" s="524" t="s">
        <v>508</v>
      </c>
      <c r="B3560" s="529">
        <v>88571</v>
      </c>
      <c r="C3560" s="530" t="s">
        <v>357</v>
      </c>
      <c r="D3560" s="524" t="s">
        <v>397</v>
      </c>
      <c r="E3560" s="524" t="s">
        <v>1122</v>
      </c>
      <c r="F3560" s="526">
        <v>22.58</v>
      </c>
      <c r="G3560" s="252">
        <f t="shared" ref="G3560:G3562" si="78">TRUNC(E3560*F3560,2)</f>
        <v>22.58</v>
      </c>
    </row>
    <row r="3561" spans="1:7" x14ac:dyDescent="0.3">
      <c r="A3561" s="524" t="s">
        <v>522</v>
      </c>
      <c r="B3561" s="524" t="s">
        <v>1367</v>
      </c>
      <c r="C3561" s="525" t="s">
        <v>1368</v>
      </c>
      <c r="D3561" s="524" t="s">
        <v>32</v>
      </c>
      <c r="E3561" s="524" t="s">
        <v>1819</v>
      </c>
      <c r="F3561" s="526" t="s">
        <v>1370</v>
      </c>
      <c r="G3561" s="252">
        <f t="shared" si="78"/>
        <v>5.62</v>
      </c>
    </row>
    <row r="3562" spans="1:7" x14ac:dyDescent="0.3">
      <c r="A3562" s="524" t="s">
        <v>522</v>
      </c>
      <c r="B3562" s="524" t="s">
        <v>1359</v>
      </c>
      <c r="C3562" s="525" t="s">
        <v>801</v>
      </c>
      <c r="D3562" s="524" t="s">
        <v>32</v>
      </c>
      <c r="E3562" s="524" t="s">
        <v>1820</v>
      </c>
      <c r="F3562" s="526" t="s">
        <v>1361</v>
      </c>
      <c r="G3562" s="252">
        <f t="shared" si="78"/>
        <v>1.43</v>
      </c>
    </row>
    <row r="3563" spans="1:7" x14ac:dyDescent="0.3">
      <c r="A3563" s="680" t="s">
        <v>1152</v>
      </c>
      <c r="B3563" s="681"/>
      <c r="C3563" s="681"/>
      <c r="D3563" s="681"/>
      <c r="E3563" s="681"/>
      <c r="F3563" s="682"/>
      <c r="G3563" s="527">
        <f>SUM(G3559:G3562)</f>
        <v>29.63</v>
      </c>
    </row>
    <row r="3564" spans="1:7" x14ac:dyDescent="0.3">
      <c r="A3564" s="683">
        <f>TRUNC(E3564*F3564,2)</f>
        <v>0</v>
      </c>
      <c r="B3564" s="684"/>
      <c r="C3564" s="684"/>
      <c r="D3564" s="684"/>
      <c r="E3564" s="684"/>
      <c r="F3564" s="684"/>
      <c r="G3564" s="685"/>
    </row>
    <row r="3565" spans="1:7" ht="28.8" x14ac:dyDescent="0.3">
      <c r="A3565" s="529" t="s">
        <v>381</v>
      </c>
      <c r="B3565" s="529">
        <v>9535</v>
      </c>
      <c r="C3565" s="530" t="s">
        <v>273</v>
      </c>
      <c r="D3565" s="529" t="s">
        <v>44</v>
      </c>
      <c r="E3565" s="252"/>
      <c r="F3565" s="531">
        <v>40.83</v>
      </c>
      <c r="G3565" s="252">
        <f t="shared" si="73"/>
        <v>0</v>
      </c>
    </row>
    <row r="3566" spans="1:7" x14ac:dyDescent="0.3">
      <c r="A3566" s="524" t="s">
        <v>508</v>
      </c>
      <c r="B3566" s="524" t="s">
        <v>1795</v>
      </c>
      <c r="C3566" s="525" t="s">
        <v>1796</v>
      </c>
      <c r="D3566" s="524" t="s">
        <v>397</v>
      </c>
      <c r="E3566" s="524" t="s">
        <v>1122</v>
      </c>
      <c r="F3566" s="526" t="s">
        <v>1797</v>
      </c>
      <c r="G3566" s="252">
        <f t="shared" ref="G3566:G3570" si="79">TRUNC(E3566*F3566,2)</f>
        <v>3.63</v>
      </c>
    </row>
    <row r="3567" spans="1:7" ht="28.8" x14ac:dyDescent="0.3">
      <c r="A3567" s="524" t="s">
        <v>508</v>
      </c>
      <c r="B3567" s="524" t="s">
        <v>1798</v>
      </c>
      <c r="C3567" s="525" t="s">
        <v>1799</v>
      </c>
      <c r="D3567" s="524" t="s">
        <v>397</v>
      </c>
      <c r="E3567" s="524" t="s">
        <v>1815</v>
      </c>
      <c r="F3567" s="526" t="s">
        <v>1801</v>
      </c>
      <c r="G3567" s="252">
        <f t="shared" si="79"/>
        <v>1.39</v>
      </c>
    </row>
    <row r="3568" spans="1:7" ht="28.8" x14ac:dyDescent="0.3">
      <c r="A3568" s="524" t="s">
        <v>508</v>
      </c>
      <c r="B3568" s="524" t="s">
        <v>2227</v>
      </c>
      <c r="C3568" s="525" t="s">
        <v>2228</v>
      </c>
      <c r="D3568" s="524" t="s">
        <v>397</v>
      </c>
      <c r="E3568" s="524" t="s">
        <v>1122</v>
      </c>
      <c r="F3568" s="526" t="s">
        <v>2229</v>
      </c>
      <c r="G3568" s="252">
        <f t="shared" si="79"/>
        <v>31.38</v>
      </c>
    </row>
    <row r="3569" spans="1:7" ht="28.8" x14ac:dyDescent="0.3">
      <c r="A3569" s="524" t="s">
        <v>522</v>
      </c>
      <c r="B3569" s="524" t="s">
        <v>1726</v>
      </c>
      <c r="C3569" s="525" t="s">
        <v>1727</v>
      </c>
      <c r="D3569" s="524" t="s">
        <v>32</v>
      </c>
      <c r="E3569" s="524" t="s">
        <v>1559</v>
      </c>
      <c r="F3569" s="526" t="s">
        <v>1729</v>
      </c>
      <c r="G3569" s="252">
        <f t="shared" si="79"/>
        <v>1.94</v>
      </c>
    </row>
    <row r="3570" spans="1:7" x14ac:dyDescent="0.3">
      <c r="A3570" s="524" t="s">
        <v>522</v>
      </c>
      <c r="B3570" s="524" t="s">
        <v>1367</v>
      </c>
      <c r="C3570" s="525" t="s">
        <v>1368</v>
      </c>
      <c r="D3570" s="524" t="s">
        <v>32</v>
      </c>
      <c r="E3570" s="524" t="s">
        <v>1559</v>
      </c>
      <c r="F3570" s="526" t="s">
        <v>1370</v>
      </c>
      <c r="G3570" s="252">
        <f t="shared" si="79"/>
        <v>2.4900000000000002</v>
      </c>
    </row>
    <row r="3571" spans="1:7" x14ac:dyDescent="0.3">
      <c r="A3571" s="680" t="s">
        <v>1152</v>
      </c>
      <c r="B3571" s="681"/>
      <c r="C3571" s="681"/>
      <c r="D3571" s="681"/>
      <c r="E3571" s="681"/>
      <c r="F3571" s="682"/>
      <c r="G3571" s="527">
        <f>SUM(G3565:G3570)</f>
        <v>40.83</v>
      </c>
    </row>
    <row r="3572" spans="1:7" x14ac:dyDescent="0.3">
      <c r="A3572" s="683">
        <f>TRUNC(E3572*F3572,2)</f>
        <v>0</v>
      </c>
      <c r="B3572" s="684"/>
      <c r="C3572" s="684"/>
      <c r="D3572" s="684"/>
      <c r="E3572" s="684"/>
      <c r="F3572" s="684"/>
      <c r="G3572" s="685"/>
    </row>
    <row r="3573" spans="1:7" ht="28.8" x14ac:dyDescent="0.3">
      <c r="A3573" s="529" t="s">
        <v>382</v>
      </c>
      <c r="B3573" s="529">
        <v>89714</v>
      </c>
      <c r="C3573" s="530" t="s">
        <v>195</v>
      </c>
      <c r="D3573" s="529" t="s">
        <v>55</v>
      </c>
      <c r="E3573" s="252"/>
      <c r="F3573" s="531">
        <v>42.17</v>
      </c>
      <c r="G3573" s="252">
        <f t="shared" si="73"/>
        <v>0</v>
      </c>
    </row>
    <row r="3574" spans="1:7" x14ac:dyDescent="0.3">
      <c r="A3574" s="524" t="s">
        <v>508</v>
      </c>
      <c r="B3574" s="524" t="s">
        <v>1774</v>
      </c>
      <c r="C3574" s="525" t="s">
        <v>1775</v>
      </c>
      <c r="D3574" s="524" t="s">
        <v>397</v>
      </c>
      <c r="E3574" s="524" t="s">
        <v>1776</v>
      </c>
      <c r="F3574" s="526" t="s">
        <v>1777</v>
      </c>
      <c r="G3574" s="252">
        <f t="shared" si="73"/>
        <v>3</v>
      </c>
    </row>
    <row r="3575" spans="1:7" x14ac:dyDescent="0.3">
      <c r="A3575" s="524" t="s">
        <v>508</v>
      </c>
      <c r="B3575" s="524" t="s">
        <v>1778</v>
      </c>
      <c r="C3575" s="525" t="s">
        <v>1779</v>
      </c>
      <c r="D3575" s="524" t="s">
        <v>55</v>
      </c>
      <c r="E3575" s="524" t="s">
        <v>1697</v>
      </c>
      <c r="F3575" s="526" t="s">
        <v>1780</v>
      </c>
      <c r="G3575" s="252">
        <f t="shared" si="73"/>
        <v>11.01</v>
      </c>
    </row>
    <row r="3576" spans="1:7" x14ac:dyDescent="0.3">
      <c r="A3576" s="524" t="s">
        <v>508</v>
      </c>
      <c r="B3576" s="524" t="s">
        <v>1781</v>
      </c>
      <c r="C3576" s="525" t="s">
        <v>1782</v>
      </c>
      <c r="D3576" s="524" t="s">
        <v>397</v>
      </c>
      <c r="E3576" s="524" t="s">
        <v>1783</v>
      </c>
      <c r="F3576" s="526" t="s">
        <v>1784</v>
      </c>
      <c r="G3576" s="252">
        <f t="shared" si="73"/>
        <v>4.25</v>
      </c>
    </row>
    <row r="3577" spans="1:7" x14ac:dyDescent="0.3">
      <c r="A3577" s="524" t="s">
        <v>508</v>
      </c>
      <c r="B3577" s="524" t="s">
        <v>1785</v>
      </c>
      <c r="C3577" s="525" t="s">
        <v>1786</v>
      </c>
      <c r="D3577" s="524" t="s">
        <v>397</v>
      </c>
      <c r="E3577" s="524" t="s">
        <v>1094</v>
      </c>
      <c r="F3577" s="526" t="s">
        <v>1563</v>
      </c>
      <c r="G3577" s="252">
        <f t="shared" si="73"/>
        <v>0.49</v>
      </c>
    </row>
    <row r="3578" spans="1:7" ht="28.8" x14ac:dyDescent="0.3">
      <c r="A3578" s="524" t="s">
        <v>522</v>
      </c>
      <c r="B3578" s="524" t="s">
        <v>1726</v>
      </c>
      <c r="C3578" s="525" t="s">
        <v>1727</v>
      </c>
      <c r="D3578" s="524" t="s">
        <v>32</v>
      </c>
      <c r="E3578" s="524" t="s">
        <v>1787</v>
      </c>
      <c r="F3578" s="526" t="s">
        <v>1729</v>
      </c>
      <c r="G3578" s="252">
        <f t="shared" si="73"/>
        <v>10.26</v>
      </c>
    </row>
    <row r="3579" spans="1:7" x14ac:dyDescent="0.3">
      <c r="A3579" s="524" t="s">
        <v>522</v>
      </c>
      <c r="B3579" s="524" t="s">
        <v>1367</v>
      </c>
      <c r="C3579" s="525" t="s">
        <v>1368</v>
      </c>
      <c r="D3579" s="524" t="s">
        <v>32</v>
      </c>
      <c r="E3579" s="524" t="s">
        <v>1787</v>
      </c>
      <c r="F3579" s="526" t="s">
        <v>1370</v>
      </c>
      <c r="G3579" s="252">
        <f t="shared" si="73"/>
        <v>13.16</v>
      </c>
    </row>
    <row r="3580" spans="1:7" x14ac:dyDescent="0.3">
      <c r="A3580" s="680" t="s">
        <v>1152</v>
      </c>
      <c r="B3580" s="681"/>
      <c r="C3580" s="681"/>
      <c r="D3580" s="681"/>
      <c r="E3580" s="681"/>
      <c r="F3580" s="682"/>
      <c r="G3580" s="527">
        <f>SUM(G3573:G3579)</f>
        <v>42.17</v>
      </c>
    </row>
    <row r="3581" spans="1:7" x14ac:dyDescent="0.3">
      <c r="A3581" s="683">
        <f>TRUNC(E3581*F3581,2)</f>
        <v>0</v>
      </c>
      <c r="B3581" s="684"/>
      <c r="C3581" s="684"/>
      <c r="D3581" s="684"/>
      <c r="E3581" s="684"/>
      <c r="F3581" s="684"/>
      <c r="G3581" s="685"/>
    </row>
    <row r="3582" spans="1:7" ht="28.8" x14ac:dyDescent="0.3">
      <c r="A3582" s="529" t="s">
        <v>383</v>
      </c>
      <c r="B3582" s="529">
        <v>89712</v>
      </c>
      <c r="C3582" s="530" t="s">
        <v>196</v>
      </c>
      <c r="D3582" s="529" t="s">
        <v>55</v>
      </c>
      <c r="E3582" s="252"/>
      <c r="F3582" s="531">
        <v>21.1</v>
      </c>
      <c r="G3582" s="252">
        <f t="shared" si="73"/>
        <v>0</v>
      </c>
    </row>
    <row r="3583" spans="1:7" x14ac:dyDescent="0.3">
      <c r="A3583" s="524" t="s">
        <v>508</v>
      </c>
      <c r="B3583" s="524" t="s">
        <v>1774</v>
      </c>
      <c r="C3583" s="525" t="s">
        <v>1775</v>
      </c>
      <c r="D3583" s="524" t="s">
        <v>397</v>
      </c>
      <c r="E3583" s="524" t="s">
        <v>1788</v>
      </c>
      <c r="F3583" s="526" t="s">
        <v>1777</v>
      </c>
      <c r="G3583" s="252">
        <f t="shared" si="73"/>
        <v>0.89</v>
      </c>
    </row>
    <row r="3584" spans="1:7" x14ac:dyDescent="0.3">
      <c r="A3584" s="524" t="s">
        <v>508</v>
      </c>
      <c r="B3584" s="524" t="s">
        <v>1789</v>
      </c>
      <c r="C3584" s="525" t="s">
        <v>1790</v>
      </c>
      <c r="D3584" s="524" t="s">
        <v>55</v>
      </c>
      <c r="E3584" s="524" t="s">
        <v>1697</v>
      </c>
      <c r="F3584" s="526" t="s">
        <v>1791</v>
      </c>
      <c r="G3584" s="252">
        <f t="shared" si="73"/>
        <v>6.76</v>
      </c>
    </row>
    <row r="3585" spans="1:7" x14ac:dyDescent="0.3">
      <c r="A3585" s="524" t="s">
        <v>508</v>
      </c>
      <c r="B3585" s="524" t="s">
        <v>1781</v>
      </c>
      <c r="C3585" s="525" t="s">
        <v>1782</v>
      </c>
      <c r="D3585" s="524" t="s">
        <v>397</v>
      </c>
      <c r="E3585" s="524" t="s">
        <v>1792</v>
      </c>
      <c r="F3585" s="526" t="s">
        <v>1784</v>
      </c>
      <c r="G3585" s="252">
        <f t="shared" si="73"/>
        <v>1.17</v>
      </c>
    </row>
    <row r="3586" spans="1:7" x14ac:dyDescent="0.3">
      <c r="A3586" s="524" t="s">
        <v>508</v>
      </c>
      <c r="B3586" s="524" t="s">
        <v>1785</v>
      </c>
      <c r="C3586" s="525" t="s">
        <v>1786</v>
      </c>
      <c r="D3586" s="524" t="s">
        <v>397</v>
      </c>
      <c r="E3586" s="524" t="s">
        <v>1793</v>
      </c>
      <c r="F3586" s="526" t="s">
        <v>1563</v>
      </c>
      <c r="G3586" s="252">
        <f t="shared" si="73"/>
        <v>0.25</v>
      </c>
    </row>
    <row r="3587" spans="1:7" ht="28.8" x14ac:dyDescent="0.3">
      <c r="A3587" s="524" t="s">
        <v>522</v>
      </c>
      <c r="B3587" s="524" t="s">
        <v>1726</v>
      </c>
      <c r="C3587" s="525" t="s">
        <v>1727</v>
      </c>
      <c r="D3587" s="524" t="s">
        <v>32</v>
      </c>
      <c r="E3587" s="524" t="s">
        <v>1794</v>
      </c>
      <c r="F3587" s="526" t="s">
        <v>1729</v>
      </c>
      <c r="G3587" s="252">
        <f t="shared" si="73"/>
        <v>5.27</v>
      </c>
    </row>
    <row r="3588" spans="1:7" x14ac:dyDescent="0.3">
      <c r="A3588" s="524" t="s">
        <v>522</v>
      </c>
      <c r="B3588" s="524" t="s">
        <v>1367</v>
      </c>
      <c r="C3588" s="525" t="s">
        <v>1368</v>
      </c>
      <c r="D3588" s="524" t="s">
        <v>32</v>
      </c>
      <c r="E3588" s="524" t="s">
        <v>1794</v>
      </c>
      <c r="F3588" s="526" t="s">
        <v>1370</v>
      </c>
      <c r="G3588" s="252">
        <f t="shared" si="73"/>
        <v>6.76</v>
      </c>
    </row>
    <row r="3589" spans="1:7" x14ac:dyDescent="0.3">
      <c r="A3589" s="680" t="s">
        <v>1152</v>
      </c>
      <c r="B3589" s="681"/>
      <c r="C3589" s="681"/>
      <c r="D3589" s="681"/>
      <c r="E3589" s="681"/>
      <c r="F3589" s="682"/>
      <c r="G3589" s="527">
        <f>SUM(G3582:G3588)</f>
        <v>21.1</v>
      </c>
    </row>
    <row r="3590" spans="1:7" x14ac:dyDescent="0.3">
      <c r="A3590" s="683">
        <f>TRUNC(E3590*F3590,2)</f>
        <v>0</v>
      </c>
      <c r="B3590" s="684"/>
      <c r="C3590" s="684"/>
      <c r="D3590" s="684"/>
      <c r="E3590" s="684"/>
      <c r="F3590" s="684"/>
      <c r="G3590" s="685"/>
    </row>
    <row r="3591" spans="1:7" ht="28.8" x14ac:dyDescent="0.3">
      <c r="A3591" s="529" t="s">
        <v>384</v>
      </c>
      <c r="B3591" s="529">
        <v>89567</v>
      </c>
      <c r="C3591" s="530" t="s">
        <v>197</v>
      </c>
      <c r="D3591" s="529" t="s">
        <v>44</v>
      </c>
      <c r="E3591" s="252"/>
      <c r="F3591" s="531">
        <v>57.95</v>
      </c>
      <c r="G3591" s="252">
        <f t="shared" si="73"/>
        <v>0</v>
      </c>
    </row>
    <row r="3592" spans="1:7" x14ac:dyDescent="0.3">
      <c r="A3592" s="524" t="s">
        <v>508</v>
      </c>
      <c r="B3592" s="524" t="s">
        <v>1795</v>
      </c>
      <c r="C3592" s="525" t="s">
        <v>1796</v>
      </c>
      <c r="D3592" s="524" t="s">
        <v>397</v>
      </c>
      <c r="E3592" s="524" t="s">
        <v>1523</v>
      </c>
      <c r="F3592" s="526" t="s">
        <v>1797</v>
      </c>
      <c r="G3592" s="252">
        <f t="shared" si="73"/>
        <v>7.26</v>
      </c>
    </row>
    <row r="3593" spans="1:7" ht="28.8" x14ac:dyDescent="0.3">
      <c r="A3593" s="524" t="s">
        <v>508</v>
      </c>
      <c r="B3593" s="524" t="s">
        <v>1798</v>
      </c>
      <c r="C3593" s="525" t="s">
        <v>1799</v>
      </c>
      <c r="D3593" s="524" t="s">
        <v>397</v>
      </c>
      <c r="E3593" s="524" t="s">
        <v>1800</v>
      </c>
      <c r="F3593" s="526" t="s">
        <v>1801</v>
      </c>
      <c r="G3593" s="252">
        <f t="shared" si="73"/>
        <v>2.78</v>
      </c>
    </row>
    <row r="3594" spans="1:7" x14ac:dyDescent="0.3">
      <c r="A3594" s="524" t="s">
        <v>508</v>
      </c>
      <c r="B3594" s="524" t="s">
        <v>1802</v>
      </c>
      <c r="C3594" s="525" t="s">
        <v>1803</v>
      </c>
      <c r="D3594" s="524" t="s">
        <v>397</v>
      </c>
      <c r="E3594" s="524" t="s">
        <v>1122</v>
      </c>
      <c r="F3594" s="526" t="s">
        <v>1804</v>
      </c>
      <c r="G3594" s="252">
        <f t="shared" si="73"/>
        <v>42.06</v>
      </c>
    </row>
    <row r="3595" spans="1:7" ht="28.8" x14ac:dyDescent="0.3">
      <c r="A3595" s="524" t="s">
        <v>522</v>
      </c>
      <c r="B3595" s="524" t="s">
        <v>1726</v>
      </c>
      <c r="C3595" s="525" t="s">
        <v>1727</v>
      </c>
      <c r="D3595" s="524" t="s">
        <v>32</v>
      </c>
      <c r="E3595" s="524" t="s">
        <v>1805</v>
      </c>
      <c r="F3595" s="526" t="s">
        <v>1729</v>
      </c>
      <c r="G3595" s="252">
        <f t="shared" si="73"/>
        <v>2.56</v>
      </c>
    </row>
    <row r="3596" spans="1:7" x14ac:dyDescent="0.3">
      <c r="A3596" s="524" t="s">
        <v>522</v>
      </c>
      <c r="B3596" s="524" t="s">
        <v>1367</v>
      </c>
      <c r="C3596" s="525" t="s">
        <v>1368</v>
      </c>
      <c r="D3596" s="524" t="s">
        <v>32</v>
      </c>
      <c r="E3596" s="524" t="s">
        <v>1805</v>
      </c>
      <c r="F3596" s="526" t="s">
        <v>1370</v>
      </c>
      <c r="G3596" s="252">
        <f t="shared" si="73"/>
        <v>3.29</v>
      </c>
    </row>
    <row r="3597" spans="1:7" x14ac:dyDescent="0.3">
      <c r="A3597" s="680" t="s">
        <v>1152</v>
      </c>
      <c r="B3597" s="681"/>
      <c r="C3597" s="681"/>
      <c r="D3597" s="681"/>
      <c r="E3597" s="681"/>
      <c r="F3597" s="682"/>
      <c r="G3597" s="527">
        <f>SUM(G3590:G3596)</f>
        <v>57.95</v>
      </c>
    </row>
    <row r="3598" spans="1:7" x14ac:dyDescent="0.3">
      <c r="A3598" s="683">
        <f>TRUNC(E3598*F3598,2)</f>
        <v>0</v>
      </c>
      <c r="B3598" s="684"/>
      <c r="C3598" s="684"/>
      <c r="D3598" s="684"/>
      <c r="E3598" s="684"/>
      <c r="F3598" s="684"/>
      <c r="G3598" s="685"/>
    </row>
    <row r="3599" spans="1:7" ht="43.2" x14ac:dyDescent="0.3">
      <c r="A3599" s="529" t="s">
        <v>385</v>
      </c>
      <c r="B3599" s="529">
        <v>89731</v>
      </c>
      <c r="C3599" s="530" t="s">
        <v>198</v>
      </c>
      <c r="D3599" s="529" t="s">
        <v>44</v>
      </c>
      <c r="E3599" s="252"/>
      <c r="F3599" s="531">
        <v>8.56</v>
      </c>
      <c r="G3599" s="252">
        <f t="shared" si="73"/>
        <v>0</v>
      </c>
    </row>
    <row r="3600" spans="1:7" x14ac:dyDescent="0.3">
      <c r="A3600" s="524" t="s">
        <v>508</v>
      </c>
      <c r="B3600" s="524" t="s">
        <v>1806</v>
      </c>
      <c r="C3600" s="525" t="s">
        <v>1807</v>
      </c>
      <c r="D3600" s="524" t="s">
        <v>397</v>
      </c>
      <c r="E3600" s="524" t="s">
        <v>1122</v>
      </c>
      <c r="F3600" s="526" t="s">
        <v>1455</v>
      </c>
      <c r="G3600" s="252">
        <f t="shared" si="73"/>
        <v>2.0499999999999998</v>
      </c>
    </row>
    <row r="3601" spans="1:7" x14ac:dyDescent="0.3">
      <c r="A3601" s="524" t="s">
        <v>508</v>
      </c>
      <c r="B3601" s="524" t="s">
        <v>1808</v>
      </c>
      <c r="C3601" s="525" t="s">
        <v>1809</v>
      </c>
      <c r="D3601" s="524" t="s">
        <v>397</v>
      </c>
      <c r="E3601" s="524" t="s">
        <v>1122</v>
      </c>
      <c r="F3601" s="526" t="s">
        <v>1810</v>
      </c>
      <c r="G3601" s="252">
        <f t="shared" si="73"/>
        <v>1.8</v>
      </c>
    </row>
    <row r="3602" spans="1:7" ht="28.8" x14ac:dyDescent="0.3">
      <c r="A3602" s="524" t="s">
        <v>508</v>
      </c>
      <c r="B3602" s="524" t="s">
        <v>1798</v>
      </c>
      <c r="C3602" s="525" t="s">
        <v>1799</v>
      </c>
      <c r="D3602" s="524" t="s">
        <v>397</v>
      </c>
      <c r="E3602" s="524" t="s">
        <v>1515</v>
      </c>
      <c r="F3602" s="526" t="s">
        <v>1801</v>
      </c>
      <c r="G3602" s="252">
        <f t="shared" si="73"/>
        <v>0.6</v>
      </c>
    </row>
    <row r="3603" spans="1:7" ht="28.8" x14ac:dyDescent="0.3">
      <c r="A3603" s="524" t="s">
        <v>522</v>
      </c>
      <c r="B3603" s="524" t="s">
        <v>1726</v>
      </c>
      <c r="C3603" s="525" t="s">
        <v>1727</v>
      </c>
      <c r="D3603" s="524" t="s">
        <v>32</v>
      </c>
      <c r="E3603" s="524" t="s">
        <v>1811</v>
      </c>
      <c r="F3603" s="526" t="s">
        <v>1729</v>
      </c>
      <c r="G3603" s="252">
        <f t="shared" si="73"/>
        <v>1.8</v>
      </c>
    </row>
    <row r="3604" spans="1:7" x14ac:dyDescent="0.3">
      <c r="A3604" s="524" t="s">
        <v>522</v>
      </c>
      <c r="B3604" s="524" t="s">
        <v>1367</v>
      </c>
      <c r="C3604" s="525" t="s">
        <v>1368</v>
      </c>
      <c r="D3604" s="524" t="s">
        <v>32</v>
      </c>
      <c r="E3604" s="524" t="s">
        <v>1811</v>
      </c>
      <c r="F3604" s="526" t="s">
        <v>1370</v>
      </c>
      <c r="G3604" s="252">
        <f t="shared" si="73"/>
        <v>2.31</v>
      </c>
    </row>
    <row r="3605" spans="1:7" x14ac:dyDescent="0.3">
      <c r="A3605" s="680" t="s">
        <v>1152</v>
      </c>
      <c r="B3605" s="681"/>
      <c r="C3605" s="681"/>
      <c r="D3605" s="681"/>
      <c r="E3605" s="681"/>
      <c r="F3605" s="682"/>
      <c r="G3605" s="527">
        <f>SUM(G3598:G3604)</f>
        <v>8.5599999999999987</v>
      </c>
    </row>
    <row r="3606" spans="1:7" x14ac:dyDescent="0.3">
      <c r="A3606" s="683">
        <f>TRUNC(E3606*F3606,2)</f>
        <v>0</v>
      </c>
      <c r="B3606" s="684"/>
      <c r="C3606" s="684"/>
      <c r="D3606" s="684"/>
      <c r="E3606" s="684"/>
      <c r="F3606" s="684"/>
      <c r="G3606" s="685"/>
    </row>
    <row r="3607" spans="1:7" ht="28.8" x14ac:dyDescent="0.3">
      <c r="A3607" s="529" t="s">
        <v>386</v>
      </c>
      <c r="B3607" s="529" t="s">
        <v>810</v>
      </c>
      <c r="C3607" s="530" t="s">
        <v>808</v>
      </c>
      <c r="D3607" s="529" t="s">
        <v>185</v>
      </c>
      <c r="E3607" s="252"/>
      <c r="F3607" s="531">
        <v>234.28</v>
      </c>
      <c r="G3607" s="252">
        <f t="shared" si="73"/>
        <v>0</v>
      </c>
    </row>
    <row r="3608" spans="1:7" x14ac:dyDescent="0.3">
      <c r="A3608" s="529"/>
      <c r="B3608" s="529">
        <v>88316</v>
      </c>
      <c r="C3608" s="525" t="s">
        <v>801</v>
      </c>
      <c r="D3608" s="529" t="s">
        <v>580</v>
      </c>
      <c r="E3608" s="609">
        <v>0.1</v>
      </c>
      <c r="F3608" s="526" t="s">
        <v>1361</v>
      </c>
      <c r="G3608" s="252">
        <f t="shared" si="73"/>
        <v>1.43</v>
      </c>
    </row>
    <row r="3609" spans="1:7" x14ac:dyDescent="0.3">
      <c r="A3609" s="529"/>
      <c r="B3609" s="529">
        <v>88309</v>
      </c>
      <c r="C3609" s="610" t="s">
        <v>1363</v>
      </c>
      <c r="D3609" s="529" t="s">
        <v>580</v>
      </c>
      <c r="E3609" s="609">
        <v>0.24560000000000001</v>
      </c>
      <c r="F3609" s="531">
        <v>17.760000000000002</v>
      </c>
      <c r="G3609" s="252">
        <f t="shared" si="73"/>
        <v>4.3600000000000003</v>
      </c>
    </row>
    <row r="3610" spans="1:7" ht="28.8" x14ac:dyDescent="0.3">
      <c r="A3610" s="529"/>
      <c r="B3610" s="529" t="s">
        <v>807</v>
      </c>
      <c r="C3610" s="530" t="s">
        <v>808</v>
      </c>
      <c r="D3610" s="529" t="s">
        <v>397</v>
      </c>
      <c r="E3610" s="609">
        <v>1</v>
      </c>
      <c r="F3610" s="531">
        <v>228.49</v>
      </c>
      <c r="G3610" s="252">
        <f t="shared" si="73"/>
        <v>228.49</v>
      </c>
    </row>
    <row r="3611" spans="1:7" x14ac:dyDescent="0.3">
      <c r="A3611" s="680" t="s">
        <v>1152</v>
      </c>
      <c r="B3611" s="681"/>
      <c r="C3611" s="681"/>
      <c r="D3611" s="681"/>
      <c r="E3611" s="681"/>
      <c r="F3611" s="682"/>
      <c r="G3611" s="527">
        <f>SUM(G3607:G3610)</f>
        <v>234.28</v>
      </c>
    </row>
    <row r="3612" spans="1:7" x14ac:dyDescent="0.3">
      <c r="A3612" s="683">
        <f>TRUNC(E3612*F3612,2)</f>
        <v>0</v>
      </c>
      <c r="B3612" s="684"/>
      <c r="C3612" s="684"/>
      <c r="D3612" s="684"/>
      <c r="E3612" s="684"/>
      <c r="F3612" s="684"/>
      <c r="G3612" s="685"/>
    </row>
    <row r="3613" spans="1:7" ht="28.8" x14ac:dyDescent="0.3">
      <c r="A3613" s="529" t="s">
        <v>820</v>
      </c>
      <c r="B3613" s="529" t="s">
        <v>811</v>
      </c>
      <c r="C3613" s="530" t="s">
        <v>809</v>
      </c>
      <c r="D3613" s="529" t="s">
        <v>1836</v>
      </c>
      <c r="E3613" s="252"/>
      <c r="F3613" s="531">
        <v>198.74</v>
      </c>
      <c r="G3613" s="252">
        <f t="shared" si="73"/>
        <v>0</v>
      </c>
    </row>
    <row r="3614" spans="1:7" x14ac:dyDescent="0.3">
      <c r="A3614" s="529"/>
      <c r="B3614" s="200">
        <v>88316</v>
      </c>
      <c r="C3614" s="202" t="s">
        <v>801</v>
      </c>
      <c r="D3614" s="200" t="s">
        <v>32</v>
      </c>
      <c r="E3614" s="203">
        <v>0.1</v>
      </c>
      <c r="F3614" s="526" t="s">
        <v>1361</v>
      </c>
      <c r="G3614" s="252">
        <f t="shared" si="73"/>
        <v>1.43</v>
      </c>
    </row>
    <row r="3615" spans="1:7" x14ac:dyDescent="0.3">
      <c r="A3615" s="529"/>
      <c r="B3615" s="200">
        <v>88309</v>
      </c>
      <c r="C3615" s="525" t="s">
        <v>1363</v>
      </c>
      <c r="D3615" s="200" t="s">
        <v>32</v>
      </c>
      <c r="E3615" s="203">
        <v>0.24560000000000001</v>
      </c>
      <c r="F3615" s="531">
        <v>17.760000000000002</v>
      </c>
      <c r="G3615" s="252">
        <f t="shared" si="73"/>
        <v>4.3600000000000003</v>
      </c>
    </row>
    <row r="3616" spans="1:7" ht="28.8" x14ac:dyDescent="0.3">
      <c r="A3616" s="529"/>
      <c r="B3616" s="201" t="s">
        <v>807</v>
      </c>
      <c r="C3616" s="202" t="s">
        <v>808</v>
      </c>
      <c r="D3616" s="201" t="s">
        <v>397</v>
      </c>
      <c r="E3616" s="204">
        <v>1</v>
      </c>
      <c r="F3616" s="205">
        <v>192.95</v>
      </c>
      <c r="G3616" s="252">
        <f t="shared" si="73"/>
        <v>192.95</v>
      </c>
    </row>
    <row r="3617" spans="1:7" x14ac:dyDescent="0.3">
      <c r="A3617" s="680" t="s">
        <v>1152</v>
      </c>
      <c r="B3617" s="681"/>
      <c r="C3617" s="681"/>
      <c r="D3617" s="681"/>
      <c r="E3617" s="681"/>
      <c r="F3617" s="682"/>
      <c r="G3617" s="527">
        <f>SUM(G3613:G3616)</f>
        <v>198.73999999999998</v>
      </c>
    </row>
    <row r="3618" spans="1:7" x14ac:dyDescent="0.3">
      <c r="A3618" s="683">
        <f>TRUNC(E3618*F3618,2)</f>
        <v>0</v>
      </c>
      <c r="B3618" s="684"/>
      <c r="C3618" s="684"/>
      <c r="D3618" s="684"/>
      <c r="E3618" s="684"/>
      <c r="F3618" s="684"/>
      <c r="G3618" s="685"/>
    </row>
    <row r="3619" spans="1:7" ht="43.2" x14ac:dyDescent="0.3">
      <c r="A3619" s="529" t="s">
        <v>821</v>
      </c>
      <c r="B3619" s="529">
        <v>89744</v>
      </c>
      <c r="C3619" s="530" t="s">
        <v>199</v>
      </c>
      <c r="D3619" s="529" t="s">
        <v>44</v>
      </c>
      <c r="E3619" s="252"/>
      <c r="F3619" s="531">
        <v>18.88</v>
      </c>
      <c r="G3619" s="252">
        <f t="shared" si="73"/>
        <v>0</v>
      </c>
    </row>
    <row r="3620" spans="1:7" x14ac:dyDescent="0.3">
      <c r="A3620" s="524" t="s">
        <v>508</v>
      </c>
      <c r="B3620" s="524" t="s">
        <v>1795</v>
      </c>
      <c r="C3620" s="525" t="s">
        <v>1796</v>
      </c>
      <c r="D3620" s="524" t="s">
        <v>397</v>
      </c>
      <c r="E3620" s="524" t="s">
        <v>1122</v>
      </c>
      <c r="F3620" s="526" t="s">
        <v>1797</v>
      </c>
      <c r="G3620" s="252">
        <f t="shared" si="73"/>
        <v>3.63</v>
      </c>
    </row>
    <row r="3621" spans="1:7" x14ac:dyDescent="0.3">
      <c r="A3621" s="524" t="s">
        <v>508</v>
      </c>
      <c r="B3621" s="524" t="s">
        <v>1812</v>
      </c>
      <c r="C3621" s="525" t="s">
        <v>1813</v>
      </c>
      <c r="D3621" s="524" t="s">
        <v>397</v>
      </c>
      <c r="E3621" s="524" t="s">
        <v>1122</v>
      </c>
      <c r="F3621" s="526" t="s">
        <v>1814</v>
      </c>
      <c r="G3621" s="252">
        <f t="shared" si="73"/>
        <v>5.96</v>
      </c>
    </row>
    <row r="3622" spans="1:7" ht="28.8" x14ac:dyDescent="0.3">
      <c r="A3622" s="524" t="s">
        <v>508</v>
      </c>
      <c r="B3622" s="524" t="s">
        <v>1798</v>
      </c>
      <c r="C3622" s="525" t="s">
        <v>1799</v>
      </c>
      <c r="D3622" s="524" t="s">
        <v>397</v>
      </c>
      <c r="E3622" s="524" t="s">
        <v>1815</v>
      </c>
      <c r="F3622" s="526" t="s">
        <v>1801</v>
      </c>
      <c r="G3622" s="252">
        <f t="shared" si="73"/>
        <v>1.39</v>
      </c>
    </row>
    <row r="3623" spans="1:7" ht="28.8" x14ac:dyDescent="0.3">
      <c r="A3623" s="524" t="s">
        <v>522</v>
      </c>
      <c r="B3623" s="524" t="s">
        <v>1726</v>
      </c>
      <c r="C3623" s="525" t="s">
        <v>1727</v>
      </c>
      <c r="D3623" s="524" t="s">
        <v>32</v>
      </c>
      <c r="E3623" s="524" t="s">
        <v>1438</v>
      </c>
      <c r="F3623" s="526" t="s">
        <v>1729</v>
      </c>
      <c r="G3623" s="252">
        <f t="shared" si="73"/>
        <v>3.46</v>
      </c>
    </row>
    <row r="3624" spans="1:7" x14ac:dyDescent="0.3">
      <c r="A3624" s="524" t="s">
        <v>522</v>
      </c>
      <c r="B3624" s="524" t="s">
        <v>1367</v>
      </c>
      <c r="C3624" s="525" t="s">
        <v>1368</v>
      </c>
      <c r="D3624" s="524" t="s">
        <v>32</v>
      </c>
      <c r="E3624" s="524" t="s">
        <v>1438</v>
      </c>
      <c r="F3624" s="526" t="s">
        <v>1370</v>
      </c>
      <c r="G3624" s="252">
        <f t="shared" si="73"/>
        <v>4.4400000000000004</v>
      </c>
    </row>
    <row r="3625" spans="1:7" x14ac:dyDescent="0.3">
      <c r="A3625" s="680" t="s">
        <v>1152</v>
      </c>
      <c r="B3625" s="681"/>
      <c r="C3625" s="681"/>
      <c r="D3625" s="681"/>
      <c r="E3625" s="681"/>
      <c r="F3625" s="682"/>
      <c r="G3625" s="527">
        <f>SUM(G3619:G3624)</f>
        <v>18.880000000000003</v>
      </c>
    </row>
    <row r="3626" spans="1:7" x14ac:dyDescent="0.3">
      <c r="A3626" s="683">
        <f>TRUNC(E3626*F3626,2)</f>
        <v>0</v>
      </c>
      <c r="B3626" s="684"/>
      <c r="C3626" s="684"/>
      <c r="D3626" s="684"/>
      <c r="E3626" s="684"/>
      <c r="F3626" s="684"/>
      <c r="G3626" s="685"/>
    </row>
    <row r="3627" spans="1:7" x14ac:dyDescent="0.3">
      <c r="A3627" s="529" t="s">
        <v>299</v>
      </c>
      <c r="B3627" s="529"/>
      <c r="C3627" s="530" t="s">
        <v>207</v>
      </c>
      <c r="D3627" s="529"/>
      <c r="E3627" s="252"/>
      <c r="F3627" s="531"/>
      <c r="G3627" s="252">
        <f t="shared" si="73"/>
        <v>0</v>
      </c>
    </row>
    <row r="3628" spans="1:7" x14ac:dyDescent="0.3">
      <c r="A3628" s="529" t="s">
        <v>300</v>
      </c>
      <c r="B3628" s="529">
        <v>72178</v>
      </c>
      <c r="C3628" s="530" t="s">
        <v>50</v>
      </c>
      <c r="D3628" s="529" t="s">
        <v>24</v>
      </c>
      <c r="E3628" s="252"/>
      <c r="F3628" s="531">
        <v>22.6</v>
      </c>
      <c r="G3628" s="252">
        <f t="shared" si="73"/>
        <v>0</v>
      </c>
    </row>
    <row r="3629" spans="1:7" x14ac:dyDescent="0.3">
      <c r="A3629" s="524" t="s">
        <v>522</v>
      </c>
      <c r="B3629" s="524" t="s">
        <v>1376</v>
      </c>
      <c r="C3629" s="525" t="s">
        <v>1377</v>
      </c>
      <c r="D3629" s="524" t="s">
        <v>32</v>
      </c>
      <c r="E3629" s="524" t="s">
        <v>1378</v>
      </c>
      <c r="F3629" s="612" t="s">
        <v>1379</v>
      </c>
      <c r="G3629" s="252">
        <f t="shared" si="73"/>
        <v>22.6</v>
      </c>
    </row>
    <row r="3630" spans="1:7" x14ac:dyDescent="0.3">
      <c r="A3630" s="680" t="s">
        <v>1152</v>
      </c>
      <c r="B3630" s="681"/>
      <c r="C3630" s="681"/>
      <c r="D3630" s="681"/>
      <c r="E3630" s="681"/>
      <c r="F3630" s="682"/>
      <c r="G3630" s="527">
        <f>SUM(G3628:G3629)</f>
        <v>22.6</v>
      </c>
    </row>
    <row r="3631" spans="1:7" x14ac:dyDescent="0.3">
      <c r="A3631" s="683">
        <f>TRUNC(E3631*F3631,2)</f>
        <v>0</v>
      </c>
      <c r="B3631" s="684"/>
      <c r="C3631" s="684"/>
      <c r="D3631" s="684"/>
      <c r="E3631" s="684"/>
      <c r="F3631" s="684"/>
      <c r="G3631" s="685"/>
    </row>
    <row r="3632" spans="1:7" ht="43.2" x14ac:dyDescent="0.3">
      <c r="A3632" s="529" t="s">
        <v>301</v>
      </c>
      <c r="B3632" s="529">
        <v>72181</v>
      </c>
      <c r="C3632" s="530" t="s">
        <v>210</v>
      </c>
      <c r="D3632" s="529" t="s">
        <v>24</v>
      </c>
      <c r="E3632" s="252"/>
      <c r="F3632" s="531">
        <v>28.84</v>
      </c>
      <c r="G3632" s="252">
        <f t="shared" si="73"/>
        <v>0</v>
      </c>
    </row>
    <row r="3633" spans="1:7" x14ac:dyDescent="0.3">
      <c r="A3633" s="524" t="s">
        <v>508</v>
      </c>
      <c r="B3633" s="524" t="s">
        <v>518</v>
      </c>
      <c r="C3633" s="525" t="s">
        <v>519</v>
      </c>
      <c r="D3633" s="524" t="s">
        <v>426</v>
      </c>
      <c r="E3633" s="524" t="s">
        <v>1528</v>
      </c>
      <c r="F3633" s="526" t="s">
        <v>521</v>
      </c>
      <c r="G3633" s="252">
        <f t="shared" si="73"/>
        <v>2.2799999999999998</v>
      </c>
    </row>
    <row r="3634" spans="1:7" x14ac:dyDescent="0.3">
      <c r="A3634" s="524" t="s">
        <v>522</v>
      </c>
      <c r="B3634" s="524" t="s">
        <v>1376</v>
      </c>
      <c r="C3634" s="525" t="s">
        <v>1377</v>
      </c>
      <c r="D3634" s="524" t="s">
        <v>32</v>
      </c>
      <c r="E3634" s="524" t="s">
        <v>1452</v>
      </c>
      <c r="F3634" s="526" t="s">
        <v>1379</v>
      </c>
      <c r="G3634" s="252">
        <f t="shared" si="73"/>
        <v>15.07</v>
      </c>
    </row>
    <row r="3635" spans="1:7" x14ac:dyDescent="0.3">
      <c r="A3635" s="524" t="s">
        <v>522</v>
      </c>
      <c r="B3635" s="524" t="s">
        <v>1359</v>
      </c>
      <c r="C3635" s="525" t="s">
        <v>801</v>
      </c>
      <c r="D3635" s="524" t="s">
        <v>32</v>
      </c>
      <c r="E3635" s="524" t="s">
        <v>1452</v>
      </c>
      <c r="F3635" s="526" t="s">
        <v>1361</v>
      </c>
      <c r="G3635" s="252">
        <f t="shared" si="73"/>
        <v>11.49</v>
      </c>
    </row>
    <row r="3636" spans="1:7" x14ac:dyDescent="0.3">
      <c r="A3636" s="680" t="s">
        <v>1152</v>
      </c>
      <c r="B3636" s="681"/>
      <c r="C3636" s="681"/>
      <c r="D3636" s="681"/>
      <c r="E3636" s="681"/>
      <c r="F3636" s="682"/>
      <c r="G3636" s="527">
        <f>SUM(G3633:G3635)</f>
        <v>28.840000000000003</v>
      </c>
    </row>
    <row r="3637" spans="1:7" x14ac:dyDescent="0.3">
      <c r="A3637" s="683">
        <f>TRUNC(E3637*F3637,2)</f>
        <v>0</v>
      </c>
      <c r="B3637" s="684"/>
      <c r="C3637" s="684"/>
      <c r="D3637" s="684"/>
      <c r="E3637" s="684"/>
      <c r="F3637" s="684"/>
      <c r="G3637" s="685"/>
    </row>
    <row r="3638" spans="1:7" x14ac:dyDescent="0.3">
      <c r="A3638" s="529" t="s">
        <v>387</v>
      </c>
      <c r="B3638" s="529"/>
      <c r="C3638" s="530" t="s">
        <v>212</v>
      </c>
      <c r="D3638" s="529"/>
      <c r="E3638" s="252"/>
      <c r="F3638" s="531"/>
      <c r="G3638" s="252">
        <f t="shared" si="73"/>
        <v>0</v>
      </c>
    </row>
    <row r="3639" spans="1:7" ht="28.8" x14ac:dyDescent="0.3">
      <c r="A3639" s="529" t="s">
        <v>388</v>
      </c>
      <c r="B3639" s="529">
        <v>96114</v>
      </c>
      <c r="C3639" s="530" t="s">
        <v>639</v>
      </c>
      <c r="D3639" s="529" t="s">
        <v>24</v>
      </c>
      <c r="E3639" s="252"/>
      <c r="F3639" s="531">
        <v>49.24</v>
      </c>
      <c r="G3639" s="252">
        <f t="shared" si="73"/>
        <v>0</v>
      </c>
    </row>
    <row r="3640" spans="1:7" ht="28.8" x14ac:dyDescent="0.3">
      <c r="A3640" s="524" t="s">
        <v>508</v>
      </c>
      <c r="B3640" s="524" t="s">
        <v>1843</v>
      </c>
      <c r="C3640" s="525" t="s">
        <v>1844</v>
      </c>
      <c r="D3640" s="524" t="s">
        <v>24</v>
      </c>
      <c r="E3640" s="606">
        <v>1</v>
      </c>
      <c r="F3640" s="526" t="s">
        <v>1845</v>
      </c>
      <c r="G3640" s="252">
        <f t="shared" si="73"/>
        <v>19.97</v>
      </c>
    </row>
    <row r="3641" spans="1:7" ht="28.8" x14ac:dyDescent="0.3">
      <c r="A3641" s="524" t="s">
        <v>508</v>
      </c>
      <c r="B3641" s="524" t="s">
        <v>1846</v>
      </c>
      <c r="C3641" s="525" t="s">
        <v>1847</v>
      </c>
      <c r="D3641" s="524" t="s">
        <v>55</v>
      </c>
      <c r="E3641" s="606">
        <v>3</v>
      </c>
      <c r="F3641" s="526" t="s">
        <v>1848</v>
      </c>
      <c r="G3641" s="252">
        <f t="shared" si="73"/>
        <v>11.79</v>
      </c>
    </row>
    <row r="3642" spans="1:7" ht="28.8" x14ac:dyDescent="0.3">
      <c r="A3642" s="524" t="s">
        <v>508</v>
      </c>
      <c r="B3642" s="524" t="s">
        <v>1849</v>
      </c>
      <c r="C3642" s="525" t="s">
        <v>1850</v>
      </c>
      <c r="D3642" s="524" t="s">
        <v>397</v>
      </c>
      <c r="E3642" s="606">
        <v>1</v>
      </c>
      <c r="F3642" s="526" t="s">
        <v>1851</v>
      </c>
      <c r="G3642" s="252">
        <f t="shared" si="73"/>
        <v>1.48</v>
      </c>
    </row>
    <row r="3643" spans="1:7" ht="28.8" x14ac:dyDescent="0.3">
      <c r="A3643" s="524" t="s">
        <v>508</v>
      </c>
      <c r="B3643" s="524" t="s">
        <v>1852</v>
      </c>
      <c r="C3643" s="525" t="s">
        <v>1853</v>
      </c>
      <c r="D3643" s="524" t="s">
        <v>55</v>
      </c>
      <c r="E3643" s="606">
        <v>1.4</v>
      </c>
      <c r="F3643" s="526" t="s">
        <v>1854</v>
      </c>
      <c r="G3643" s="252">
        <f t="shared" si="73"/>
        <v>4.1399999999999997</v>
      </c>
    </row>
    <row r="3644" spans="1:7" ht="28.8" x14ac:dyDescent="0.3">
      <c r="A3644" s="524" t="s">
        <v>508</v>
      </c>
      <c r="B3644" s="524" t="s">
        <v>1855</v>
      </c>
      <c r="C3644" s="525" t="s">
        <v>1856</v>
      </c>
      <c r="D3644" s="524" t="s">
        <v>426</v>
      </c>
      <c r="E3644" s="606">
        <v>0.5</v>
      </c>
      <c r="F3644" s="526" t="s">
        <v>1501</v>
      </c>
      <c r="G3644" s="252">
        <f t="shared" si="73"/>
        <v>1.98</v>
      </c>
    </row>
    <row r="3645" spans="1:7" ht="28.8" x14ac:dyDescent="0.3">
      <c r="A3645" s="524" t="s">
        <v>508</v>
      </c>
      <c r="B3645" s="524" t="s">
        <v>1857</v>
      </c>
      <c r="C3645" s="525" t="s">
        <v>1858</v>
      </c>
      <c r="D3645" s="524" t="s">
        <v>397</v>
      </c>
      <c r="E3645" s="606">
        <v>7</v>
      </c>
      <c r="F3645" s="526" t="s">
        <v>1327</v>
      </c>
      <c r="G3645" s="252">
        <f t="shared" si="73"/>
        <v>0.49</v>
      </c>
    </row>
    <row r="3646" spans="1:7" ht="28.8" x14ac:dyDescent="0.3">
      <c r="A3646" s="524" t="s">
        <v>508</v>
      </c>
      <c r="B3646" s="524" t="s">
        <v>1859</v>
      </c>
      <c r="C3646" s="525" t="s">
        <v>1860</v>
      </c>
      <c r="D3646" s="524" t="s">
        <v>397</v>
      </c>
      <c r="E3646" s="606">
        <v>2</v>
      </c>
      <c r="F3646" s="526" t="s">
        <v>1861</v>
      </c>
      <c r="G3646" s="252">
        <f t="shared" si="73"/>
        <v>0.32</v>
      </c>
    </row>
    <row r="3647" spans="1:7" x14ac:dyDescent="0.3">
      <c r="A3647" s="524" t="s">
        <v>508</v>
      </c>
      <c r="B3647" s="524" t="s">
        <v>1862</v>
      </c>
      <c r="C3647" s="525" t="s">
        <v>1863</v>
      </c>
      <c r="D3647" s="524" t="s">
        <v>1458</v>
      </c>
      <c r="E3647" s="524" t="s">
        <v>1864</v>
      </c>
      <c r="F3647" s="526" t="s">
        <v>1865</v>
      </c>
      <c r="G3647" s="252">
        <f t="shared" si="73"/>
        <v>0.24</v>
      </c>
    </row>
    <row r="3648" spans="1:7" ht="28.8" x14ac:dyDescent="0.3">
      <c r="A3648" s="524" t="s">
        <v>508</v>
      </c>
      <c r="B3648" s="524" t="s">
        <v>1866</v>
      </c>
      <c r="C3648" s="525" t="s">
        <v>1867</v>
      </c>
      <c r="D3648" s="524" t="s">
        <v>426</v>
      </c>
      <c r="E3648" s="524" t="s">
        <v>1868</v>
      </c>
      <c r="F3648" s="526" t="s">
        <v>1869</v>
      </c>
      <c r="G3648" s="252">
        <f t="shared" si="73"/>
        <v>0.68</v>
      </c>
    </row>
    <row r="3649" spans="1:7" x14ac:dyDescent="0.3">
      <c r="A3649" s="524" t="s">
        <v>522</v>
      </c>
      <c r="B3649" s="524" t="s">
        <v>1870</v>
      </c>
      <c r="C3649" s="525" t="s">
        <v>1871</v>
      </c>
      <c r="D3649" s="524" t="s">
        <v>32</v>
      </c>
      <c r="E3649" s="607">
        <v>0.3</v>
      </c>
      <c r="F3649" s="526" t="s">
        <v>1872</v>
      </c>
      <c r="G3649" s="252">
        <f t="shared" si="73"/>
        <v>3.84</v>
      </c>
    </row>
    <row r="3650" spans="1:7" x14ac:dyDescent="0.3">
      <c r="A3650" s="524" t="s">
        <v>522</v>
      </c>
      <c r="B3650" s="524" t="s">
        <v>1359</v>
      </c>
      <c r="C3650" s="525" t="s">
        <v>801</v>
      </c>
      <c r="D3650" s="524" t="s">
        <v>32</v>
      </c>
      <c r="E3650" s="607">
        <v>0.3</v>
      </c>
      <c r="F3650" s="526" t="s">
        <v>1361</v>
      </c>
      <c r="G3650" s="252">
        <f t="shared" si="73"/>
        <v>4.3099999999999996</v>
      </c>
    </row>
    <row r="3651" spans="1:7" x14ac:dyDescent="0.3">
      <c r="A3651" s="680" t="s">
        <v>1152</v>
      </c>
      <c r="B3651" s="681"/>
      <c r="C3651" s="681"/>
      <c r="D3651" s="681"/>
      <c r="E3651" s="681"/>
      <c r="F3651" s="682"/>
      <c r="G3651" s="527">
        <f>SUM(G3638:G3650)</f>
        <v>49.239999999999995</v>
      </c>
    </row>
    <row r="3652" spans="1:7" x14ac:dyDescent="0.3">
      <c r="A3652" s="683">
        <f>TRUNC(E3652*F3652,2)</f>
        <v>0</v>
      </c>
      <c r="B3652" s="684"/>
      <c r="C3652" s="684"/>
      <c r="D3652" s="684"/>
      <c r="E3652" s="684"/>
      <c r="F3652" s="684"/>
      <c r="G3652" s="685"/>
    </row>
    <row r="3653" spans="1:7" x14ac:dyDescent="0.3">
      <c r="A3653" s="529" t="s">
        <v>20</v>
      </c>
      <c r="B3653" s="529"/>
      <c r="C3653" s="530" t="s">
        <v>37</v>
      </c>
      <c r="D3653" s="529"/>
      <c r="E3653" s="252"/>
      <c r="F3653" s="531"/>
      <c r="G3653" s="252">
        <f t="shared" si="73"/>
        <v>0</v>
      </c>
    </row>
    <row r="3654" spans="1:7" ht="28.8" x14ac:dyDescent="0.3">
      <c r="A3654" s="529" t="s">
        <v>22</v>
      </c>
      <c r="B3654" s="529">
        <v>97622</v>
      </c>
      <c r="C3654" s="530" t="s">
        <v>303</v>
      </c>
      <c r="D3654" s="529" t="s">
        <v>304</v>
      </c>
      <c r="E3654" s="252"/>
      <c r="F3654" s="531">
        <v>37.39</v>
      </c>
      <c r="G3654" s="252">
        <f t="shared" si="73"/>
        <v>0</v>
      </c>
    </row>
    <row r="3655" spans="1:7" x14ac:dyDescent="0.3">
      <c r="A3655" s="524" t="s">
        <v>522</v>
      </c>
      <c r="B3655" s="524" t="s">
        <v>1362</v>
      </c>
      <c r="C3655" s="525" t="s">
        <v>1363</v>
      </c>
      <c r="D3655" s="524" t="s">
        <v>32</v>
      </c>
      <c r="E3655" s="524" t="s">
        <v>1374</v>
      </c>
      <c r="F3655" s="528" t="s">
        <v>1365</v>
      </c>
      <c r="G3655" s="252">
        <f t="shared" si="73"/>
        <v>3.99</v>
      </c>
    </row>
    <row r="3656" spans="1:7" x14ac:dyDescent="0.3">
      <c r="A3656" s="524" t="s">
        <v>522</v>
      </c>
      <c r="B3656" s="524" t="s">
        <v>1359</v>
      </c>
      <c r="C3656" s="525" t="s">
        <v>801</v>
      </c>
      <c r="D3656" s="524" t="s">
        <v>32</v>
      </c>
      <c r="E3656" s="524" t="s">
        <v>1375</v>
      </c>
      <c r="F3656" s="528" t="s">
        <v>1361</v>
      </c>
      <c r="G3656" s="252">
        <f t="shared" si="73"/>
        <v>33.4</v>
      </c>
    </row>
    <row r="3657" spans="1:7" x14ac:dyDescent="0.3">
      <c r="A3657" s="680" t="s">
        <v>1152</v>
      </c>
      <c r="B3657" s="681"/>
      <c r="C3657" s="681"/>
      <c r="D3657" s="681"/>
      <c r="E3657" s="681"/>
      <c r="F3657" s="682"/>
      <c r="G3657" s="527">
        <f>SUM(G3654:G3656)</f>
        <v>37.39</v>
      </c>
    </row>
    <row r="3658" spans="1:7" x14ac:dyDescent="0.3">
      <c r="A3658" s="683">
        <f>TRUNC(E3658*F3658,2)</f>
        <v>0</v>
      </c>
      <c r="B3658" s="684"/>
      <c r="C3658" s="684"/>
      <c r="D3658" s="684"/>
      <c r="E3658" s="684"/>
      <c r="F3658" s="684"/>
      <c r="G3658" s="685"/>
    </row>
    <row r="3659" spans="1:7" x14ac:dyDescent="0.3">
      <c r="A3659" s="529" t="s">
        <v>25</v>
      </c>
      <c r="B3659" s="529">
        <v>97644</v>
      </c>
      <c r="C3659" s="530" t="s">
        <v>43</v>
      </c>
      <c r="D3659" s="529" t="s">
        <v>305</v>
      </c>
      <c r="E3659" s="252"/>
      <c r="F3659" s="531">
        <v>6.04</v>
      </c>
      <c r="G3659" s="252">
        <f t="shared" si="73"/>
        <v>0</v>
      </c>
    </row>
    <row r="3660" spans="1:7" x14ac:dyDescent="0.3">
      <c r="A3660" s="524" t="s">
        <v>522</v>
      </c>
      <c r="B3660" s="524" t="s">
        <v>1362</v>
      </c>
      <c r="C3660" s="525" t="s">
        <v>1363</v>
      </c>
      <c r="D3660" s="524" t="s">
        <v>32</v>
      </c>
      <c r="E3660" s="524" t="s">
        <v>1364</v>
      </c>
      <c r="F3660" s="528" t="s">
        <v>1365</v>
      </c>
      <c r="G3660" s="252">
        <f t="shared" si="73"/>
        <v>2.33</v>
      </c>
    </row>
    <row r="3661" spans="1:7" x14ac:dyDescent="0.3">
      <c r="A3661" s="524" t="s">
        <v>522</v>
      </c>
      <c r="B3661" s="524" t="s">
        <v>1359</v>
      </c>
      <c r="C3661" s="525" t="s">
        <v>801</v>
      </c>
      <c r="D3661" s="524" t="s">
        <v>32</v>
      </c>
      <c r="E3661" s="524" t="s">
        <v>1366</v>
      </c>
      <c r="F3661" s="528" t="s">
        <v>1361</v>
      </c>
      <c r="G3661" s="252">
        <f t="shared" si="73"/>
        <v>3.71</v>
      </c>
    </row>
    <row r="3662" spans="1:7" x14ac:dyDescent="0.3">
      <c r="A3662" s="680" t="s">
        <v>1152</v>
      </c>
      <c r="B3662" s="681"/>
      <c r="C3662" s="681"/>
      <c r="D3662" s="681"/>
      <c r="E3662" s="681"/>
      <c r="F3662" s="682"/>
      <c r="G3662" s="527">
        <f>SUM(G3654:G3661)</f>
        <v>80.819999999999993</v>
      </c>
    </row>
    <row r="3663" spans="1:7" x14ac:dyDescent="0.3">
      <c r="A3663" s="683">
        <f>TRUNC(E3663*F3663,2)</f>
        <v>0</v>
      </c>
      <c r="B3663" s="684"/>
      <c r="C3663" s="684"/>
      <c r="D3663" s="684"/>
      <c r="E3663" s="684"/>
      <c r="F3663" s="684"/>
      <c r="G3663" s="685"/>
    </row>
    <row r="3664" spans="1:7" x14ac:dyDescent="0.3">
      <c r="A3664" s="529" t="s">
        <v>56</v>
      </c>
      <c r="B3664" s="529" t="s">
        <v>39</v>
      </c>
      <c r="C3664" s="530" t="s">
        <v>40</v>
      </c>
      <c r="D3664" s="529" t="s">
        <v>304</v>
      </c>
      <c r="E3664" s="252"/>
      <c r="F3664" s="531">
        <v>209.74</v>
      </c>
      <c r="G3664" s="252">
        <f t="shared" si="73"/>
        <v>0</v>
      </c>
    </row>
    <row r="3665" spans="1:7" x14ac:dyDescent="0.3">
      <c r="A3665" s="524" t="s">
        <v>522</v>
      </c>
      <c r="B3665" s="524" t="s">
        <v>1362</v>
      </c>
      <c r="C3665" s="525" t="s">
        <v>1363</v>
      </c>
      <c r="D3665" s="524" t="s">
        <v>32</v>
      </c>
      <c r="E3665" s="603">
        <v>1.3</v>
      </c>
      <c r="F3665" s="528">
        <v>17.64</v>
      </c>
      <c r="G3665" s="252">
        <f t="shared" si="73"/>
        <v>22.93</v>
      </c>
    </row>
    <row r="3666" spans="1:7" x14ac:dyDescent="0.3">
      <c r="A3666" s="524" t="s">
        <v>522</v>
      </c>
      <c r="B3666" s="524" t="s">
        <v>1359</v>
      </c>
      <c r="C3666" s="525" t="s">
        <v>801</v>
      </c>
      <c r="D3666" s="524" t="s">
        <v>32</v>
      </c>
      <c r="E3666" s="603">
        <v>13</v>
      </c>
      <c r="F3666" s="528">
        <v>14.37</v>
      </c>
      <c r="G3666" s="252">
        <f t="shared" si="73"/>
        <v>186.81</v>
      </c>
    </row>
    <row r="3667" spans="1:7" x14ac:dyDescent="0.3">
      <c r="A3667" s="680" t="s">
        <v>1152</v>
      </c>
      <c r="B3667" s="681"/>
      <c r="C3667" s="681"/>
      <c r="D3667" s="681"/>
      <c r="E3667" s="681"/>
      <c r="F3667" s="682"/>
      <c r="G3667" s="527">
        <f>SUM(G3663:G3666)</f>
        <v>209.74</v>
      </c>
    </row>
    <row r="3668" spans="1:7" x14ac:dyDescent="0.3">
      <c r="A3668" s="683">
        <f>TRUNC(E3668*F3668,2)</f>
        <v>0</v>
      </c>
      <c r="B3668" s="684"/>
      <c r="C3668" s="684"/>
      <c r="D3668" s="684"/>
      <c r="E3668" s="684"/>
      <c r="F3668" s="684"/>
      <c r="G3668" s="685"/>
    </row>
    <row r="3669" spans="1:7" x14ac:dyDescent="0.3">
      <c r="A3669" s="529" t="s">
        <v>216</v>
      </c>
      <c r="B3669" s="529">
        <v>97663</v>
      </c>
      <c r="C3669" s="530" t="s">
        <v>45</v>
      </c>
      <c r="D3669" s="529" t="s">
        <v>44</v>
      </c>
      <c r="E3669" s="252"/>
      <c r="F3669" s="531">
        <v>8.07</v>
      </c>
      <c r="G3669" s="252">
        <f t="shared" si="73"/>
        <v>0</v>
      </c>
    </row>
    <row r="3670" spans="1:7" x14ac:dyDescent="0.3">
      <c r="A3670" s="524" t="s">
        <v>522</v>
      </c>
      <c r="B3670" s="524" t="s">
        <v>1367</v>
      </c>
      <c r="C3670" s="525" t="s">
        <v>1368</v>
      </c>
      <c r="D3670" s="524" t="s">
        <v>32</v>
      </c>
      <c r="E3670" s="524" t="s">
        <v>1369</v>
      </c>
      <c r="F3670" s="528" t="s">
        <v>1370</v>
      </c>
      <c r="G3670" s="252">
        <f t="shared" si="73"/>
        <v>3.12</v>
      </c>
    </row>
    <row r="3671" spans="1:7" x14ac:dyDescent="0.3">
      <c r="A3671" s="524" t="s">
        <v>522</v>
      </c>
      <c r="B3671" s="524" t="s">
        <v>1359</v>
      </c>
      <c r="C3671" s="525" t="s">
        <v>801</v>
      </c>
      <c r="D3671" s="524" t="s">
        <v>32</v>
      </c>
      <c r="E3671" s="524" t="s">
        <v>1371</v>
      </c>
      <c r="F3671" s="528" t="s">
        <v>1361</v>
      </c>
      <c r="G3671" s="252">
        <f t="shared" si="73"/>
        <v>4.95</v>
      </c>
    </row>
    <row r="3672" spans="1:7" x14ac:dyDescent="0.3">
      <c r="A3672" s="680" t="s">
        <v>1152</v>
      </c>
      <c r="B3672" s="681"/>
      <c r="C3672" s="681"/>
      <c r="D3672" s="681"/>
      <c r="E3672" s="681"/>
      <c r="F3672" s="682"/>
      <c r="G3672" s="527">
        <f>SUM(G3669:G3671)</f>
        <v>8.07</v>
      </c>
    </row>
    <row r="3673" spans="1:7" x14ac:dyDescent="0.3">
      <c r="A3673" s="683">
        <f>TRUNC(E3673*F3673,2)</f>
        <v>0</v>
      </c>
      <c r="B3673" s="684"/>
      <c r="C3673" s="684"/>
      <c r="D3673" s="684"/>
      <c r="E3673" s="684"/>
      <c r="F3673" s="684"/>
      <c r="G3673" s="685"/>
    </row>
    <row r="3674" spans="1:7" ht="28.8" x14ac:dyDescent="0.3">
      <c r="A3674" s="529" t="s">
        <v>217</v>
      </c>
      <c r="B3674" s="529">
        <v>97666</v>
      </c>
      <c r="C3674" s="530" t="s">
        <v>46</v>
      </c>
      <c r="D3674" s="529" t="s">
        <v>44</v>
      </c>
      <c r="E3674" s="252"/>
      <c r="F3674" s="531">
        <v>5.88</v>
      </c>
      <c r="G3674" s="252">
        <f t="shared" si="73"/>
        <v>0</v>
      </c>
    </row>
    <row r="3675" spans="1:7" x14ac:dyDescent="0.3">
      <c r="A3675" s="524" t="s">
        <v>522</v>
      </c>
      <c r="B3675" s="524" t="s">
        <v>1367</v>
      </c>
      <c r="C3675" s="525" t="s">
        <v>1368</v>
      </c>
      <c r="D3675" s="524" t="s">
        <v>32</v>
      </c>
      <c r="E3675" s="524" t="s">
        <v>1372</v>
      </c>
      <c r="F3675" s="528" t="s">
        <v>1370</v>
      </c>
      <c r="G3675" s="252">
        <f t="shared" si="73"/>
        <v>2.27</v>
      </c>
    </row>
    <row r="3676" spans="1:7" x14ac:dyDescent="0.3">
      <c r="A3676" s="524" t="s">
        <v>522</v>
      </c>
      <c r="B3676" s="524" t="s">
        <v>1359</v>
      </c>
      <c r="C3676" s="525" t="s">
        <v>801</v>
      </c>
      <c r="D3676" s="524" t="s">
        <v>32</v>
      </c>
      <c r="E3676" s="524" t="s">
        <v>1373</v>
      </c>
      <c r="F3676" s="528" t="s">
        <v>1361</v>
      </c>
      <c r="G3676" s="252">
        <f t="shared" si="73"/>
        <v>3.61</v>
      </c>
    </row>
    <row r="3677" spans="1:7" x14ac:dyDescent="0.3">
      <c r="A3677" s="680" t="s">
        <v>1152</v>
      </c>
      <c r="B3677" s="681"/>
      <c r="C3677" s="681"/>
      <c r="D3677" s="681"/>
      <c r="E3677" s="681"/>
      <c r="F3677" s="682"/>
      <c r="G3677" s="527">
        <f>SUM(G3674:G3676)</f>
        <v>5.88</v>
      </c>
    </row>
    <row r="3678" spans="1:7" x14ac:dyDescent="0.3">
      <c r="A3678" s="683">
        <f>TRUNC(E3678*F3678,2)</f>
        <v>0</v>
      </c>
      <c r="B3678" s="684"/>
      <c r="C3678" s="684"/>
      <c r="D3678" s="684"/>
      <c r="E3678" s="684"/>
      <c r="F3678" s="684"/>
      <c r="G3678" s="685"/>
    </row>
    <row r="3679" spans="1:7" ht="28.8" x14ac:dyDescent="0.3">
      <c r="A3679" s="529" t="s">
        <v>218</v>
      </c>
      <c r="B3679" s="529">
        <v>97633</v>
      </c>
      <c r="C3679" s="530" t="s">
        <v>42</v>
      </c>
      <c r="D3679" s="529" t="s">
        <v>24</v>
      </c>
      <c r="E3679" s="252"/>
      <c r="F3679" s="531">
        <v>14.85</v>
      </c>
      <c r="G3679" s="252">
        <f t="shared" si="73"/>
        <v>0</v>
      </c>
    </row>
    <row r="3680" spans="1:7" x14ac:dyDescent="0.3">
      <c r="A3680" s="524" t="s">
        <v>522</v>
      </c>
      <c r="B3680" s="524" t="s">
        <v>1355</v>
      </c>
      <c r="C3680" s="525" t="s">
        <v>1356</v>
      </c>
      <c r="D3680" s="524" t="s">
        <v>32</v>
      </c>
      <c r="E3680" s="524" t="s">
        <v>1357</v>
      </c>
      <c r="F3680" s="528" t="s">
        <v>1358</v>
      </c>
      <c r="G3680" s="252">
        <f t="shared" si="73"/>
        <v>4.5199999999999996</v>
      </c>
    </row>
    <row r="3681" spans="1:7" x14ac:dyDescent="0.3">
      <c r="A3681" s="524" t="s">
        <v>522</v>
      </c>
      <c r="B3681" s="524" t="s">
        <v>1359</v>
      </c>
      <c r="C3681" s="525" t="s">
        <v>801</v>
      </c>
      <c r="D3681" s="524" t="s">
        <v>32</v>
      </c>
      <c r="E3681" s="524" t="s">
        <v>1360</v>
      </c>
      <c r="F3681" s="528" t="s">
        <v>1361</v>
      </c>
      <c r="G3681" s="252">
        <f t="shared" si="73"/>
        <v>10.33</v>
      </c>
    </row>
    <row r="3682" spans="1:7" x14ac:dyDescent="0.3">
      <c r="A3682" s="680" t="s">
        <v>1152</v>
      </c>
      <c r="B3682" s="681"/>
      <c r="C3682" s="681"/>
      <c r="D3682" s="681"/>
      <c r="E3682" s="681"/>
      <c r="F3682" s="682"/>
      <c r="G3682" s="527">
        <f>SUM(G3674:G3681)</f>
        <v>26.61</v>
      </c>
    </row>
    <row r="3683" spans="1:7" x14ac:dyDescent="0.3">
      <c r="A3683" s="683">
        <f>TRUNC(E3683*F3683,2)</f>
        <v>0</v>
      </c>
      <c r="B3683" s="684"/>
      <c r="C3683" s="684"/>
      <c r="D3683" s="684"/>
      <c r="E3683" s="684"/>
      <c r="F3683" s="684"/>
      <c r="G3683" s="685"/>
    </row>
    <row r="3684" spans="1:7" x14ac:dyDescent="0.3">
      <c r="A3684" s="529" t="s">
        <v>60</v>
      </c>
      <c r="B3684" s="529"/>
      <c r="C3684" s="530" t="s">
        <v>51</v>
      </c>
      <c r="D3684" s="529"/>
      <c r="E3684" s="252"/>
      <c r="F3684" s="531"/>
      <c r="G3684" s="252">
        <f t="shared" si="73"/>
        <v>0</v>
      </c>
    </row>
    <row r="3685" spans="1:7" ht="28.8" x14ac:dyDescent="0.3">
      <c r="A3685" s="529" t="s">
        <v>64</v>
      </c>
      <c r="B3685" s="529">
        <v>91338</v>
      </c>
      <c r="C3685" s="530" t="s">
        <v>57</v>
      </c>
      <c r="D3685" s="529" t="s">
        <v>24</v>
      </c>
      <c r="E3685" s="252"/>
      <c r="F3685" s="531">
        <v>871.17</v>
      </c>
      <c r="G3685" s="252">
        <f t="shared" si="73"/>
        <v>0</v>
      </c>
    </row>
    <row r="3686" spans="1:7" ht="28.8" x14ac:dyDescent="0.3">
      <c r="A3686" s="524" t="s">
        <v>508</v>
      </c>
      <c r="B3686" s="524" t="s">
        <v>1417</v>
      </c>
      <c r="C3686" s="525" t="s">
        <v>1418</v>
      </c>
      <c r="D3686" s="524" t="s">
        <v>1419</v>
      </c>
      <c r="E3686" s="606">
        <v>0.8</v>
      </c>
      <c r="F3686" s="526">
        <v>20</v>
      </c>
      <c r="G3686" s="252">
        <f t="shared" si="73"/>
        <v>16</v>
      </c>
    </row>
    <row r="3687" spans="1:7" ht="28.8" x14ac:dyDescent="0.3">
      <c r="A3687" s="524" t="s">
        <v>508</v>
      </c>
      <c r="B3687" s="524" t="s">
        <v>1422</v>
      </c>
      <c r="C3687" s="525" t="s">
        <v>1423</v>
      </c>
      <c r="D3687" s="524" t="s">
        <v>24</v>
      </c>
      <c r="E3687" s="606">
        <v>1</v>
      </c>
      <c r="F3687" s="526">
        <v>800</v>
      </c>
      <c r="G3687" s="252">
        <f t="shared" si="73"/>
        <v>800</v>
      </c>
    </row>
    <row r="3688" spans="1:7" ht="28.8" x14ac:dyDescent="0.3">
      <c r="A3688" s="524" t="s">
        <v>508</v>
      </c>
      <c r="B3688" s="524" t="s">
        <v>1425</v>
      </c>
      <c r="C3688" s="525" t="s">
        <v>1426</v>
      </c>
      <c r="D3688" s="524" t="s">
        <v>397</v>
      </c>
      <c r="E3688" s="606">
        <v>4</v>
      </c>
      <c r="F3688" s="526" t="s">
        <v>1428</v>
      </c>
      <c r="G3688" s="252">
        <f t="shared" si="73"/>
        <v>2.2000000000000002</v>
      </c>
    </row>
    <row r="3689" spans="1:7" ht="28.8" x14ac:dyDescent="0.3">
      <c r="A3689" s="524" t="s">
        <v>508</v>
      </c>
      <c r="B3689" s="524" t="s">
        <v>1429</v>
      </c>
      <c r="C3689" s="525" t="s">
        <v>1430</v>
      </c>
      <c r="D3689" s="524" t="s">
        <v>55</v>
      </c>
      <c r="E3689" s="606">
        <v>6.5</v>
      </c>
      <c r="F3689" s="526">
        <v>7</v>
      </c>
      <c r="G3689" s="252">
        <f t="shared" si="73"/>
        <v>45.5</v>
      </c>
    </row>
    <row r="3690" spans="1:7" x14ac:dyDescent="0.3">
      <c r="A3690" s="524" t="s">
        <v>522</v>
      </c>
      <c r="B3690" s="524" t="s">
        <v>1362</v>
      </c>
      <c r="C3690" s="525" t="s">
        <v>1363</v>
      </c>
      <c r="D3690" s="524" t="s">
        <v>32</v>
      </c>
      <c r="E3690" s="606">
        <v>0.3</v>
      </c>
      <c r="F3690" s="526" t="s">
        <v>1365</v>
      </c>
      <c r="G3690" s="252">
        <f t="shared" si="73"/>
        <v>5.32</v>
      </c>
    </row>
    <row r="3691" spans="1:7" x14ac:dyDescent="0.3">
      <c r="A3691" s="524" t="s">
        <v>522</v>
      </c>
      <c r="B3691" s="524" t="s">
        <v>1359</v>
      </c>
      <c r="C3691" s="525" t="s">
        <v>801</v>
      </c>
      <c r="D3691" s="524" t="s">
        <v>32</v>
      </c>
      <c r="E3691" s="606">
        <v>0.15</v>
      </c>
      <c r="F3691" s="526" t="s">
        <v>1361</v>
      </c>
      <c r="G3691" s="252">
        <f t="shared" si="73"/>
        <v>2.15</v>
      </c>
    </row>
    <row r="3692" spans="1:7" x14ac:dyDescent="0.3">
      <c r="A3692" s="680" t="s">
        <v>1152</v>
      </c>
      <c r="B3692" s="681"/>
      <c r="C3692" s="681"/>
      <c r="D3692" s="681"/>
      <c r="E3692" s="681"/>
      <c r="F3692" s="682"/>
      <c r="G3692" s="527">
        <f>SUM(G3685:G3691)</f>
        <v>871.17000000000007</v>
      </c>
    </row>
    <row r="3693" spans="1:7" x14ac:dyDescent="0.3">
      <c r="A3693" s="683">
        <f>TRUNC(E3693*F3693,2)</f>
        <v>0</v>
      </c>
      <c r="B3693" s="684"/>
      <c r="C3693" s="684"/>
      <c r="D3693" s="684"/>
      <c r="E3693" s="684"/>
      <c r="F3693" s="684"/>
      <c r="G3693" s="685"/>
    </row>
    <row r="3694" spans="1:7" ht="28.8" x14ac:dyDescent="0.3">
      <c r="A3694" s="529" t="s">
        <v>69</v>
      </c>
      <c r="B3694" s="529">
        <v>100701</v>
      </c>
      <c r="C3694" s="530" t="s">
        <v>391</v>
      </c>
      <c r="D3694" s="529" t="s">
        <v>24</v>
      </c>
      <c r="E3694" s="252"/>
      <c r="F3694" s="531">
        <v>479.56</v>
      </c>
      <c r="G3694" s="252">
        <f t="shared" si="73"/>
        <v>0</v>
      </c>
    </row>
    <row r="3695" spans="1:7" ht="28.8" x14ac:dyDescent="0.3">
      <c r="A3695" s="524" t="s">
        <v>508</v>
      </c>
      <c r="B3695" s="524" t="s">
        <v>2041</v>
      </c>
      <c r="C3695" s="525" t="s">
        <v>2042</v>
      </c>
      <c r="D3695" s="524" t="s">
        <v>24</v>
      </c>
      <c r="E3695" s="524" t="s">
        <v>1122</v>
      </c>
      <c r="F3695" s="526" t="s">
        <v>2043</v>
      </c>
      <c r="G3695" s="252">
        <f t="shared" si="73"/>
        <v>463.18</v>
      </c>
    </row>
    <row r="3696" spans="1:7" x14ac:dyDescent="0.3">
      <c r="A3696" s="524" t="s">
        <v>522</v>
      </c>
      <c r="B3696" s="524" t="s">
        <v>1362</v>
      </c>
      <c r="C3696" s="525" t="s">
        <v>1363</v>
      </c>
      <c r="D3696" s="524" t="s">
        <v>32</v>
      </c>
      <c r="E3696" s="524" t="s">
        <v>2044</v>
      </c>
      <c r="F3696" s="526" t="s">
        <v>1365</v>
      </c>
      <c r="G3696" s="252">
        <f t="shared" si="73"/>
        <v>8.11</v>
      </c>
    </row>
    <row r="3697" spans="1:7" x14ac:dyDescent="0.3">
      <c r="A3697" s="524" t="s">
        <v>522</v>
      </c>
      <c r="B3697" s="524" t="s">
        <v>1359</v>
      </c>
      <c r="C3697" s="525" t="s">
        <v>801</v>
      </c>
      <c r="D3697" s="524" t="s">
        <v>32</v>
      </c>
      <c r="E3697" s="524" t="s">
        <v>2045</v>
      </c>
      <c r="F3697" s="526" t="s">
        <v>1361</v>
      </c>
      <c r="G3697" s="252">
        <f t="shared" si="73"/>
        <v>3.29</v>
      </c>
    </row>
    <row r="3698" spans="1:7" ht="28.8" x14ac:dyDescent="0.3">
      <c r="A3698" s="524" t="s">
        <v>522</v>
      </c>
      <c r="B3698" s="524" t="s">
        <v>2046</v>
      </c>
      <c r="C3698" s="525" t="s">
        <v>2047</v>
      </c>
      <c r="D3698" s="524" t="s">
        <v>41</v>
      </c>
      <c r="E3698" s="524" t="s">
        <v>1415</v>
      </c>
      <c r="F3698" s="526" t="s">
        <v>2048</v>
      </c>
      <c r="G3698" s="252">
        <f t="shared" si="73"/>
        <v>4.9800000000000004</v>
      </c>
    </row>
    <row r="3699" spans="1:7" x14ac:dyDescent="0.3">
      <c r="A3699" s="680" t="s">
        <v>1152</v>
      </c>
      <c r="B3699" s="681"/>
      <c r="C3699" s="681"/>
      <c r="D3699" s="681"/>
      <c r="E3699" s="681"/>
      <c r="F3699" s="682"/>
      <c r="G3699" s="527">
        <f>SUM(G3695:G3698)</f>
        <v>479.56000000000006</v>
      </c>
    </row>
    <row r="3700" spans="1:7" x14ac:dyDescent="0.3">
      <c r="A3700" s="683">
        <f>TRUNC(E3700*F3700,2)</f>
        <v>0</v>
      </c>
      <c r="B3700" s="684"/>
      <c r="C3700" s="684"/>
      <c r="D3700" s="684"/>
      <c r="E3700" s="684"/>
      <c r="F3700" s="684"/>
      <c r="G3700" s="685"/>
    </row>
    <row r="3701" spans="1:7" x14ac:dyDescent="0.3">
      <c r="A3701" s="529" t="s">
        <v>74</v>
      </c>
      <c r="B3701" s="529"/>
      <c r="C3701" s="530" t="s">
        <v>61</v>
      </c>
      <c r="D3701" s="529"/>
      <c r="E3701" s="252"/>
      <c r="F3701" s="531"/>
      <c r="G3701" s="252">
        <f t="shared" si="73"/>
        <v>0</v>
      </c>
    </row>
    <row r="3702" spans="1:7" ht="43.2" x14ac:dyDescent="0.3">
      <c r="A3702" s="529" t="s">
        <v>77</v>
      </c>
      <c r="B3702" s="529">
        <v>87266</v>
      </c>
      <c r="C3702" s="530" t="s">
        <v>65</v>
      </c>
      <c r="D3702" s="529" t="s">
        <v>24</v>
      </c>
      <c r="E3702" s="252"/>
      <c r="F3702" s="531">
        <v>32.79</v>
      </c>
      <c r="G3702" s="252">
        <f t="shared" ref="G3702:G4079" si="80">TRUNC(E3702*F3702,2)</f>
        <v>0</v>
      </c>
    </row>
    <row r="3703" spans="1:7" ht="28.8" x14ac:dyDescent="0.3">
      <c r="A3703" s="524" t="s">
        <v>508</v>
      </c>
      <c r="B3703" s="524" t="s">
        <v>1441</v>
      </c>
      <c r="C3703" s="525" t="s">
        <v>1442</v>
      </c>
      <c r="D3703" s="524" t="s">
        <v>24</v>
      </c>
      <c r="E3703" s="606">
        <v>1</v>
      </c>
      <c r="F3703" s="526">
        <v>14</v>
      </c>
      <c r="G3703" s="252">
        <f t="shared" si="80"/>
        <v>14</v>
      </c>
    </row>
    <row r="3704" spans="1:7" x14ac:dyDescent="0.3">
      <c r="A3704" s="524" t="s">
        <v>508</v>
      </c>
      <c r="B3704" s="524" t="s">
        <v>1444</v>
      </c>
      <c r="C3704" s="525" t="s">
        <v>1445</v>
      </c>
      <c r="D3704" s="524" t="s">
        <v>426</v>
      </c>
      <c r="E3704" s="606">
        <v>4</v>
      </c>
      <c r="F3704" s="526" t="s">
        <v>1447</v>
      </c>
      <c r="G3704" s="252">
        <f t="shared" si="80"/>
        <v>2.6</v>
      </c>
    </row>
    <row r="3705" spans="1:7" x14ac:dyDescent="0.3">
      <c r="A3705" s="524" t="s">
        <v>508</v>
      </c>
      <c r="B3705" s="524" t="s">
        <v>1448</v>
      </c>
      <c r="C3705" s="525" t="s">
        <v>1449</v>
      </c>
      <c r="D3705" s="524" t="s">
        <v>426</v>
      </c>
      <c r="E3705" s="524" t="s">
        <v>1450</v>
      </c>
      <c r="F3705" s="526" t="s">
        <v>1451</v>
      </c>
      <c r="G3705" s="252">
        <f t="shared" si="80"/>
        <v>1.6</v>
      </c>
    </row>
    <row r="3706" spans="1:7" x14ac:dyDescent="0.3">
      <c r="A3706" s="524" t="s">
        <v>522</v>
      </c>
      <c r="B3706" s="524" t="s">
        <v>1355</v>
      </c>
      <c r="C3706" s="525" t="s">
        <v>1356</v>
      </c>
      <c r="D3706" s="524" t="s">
        <v>32</v>
      </c>
      <c r="E3706" s="606">
        <v>0.5</v>
      </c>
      <c r="F3706" s="526" t="s">
        <v>1358</v>
      </c>
      <c r="G3706" s="252">
        <f t="shared" si="80"/>
        <v>8.85</v>
      </c>
    </row>
    <row r="3707" spans="1:7" x14ac:dyDescent="0.3">
      <c r="A3707" s="524" t="s">
        <v>522</v>
      </c>
      <c r="B3707" s="524" t="s">
        <v>1359</v>
      </c>
      <c r="C3707" s="525" t="s">
        <v>801</v>
      </c>
      <c r="D3707" s="524" t="s">
        <v>32</v>
      </c>
      <c r="E3707" s="606">
        <v>0.4</v>
      </c>
      <c r="F3707" s="526" t="s">
        <v>1361</v>
      </c>
      <c r="G3707" s="252">
        <f t="shared" si="80"/>
        <v>5.74</v>
      </c>
    </row>
    <row r="3708" spans="1:7" x14ac:dyDescent="0.3">
      <c r="A3708" s="680" t="s">
        <v>1152</v>
      </c>
      <c r="B3708" s="681"/>
      <c r="C3708" s="681"/>
      <c r="D3708" s="681"/>
      <c r="E3708" s="681"/>
      <c r="F3708" s="682"/>
      <c r="G3708" s="527">
        <f>SUM(G3702:G3707)</f>
        <v>32.790000000000006</v>
      </c>
    </row>
    <row r="3709" spans="1:7" x14ac:dyDescent="0.3">
      <c r="A3709" s="683">
        <f>TRUNC(E3709*F3709,2)</f>
        <v>0</v>
      </c>
      <c r="B3709" s="684"/>
      <c r="C3709" s="684"/>
      <c r="D3709" s="684"/>
      <c r="E3709" s="684"/>
      <c r="F3709" s="684"/>
      <c r="G3709" s="685"/>
    </row>
    <row r="3710" spans="1:7" x14ac:dyDescent="0.3">
      <c r="A3710" s="529" t="s">
        <v>85</v>
      </c>
      <c r="B3710" s="529"/>
      <c r="C3710" s="530" t="s">
        <v>75</v>
      </c>
      <c r="D3710" s="529"/>
      <c r="E3710" s="252"/>
      <c r="F3710" s="531"/>
      <c r="G3710" s="252">
        <f t="shared" si="80"/>
        <v>0</v>
      </c>
    </row>
    <row r="3711" spans="1:7" ht="43.2" x14ac:dyDescent="0.3">
      <c r="A3711" s="529" t="s">
        <v>87</v>
      </c>
      <c r="B3711" s="529">
        <v>94993</v>
      </c>
      <c r="C3711" s="530" t="s">
        <v>78</v>
      </c>
      <c r="D3711" s="529" t="s">
        <v>24</v>
      </c>
      <c r="E3711" s="252"/>
      <c r="F3711" s="531">
        <v>62.94</v>
      </c>
      <c r="G3711" s="252">
        <f t="shared" si="80"/>
        <v>0</v>
      </c>
    </row>
    <row r="3712" spans="1:7" x14ac:dyDescent="0.3">
      <c r="A3712" s="524" t="s">
        <v>508</v>
      </c>
      <c r="B3712" s="524" t="s">
        <v>1475</v>
      </c>
      <c r="C3712" s="525" t="s">
        <v>1476</v>
      </c>
      <c r="D3712" s="524" t="s">
        <v>24</v>
      </c>
      <c r="E3712" s="524" t="s">
        <v>1477</v>
      </c>
      <c r="F3712" s="526" t="s">
        <v>1478</v>
      </c>
      <c r="G3712" s="252">
        <f t="shared" si="80"/>
        <v>1.03</v>
      </c>
    </row>
    <row r="3713" spans="1:7" ht="28.8" x14ac:dyDescent="0.3">
      <c r="A3713" s="524" t="s">
        <v>508</v>
      </c>
      <c r="B3713" s="524" t="s">
        <v>1479</v>
      </c>
      <c r="C3713" s="525" t="s">
        <v>1480</v>
      </c>
      <c r="D3713" s="524" t="s">
        <v>55</v>
      </c>
      <c r="E3713" s="524" t="s">
        <v>1481</v>
      </c>
      <c r="F3713" s="526" t="s">
        <v>1482</v>
      </c>
      <c r="G3713" s="252">
        <f t="shared" si="80"/>
        <v>0.9</v>
      </c>
    </row>
    <row r="3714" spans="1:7" ht="28.8" x14ac:dyDescent="0.3">
      <c r="A3714" s="524" t="s">
        <v>508</v>
      </c>
      <c r="B3714" s="524" t="s">
        <v>1483</v>
      </c>
      <c r="C3714" s="525" t="s">
        <v>1484</v>
      </c>
      <c r="D3714" s="524" t="s">
        <v>24</v>
      </c>
      <c r="E3714" s="524" t="s">
        <v>1485</v>
      </c>
      <c r="F3714" s="526" t="s">
        <v>1486</v>
      </c>
      <c r="G3714" s="252">
        <f t="shared" si="80"/>
        <v>26.02</v>
      </c>
    </row>
    <row r="3715" spans="1:7" ht="28.8" x14ac:dyDescent="0.3">
      <c r="A3715" s="524" t="s">
        <v>508</v>
      </c>
      <c r="B3715" s="524" t="s">
        <v>1487</v>
      </c>
      <c r="C3715" s="525" t="s">
        <v>1488</v>
      </c>
      <c r="D3715" s="524" t="s">
        <v>41</v>
      </c>
      <c r="E3715" s="524" t="s">
        <v>1489</v>
      </c>
      <c r="F3715" s="526" t="s">
        <v>1490</v>
      </c>
      <c r="G3715" s="252">
        <f t="shared" si="80"/>
        <v>26.87</v>
      </c>
    </row>
    <row r="3716" spans="1:7" x14ac:dyDescent="0.3">
      <c r="A3716" s="524" t="s">
        <v>522</v>
      </c>
      <c r="B3716" s="524" t="s">
        <v>527</v>
      </c>
      <c r="C3716" s="525" t="s">
        <v>528</v>
      </c>
      <c r="D3716" s="524" t="s">
        <v>32</v>
      </c>
      <c r="E3716" s="524" t="s">
        <v>1491</v>
      </c>
      <c r="F3716" s="526" t="s">
        <v>530</v>
      </c>
      <c r="G3716" s="252">
        <f t="shared" si="80"/>
        <v>2.38</v>
      </c>
    </row>
    <row r="3717" spans="1:7" x14ac:dyDescent="0.3">
      <c r="A3717" s="524" t="s">
        <v>522</v>
      </c>
      <c r="B3717" s="524" t="s">
        <v>1362</v>
      </c>
      <c r="C3717" s="525" t="s">
        <v>1363</v>
      </c>
      <c r="D3717" s="524" t="s">
        <v>32</v>
      </c>
      <c r="E3717" s="524" t="s">
        <v>1492</v>
      </c>
      <c r="F3717" s="526" t="s">
        <v>1365</v>
      </c>
      <c r="G3717" s="252">
        <f t="shared" si="80"/>
        <v>2.1</v>
      </c>
    </row>
    <row r="3718" spans="1:7" x14ac:dyDescent="0.3">
      <c r="A3718" s="524" t="s">
        <v>522</v>
      </c>
      <c r="B3718" s="524" t="s">
        <v>1359</v>
      </c>
      <c r="C3718" s="525" t="s">
        <v>801</v>
      </c>
      <c r="D3718" s="524" t="s">
        <v>32</v>
      </c>
      <c r="E3718" s="524" t="s">
        <v>1493</v>
      </c>
      <c r="F3718" s="526" t="s">
        <v>1361</v>
      </c>
      <c r="G3718" s="252">
        <f t="shared" si="80"/>
        <v>3.64</v>
      </c>
    </row>
    <row r="3719" spans="1:7" x14ac:dyDescent="0.3">
      <c r="A3719" s="680" t="s">
        <v>1152</v>
      </c>
      <c r="B3719" s="681"/>
      <c r="C3719" s="681"/>
      <c r="D3719" s="681"/>
      <c r="E3719" s="681"/>
      <c r="F3719" s="682"/>
      <c r="G3719" s="527">
        <f>SUM(G3711:G3718)</f>
        <v>62.940000000000005</v>
      </c>
    </row>
    <row r="3720" spans="1:7" x14ac:dyDescent="0.3">
      <c r="A3720" s="683">
        <f>TRUNC(E3720*F3720,2)</f>
        <v>0</v>
      </c>
      <c r="B3720" s="684"/>
      <c r="C3720" s="684"/>
      <c r="D3720" s="684"/>
      <c r="E3720" s="684"/>
      <c r="F3720" s="684"/>
      <c r="G3720" s="685"/>
    </row>
    <row r="3721" spans="1:7" ht="43.2" x14ac:dyDescent="0.3">
      <c r="A3721" s="529" t="s">
        <v>90</v>
      </c>
      <c r="B3721" s="529">
        <v>87249</v>
      </c>
      <c r="C3721" s="530" t="s">
        <v>393</v>
      </c>
      <c r="D3721" s="529" t="s">
        <v>24</v>
      </c>
      <c r="E3721" s="252"/>
      <c r="F3721" s="531">
        <v>42.36</v>
      </c>
      <c r="G3721" s="252">
        <f t="shared" si="80"/>
        <v>0</v>
      </c>
    </row>
    <row r="3722" spans="1:7" x14ac:dyDescent="0.3">
      <c r="A3722" s="529" t="s">
        <v>95</v>
      </c>
      <c r="B3722" s="529"/>
      <c r="C3722" s="530" t="s">
        <v>86</v>
      </c>
      <c r="D3722" s="529"/>
      <c r="E3722" s="252"/>
      <c r="F3722" s="531"/>
      <c r="G3722" s="252">
        <f t="shared" si="80"/>
        <v>0</v>
      </c>
    </row>
    <row r="3723" spans="1:7" x14ac:dyDescent="0.3">
      <c r="A3723" s="529" t="s">
        <v>97</v>
      </c>
      <c r="B3723" s="529">
        <v>72117</v>
      </c>
      <c r="C3723" s="530" t="s">
        <v>88</v>
      </c>
      <c r="D3723" s="529" t="s">
        <v>24</v>
      </c>
      <c r="E3723" s="252"/>
      <c r="F3723" s="531">
        <v>159.13</v>
      </c>
      <c r="G3723" s="252">
        <f t="shared" si="80"/>
        <v>0</v>
      </c>
    </row>
    <row r="3724" spans="1:7" x14ac:dyDescent="0.3">
      <c r="A3724" s="524" t="s">
        <v>508</v>
      </c>
      <c r="B3724" s="524" t="s">
        <v>1549</v>
      </c>
      <c r="C3724" s="525" t="s">
        <v>1550</v>
      </c>
      <c r="D3724" s="524" t="s">
        <v>24</v>
      </c>
      <c r="E3724" s="524" t="s">
        <v>1122</v>
      </c>
      <c r="F3724" s="526" t="s">
        <v>1551</v>
      </c>
      <c r="G3724" s="252">
        <f t="shared" si="80"/>
        <v>131.59</v>
      </c>
    </row>
    <row r="3725" spans="1:7" x14ac:dyDescent="0.3">
      <c r="A3725" s="524" t="s">
        <v>508</v>
      </c>
      <c r="B3725" s="524" t="s">
        <v>1552</v>
      </c>
      <c r="C3725" s="525" t="s">
        <v>1553</v>
      </c>
      <c r="D3725" s="524" t="s">
        <v>426</v>
      </c>
      <c r="E3725" s="524" t="s">
        <v>1554</v>
      </c>
      <c r="F3725" s="526" t="s">
        <v>1555</v>
      </c>
      <c r="G3725" s="252">
        <f t="shared" si="80"/>
        <v>13.37</v>
      </c>
    </row>
    <row r="3726" spans="1:7" x14ac:dyDescent="0.3">
      <c r="A3726" s="524" t="s">
        <v>522</v>
      </c>
      <c r="B3726" s="524" t="s">
        <v>1359</v>
      </c>
      <c r="C3726" s="525" t="s">
        <v>801</v>
      </c>
      <c r="D3726" s="524" t="s">
        <v>32</v>
      </c>
      <c r="E3726" s="524" t="s">
        <v>1481</v>
      </c>
      <c r="F3726" s="526" t="s">
        <v>1361</v>
      </c>
      <c r="G3726" s="252">
        <f t="shared" si="80"/>
        <v>6.46</v>
      </c>
    </row>
    <row r="3727" spans="1:7" x14ac:dyDescent="0.3">
      <c r="A3727" s="524" t="s">
        <v>522</v>
      </c>
      <c r="B3727" s="524" t="s">
        <v>1556</v>
      </c>
      <c r="C3727" s="525" t="s">
        <v>1557</v>
      </c>
      <c r="D3727" s="524" t="s">
        <v>32</v>
      </c>
      <c r="E3727" s="524" t="s">
        <v>1481</v>
      </c>
      <c r="F3727" s="526" t="s">
        <v>1558</v>
      </c>
      <c r="G3727" s="252">
        <f t="shared" si="80"/>
        <v>7.71</v>
      </c>
    </row>
    <row r="3728" spans="1:7" x14ac:dyDescent="0.3">
      <c r="A3728" s="680" t="s">
        <v>1152</v>
      </c>
      <c r="B3728" s="681"/>
      <c r="C3728" s="681"/>
      <c r="D3728" s="681"/>
      <c r="E3728" s="681"/>
      <c r="F3728" s="682"/>
      <c r="G3728" s="527">
        <f>SUM(G3720:G3727)</f>
        <v>159.13000000000002</v>
      </c>
    </row>
    <row r="3729" spans="1:7" x14ac:dyDescent="0.3">
      <c r="A3729" s="683">
        <f>TRUNC(E3729*F3729,2)</f>
        <v>0</v>
      </c>
      <c r="B3729" s="684"/>
      <c r="C3729" s="684"/>
      <c r="D3729" s="684"/>
      <c r="E3729" s="684"/>
      <c r="F3729" s="684"/>
      <c r="G3729" s="685"/>
    </row>
    <row r="3730" spans="1:7" x14ac:dyDescent="0.3">
      <c r="A3730" s="529" t="s">
        <v>100</v>
      </c>
      <c r="B3730" s="529">
        <v>84886</v>
      </c>
      <c r="C3730" s="530" t="s">
        <v>91</v>
      </c>
      <c r="D3730" s="529" t="s">
        <v>92</v>
      </c>
      <c r="E3730" s="252"/>
      <c r="F3730" s="531">
        <v>1114.46</v>
      </c>
      <c r="G3730" s="252">
        <f t="shared" si="80"/>
        <v>0</v>
      </c>
    </row>
    <row r="3731" spans="1:7" x14ac:dyDescent="0.3">
      <c r="A3731" s="524" t="s">
        <v>508</v>
      </c>
      <c r="B3731" s="524" t="s">
        <v>1568</v>
      </c>
      <c r="C3731" s="525" t="s">
        <v>1569</v>
      </c>
      <c r="D3731" s="524" t="s">
        <v>397</v>
      </c>
      <c r="E3731" s="524" t="s">
        <v>1122</v>
      </c>
      <c r="F3731" s="526">
        <v>1097.3</v>
      </c>
      <c r="G3731" s="252">
        <f t="shared" si="80"/>
        <v>1097.3</v>
      </c>
    </row>
    <row r="3732" spans="1:7" x14ac:dyDescent="0.3">
      <c r="A3732" s="524" t="s">
        <v>522</v>
      </c>
      <c r="B3732" s="524" t="s">
        <v>1359</v>
      </c>
      <c r="C3732" s="525" t="s">
        <v>801</v>
      </c>
      <c r="D3732" s="524" t="s">
        <v>32</v>
      </c>
      <c r="E3732" s="524" t="s">
        <v>1518</v>
      </c>
      <c r="F3732" s="526" t="s">
        <v>1361</v>
      </c>
      <c r="G3732" s="252">
        <f t="shared" si="80"/>
        <v>4.3099999999999996</v>
      </c>
    </row>
    <row r="3733" spans="1:7" x14ac:dyDescent="0.3">
      <c r="A3733" s="524" t="s">
        <v>522</v>
      </c>
      <c r="B3733" s="524" t="s">
        <v>1556</v>
      </c>
      <c r="C3733" s="525" t="s">
        <v>1557</v>
      </c>
      <c r="D3733" s="524" t="s">
        <v>32</v>
      </c>
      <c r="E3733" s="524" t="s">
        <v>1570</v>
      </c>
      <c r="F3733" s="526" t="s">
        <v>1558</v>
      </c>
      <c r="G3733" s="252">
        <f t="shared" si="80"/>
        <v>12.85</v>
      </c>
    </row>
    <row r="3734" spans="1:7" x14ac:dyDescent="0.3">
      <c r="A3734" s="680" t="s">
        <v>1152</v>
      </c>
      <c r="B3734" s="681"/>
      <c r="C3734" s="681"/>
      <c r="D3734" s="681"/>
      <c r="E3734" s="681"/>
      <c r="F3734" s="682"/>
      <c r="G3734" s="527">
        <f>SUM(G3730:G3733)</f>
        <v>1114.4599999999998</v>
      </c>
    </row>
    <row r="3735" spans="1:7" x14ac:dyDescent="0.3">
      <c r="A3735" s="683">
        <f>TRUNC(E3735*F3735,2)</f>
        <v>0</v>
      </c>
      <c r="B3735" s="684"/>
      <c r="C3735" s="684"/>
      <c r="D3735" s="684"/>
      <c r="E3735" s="684"/>
      <c r="F3735" s="684"/>
      <c r="G3735" s="685"/>
    </row>
    <row r="3736" spans="1:7" ht="43.2" x14ac:dyDescent="0.3">
      <c r="A3736" s="529" t="s">
        <v>103</v>
      </c>
      <c r="B3736" s="529">
        <v>84885</v>
      </c>
      <c r="C3736" s="530" t="s">
        <v>94</v>
      </c>
      <c r="D3736" s="529" t="s">
        <v>44</v>
      </c>
      <c r="E3736" s="252"/>
      <c r="F3736" s="531">
        <v>612.76</v>
      </c>
      <c r="G3736" s="252">
        <f t="shared" si="80"/>
        <v>0</v>
      </c>
    </row>
    <row r="3737" spans="1:7" ht="43.2" x14ac:dyDescent="0.3">
      <c r="A3737" s="524" t="s">
        <v>508</v>
      </c>
      <c r="B3737" s="524" t="s">
        <v>1571</v>
      </c>
      <c r="C3737" s="525" t="s">
        <v>1572</v>
      </c>
      <c r="D3737" s="524" t="s">
        <v>92</v>
      </c>
      <c r="E3737" s="524" t="s">
        <v>1122</v>
      </c>
      <c r="F3737" s="526" t="s">
        <v>1573</v>
      </c>
      <c r="G3737" s="252">
        <f t="shared" si="80"/>
        <v>376.14</v>
      </c>
    </row>
    <row r="3738" spans="1:7" x14ac:dyDescent="0.3">
      <c r="A3738" s="524" t="s">
        <v>522</v>
      </c>
      <c r="B3738" s="524" t="s">
        <v>523</v>
      </c>
      <c r="C3738" s="525" t="s">
        <v>524</v>
      </c>
      <c r="D3738" s="524" t="s">
        <v>32</v>
      </c>
      <c r="E3738" s="524" t="s">
        <v>1574</v>
      </c>
      <c r="F3738" s="526" t="s">
        <v>526</v>
      </c>
      <c r="G3738" s="252">
        <f t="shared" si="80"/>
        <v>64.11</v>
      </c>
    </row>
    <row r="3739" spans="1:7" x14ac:dyDescent="0.3">
      <c r="A3739" s="524" t="s">
        <v>522</v>
      </c>
      <c r="B3739" s="524" t="s">
        <v>1376</v>
      </c>
      <c r="C3739" s="525" t="s">
        <v>1377</v>
      </c>
      <c r="D3739" s="524" t="s">
        <v>32</v>
      </c>
      <c r="E3739" s="524" t="s">
        <v>1575</v>
      </c>
      <c r="F3739" s="526" t="s">
        <v>1379</v>
      </c>
      <c r="G3739" s="252">
        <f t="shared" si="80"/>
        <v>114.92</v>
      </c>
    </row>
    <row r="3740" spans="1:7" x14ac:dyDescent="0.3">
      <c r="A3740" s="524" t="s">
        <v>522</v>
      </c>
      <c r="B3740" s="524" t="s">
        <v>1556</v>
      </c>
      <c r="C3740" s="525" t="s">
        <v>1557</v>
      </c>
      <c r="D3740" s="524" t="s">
        <v>32</v>
      </c>
      <c r="E3740" s="524" t="s">
        <v>1576</v>
      </c>
      <c r="F3740" s="526" t="s">
        <v>1558</v>
      </c>
      <c r="G3740" s="252">
        <f t="shared" si="80"/>
        <v>57.59</v>
      </c>
    </row>
    <row r="3741" spans="1:7" x14ac:dyDescent="0.3">
      <c r="A3741" s="680" t="s">
        <v>1152</v>
      </c>
      <c r="B3741" s="681"/>
      <c r="C3741" s="681"/>
      <c r="D3741" s="681"/>
      <c r="E3741" s="681"/>
      <c r="F3741" s="682"/>
      <c r="G3741" s="527">
        <f>SUM(G3737:G3740)</f>
        <v>612.76</v>
      </c>
    </row>
    <row r="3742" spans="1:7" x14ac:dyDescent="0.3">
      <c r="A3742" s="683">
        <f>TRUNC(E3742*F3742,2)</f>
        <v>0</v>
      </c>
      <c r="B3742" s="684"/>
      <c r="C3742" s="684"/>
      <c r="D3742" s="684"/>
      <c r="E3742" s="684"/>
      <c r="F3742" s="684"/>
      <c r="G3742" s="685"/>
    </row>
    <row r="3743" spans="1:7" ht="28.8" x14ac:dyDescent="0.3">
      <c r="A3743" s="529" t="s">
        <v>105</v>
      </c>
      <c r="B3743" s="529">
        <v>72120</v>
      </c>
      <c r="C3743" s="530" t="s">
        <v>229</v>
      </c>
      <c r="D3743" s="529" t="s">
        <v>24</v>
      </c>
      <c r="E3743" s="252"/>
      <c r="F3743" s="531">
        <v>317.81</v>
      </c>
      <c r="G3743" s="252">
        <f t="shared" si="80"/>
        <v>0</v>
      </c>
    </row>
    <row r="3744" spans="1:7" x14ac:dyDescent="0.3">
      <c r="A3744" s="524" t="s">
        <v>508</v>
      </c>
      <c r="B3744" s="524" t="s">
        <v>1552</v>
      </c>
      <c r="C3744" s="525" t="s">
        <v>1553</v>
      </c>
      <c r="D3744" s="524" t="s">
        <v>426</v>
      </c>
      <c r="E3744" s="606">
        <v>1</v>
      </c>
      <c r="F3744" s="528" t="s">
        <v>1555</v>
      </c>
      <c r="G3744" s="252">
        <f t="shared" si="80"/>
        <v>8.36</v>
      </c>
    </row>
    <row r="3745" spans="1:7" x14ac:dyDescent="0.3">
      <c r="A3745" s="524" t="s">
        <v>508</v>
      </c>
      <c r="B3745" s="524" t="s">
        <v>1963</v>
      </c>
      <c r="C3745" s="525" t="s">
        <v>1964</v>
      </c>
      <c r="D3745" s="524" t="s">
        <v>24</v>
      </c>
      <c r="E3745" s="524" t="s">
        <v>1122</v>
      </c>
      <c r="F3745" s="528">
        <v>300</v>
      </c>
      <c r="G3745" s="252">
        <f t="shared" si="80"/>
        <v>300</v>
      </c>
    </row>
    <row r="3746" spans="1:7" x14ac:dyDescent="0.3">
      <c r="A3746" s="524" t="s">
        <v>522</v>
      </c>
      <c r="B3746" s="524" t="s">
        <v>1359</v>
      </c>
      <c r="C3746" s="525" t="s">
        <v>801</v>
      </c>
      <c r="D3746" s="524" t="s">
        <v>32</v>
      </c>
      <c r="E3746" s="607">
        <v>0.3</v>
      </c>
      <c r="F3746" s="528" t="s">
        <v>1361</v>
      </c>
      <c r="G3746" s="252">
        <f t="shared" si="80"/>
        <v>4.3099999999999996</v>
      </c>
    </row>
    <row r="3747" spans="1:7" x14ac:dyDescent="0.3">
      <c r="A3747" s="524" t="s">
        <v>522</v>
      </c>
      <c r="B3747" s="524" t="s">
        <v>1556</v>
      </c>
      <c r="C3747" s="525" t="s">
        <v>1557</v>
      </c>
      <c r="D3747" s="524" t="s">
        <v>32</v>
      </c>
      <c r="E3747" s="607">
        <v>0.3</v>
      </c>
      <c r="F3747" s="528" t="s">
        <v>1558</v>
      </c>
      <c r="G3747" s="252">
        <f t="shared" si="80"/>
        <v>5.14</v>
      </c>
    </row>
    <row r="3748" spans="1:7" x14ac:dyDescent="0.3">
      <c r="A3748" s="680" t="s">
        <v>1152</v>
      </c>
      <c r="B3748" s="681"/>
      <c r="C3748" s="681"/>
      <c r="D3748" s="681"/>
      <c r="E3748" s="681"/>
      <c r="F3748" s="682"/>
      <c r="G3748" s="527">
        <f>SUM(G3744:G3747)</f>
        <v>317.81</v>
      </c>
    </row>
    <row r="3749" spans="1:7" x14ac:dyDescent="0.3">
      <c r="A3749" s="683">
        <f>TRUNC(E3749*F3749,2)</f>
        <v>0</v>
      </c>
      <c r="B3749" s="684"/>
      <c r="C3749" s="684"/>
      <c r="D3749" s="684"/>
      <c r="E3749" s="684"/>
      <c r="F3749" s="684"/>
      <c r="G3749" s="685"/>
    </row>
    <row r="3750" spans="1:7" x14ac:dyDescent="0.3">
      <c r="A3750" s="529" t="s">
        <v>116</v>
      </c>
      <c r="B3750" s="529"/>
      <c r="C3750" s="530" t="s">
        <v>96</v>
      </c>
      <c r="D3750" s="529"/>
      <c r="E3750" s="252"/>
      <c r="F3750" s="531"/>
      <c r="G3750" s="252">
        <f t="shared" si="80"/>
        <v>0</v>
      </c>
    </row>
    <row r="3751" spans="1:7" ht="28.8" x14ac:dyDescent="0.3">
      <c r="A3751" s="529" t="s">
        <v>118</v>
      </c>
      <c r="B3751" s="529">
        <v>88423</v>
      </c>
      <c r="C3751" s="530" t="s">
        <v>98</v>
      </c>
      <c r="D3751" s="529" t="s">
        <v>24</v>
      </c>
      <c r="E3751" s="252"/>
      <c r="F3751" s="531">
        <v>13.45</v>
      </c>
      <c r="G3751" s="252">
        <f t="shared" si="80"/>
        <v>0</v>
      </c>
    </row>
    <row r="3752" spans="1:7" x14ac:dyDescent="0.3">
      <c r="A3752" s="524" t="s">
        <v>508</v>
      </c>
      <c r="B3752" s="524" t="s">
        <v>1577</v>
      </c>
      <c r="C3752" s="525" t="s">
        <v>1578</v>
      </c>
      <c r="D3752" s="524" t="s">
        <v>426</v>
      </c>
      <c r="E3752" s="606">
        <v>1.9</v>
      </c>
      <c r="F3752" s="526">
        <v>5</v>
      </c>
      <c r="G3752" s="252">
        <f t="shared" si="80"/>
        <v>9.5</v>
      </c>
    </row>
    <row r="3753" spans="1:7" x14ac:dyDescent="0.3">
      <c r="A3753" s="524" t="s">
        <v>522</v>
      </c>
      <c r="B3753" s="524" t="s">
        <v>1579</v>
      </c>
      <c r="C3753" s="525" t="s">
        <v>1580</v>
      </c>
      <c r="D3753" s="524" t="s">
        <v>32</v>
      </c>
      <c r="E3753" s="524" t="s">
        <v>1581</v>
      </c>
      <c r="F3753" s="526" t="s">
        <v>1582</v>
      </c>
      <c r="G3753" s="252">
        <f t="shared" si="80"/>
        <v>3.32</v>
      </c>
    </row>
    <row r="3754" spans="1:7" x14ac:dyDescent="0.3">
      <c r="A3754" s="524" t="s">
        <v>522</v>
      </c>
      <c r="B3754" s="524" t="s">
        <v>1359</v>
      </c>
      <c r="C3754" s="525" t="s">
        <v>801</v>
      </c>
      <c r="D3754" s="524" t="s">
        <v>32</v>
      </c>
      <c r="E3754" s="524" t="s">
        <v>1583</v>
      </c>
      <c r="F3754" s="526" t="s">
        <v>1361</v>
      </c>
      <c r="G3754" s="252">
        <f t="shared" ref="G3754" si="81">TRUNC(E3754*F3754,2)</f>
        <v>0.63</v>
      </c>
    </row>
    <row r="3755" spans="1:7" x14ac:dyDescent="0.3">
      <c r="A3755" s="680" t="s">
        <v>1152</v>
      </c>
      <c r="B3755" s="681"/>
      <c r="C3755" s="681"/>
      <c r="D3755" s="681"/>
      <c r="E3755" s="681"/>
      <c r="F3755" s="682"/>
      <c r="G3755" s="527">
        <f>SUM(G3751:G3754)</f>
        <v>13.450000000000001</v>
      </c>
    </row>
    <row r="3756" spans="1:7" x14ac:dyDescent="0.3">
      <c r="A3756" s="683">
        <f>TRUNC(E3756*F3756,2)</f>
        <v>0</v>
      </c>
      <c r="B3756" s="684"/>
      <c r="C3756" s="684"/>
      <c r="D3756" s="684"/>
      <c r="E3756" s="684"/>
      <c r="F3756" s="684"/>
      <c r="G3756" s="685"/>
    </row>
    <row r="3757" spans="1:7" ht="28.8" x14ac:dyDescent="0.3">
      <c r="A3757" s="529" t="s">
        <v>120</v>
      </c>
      <c r="B3757" s="529">
        <v>88488</v>
      </c>
      <c r="C3757" s="530" t="s">
        <v>104</v>
      </c>
      <c r="D3757" s="529" t="s">
        <v>24</v>
      </c>
      <c r="E3757" s="252"/>
      <c r="F3757" s="531">
        <v>8.42</v>
      </c>
      <c r="G3757" s="252">
        <f t="shared" si="80"/>
        <v>0</v>
      </c>
    </row>
    <row r="3758" spans="1:7" x14ac:dyDescent="0.3">
      <c r="A3758" s="524" t="s">
        <v>508</v>
      </c>
      <c r="B3758" s="524" t="s">
        <v>1592</v>
      </c>
      <c r="C3758" s="525" t="s">
        <v>1593</v>
      </c>
      <c r="D3758" s="524" t="s">
        <v>1392</v>
      </c>
      <c r="E3758" s="606">
        <v>0.3</v>
      </c>
      <c r="F3758" s="526">
        <v>18</v>
      </c>
      <c r="G3758" s="252">
        <f t="shared" si="80"/>
        <v>5.4</v>
      </c>
    </row>
    <row r="3759" spans="1:7" x14ac:dyDescent="0.3">
      <c r="A3759" s="524" t="s">
        <v>522</v>
      </c>
      <c r="B3759" s="524" t="s">
        <v>1579</v>
      </c>
      <c r="C3759" s="525" t="s">
        <v>1580</v>
      </c>
      <c r="D3759" s="524" t="s">
        <v>32</v>
      </c>
      <c r="E3759" s="606">
        <v>0.1</v>
      </c>
      <c r="F3759" s="526" t="s">
        <v>1582</v>
      </c>
      <c r="G3759" s="252">
        <f t="shared" si="80"/>
        <v>1.88</v>
      </c>
    </row>
    <row r="3760" spans="1:7" x14ac:dyDescent="0.3">
      <c r="A3760" s="524" t="s">
        <v>522</v>
      </c>
      <c r="B3760" s="524" t="s">
        <v>1359</v>
      </c>
      <c r="C3760" s="525" t="s">
        <v>801</v>
      </c>
      <c r="D3760" s="524" t="s">
        <v>32</v>
      </c>
      <c r="E3760" s="607">
        <v>0.08</v>
      </c>
      <c r="F3760" s="526" t="s">
        <v>1361</v>
      </c>
      <c r="G3760" s="252">
        <f t="shared" si="80"/>
        <v>1.1399999999999999</v>
      </c>
    </row>
    <row r="3761" spans="1:7" x14ac:dyDescent="0.3">
      <c r="A3761" s="680" t="s">
        <v>1152</v>
      </c>
      <c r="B3761" s="681"/>
      <c r="C3761" s="681"/>
      <c r="D3761" s="681"/>
      <c r="E3761" s="681"/>
      <c r="F3761" s="682"/>
      <c r="G3761" s="527">
        <f>SUM(G3757:G3760)</f>
        <v>8.42</v>
      </c>
    </row>
    <row r="3762" spans="1:7" x14ac:dyDescent="0.3">
      <c r="A3762" s="683">
        <f>TRUNC(E3762*F3762,2)</f>
        <v>0</v>
      </c>
      <c r="B3762" s="684"/>
      <c r="C3762" s="684"/>
      <c r="D3762" s="684"/>
      <c r="E3762" s="684"/>
      <c r="F3762" s="684"/>
      <c r="G3762" s="685"/>
    </row>
    <row r="3763" spans="1:7" x14ac:dyDescent="0.3">
      <c r="A3763" s="529" t="s">
        <v>122</v>
      </c>
      <c r="B3763" s="529">
        <v>88497</v>
      </c>
      <c r="C3763" s="530" t="s">
        <v>232</v>
      </c>
      <c r="D3763" s="529" t="s">
        <v>24</v>
      </c>
      <c r="E3763" s="252"/>
      <c r="F3763" s="531">
        <v>9.74</v>
      </c>
      <c r="G3763" s="252">
        <f t="shared" si="80"/>
        <v>0</v>
      </c>
    </row>
    <row r="3764" spans="1:7" x14ac:dyDescent="0.3">
      <c r="A3764" s="524" t="s">
        <v>508</v>
      </c>
      <c r="B3764" s="524" t="s">
        <v>1584</v>
      </c>
      <c r="C3764" s="525" t="s">
        <v>1585</v>
      </c>
      <c r="D3764" s="524" t="s">
        <v>397</v>
      </c>
      <c r="E3764" s="524" t="s">
        <v>1586</v>
      </c>
      <c r="F3764" s="526" t="s">
        <v>1447</v>
      </c>
      <c r="G3764" s="252">
        <f t="shared" ref="G3764:G3767" si="82">TRUNC(E3764*F3764,2)</f>
        <v>0.06</v>
      </c>
    </row>
    <row r="3765" spans="1:7" x14ac:dyDescent="0.3">
      <c r="A3765" s="524" t="s">
        <v>508</v>
      </c>
      <c r="B3765" s="524" t="s">
        <v>1587</v>
      </c>
      <c r="C3765" s="525" t="s">
        <v>1588</v>
      </c>
      <c r="D3765" s="524" t="s">
        <v>1589</v>
      </c>
      <c r="E3765" s="524" t="s">
        <v>1590</v>
      </c>
      <c r="F3765" s="526">
        <v>50</v>
      </c>
      <c r="G3765" s="252">
        <f t="shared" si="82"/>
        <v>2.44</v>
      </c>
    </row>
    <row r="3766" spans="1:7" x14ac:dyDescent="0.3">
      <c r="A3766" s="524" t="s">
        <v>522</v>
      </c>
      <c r="B3766" s="524" t="s">
        <v>1579</v>
      </c>
      <c r="C3766" s="525" t="s">
        <v>1580</v>
      </c>
      <c r="D3766" s="524" t="s">
        <v>32</v>
      </c>
      <c r="E3766" s="607">
        <v>0.3</v>
      </c>
      <c r="F3766" s="526" t="s">
        <v>1582</v>
      </c>
      <c r="G3766" s="252">
        <f t="shared" si="82"/>
        <v>5.66</v>
      </c>
    </row>
    <row r="3767" spans="1:7" x14ac:dyDescent="0.3">
      <c r="A3767" s="524" t="s">
        <v>522</v>
      </c>
      <c r="B3767" s="524" t="s">
        <v>1359</v>
      </c>
      <c r="C3767" s="525" t="s">
        <v>801</v>
      </c>
      <c r="D3767" s="524" t="s">
        <v>32</v>
      </c>
      <c r="E3767" s="607">
        <v>0.11</v>
      </c>
      <c r="F3767" s="526" t="s">
        <v>1361</v>
      </c>
      <c r="G3767" s="252">
        <f t="shared" si="82"/>
        <v>1.58</v>
      </c>
    </row>
    <row r="3768" spans="1:7" x14ac:dyDescent="0.3">
      <c r="A3768" s="680" t="s">
        <v>1152</v>
      </c>
      <c r="B3768" s="681"/>
      <c r="C3768" s="681"/>
      <c r="D3768" s="681"/>
      <c r="E3768" s="681"/>
      <c r="F3768" s="682"/>
      <c r="G3768" s="527">
        <f>SUM(G3764:G3767)</f>
        <v>9.74</v>
      </c>
    </row>
    <row r="3769" spans="1:7" x14ac:dyDescent="0.3">
      <c r="A3769" s="683">
        <f>TRUNC(E3769*F3769,2)</f>
        <v>0</v>
      </c>
      <c r="B3769" s="684"/>
      <c r="C3769" s="684"/>
      <c r="D3769" s="684"/>
      <c r="E3769" s="684"/>
      <c r="F3769" s="684"/>
      <c r="G3769" s="685"/>
    </row>
    <row r="3770" spans="1:7" ht="28.8" x14ac:dyDescent="0.3">
      <c r="A3770" s="529" t="s">
        <v>124</v>
      </c>
      <c r="B3770" s="529">
        <v>88489</v>
      </c>
      <c r="C3770" s="530" t="s">
        <v>648</v>
      </c>
      <c r="D3770" s="529" t="s">
        <v>24</v>
      </c>
      <c r="E3770" s="252"/>
      <c r="F3770" s="531">
        <v>8.14</v>
      </c>
      <c r="G3770" s="252">
        <f t="shared" si="80"/>
        <v>0</v>
      </c>
    </row>
    <row r="3771" spans="1:7" x14ac:dyDescent="0.3">
      <c r="A3771" s="524" t="s">
        <v>508</v>
      </c>
      <c r="B3771" s="524" t="s">
        <v>1592</v>
      </c>
      <c r="C3771" s="525" t="s">
        <v>1593</v>
      </c>
      <c r="D3771" s="524" t="s">
        <v>1392</v>
      </c>
      <c r="E3771" s="606">
        <v>0.3</v>
      </c>
      <c r="F3771" s="526">
        <v>18</v>
      </c>
      <c r="G3771" s="252">
        <f t="shared" si="80"/>
        <v>5.4</v>
      </c>
    </row>
    <row r="3772" spans="1:7" x14ac:dyDescent="0.3">
      <c r="A3772" s="524" t="s">
        <v>522</v>
      </c>
      <c r="B3772" s="524" t="s">
        <v>1579</v>
      </c>
      <c r="C3772" s="525" t="s">
        <v>1580</v>
      </c>
      <c r="D3772" s="524" t="s">
        <v>32</v>
      </c>
      <c r="E3772" s="606">
        <v>0.1</v>
      </c>
      <c r="F3772" s="526" t="s">
        <v>1582</v>
      </c>
      <c r="G3772" s="252">
        <f t="shared" si="80"/>
        <v>1.88</v>
      </c>
    </row>
    <row r="3773" spans="1:7" x14ac:dyDescent="0.3">
      <c r="A3773" s="524" t="s">
        <v>522</v>
      </c>
      <c r="B3773" s="524" t="s">
        <v>1359</v>
      </c>
      <c r="C3773" s="525" t="s">
        <v>801</v>
      </c>
      <c r="D3773" s="524" t="s">
        <v>32</v>
      </c>
      <c r="E3773" s="524">
        <v>0.06</v>
      </c>
      <c r="F3773" s="526" t="s">
        <v>1361</v>
      </c>
      <c r="G3773" s="252">
        <f t="shared" si="80"/>
        <v>0.86</v>
      </c>
    </row>
    <row r="3774" spans="1:7" x14ac:dyDescent="0.3">
      <c r="A3774" s="680" t="s">
        <v>1152</v>
      </c>
      <c r="B3774" s="681"/>
      <c r="C3774" s="681"/>
      <c r="D3774" s="681"/>
      <c r="E3774" s="681"/>
      <c r="F3774" s="682"/>
      <c r="G3774" s="527">
        <f>SUM(G3770:G3773)</f>
        <v>8.14</v>
      </c>
    </row>
    <row r="3775" spans="1:7" x14ac:dyDescent="0.3">
      <c r="A3775" s="683">
        <f>TRUNC(E3775*F3775,2)</f>
        <v>0</v>
      </c>
      <c r="B3775" s="684"/>
      <c r="C3775" s="684"/>
      <c r="D3775" s="684"/>
      <c r="E3775" s="684"/>
      <c r="F3775" s="684"/>
      <c r="G3775" s="685"/>
    </row>
    <row r="3776" spans="1:7" ht="28.8" x14ac:dyDescent="0.3">
      <c r="A3776" s="529" t="s">
        <v>126</v>
      </c>
      <c r="B3776" s="529">
        <v>100725</v>
      </c>
      <c r="C3776" s="530" t="s">
        <v>804</v>
      </c>
      <c r="D3776" s="529" t="s">
        <v>24</v>
      </c>
      <c r="E3776" s="252"/>
      <c r="F3776" s="531">
        <v>16.12</v>
      </c>
      <c r="G3776" s="252">
        <f t="shared" si="80"/>
        <v>0</v>
      </c>
    </row>
    <row r="3777" spans="1:7" x14ac:dyDescent="0.3">
      <c r="A3777" s="524" t="s">
        <v>508</v>
      </c>
      <c r="B3777" s="524" t="s">
        <v>1597</v>
      </c>
      <c r="C3777" s="525" t="s">
        <v>1598</v>
      </c>
      <c r="D3777" s="524" t="s">
        <v>1392</v>
      </c>
      <c r="E3777" s="524" t="s">
        <v>1604</v>
      </c>
      <c r="F3777" s="528" t="s">
        <v>1600</v>
      </c>
      <c r="G3777" s="252">
        <f t="shared" si="80"/>
        <v>0.77</v>
      </c>
    </row>
    <row r="3778" spans="1:7" x14ac:dyDescent="0.3">
      <c r="A3778" s="524" t="s">
        <v>508</v>
      </c>
      <c r="B3778" s="524" t="s">
        <v>1605</v>
      </c>
      <c r="C3778" s="525" t="s">
        <v>1606</v>
      </c>
      <c r="D3778" s="524" t="s">
        <v>1392</v>
      </c>
      <c r="E3778" s="524" t="s">
        <v>1607</v>
      </c>
      <c r="F3778" s="528" t="s">
        <v>1615</v>
      </c>
      <c r="G3778" s="252">
        <f t="shared" si="80"/>
        <v>5.16</v>
      </c>
    </row>
    <row r="3779" spans="1:7" x14ac:dyDescent="0.3">
      <c r="A3779" s="524" t="s">
        <v>522</v>
      </c>
      <c r="B3779" s="524" t="s">
        <v>1579</v>
      </c>
      <c r="C3779" s="525" t="s">
        <v>1580</v>
      </c>
      <c r="D3779" s="524" t="s">
        <v>32</v>
      </c>
      <c r="E3779" s="524" t="s">
        <v>1608</v>
      </c>
      <c r="F3779" s="528" t="s">
        <v>1582</v>
      </c>
      <c r="G3779" s="252">
        <f t="shared" si="80"/>
        <v>9.94</v>
      </c>
    </row>
    <row r="3780" spans="1:7" ht="43.2" x14ac:dyDescent="0.3">
      <c r="A3780" s="524" t="s">
        <v>522</v>
      </c>
      <c r="B3780" s="524" t="s">
        <v>1609</v>
      </c>
      <c r="C3780" s="525" t="s">
        <v>1610</v>
      </c>
      <c r="D3780" s="524" t="s">
        <v>1437</v>
      </c>
      <c r="E3780" s="524" t="s">
        <v>1611</v>
      </c>
      <c r="F3780" s="528" t="s">
        <v>1616</v>
      </c>
      <c r="G3780" s="252">
        <f t="shared" si="80"/>
        <v>0.05</v>
      </c>
    </row>
    <row r="3781" spans="1:7" ht="43.2" x14ac:dyDescent="0.3">
      <c r="A3781" s="524" t="s">
        <v>522</v>
      </c>
      <c r="B3781" s="524" t="s">
        <v>1612</v>
      </c>
      <c r="C3781" s="525" t="s">
        <v>1613</v>
      </c>
      <c r="D3781" s="524" t="s">
        <v>410</v>
      </c>
      <c r="E3781" s="524" t="s">
        <v>1614</v>
      </c>
      <c r="F3781" s="528" t="s">
        <v>1617</v>
      </c>
      <c r="G3781" s="252">
        <f t="shared" si="80"/>
        <v>0.2</v>
      </c>
    </row>
    <row r="3782" spans="1:7" x14ac:dyDescent="0.3">
      <c r="A3782" s="680" t="s">
        <v>1152</v>
      </c>
      <c r="B3782" s="681"/>
      <c r="C3782" s="681"/>
      <c r="D3782" s="681"/>
      <c r="E3782" s="681"/>
      <c r="F3782" s="682"/>
      <c r="G3782" s="527">
        <f>SUM(G3776:G3781)</f>
        <v>16.12</v>
      </c>
    </row>
    <row r="3783" spans="1:7" x14ac:dyDescent="0.3">
      <c r="A3783" s="683">
        <f>TRUNC(E3783*F3783,2)</f>
        <v>0</v>
      </c>
      <c r="B3783" s="684"/>
      <c r="C3783" s="684"/>
      <c r="D3783" s="684"/>
      <c r="E3783" s="684"/>
      <c r="F3783" s="684"/>
      <c r="G3783" s="685"/>
    </row>
    <row r="3784" spans="1:7" ht="28.8" x14ac:dyDescent="0.3">
      <c r="A3784" s="529" t="s">
        <v>129</v>
      </c>
      <c r="B3784" s="529">
        <v>100727</v>
      </c>
      <c r="C3784" s="530" t="s">
        <v>805</v>
      </c>
      <c r="D3784" s="529" t="s">
        <v>24</v>
      </c>
      <c r="E3784" s="252"/>
      <c r="F3784" s="531">
        <v>11.97</v>
      </c>
      <c r="G3784" s="252">
        <f t="shared" si="80"/>
        <v>0</v>
      </c>
    </row>
    <row r="3785" spans="1:7" x14ac:dyDescent="0.3">
      <c r="A3785" s="524" t="s">
        <v>508</v>
      </c>
      <c r="B3785" s="524" t="s">
        <v>1618</v>
      </c>
      <c r="C3785" s="525" t="s">
        <v>1619</v>
      </c>
      <c r="D3785" s="524" t="s">
        <v>1392</v>
      </c>
      <c r="E3785" s="524" t="s">
        <v>1620</v>
      </c>
      <c r="F3785" s="528" t="s">
        <v>1621</v>
      </c>
      <c r="G3785" s="252">
        <f t="shared" si="80"/>
        <v>1.08</v>
      </c>
    </row>
    <row r="3786" spans="1:7" x14ac:dyDescent="0.3">
      <c r="A3786" s="524" t="s">
        <v>508</v>
      </c>
      <c r="B3786" s="524" t="s">
        <v>1622</v>
      </c>
      <c r="C3786" s="525" t="s">
        <v>1623</v>
      </c>
      <c r="D3786" s="524" t="s">
        <v>1624</v>
      </c>
      <c r="E3786" s="524" t="s">
        <v>1625</v>
      </c>
      <c r="F3786" s="528" t="s">
        <v>1626</v>
      </c>
      <c r="G3786" s="252">
        <f t="shared" si="80"/>
        <v>9.6199999999999992</v>
      </c>
    </row>
    <row r="3787" spans="1:7" x14ac:dyDescent="0.3">
      <c r="A3787" s="524" t="s">
        <v>522</v>
      </c>
      <c r="B3787" s="524" t="s">
        <v>1627</v>
      </c>
      <c r="C3787" s="525" t="s">
        <v>1628</v>
      </c>
      <c r="D3787" s="524" t="s">
        <v>32</v>
      </c>
      <c r="E3787" s="524" t="s">
        <v>1629</v>
      </c>
      <c r="F3787" s="528" t="s">
        <v>1630</v>
      </c>
      <c r="G3787" s="252">
        <f t="shared" si="80"/>
        <v>1.25</v>
      </c>
    </row>
    <row r="3788" spans="1:7" ht="43.2" x14ac:dyDescent="0.3">
      <c r="A3788" s="524" t="s">
        <v>522</v>
      </c>
      <c r="B3788" s="524" t="s">
        <v>1612</v>
      </c>
      <c r="C3788" s="525" t="s">
        <v>1613</v>
      </c>
      <c r="D3788" s="524" t="s">
        <v>410</v>
      </c>
      <c r="E3788" s="524" t="s">
        <v>1631</v>
      </c>
      <c r="F3788" s="528" t="s">
        <v>1617</v>
      </c>
      <c r="G3788" s="252">
        <f t="shared" si="80"/>
        <v>0.02</v>
      </c>
    </row>
    <row r="3789" spans="1:7" x14ac:dyDescent="0.3">
      <c r="A3789" s="680" t="s">
        <v>1152</v>
      </c>
      <c r="B3789" s="681"/>
      <c r="C3789" s="681"/>
      <c r="D3789" s="681"/>
      <c r="E3789" s="681"/>
      <c r="F3789" s="682"/>
      <c r="G3789" s="527">
        <f>SUM(G3784:G3788)</f>
        <v>11.969999999999999</v>
      </c>
    </row>
    <row r="3790" spans="1:7" x14ac:dyDescent="0.3">
      <c r="A3790" s="693"/>
      <c r="B3790" s="694"/>
      <c r="C3790" s="694"/>
      <c r="D3790" s="694"/>
      <c r="E3790" s="694"/>
      <c r="F3790" s="694"/>
      <c r="G3790" s="695"/>
    </row>
    <row r="3791" spans="1:7" x14ac:dyDescent="0.3">
      <c r="A3791" s="529" t="s">
        <v>131</v>
      </c>
      <c r="B3791" s="529" t="s">
        <v>109</v>
      </c>
      <c r="C3791" s="530" t="s">
        <v>110</v>
      </c>
      <c r="D3791" s="529" t="s">
        <v>24</v>
      </c>
      <c r="E3791" s="252"/>
      <c r="F3791" s="531">
        <v>12.4</v>
      </c>
      <c r="G3791" s="252">
        <f t="shared" si="80"/>
        <v>0</v>
      </c>
    </row>
    <row r="3792" spans="1:7" x14ac:dyDescent="0.3">
      <c r="A3792" s="524" t="s">
        <v>508</v>
      </c>
      <c r="B3792" s="524" t="s">
        <v>1584</v>
      </c>
      <c r="C3792" s="525" t="s">
        <v>1585</v>
      </c>
      <c r="D3792" s="524" t="s">
        <v>397</v>
      </c>
      <c r="E3792" s="524" t="s">
        <v>1596</v>
      </c>
      <c r="F3792" s="526" t="s">
        <v>1447</v>
      </c>
      <c r="G3792" s="252">
        <f t="shared" si="80"/>
        <v>0.26</v>
      </c>
    </row>
    <row r="3793" spans="1:7" x14ac:dyDescent="0.3">
      <c r="A3793" s="524" t="s">
        <v>508</v>
      </c>
      <c r="B3793" s="524" t="s">
        <v>1597</v>
      </c>
      <c r="C3793" s="525" t="s">
        <v>1598</v>
      </c>
      <c r="D3793" s="524" t="s">
        <v>1392</v>
      </c>
      <c r="E3793" s="524" t="s">
        <v>1599</v>
      </c>
      <c r="F3793" s="526" t="s">
        <v>1600</v>
      </c>
      <c r="G3793" s="252">
        <f t="shared" si="80"/>
        <v>0.49</v>
      </c>
    </row>
    <row r="3794" spans="1:7" x14ac:dyDescent="0.3">
      <c r="A3794" s="524" t="s">
        <v>508</v>
      </c>
      <c r="B3794" s="524" t="s">
        <v>1601</v>
      </c>
      <c r="C3794" s="525" t="s">
        <v>1602</v>
      </c>
      <c r="D3794" s="524" t="s">
        <v>1392</v>
      </c>
      <c r="E3794" s="524" t="s">
        <v>1603</v>
      </c>
      <c r="F3794" s="526" t="s">
        <v>911</v>
      </c>
      <c r="G3794" s="252">
        <f t="shared" si="80"/>
        <v>3.84</v>
      </c>
    </row>
    <row r="3795" spans="1:7" x14ac:dyDescent="0.3">
      <c r="A3795" s="524" t="s">
        <v>522</v>
      </c>
      <c r="B3795" s="524" t="s">
        <v>1579</v>
      </c>
      <c r="C3795" s="525" t="s">
        <v>1580</v>
      </c>
      <c r="D3795" s="524" t="s">
        <v>32</v>
      </c>
      <c r="E3795" s="607">
        <v>0.3</v>
      </c>
      <c r="F3795" s="526" t="s">
        <v>1582</v>
      </c>
      <c r="G3795" s="252">
        <f t="shared" si="80"/>
        <v>5.66</v>
      </c>
    </row>
    <row r="3796" spans="1:7" x14ac:dyDescent="0.3">
      <c r="A3796" s="524" t="s">
        <v>522</v>
      </c>
      <c r="B3796" s="524" t="s">
        <v>1359</v>
      </c>
      <c r="C3796" s="525" t="s">
        <v>801</v>
      </c>
      <c r="D3796" s="524" t="s">
        <v>32</v>
      </c>
      <c r="E3796" s="607">
        <v>0.15</v>
      </c>
      <c r="F3796" s="526" t="s">
        <v>1361</v>
      </c>
      <c r="G3796" s="252">
        <f t="shared" si="80"/>
        <v>2.15</v>
      </c>
    </row>
    <row r="3797" spans="1:7" x14ac:dyDescent="0.3">
      <c r="A3797" s="680" t="s">
        <v>1152</v>
      </c>
      <c r="B3797" s="681"/>
      <c r="C3797" s="681"/>
      <c r="D3797" s="681"/>
      <c r="E3797" s="681"/>
      <c r="F3797" s="682"/>
      <c r="G3797" s="527">
        <f>SUM(G3791:G3796)</f>
        <v>12.4</v>
      </c>
    </row>
    <row r="3798" spans="1:7" x14ac:dyDescent="0.3">
      <c r="A3798" s="683">
        <f>TRUNC(E3798*F3798,2)</f>
        <v>0</v>
      </c>
      <c r="B3798" s="684"/>
      <c r="C3798" s="684"/>
      <c r="D3798" s="684"/>
      <c r="E3798" s="684"/>
      <c r="F3798" s="684"/>
      <c r="G3798" s="685"/>
    </row>
    <row r="3799" spans="1:7" x14ac:dyDescent="0.3">
      <c r="A3799" s="529" t="s">
        <v>133</v>
      </c>
      <c r="B3799" s="529">
        <v>100725</v>
      </c>
      <c r="C3799" s="530" t="s">
        <v>113</v>
      </c>
      <c r="D3799" s="529" t="s">
        <v>24</v>
      </c>
      <c r="E3799" s="252"/>
      <c r="F3799" s="531">
        <v>16.12</v>
      </c>
      <c r="G3799" s="252">
        <f t="shared" si="80"/>
        <v>0</v>
      </c>
    </row>
    <row r="3800" spans="1:7" x14ac:dyDescent="0.3">
      <c r="A3800" s="524" t="s">
        <v>508</v>
      </c>
      <c r="B3800" s="524" t="s">
        <v>1597</v>
      </c>
      <c r="C3800" s="525" t="s">
        <v>1598</v>
      </c>
      <c r="D3800" s="524" t="s">
        <v>1392</v>
      </c>
      <c r="E3800" s="524" t="s">
        <v>1604</v>
      </c>
      <c r="F3800" s="528" t="s">
        <v>1600</v>
      </c>
      <c r="G3800" s="252">
        <f t="shared" si="80"/>
        <v>0.77</v>
      </c>
    </row>
    <row r="3801" spans="1:7" x14ac:dyDescent="0.3">
      <c r="A3801" s="524" t="s">
        <v>508</v>
      </c>
      <c r="B3801" s="524" t="s">
        <v>1605</v>
      </c>
      <c r="C3801" s="525" t="s">
        <v>1606</v>
      </c>
      <c r="D3801" s="524" t="s">
        <v>1392</v>
      </c>
      <c r="E3801" s="524" t="s">
        <v>1607</v>
      </c>
      <c r="F3801" s="528" t="s">
        <v>1615</v>
      </c>
      <c r="G3801" s="252">
        <f t="shared" si="80"/>
        <v>5.16</v>
      </c>
    </row>
    <row r="3802" spans="1:7" x14ac:dyDescent="0.3">
      <c r="A3802" s="524" t="s">
        <v>522</v>
      </c>
      <c r="B3802" s="524" t="s">
        <v>1579</v>
      </c>
      <c r="C3802" s="525" t="s">
        <v>1580</v>
      </c>
      <c r="D3802" s="524" t="s">
        <v>32</v>
      </c>
      <c r="E3802" s="524" t="s">
        <v>1608</v>
      </c>
      <c r="F3802" s="528" t="s">
        <v>1582</v>
      </c>
      <c r="G3802" s="252">
        <f t="shared" si="80"/>
        <v>9.94</v>
      </c>
    </row>
    <row r="3803" spans="1:7" ht="43.2" x14ac:dyDescent="0.3">
      <c r="A3803" s="524" t="s">
        <v>522</v>
      </c>
      <c r="B3803" s="524" t="s">
        <v>1609</v>
      </c>
      <c r="C3803" s="525" t="s">
        <v>1610</v>
      </c>
      <c r="D3803" s="524" t="s">
        <v>1437</v>
      </c>
      <c r="E3803" s="524" t="s">
        <v>1611</v>
      </c>
      <c r="F3803" s="528" t="s">
        <v>1616</v>
      </c>
      <c r="G3803" s="252">
        <f t="shared" si="80"/>
        <v>0.05</v>
      </c>
    </row>
    <row r="3804" spans="1:7" ht="43.2" x14ac:dyDescent="0.3">
      <c r="A3804" s="524" t="s">
        <v>522</v>
      </c>
      <c r="B3804" s="524" t="s">
        <v>1612</v>
      </c>
      <c r="C3804" s="525" t="s">
        <v>1613</v>
      </c>
      <c r="D3804" s="524" t="s">
        <v>410</v>
      </c>
      <c r="E3804" s="524" t="s">
        <v>1614</v>
      </c>
      <c r="F3804" s="528" t="s">
        <v>1617</v>
      </c>
      <c r="G3804" s="252">
        <f t="shared" si="80"/>
        <v>0.2</v>
      </c>
    </row>
    <row r="3805" spans="1:7" x14ac:dyDescent="0.3">
      <c r="A3805" s="680" t="s">
        <v>1152</v>
      </c>
      <c r="B3805" s="681"/>
      <c r="C3805" s="681"/>
      <c r="D3805" s="681"/>
      <c r="E3805" s="681"/>
      <c r="F3805" s="682"/>
      <c r="G3805" s="527">
        <f>SUM(G3799:G3804)</f>
        <v>16.12</v>
      </c>
    </row>
    <row r="3806" spans="1:7" x14ac:dyDescent="0.3">
      <c r="A3806" s="683">
        <f>TRUNC(E3806*F3806,2)</f>
        <v>0</v>
      </c>
      <c r="B3806" s="684"/>
      <c r="C3806" s="684"/>
      <c r="D3806" s="684"/>
      <c r="E3806" s="684"/>
      <c r="F3806" s="684"/>
      <c r="G3806" s="685"/>
    </row>
    <row r="3807" spans="1:7" x14ac:dyDescent="0.3">
      <c r="A3807" s="529" t="s">
        <v>160</v>
      </c>
      <c r="B3807" s="529"/>
      <c r="C3807" s="530" t="s">
        <v>117</v>
      </c>
      <c r="D3807" s="529"/>
      <c r="E3807" s="252"/>
      <c r="F3807" s="531"/>
      <c r="G3807" s="252">
        <f t="shared" si="80"/>
        <v>0</v>
      </c>
    </row>
    <row r="3808" spans="1:7" ht="28.8" x14ac:dyDescent="0.3">
      <c r="A3808" s="529" t="s">
        <v>162</v>
      </c>
      <c r="B3808" s="529">
        <v>91928</v>
      </c>
      <c r="C3808" s="530" t="s">
        <v>123</v>
      </c>
      <c r="D3808" s="529" t="s">
        <v>55</v>
      </c>
      <c r="E3808" s="252"/>
      <c r="F3808" s="531">
        <v>4.42</v>
      </c>
      <c r="G3808" s="252">
        <f t="shared" si="80"/>
        <v>0</v>
      </c>
    </row>
    <row r="3809" spans="1:7" ht="28.8" x14ac:dyDescent="0.3">
      <c r="A3809" s="524" t="s">
        <v>508</v>
      </c>
      <c r="B3809" s="524" t="s">
        <v>1652</v>
      </c>
      <c r="C3809" s="525" t="s">
        <v>1653</v>
      </c>
      <c r="D3809" s="524" t="s">
        <v>55</v>
      </c>
      <c r="E3809" s="524" t="s">
        <v>1639</v>
      </c>
      <c r="F3809" s="528" t="s">
        <v>1654</v>
      </c>
      <c r="G3809" s="252">
        <f t="shared" si="80"/>
        <v>3.09</v>
      </c>
    </row>
    <row r="3810" spans="1:7" x14ac:dyDescent="0.3">
      <c r="A3810" s="524" t="s">
        <v>508</v>
      </c>
      <c r="B3810" s="524" t="s">
        <v>1641</v>
      </c>
      <c r="C3810" s="525" t="s">
        <v>1642</v>
      </c>
      <c r="D3810" s="524" t="s">
        <v>397</v>
      </c>
      <c r="E3810" s="524" t="s">
        <v>1643</v>
      </c>
      <c r="F3810" s="528" t="s">
        <v>1644</v>
      </c>
      <c r="G3810" s="252">
        <f t="shared" si="80"/>
        <v>0.03</v>
      </c>
    </row>
    <row r="3811" spans="1:7" x14ac:dyDescent="0.3">
      <c r="A3811" s="524" t="s">
        <v>522</v>
      </c>
      <c r="B3811" s="524" t="s">
        <v>611</v>
      </c>
      <c r="C3811" s="525" t="s">
        <v>546</v>
      </c>
      <c r="D3811" s="524" t="s">
        <v>32</v>
      </c>
      <c r="E3811" s="524" t="s">
        <v>1599</v>
      </c>
      <c r="F3811" s="528" t="s">
        <v>1646</v>
      </c>
      <c r="G3811" s="252">
        <f t="shared" si="80"/>
        <v>0.56999999999999995</v>
      </c>
    </row>
    <row r="3812" spans="1:7" x14ac:dyDescent="0.3">
      <c r="A3812" s="524" t="s">
        <v>522</v>
      </c>
      <c r="B3812" s="524" t="s">
        <v>610</v>
      </c>
      <c r="C3812" s="525" t="s">
        <v>543</v>
      </c>
      <c r="D3812" s="524" t="s">
        <v>32</v>
      </c>
      <c r="E3812" s="524" t="s">
        <v>1599</v>
      </c>
      <c r="F3812" s="528" t="s">
        <v>1647</v>
      </c>
      <c r="G3812" s="252">
        <f t="shared" si="80"/>
        <v>0.73</v>
      </c>
    </row>
    <row r="3813" spans="1:7" x14ac:dyDescent="0.3">
      <c r="A3813" s="680" t="s">
        <v>1152</v>
      </c>
      <c r="B3813" s="681"/>
      <c r="C3813" s="681"/>
      <c r="D3813" s="681"/>
      <c r="E3813" s="681"/>
      <c r="F3813" s="682"/>
      <c r="G3813" s="527">
        <f>SUM(G3809:G3812)</f>
        <v>4.42</v>
      </c>
    </row>
    <row r="3814" spans="1:7" x14ac:dyDescent="0.3">
      <c r="A3814" s="683">
        <f>TRUNC(E3814*F3814,2)</f>
        <v>0</v>
      </c>
      <c r="B3814" s="684"/>
      <c r="C3814" s="684"/>
      <c r="D3814" s="684"/>
      <c r="E3814" s="684"/>
      <c r="F3814" s="684"/>
      <c r="G3814" s="685"/>
    </row>
    <row r="3815" spans="1:7" ht="28.8" x14ac:dyDescent="0.3">
      <c r="A3815" s="529" t="s">
        <v>163</v>
      </c>
      <c r="B3815" s="529">
        <v>91927</v>
      </c>
      <c r="C3815" s="530" t="s">
        <v>125</v>
      </c>
      <c r="D3815" s="529" t="s">
        <v>55</v>
      </c>
      <c r="E3815" s="252"/>
      <c r="F3815" s="531">
        <v>3</v>
      </c>
      <c r="G3815" s="252">
        <f t="shared" si="80"/>
        <v>0</v>
      </c>
    </row>
    <row r="3816" spans="1:7" ht="43.2" x14ac:dyDescent="0.3">
      <c r="A3816" s="524" t="s">
        <v>508</v>
      </c>
      <c r="B3816" s="524" t="s">
        <v>1655</v>
      </c>
      <c r="C3816" s="525" t="s">
        <v>1656</v>
      </c>
      <c r="D3816" s="524" t="s">
        <v>55</v>
      </c>
      <c r="E3816" s="606">
        <v>1</v>
      </c>
      <c r="F3816" s="528">
        <v>2</v>
      </c>
      <c r="G3816" s="252">
        <f t="shared" si="80"/>
        <v>2</v>
      </c>
    </row>
    <row r="3817" spans="1:7" x14ac:dyDescent="0.3">
      <c r="A3817" s="524" t="s">
        <v>508</v>
      </c>
      <c r="B3817" s="524" t="s">
        <v>1641</v>
      </c>
      <c r="C3817" s="525" t="s">
        <v>1642</v>
      </c>
      <c r="D3817" s="524" t="s">
        <v>397</v>
      </c>
      <c r="E3817" s="524" t="s">
        <v>1643</v>
      </c>
      <c r="F3817" s="528" t="s">
        <v>1644</v>
      </c>
      <c r="G3817" s="252">
        <f t="shared" si="80"/>
        <v>0.03</v>
      </c>
    </row>
    <row r="3818" spans="1:7" x14ac:dyDescent="0.3">
      <c r="A3818" s="524" t="s">
        <v>522</v>
      </c>
      <c r="B3818" s="524" t="s">
        <v>611</v>
      </c>
      <c r="C3818" s="525" t="s">
        <v>546</v>
      </c>
      <c r="D3818" s="524" t="s">
        <v>32</v>
      </c>
      <c r="E3818" s="524" t="s">
        <v>1657</v>
      </c>
      <c r="F3818" s="528" t="s">
        <v>1646</v>
      </c>
      <c r="G3818" s="252">
        <f t="shared" si="80"/>
        <v>0.42</v>
      </c>
    </row>
    <row r="3819" spans="1:7" x14ac:dyDescent="0.3">
      <c r="A3819" s="524" t="s">
        <v>522</v>
      </c>
      <c r="B3819" s="524" t="s">
        <v>610</v>
      </c>
      <c r="C3819" s="525" t="s">
        <v>543</v>
      </c>
      <c r="D3819" s="524" t="s">
        <v>32</v>
      </c>
      <c r="E3819" s="524" t="s">
        <v>1657</v>
      </c>
      <c r="F3819" s="528" t="s">
        <v>1647</v>
      </c>
      <c r="G3819" s="252">
        <f t="shared" si="80"/>
        <v>0.55000000000000004</v>
      </c>
    </row>
    <row r="3820" spans="1:7" x14ac:dyDescent="0.3">
      <c r="A3820" s="680" t="s">
        <v>1152</v>
      </c>
      <c r="B3820" s="681"/>
      <c r="C3820" s="681"/>
      <c r="D3820" s="681"/>
      <c r="E3820" s="681"/>
      <c r="F3820" s="682"/>
      <c r="G3820" s="527">
        <f>SUM(G3816:G3819)</f>
        <v>3</v>
      </c>
    </row>
    <row r="3821" spans="1:7" x14ac:dyDescent="0.3">
      <c r="A3821" s="683">
        <f>TRUNC(E3821*F3821,2)</f>
        <v>0</v>
      </c>
      <c r="B3821" s="684"/>
      <c r="C3821" s="684"/>
      <c r="D3821" s="684"/>
      <c r="E3821" s="684"/>
      <c r="F3821" s="684"/>
      <c r="G3821" s="685"/>
    </row>
    <row r="3822" spans="1:7" ht="28.8" x14ac:dyDescent="0.3">
      <c r="A3822" s="529" t="s">
        <v>164</v>
      </c>
      <c r="B3822" s="529">
        <v>90447</v>
      </c>
      <c r="C3822" s="530" t="s">
        <v>127</v>
      </c>
      <c r="D3822" s="529" t="s">
        <v>55</v>
      </c>
      <c r="E3822" s="252"/>
      <c r="F3822" s="531">
        <v>4.45</v>
      </c>
      <c r="G3822" s="252">
        <f t="shared" si="80"/>
        <v>0</v>
      </c>
    </row>
    <row r="3823" spans="1:7" x14ac:dyDescent="0.3">
      <c r="A3823" s="524" t="s">
        <v>522</v>
      </c>
      <c r="B3823" s="524" t="s">
        <v>611</v>
      </c>
      <c r="C3823" s="525" t="s">
        <v>546</v>
      </c>
      <c r="D3823" s="524" t="s">
        <v>32</v>
      </c>
      <c r="E3823" s="524" t="s">
        <v>1658</v>
      </c>
      <c r="F3823" s="528" t="s">
        <v>1646</v>
      </c>
      <c r="G3823" s="252">
        <f t="shared" si="80"/>
        <v>0.48</v>
      </c>
    </row>
    <row r="3824" spans="1:7" x14ac:dyDescent="0.3">
      <c r="A3824" s="524" t="s">
        <v>522</v>
      </c>
      <c r="B3824" s="524" t="s">
        <v>610</v>
      </c>
      <c r="C3824" s="525" t="s">
        <v>543</v>
      </c>
      <c r="D3824" s="524" t="s">
        <v>32</v>
      </c>
      <c r="E3824" s="524" t="s">
        <v>1659</v>
      </c>
      <c r="F3824" s="528" t="s">
        <v>1647</v>
      </c>
      <c r="G3824" s="252">
        <f t="shared" si="80"/>
        <v>3.97</v>
      </c>
    </row>
    <row r="3825" spans="1:12" x14ac:dyDescent="0.3">
      <c r="A3825" s="680" t="s">
        <v>1152</v>
      </c>
      <c r="B3825" s="681"/>
      <c r="C3825" s="681"/>
      <c r="D3825" s="681"/>
      <c r="E3825" s="681"/>
      <c r="F3825" s="682"/>
      <c r="G3825" s="527">
        <f>SUM(G3821:G3824)</f>
        <v>4.45</v>
      </c>
    </row>
    <row r="3826" spans="1:12" x14ac:dyDescent="0.3">
      <c r="A3826" s="683">
        <f>TRUNC(E3826*F3826,2)</f>
        <v>0</v>
      </c>
      <c r="B3826" s="684"/>
      <c r="C3826" s="684"/>
      <c r="D3826" s="684"/>
      <c r="E3826" s="684"/>
      <c r="F3826" s="684"/>
      <c r="G3826" s="685"/>
    </row>
    <row r="3827" spans="1:12" ht="28.8" x14ac:dyDescent="0.3">
      <c r="A3827" s="529" t="s">
        <v>165</v>
      </c>
      <c r="B3827" s="529" t="s">
        <v>649</v>
      </c>
      <c r="C3827" s="530" t="s">
        <v>396</v>
      </c>
      <c r="D3827" s="529" t="s">
        <v>397</v>
      </c>
      <c r="E3827" s="252"/>
      <c r="F3827" s="531">
        <v>112.37</v>
      </c>
      <c r="G3827" s="252">
        <f t="shared" si="80"/>
        <v>0</v>
      </c>
    </row>
    <row r="3828" spans="1:12" ht="28.8" x14ac:dyDescent="0.3">
      <c r="A3828" s="529"/>
      <c r="B3828" s="249" t="s">
        <v>612</v>
      </c>
      <c r="C3828" s="202" t="s">
        <v>613</v>
      </c>
      <c r="D3828" s="249" t="s">
        <v>185</v>
      </c>
      <c r="E3828" s="613">
        <v>1</v>
      </c>
      <c r="F3828" s="528">
        <v>13.96</v>
      </c>
      <c r="G3828" s="252">
        <f t="shared" si="80"/>
        <v>13.96</v>
      </c>
      <c r="I3828" s="255">
        <v>1</v>
      </c>
      <c r="J3828" s="128">
        <v>13.96</v>
      </c>
      <c r="K3828" s="126">
        <f t="shared" ref="K3828:K3831" si="83">TRUNC(I3828*J3828,2)</f>
        <v>13.96</v>
      </c>
    </row>
    <row r="3829" spans="1:12" x14ac:dyDescent="0.3">
      <c r="A3829" s="529"/>
      <c r="B3829" s="249" t="s">
        <v>614</v>
      </c>
      <c r="C3829" s="202" t="s">
        <v>615</v>
      </c>
      <c r="D3829" s="249" t="s">
        <v>185</v>
      </c>
      <c r="E3829" s="613">
        <v>2</v>
      </c>
      <c r="F3829" s="528">
        <v>39.4</v>
      </c>
      <c r="G3829" s="252">
        <f t="shared" si="80"/>
        <v>78.8</v>
      </c>
      <c r="I3829" s="255">
        <v>2</v>
      </c>
      <c r="J3829" s="128">
        <v>39.4</v>
      </c>
      <c r="K3829" s="126">
        <f t="shared" si="83"/>
        <v>78.8</v>
      </c>
    </row>
    <row r="3830" spans="1:12" x14ac:dyDescent="0.3">
      <c r="A3830" s="529"/>
      <c r="B3830" s="524" t="s">
        <v>610</v>
      </c>
      <c r="C3830" s="525" t="s">
        <v>543</v>
      </c>
      <c r="D3830" s="249" t="s">
        <v>32</v>
      </c>
      <c r="E3830" s="613">
        <v>0.60000000000000009</v>
      </c>
      <c r="F3830" s="528" t="s">
        <v>1647</v>
      </c>
      <c r="G3830" s="252">
        <f t="shared" si="80"/>
        <v>11.02</v>
      </c>
      <c r="I3830" s="255">
        <v>0.60000000000000009</v>
      </c>
      <c r="J3830" s="128">
        <v>18.45</v>
      </c>
      <c r="K3830" s="126">
        <f t="shared" si="83"/>
        <v>11.07</v>
      </c>
      <c r="L3830" s="128">
        <v>18.45</v>
      </c>
    </row>
    <row r="3831" spans="1:12" x14ac:dyDescent="0.3">
      <c r="A3831" s="529"/>
      <c r="B3831" s="524" t="s">
        <v>611</v>
      </c>
      <c r="C3831" s="525" t="s">
        <v>546</v>
      </c>
      <c r="D3831" s="524" t="s">
        <v>32</v>
      </c>
      <c r="E3831" s="613">
        <v>0.60000000000000009</v>
      </c>
      <c r="F3831" s="528" t="s">
        <v>1646</v>
      </c>
      <c r="G3831" s="252">
        <f t="shared" si="80"/>
        <v>8.59</v>
      </c>
      <c r="I3831" s="255">
        <v>0.60000000000000009</v>
      </c>
      <c r="J3831" s="128">
        <v>14.39</v>
      </c>
      <c r="K3831" s="126">
        <f t="shared" si="83"/>
        <v>8.6300000000000008</v>
      </c>
      <c r="L3831" s="128">
        <v>14.39</v>
      </c>
    </row>
    <row r="3832" spans="1:12" x14ac:dyDescent="0.3">
      <c r="A3832" s="680" t="s">
        <v>1152</v>
      </c>
      <c r="B3832" s="681"/>
      <c r="C3832" s="681"/>
      <c r="D3832" s="681"/>
      <c r="E3832" s="681"/>
      <c r="F3832" s="682"/>
      <c r="G3832" s="527">
        <f>SUM(G3827:G3831)</f>
        <v>112.36999999999999</v>
      </c>
    </row>
    <row r="3833" spans="1:12" x14ac:dyDescent="0.3">
      <c r="A3833" s="683">
        <f>TRUNC(E3833*F3833,2)</f>
        <v>0</v>
      </c>
      <c r="B3833" s="684"/>
      <c r="C3833" s="684"/>
      <c r="D3833" s="684"/>
      <c r="E3833" s="684"/>
      <c r="F3833" s="684"/>
      <c r="G3833" s="685"/>
    </row>
    <row r="3834" spans="1:12" ht="28.8" x14ac:dyDescent="0.3">
      <c r="A3834" s="529" t="s">
        <v>166</v>
      </c>
      <c r="B3834" s="529">
        <v>91836</v>
      </c>
      <c r="C3834" s="530" t="s">
        <v>130</v>
      </c>
      <c r="D3834" s="529" t="s">
        <v>55</v>
      </c>
      <c r="E3834" s="252"/>
      <c r="F3834" s="531">
        <v>7.55</v>
      </c>
      <c r="G3834" s="252">
        <f t="shared" si="80"/>
        <v>0</v>
      </c>
    </row>
    <row r="3835" spans="1:12" x14ac:dyDescent="0.3">
      <c r="A3835" s="524" t="s">
        <v>508</v>
      </c>
      <c r="B3835" s="524" t="s">
        <v>1660</v>
      </c>
      <c r="C3835" s="525" t="s">
        <v>1661</v>
      </c>
      <c r="D3835" s="524" t="s">
        <v>55</v>
      </c>
      <c r="E3835" s="524" t="s">
        <v>1662</v>
      </c>
      <c r="F3835" s="528" t="s">
        <v>1663</v>
      </c>
      <c r="G3835" s="252">
        <f t="shared" si="80"/>
        <v>2.46</v>
      </c>
    </row>
    <row r="3836" spans="1:12" x14ac:dyDescent="0.3">
      <c r="A3836" s="524" t="s">
        <v>522</v>
      </c>
      <c r="B3836" s="524" t="s">
        <v>611</v>
      </c>
      <c r="C3836" s="525" t="s">
        <v>546</v>
      </c>
      <c r="D3836" s="524" t="s">
        <v>32</v>
      </c>
      <c r="E3836" s="524" t="s">
        <v>1664</v>
      </c>
      <c r="F3836" s="528" t="s">
        <v>1646</v>
      </c>
      <c r="G3836" s="252">
        <f t="shared" si="80"/>
        <v>1.28</v>
      </c>
    </row>
    <row r="3837" spans="1:12" x14ac:dyDescent="0.3">
      <c r="A3837" s="524" t="s">
        <v>522</v>
      </c>
      <c r="B3837" s="524" t="s">
        <v>610</v>
      </c>
      <c r="C3837" s="525" t="s">
        <v>543</v>
      </c>
      <c r="D3837" s="524" t="s">
        <v>32</v>
      </c>
      <c r="E3837" s="524" t="s">
        <v>1664</v>
      </c>
      <c r="F3837" s="528" t="s">
        <v>1647</v>
      </c>
      <c r="G3837" s="252">
        <f t="shared" si="80"/>
        <v>1.65</v>
      </c>
    </row>
    <row r="3838" spans="1:12" ht="43.2" x14ac:dyDescent="0.3">
      <c r="A3838" s="524" t="s">
        <v>522</v>
      </c>
      <c r="B3838" s="524" t="s">
        <v>959</v>
      </c>
      <c r="C3838" s="525" t="s">
        <v>960</v>
      </c>
      <c r="D3838" s="524" t="s">
        <v>55</v>
      </c>
      <c r="E3838" s="524" t="s">
        <v>1122</v>
      </c>
      <c r="F3838" s="528" t="s">
        <v>962</v>
      </c>
      <c r="G3838" s="252">
        <f t="shared" si="80"/>
        <v>2.16</v>
      </c>
    </row>
    <row r="3839" spans="1:12" x14ac:dyDescent="0.3">
      <c r="A3839" s="680" t="s">
        <v>1152</v>
      </c>
      <c r="B3839" s="681"/>
      <c r="C3839" s="681"/>
      <c r="D3839" s="681"/>
      <c r="E3839" s="681"/>
      <c r="F3839" s="682"/>
      <c r="G3839" s="527">
        <f>SUM(G3835:G3838)</f>
        <v>7.5500000000000007</v>
      </c>
    </row>
    <row r="3840" spans="1:12" x14ac:dyDescent="0.3">
      <c r="A3840" s="683">
        <f>TRUNC(E3840*F3840,2)</f>
        <v>0</v>
      </c>
      <c r="B3840" s="684"/>
      <c r="C3840" s="684"/>
      <c r="D3840" s="684"/>
      <c r="E3840" s="684"/>
      <c r="F3840" s="684"/>
      <c r="G3840" s="685"/>
    </row>
    <row r="3841" spans="1:7" x14ac:dyDescent="0.3">
      <c r="A3841" s="529" t="s">
        <v>167</v>
      </c>
      <c r="B3841" s="529">
        <v>91996</v>
      </c>
      <c r="C3841" s="530" t="s">
        <v>134</v>
      </c>
      <c r="D3841" s="529" t="s">
        <v>44</v>
      </c>
      <c r="E3841" s="252"/>
      <c r="F3841" s="531">
        <v>19.41</v>
      </c>
      <c r="G3841" s="252">
        <f t="shared" si="80"/>
        <v>0</v>
      </c>
    </row>
    <row r="3842" spans="1:7" ht="28.8" x14ac:dyDescent="0.3">
      <c r="A3842" s="524" t="s">
        <v>522</v>
      </c>
      <c r="B3842" s="524" t="s">
        <v>1885</v>
      </c>
      <c r="C3842" s="525" t="s">
        <v>1886</v>
      </c>
      <c r="D3842" s="524" t="s">
        <v>397</v>
      </c>
      <c r="E3842" s="524" t="s">
        <v>1122</v>
      </c>
      <c r="F3842" s="526" t="s">
        <v>1887</v>
      </c>
      <c r="G3842" s="252">
        <f t="shared" si="80"/>
        <v>4.82</v>
      </c>
    </row>
    <row r="3843" spans="1:7" ht="28.8" x14ac:dyDescent="0.3">
      <c r="A3843" s="524" t="s">
        <v>522</v>
      </c>
      <c r="B3843" s="524" t="s">
        <v>2230</v>
      </c>
      <c r="C3843" s="525" t="s">
        <v>2231</v>
      </c>
      <c r="D3843" s="524" t="s">
        <v>397</v>
      </c>
      <c r="E3843" s="524" t="s">
        <v>1122</v>
      </c>
      <c r="F3843" s="526" t="s">
        <v>2232</v>
      </c>
      <c r="G3843" s="252">
        <f t="shared" si="80"/>
        <v>14.59</v>
      </c>
    </row>
    <row r="3844" spans="1:7" x14ac:dyDescent="0.3">
      <c r="A3844" s="680" t="s">
        <v>1152</v>
      </c>
      <c r="B3844" s="681"/>
      <c r="C3844" s="681"/>
      <c r="D3844" s="681"/>
      <c r="E3844" s="681"/>
      <c r="F3844" s="682"/>
      <c r="G3844" s="527">
        <f>SUM(G3840:G3843)</f>
        <v>19.41</v>
      </c>
    </row>
    <row r="3845" spans="1:7" x14ac:dyDescent="0.3">
      <c r="A3845" s="683">
        <f>TRUNC(E3845*F3845,2)</f>
        <v>0</v>
      </c>
      <c r="B3845" s="684"/>
      <c r="C3845" s="684"/>
      <c r="D3845" s="684"/>
      <c r="E3845" s="684"/>
      <c r="F3845" s="684"/>
      <c r="G3845" s="685"/>
    </row>
    <row r="3846" spans="1:7" x14ac:dyDescent="0.3">
      <c r="A3846" s="529" t="s">
        <v>169</v>
      </c>
      <c r="B3846" s="529">
        <v>91991</v>
      </c>
      <c r="C3846" s="530" t="s">
        <v>137</v>
      </c>
      <c r="D3846" s="529" t="s">
        <v>44</v>
      </c>
      <c r="E3846" s="252"/>
      <c r="F3846" s="531">
        <v>21.99</v>
      </c>
      <c r="G3846" s="252">
        <f t="shared" si="80"/>
        <v>0</v>
      </c>
    </row>
    <row r="3847" spans="1:7" x14ac:dyDescent="0.3">
      <c r="A3847" s="524" t="s">
        <v>508</v>
      </c>
      <c r="B3847" s="524" t="s">
        <v>1678</v>
      </c>
      <c r="C3847" s="525" t="s">
        <v>1679</v>
      </c>
      <c r="D3847" s="524" t="s">
        <v>397</v>
      </c>
      <c r="E3847" s="524" t="s">
        <v>1122</v>
      </c>
      <c r="F3847" s="528" t="s">
        <v>1680</v>
      </c>
      <c r="G3847" s="252">
        <f t="shared" si="80"/>
        <v>5.78</v>
      </c>
    </row>
    <row r="3848" spans="1:7" x14ac:dyDescent="0.3">
      <c r="A3848" s="524" t="s">
        <v>522</v>
      </c>
      <c r="B3848" s="524" t="s">
        <v>611</v>
      </c>
      <c r="C3848" s="525" t="s">
        <v>546</v>
      </c>
      <c r="D3848" s="524" t="s">
        <v>32</v>
      </c>
      <c r="E3848" s="524" t="s">
        <v>1677</v>
      </c>
      <c r="F3848" s="528" t="s">
        <v>1646</v>
      </c>
      <c r="G3848" s="252">
        <f t="shared" si="80"/>
        <v>7.1</v>
      </c>
    </row>
    <row r="3849" spans="1:7" x14ac:dyDescent="0.3">
      <c r="A3849" s="524" t="s">
        <v>522</v>
      </c>
      <c r="B3849" s="524" t="s">
        <v>610</v>
      </c>
      <c r="C3849" s="525" t="s">
        <v>543</v>
      </c>
      <c r="D3849" s="524" t="s">
        <v>32</v>
      </c>
      <c r="E3849" s="524" t="s">
        <v>1677</v>
      </c>
      <c r="F3849" s="528" t="s">
        <v>1647</v>
      </c>
      <c r="G3849" s="252">
        <f t="shared" si="80"/>
        <v>9.11</v>
      </c>
    </row>
    <row r="3850" spans="1:7" x14ac:dyDescent="0.3">
      <c r="A3850" s="680" t="s">
        <v>1152</v>
      </c>
      <c r="B3850" s="681"/>
      <c r="C3850" s="681"/>
      <c r="D3850" s="681"/>
      <c r="E3850" s="681"/>
      <c r="F3850" s="682"/>
      <c r="G3850" s="527">
        <f>SUM(G3846:G3849)</f>
        <v>21.99</v>
      </c>
    </row>
    <row r="3851" spans="1:7" x14ac:dyDescent="0.3">
      <c r="A3851" s="683">
        <f>TRUNC(E3851*F3851,2)</f>
        <v>0</v>
      </c>
      <c r="B3851" s="684"/>
      <c r="C3851" s="684"/>
      <c r="D3851" s="684"/>
      <c r="E3851" s="684"/>
      <c r="F3851" s="684"/>
      <c r="G3851" s="685"/>
    </row>
    <row r="3852" spans="1:7" ht="28.8" x14ac:dyDescent="0.3">
      <c r="A3852" s="529" t="s">
        <v>171</v>
      </c>
      <c r="B3852" s="529">
        <v>91993</v>
      </c>
      <c r="C3852" s="530" t="s">
        <v>398</v>
      </c>
      <c r="D3852" s="529" t="s">
        <v>44</v>
      </c>
      <c r="E3852" s="252"/>
      <c r="F3852" s="531">
        <v>26.81</v>
      </c>
      <c r="G3852" s="252">
        <f t="shared" si="80"/>
        <v>0</v>
      </c>
    </row>
    <row r="3853" spans="1:7" ht="28.8" x14ac:dyDescent="0.3">
      <c r="A3853" s="524" t="s">
        <v>522</v>
      </c>
      <c r="B3853" s="524" t="s">
        <v>1885</v>
      </c>
      <c r="C3853" s="525" t="s">
        <v>1886</v>
      </c>
      <c r="D3853" s="524" t="s">
        <v>397</v>
      </c>
      <c r="E3853" s="524" t="s">
        <v>1122</v>
      </c>
      <c r="F3853" s="526" t="s">
        <v>1887</v>
      </c>
      <c r="G3853" s="252">
        <f t="shared" si="80"/>
        <v>4.82</v>
      </c>
    </row>
    <row r="3854" spans="1:7" ht="28.8" x14ac:dyDescent="0.3">
      <c r="A3854" s="524" t="s">
        <v>522</v>
      </c>
      <c r="B3854" s="524" t="s">
        <v>2233</v>
      </c>
      <c r="C3854" s="525" t="s">
        <v>2234</v>
      </c>
      <c r="D3854" s="524" t="s">
        <v>397</v>
      </c>
      <c r="E3854" s="524" t="s">
        <v>1122</v>
      </c>
      <c r="F3854" s="526" t="s">
        <v>2235</v>
      </c>
      <c r="G3854" s="252">
        <f t="shared" si="80"/>
        <v>21.99</v>
      </c>
    </row>
    <row r="3855" spans="1:7" x14ac:dyDescent="0.3">
      <c r="A3855" s="680" t="s">
        <v>1152</v>
      </c>
      <c r="B3855" s="681"/>
      <c r="C3855" s="681"/>
      <c r="D3855" s="681"/>
      <c r="E3855" s="681"/>
      <c r="F3855" s="682"/>
      <c r="G3855" s="527">
        <f>SUM(G3851:G3854)</f>
        <v>26.81</v>
      </c>
    </row>
    <row r="3856" spans="1:7" x14ac:dyDescent="0.3">
      <c r="A3856" s="683">
        <f>TRUNC(E3856*F3856,2)</f>
        <v>0</v>
      </c>
      <c r="B3856" s="684"/>
      <c r="C3856" s="684"/>
      <c r="D3856" s="684"/>
      <c r="E3856" s="684"/>
      <c r="F3856" s="684"/>
      <c r="G3856" s="685"/>
    </row>
    <row r="3857" spans="1:7" ht="28.8" x14ac:dyDescent="0.3">
      <c r="A3857" s="529" t="s">
        <v>173</v>
      </c>
      <c r="B3857" s="529">
        <v>91953</v>
      </c>
      <c r="C3857" s="530" t="s">
        <v>139</v>
      </c>
      <c r="D3857" s="529" t="s">
        <v>44</v>
      </c>
      <c r="E3857" s="252"/>
      <c r="F3857" s="531">
        <v>16.14</v>
      </c>
      <c r="G3857" s="252">
        <f t="shared" si="80"/>
        <v>0</v>
      </c>
    </row>
    <row r="3858" spans="1:7" ht="28.8" x14ac:dyDescent="0.3">
      <c r="A3858" s="524" t="s">
        <v>522</v>
      </c>
      <c r="B3858" s="524" t="s">
        <v>1885</v>
      </c>
      <c r="C3858" s="525" t="s">
        <v>1886</v>
      </c>
      <c r="D3858" s="524" t="s">
        <v>397</v>
      </c>
      <c r="E3858" s="524" t="s">
        <v>1122</v>
      </c>
      <c r="F3858" s="528" t="s">
        <v>1887</v>
      </c>
      <c r="G3858" s="252">
        <f t="shared" si="80"/>
        <v>4.82</v>
      </c>
    </row>
    <row r="3859" spans="1:7" ht="28.8" x14ac:dyDescent="0.3">
      <c r="A3859" s="524" t="s">
        <v>522</v>
      </c>
      <c r="B3859" s="524" t="s">
        <v>1888</v>
      </c>
      <c r="C3859" s="525" t="s">
        <v>1889</v>
      </c>
      <c r="D3859" s="524" t="s">
        <v>397</v>
      </c>
      <c r="E3859" s="524" t="s">
        <v>1122</v>
      </c>
      <c r="F3859" s="528" t="s">
        <v>1890</v>
      </c>
      <c r="G3859" s="252">
        <f t="shared" si="80"/>
        <v>11.32</v>
      </c>
    </row>
    <row r="3860" spans="1:7" x14ac:dyDescent="0.3">
      <c r="A3860" s="680" t="s">
        <v>1152</v>
      </c>
      <c r="B3860" s="681"/>
      <c r="C3860" s="681"/>
      <c r="D3860" s="681"/>
      <c r="E3860" s="681"/>
      <c r="F3860" s="682"/>
      <c r="G3860" s="252">
        <f>SUM(G3857:G3859)</f>
        <v>16.14</v>
      </c>
    </row>
    <row r="3861" spans="1:7" x14ac:dyDescent="0.3">
      <c r="A3861" s="683">
        <f>TRUNC(E3861*F3861,2)</f>
        <v>0</v>
      </c>
      <c r="B3861" s="684"/>
      <c r="C3861" s="684"/>
      <c r="D3861" s="684"/>
      <c r="E3861" s="684"/>
      <c r="F3861" s="684"/>
      <c r="G3861" s="685"/>
    </row>
    <row r="3862" spans="1:7" ht="28.8" x14ac:dyDescent="0.3">
      <c r="A3862" s="529" t="s">
        <v>175</v>
      </c>
      <c r="B3862" s="529">
        <v>91959</v>
      </c>
      <c r="C3862" s="530" t="s">
        <v>140</v>
      </c>
      <c r="D3862" s="529" t="s">
        <v>44</v>
      </c>
      <c r="E3862" s="252"/>
      <c r="F3862" s="531">
        <v>25.5</v>
      </c>
      <c r="G3862" s="252">
        <f t="shared" si="80"/>
        <v>0</v>
      </c>
    </row>
    <row r="3863" spans="1:7" ht="28.8" x14ac:dyDescent="0.3">
      <c r="A3863" s="524" t="s">
        <v>522</v>
      </c>
      <c r="B3863" s="524" t="s">
        <v>1885</v>
      </c>
      <c r="C3863" s="525" t="s">
        <v>1886</v>
      </c>
      <c r="D3863" s="524" t="s">
        <v>397</v>
      </c>
      <c r="E3863" s="524" t="s">
        <v>1122</v>
      </c>
      <c r="F3863" s="528" t="s">
        <v>1887</v>
      </c>
      <c r="G3863" s="252">
        <f t="shared" si="80"/>
        <v>4.82</v>
      </c>
    </row>
    <row r="3864" spans="1:7" ht="28.8" x14ac:dyDescent="0.3">
      <c r="A3864" s="524" t="s">
        <v>522</v>
      </c>
      <c r="B3864" s="524" t="s">
        <v>1891</v>
      </c>
      <c r="C3864" s="525" t="s">
        <v>1892</v>
      </c>
      <c r="D3864" s="524" t="s">
        <v>397</v>
      </c>
      <c r="E3864" s="524" t="s">
        <v>1122</v>
      </c>
      <c r="F3864" s="528" t="s">
        <v>1893</v>
      </c>
      <c r="G3864" s="252">
        <f t="shared" si="80"/>
        <v>20.68</v>
      </c>
    </row>
    <row r="3865" spans="1:7" x14ac:dyDescent="0.3">
      <c r="A3865" s="680" t="s">
        <v>1152</v>
      </c>
      <c r="B3865" s="681"/>
      <c r="C3865" s="681"/>
      <c r="D3865" s="681"/>
      <c r="E3865" s="681"/>
      <c r="F3865" s="682"/>
      <c r="G3865" s="252">
        <f>SUM(G3862:G3864)</f>
        <v>25.5</v>
      </c>
    </row>
    <row r="3866" spans="1:7" x14ac:dyDescent="0.3">
      <c r="A3866" s="683">
        <f>TRUNC(E3866*F3866,2)</f>
        <v>0</v>
      </c>
      <c r="B3866" s="684"/>
      <c r="C3866" s="684"/>
      <c r="D3866" s="684"/>
      <c r="E3866" s="684"/>
      <c r="F3866" s="684"/>
      <c r="G3866" s="685"/>
    </row>
    <row r="3867" spans="1:7" ht="28.8" x14ac:dyDescent="0.3">
      <c r="A3867" s="529" t="s">
        <v>177</v>
      </c>
      <c r="B3867" s="529">
        <v>93655</v>
      </c>
      <c r="C3867" s="530" t="s">
        <v>142</v>
      </c>
      <c r="D3867" s="529" t="s">
        <v>44</v>
      </c>
      <c r="E3867" s="252"/>
      <c r="F3867" s="531">
        <v>10.59</v>
      </c>
      <c r="G3867" s="252">
        <f t="shared" si="80"/>
        <v>0</v>
      </c>
    </row>
    <row r="3868" spans="1:7" ht="28.8" x14ac:dyDescent="0.3">
      <c r="A3868" s="524" t="s">
        <v>508</v>
      </c>
      <c r="B3868" s="524" t="s">
        <v>1901</v>
      </c>
      <c r="C3868" s="525" t="s">
        <v>1902</v>
      </c>
      <c r="D3868" s="524" t="s">
        <v>397</v>
      </c>
      <c r="E3868" s="524" t="s">
        <v>1122</v>
      </c>
      <c r="F3868" s="528" t="s">
        <v>1903</v>
      </c>
      <c r="G3868" s="252">
        <f t="shared" si="80"/>
        <v>0.9</v>
      </c>
    </row>
    <row r="3869" spans="1:7" x14ac:dyDescent="0.3">
      <c r="A3869" s="524" t="s">
        <v>508</v>
      </c>
      <c r="B3869" s="524" t="s">
        <v>1897</v>
      </c>
      <c r="C3869" s="525" t="s">
        <v>1898</v>
      </c>
      <c r="D3869" s="524" t="s">
        <v>397</v>
      </c>
      <c r="E3869" s="524" t="s">
        <v>1122</v>
      </c>
      <c r="F3869" s="528" t="s">
        <v>1899</v>
      </c>
      <c r="G3869" s="252">
        <f t="shared" si="80"/>
        <v>7.54</v>
      </c>
    </row>
    <row r="3870" spans="1:7" x14ac:dyDescent="0.3">
      <c r="A3870" s="524" t="s">
        <v>522</v>
      </c>
      <c r="B3870" s="524" t="s">
        <v>611</v>
      </c>
      <c r="C3870" s="525" t="s">
        <v>546</v>
      </c>
      <c r="D3870" s="524" t="s">
        <v>32</v>
      </c>
      <c r="E3870" s="524" t="s">
        <v>1904</v>
      </c>
      <c r="F3870" s="528" t="s">
        <v>1646</v>
      </c>
      <c r="G3870" s="252">
        <f t="shared" si="80"/>
        <v>0.94</v>
      </c>
    </row>
    <row r="3871" spans="1:7" x14ac:dyDescent="0.3">
      <c r="A3871" s="524" t="s">
        <v>522</v>
      </c>
      <c r="B3871" s="524" t="s">
        <v>610</v>
      </c>
      <c r="C3871" s="525" t="s">
        <v>543</v>
      </c>
      <c r="D3871" s="524" t="s">
        <v>32</v>
      </c>
      <c r="E3871" s="524" t="s">
        <v>1904</v>
      </c>
      <c r="F3871" s="528" t="s">
        <v>1647</v>
      </c>
      <c r="G3871" s="252">
        <f t="shared" si="80"/>
        <v>1.21</v>
      </c>
    </row>
    <row r="3872" spans="1:7" x14ac:dyDescent="0.3">
      <c r="A3872" s="680" t="s">
        <v>1152</v>
      </c>
      <c r="B3872" s="681"/>
      <c r="C3872" s="681"/>
      <c r="D3872" s="681"/>
      <c r="E3872" s="681"/>
      <c r="F3872" s="682"/>
      <c r="G3872" s="252">
        <f>SUM(G3867:G3871)</f>
        <v>10.59</v>
      </c>
    </row>
    <row r="3873" spans="1:7" x14ac:dyDescent="0.3">
      <c r="A3873" s="683">
        <f>TRUNC(E3873*F3873,2)</f>
        <v>0</v>
      </c>
      <c r="B3873" s="684"/>
      <c r="C3873" s="684"/>
      <c r="D3873" s="684"/>
      <c r="E3873" s="684"/>
      <c r="F3873" s="684"/>
      <c r="G3873" s="685"/>
    </row>
    <row r="3874" spans="1:7" ht="28.8" x14ac:dyDescent="0.3">
      <c r="A3874" s="529" t="s">
        <v>675</v>
      </c>
      <c r="B3874" s="529">
        <v>93657</v>
      </c>
      <c r="C3874" s="530" t="s">
        <v>143</v>
      </c>
      <c r="D3874" s="529" t="s">
        <v>44</v>
      </c>
      <c r="E3874" s="252"/>
      <c r="F3874" s="531">
        <v>11.59</v>
      </c>
      <c r="G3874" s="252">
        <f t="shared" si="80"/>
        <v>0</v>
      </c>
    </row>
    <row r="3875" spans="1:7" ht="28.8" x14ac:dyDescent="0.3">
      <c r="A3875" s="524" t="s">
        <v>508</v>
      </c>
      <c r="B3875" s="524" t="s">
        <v>1905</v>
      </c>
      <c r="C3875" s="525" t="s">
        <v>1906</v>
      </c>
      <c r="D3875" s="524" t="s">
        <v>397</v>
      </c>
      <c r="E3875" s="524" t="s">
        <v>1122</v>
      </c>
      <c r="F3875" s="528" t="s">
        <v>1907</v>
      </c>
      <c r="G3875" s="252">
        <f t="shared" si="80"/>
        <v>1.08</v>
      </c>
    </row>
    <row r="3876" spans="1:7" x14ac:dyDescent="0.3">
      <c r="A3876" s="524" t="s">
        <v>508</v>
      </c>
      <c r="B3876" s="524" t="s">
        <v>1897</v>
      </c>
      <c r="C3876" s="525" t="s">
        <v>1898</v>
      </c>
      <c r="D3876" s="524" t="s">
        <v>397</v>
      </c>
      <c r="E3876" s="524" t="s">
        <v>1122</v>
      </c>
      <c r="F3876" s="528" t="s">
        <v>1899</v>
      </c>
      <c r="G3876" s="252">
        <f t="shared" si="80"/>
        <v>7.54</v>
      </c>
    </row>
    <row r="3877" spans="1:7" x14ac:dyDescent="0.3">
      <c r="A3877" s="524" t="s">
        <v>522</v>
      </c>
      <c r="B3877" s="524" t="s">
        <v>611</v>
      </c>
      <c r="C3877" s="525" t="s">
        <v>546</v>
      </c>
      <c r="D3877" s="524" t="s">
        <v>32</v>
      </c>
      <c r="E3877" s="524" t="s">
        <v>1908</v>
      </c>
      <c r="F3877" s="528" t="s">
        <v>1646</v>
      </c>
      <c r="G3877" s="252">
        <f t="shared" si="80"/>
        <v>1.3</v>
      </c>
    </row>
    <row r="3878" spans="1:7" x14ac:dyDescent="0.3">
      <c r="A3878" s="524" t="s">
        <v>522</v>
      </c>
      <c r="B3878" s="524" t="s">
        <v>610</v>
      </c>
      <c r="C3878" s="525" t="s">
        <v>543</v>
      </c>
      <c r="D3878" s="524" t="s">
        <v>32</v>
      </c>
      <c r="E3878" s="524" t="s">
        <v>1908</v>
      </c>
      <c r="F3878" s="528" t="s">
        <v>1647</v>
      </c>
      <c r="G3878" s="252">
        <f t="shared" si="80"/>
        <v>1.67</v>
      </c>
    </row>
    <row r="3879" spans="1:7" x14ac:dyDescent="0.3">
      <c r="A3879" s="680" t="s">
        <v>1152</v>
      </c>
      <c r="B3879" s="681"/>
      <c r="C3879" s="681"/>
      <c r="D3879" s="681"/>
      <c r="E3879" s="681"/>
      <c r="F3879" s="682"/>
      <c r="G3879" s="252">
        <f>SUM(G3874:G3878)</f>
        <v>11.590000000000002</v>
      </c>
    </row>
    <row r="3880" spans="1:7" x14ac:dyDescent="0.3">
      <c r="A3880" s="683">
        <f>TRUNC(E3880*F3880,2)</f>
        <v>0</v>
      </c>
      <c r="B3880" s="684"/>
      <c r="C3880" s="684"/>
      <c r="D3880" s="684"/>
      <c r="E3880" s="684"/>
      <c r="F3880" s="684"/>
      <c r="G3880" s="685"/>
    </row>
    <row r="3881" spans="1:7" ht="28.8" x14ac:dyDescent="0.3">
      <c r="A3881" s="529" t="s">
        <v>676</v>
      </c>
      <c r="B3881" s="529">
        <v>93660</v>
      </c>
      <c r="C3881" s="530" t="s">
        <v>144</v>
      </c>
      <c r="D3881" s="529" t="s">
        <v>44</v>
      </c>
      <c r="E3881" s="252"/>
      <c r="F3881" s="531">
        <v>46.9</v>
      </c>
      <c r="G3881" s="252">
        <f t="shared" si="80"/>
        <v>0</v>
      </c>
    </row>
    <row r="3882" spans="1:7" ht="28.8" x14ac:dyDescent="0.3">
      <c r="A3882" s="524" t="s">
        <v>508</v>
      </c>
      <c r="B3882" s="524" t="s">
        <v>1894</v>
      </c>
      <c r="C3882" s="525" t="s">
        <v>1895</v>
      </c>
      <c r="D3882" s="524" t="s">
        <v>397</v>
      </c>
      <c r="E3882" s="524" t="s">
        <v>1523</v>
      </c>
      <c r="F3882" s="528" t="s">
        <v>1896</v>
      </c>
      <c r="G3882" s="252">
        <f t="shared" si="80"/>
        <v>1.38</v>
      </c>
    </row>
    <row r="3883" spans="1:7" x14ac:dyDescent="0.3">
      <c r="A3883" s="524" t="s">
        <v>508</v>
      </c>
      <c r="B3883" s="524" t="s">
        <v>1909</v>
      </c>
      <c r="C3883" s="525" t="s">
        <v>1910</v>
      </c>
      <c r="D3883" s="524" t="s">
        <v>397</v>
      </c>
      <c r="E3883" s="524" t="s">
        <v>1122</v>
      </c>
      <c r="F3883" s="528" t="s">
        <v>1911</v>
      </c>
      <c r="G3883" s="252">
        <f t="shared" si="80"/>
        <v>43.24</v>
      </c>
    </row>
    <row r="3884" spans="1:7" x14ac:dyDescent="0.3">
      <c r="A3884" s="524" t="s">
        <v>522</v>
      </c>
      <c r="B3884" s="524" t="s">
        <v>611</v>
      </c>
      <c r="C3884" s="525" t="s">
        <v>546</v>
      </c>
      <c r="D3884" s="524" t="s">
        <v>32</v>
      </c>
      <c r="E3884" s="524" t="s">
        <v>1728</v>
      </c>
      <c r="F3884" s="528" t="s">
        <v>1646</v>
      </c>
      <c r="G3884" s="252">
        <f t="shared" si="80"/>
        <v>1</v>
      </c>
    </row>
    <row r="3885" spans="1:7" x14ac:dyDescent="0.3">
      <c r="A3885" s="524" t="s">
        <v>522</v>
      </c>
      <c r="B3885" s="524" t="s">
        <v>610</v>
      </c>
      <c r="C3885" s="525" t="s">
        <v>543</v>
      </c>
      <c r="D3885" s="524" t="s">
        <v>32</v>
      </c>
      <c r="E3885" s="524" t="s">
        <v>1728</v>
      </c>
      <c r="F3885" s="528" t="s">
        <v>1647</v>
      </c>
      <c r="G3885" s="252">
        <f t="shared" si="80"/>
        <v>1.28</v>
      </c>
    </row>
    <row r="3886" spans="1:7" x14ac:dyDescent="0.3">
      <c r="A3886" s="680" t="s">
        <v>1152</v>
      </c>
      <c r="B3886" s="681"/>
      <c r="C3886" s="681"/>
      <c r="D3886" s="681"/>
      <c r="E3886" s="681"/>
      <c r="F3886" s="682"/>
      <c r="G3886" s="252">
        <f>SUM(G3881:G3885)</f>
        <v>46.900000000000006</v>
      </c>
    </row>
    <row r="3887" spans="1:7" x14ac:dyDescent="0.3">
      <c r="A3887" s="683">
        <f>TRUNC(E3887*F3887,2)</f>
        <v>0</v>
      </c>
      <c r="B3887" s="684"/>
      <c r="C3887" s="684"/>
      <c r="D3887" s="684"/>
      <c r="E3887" s="684"/>
      <c r="F3887" s="684"/>
      <c r="G3887" s="685"/>
    </row>
    <row r="3888" spans="1:7" ht="28.8" x14ac:dyDescent="0.3">
      <c r="A3888" s="529" t="s">
        <v>311</v>
      </c>
      <c r="B3888" s="529">
        <v>93662</v>
      </c>
      <c r="C3888" s="530" t="s">
        <v>145</v>
      </c>
      <c r="D3888" s="529" t="s">
        <v>44</v>
      </c>
      <c r="E3888" s="252"/>
      <c r="F3888" s="531">
        <v>49.38</v>
      </c>
      <c r="G3888" s="252">
        <f t="shared" si="80"/>
        <v>0</v>
      </c>
    </row>
    <row r="3889" spans="1:7" ht="28.8" x14ac:dyDescent="0.3">
      <c r="A3889" s="524" t="s">
        <v>508</v>
      </c>
      <c r="B3889" s="524" t="s">
        <v>1901</v>
      </c>
      <c r="C3889" s="525" t="s">
        <v>1902</v>
      </c>
      <c r="D3889" s="524" t="s">
        <v>397</v>
      </c>
      <c r="E3889" s="524" t="s">
        <v>1523</v>
      </c>
      <c r="F3889" s="528" t="s">
        <v>1903</v>
      </c>
      <c r="G3889" s="252">
        <f t="shared" si="80"/>
        <v>1.8</v>
      </c>
    </row>
    <row r="3890" spans="1:7" x14ac:dyDescent="0.3">
      <c r="A3890" s="524" t="s">
        <v>508</v>
      </c>
      <c r="B3890" s="524" t="s">
        <v>1909</v>
      </c>
      <c r="C3890" s="525" t="s">
        <v>1910</v>
      </c>
      <c r="D3890" s="524" t="s">
        <v>397</v>
      </c>
      <c r="E3890" s="524" t="s">
        <v>1122</v>
      </c>
      <c r="F3890" s="528" t="s">
        <v>1911</v>
      </c>
      <c r="G3890" s="252">
        <f t="shared" si="80"/>
        <v>43.24</v>
      </c>
    </row>
    <row r="3891" spans="1:7" x14ac:dyDescent="0.3">
      <c r="A3891" s="524" t="s">
        <v>522</v>
      </c>
      <c r="B3891" s="524" t="s">
        <v>611</v>
      </c>
      <c r="C3891" s="525" t="s">
        <v>546</v>
      </c>
      <c r="D3891" s="524" t="s">
        <v>32</v>
      </c>
      <c r="E3891" s="524" t="s">
        <v>1912</v>
      </c>
      <c r="F3891" s="528" t="s">
        <v>1646</v>
      </c>
      <c r="G3891" s="252">
        <f t="shared" si="80"/>
        <v>1.9</v>
      </c>
    </row>
    <row r="3892" spans="1:7" x14ac:dyDescent="0.3">
      <c r="A3892" s="524" t="s">
        <v>522</v>
      </c>
      <c r="B3892" s="524" t="s">
        <v>610</v>
      </c>
      <c r="C3892" s="525" t="s">
        <v>543</v>
      </c>
      <c r="D3892" s="524" t="s">
        <v>32</v>
      </c>
      <c r="E3892" s="524" t="s">
        <v>1912</v>
      </c>
      <c r="F3892" s="528" t="s">
        <v>1647</v>
      </c>
      <c r="G3892" s="252">
        <f t="shared" si="80"/>
        <v>2.44</v>
      </c>
    </row>
    <row r="3893" spans="1:7" x14ac:dyDescent="0.3">
      <c r="A3893" s="680" t="s">
        <v>1152</v>
      </c>
      <c r="B3893" s="681"/>
      <c r="C3893" s="681"/>
      <c r="D3893" s="681"/>
      <c r="E3893" s="681"/>
      <c r="F3893" s="682"/>
      <c r="G3893" s="252">
        <f>SUM(G3888:G3892)</f>
        <v>49.379999999999995</v>
      </c>
    </row>
    <row r="3894" spans="1:7" x14ac:dyDescent="0.3">
      <c r="A3894" s="683">
        <f>TRUNC(E3894*F3894,2)</f>
        <v>0</v>
      </c>
      <c r="B3894" s="684"/>
      <c r="C3894" s="684"/>
      <c r="D3894" s="684"/>
      <c r="E3894" s="684"/>
      <c r="F3894" s="684"/>
      <c r="G3894" s="685"/>
    </row>
    <row r="3895" spans="1:7" ht="28.8" x14ac:dyDescent="0.3">
      <c r="A3895" s="529" t="s">
        <v>181</v>
      </c>
      <c r="B3895" s="529">
        <v>93664</v>
      </c>
      <c r="C3895" s="530" t="s">
        <v>146</v>
      </c>
      <c r="D3895" s="529" t="s">
        <v>44</v>
      </c>
      <c r="E3895" s="252"/>
      <c r="F3895" s="531">
        <v>51.34</v>
      </c>
      <c r="G3895" s="252">
        <f t="shared" si="80"/>
        <v>0</v>
      </c>
    </row>
    <row r="3896" spans="1:7" ht="28.8" x14ac:dyDescent="0.3">
      <c r="A3896" s="524" t="s">
        <v>508</v>
      </c>
      <c r="B3896" s="524" t="s">
        <v>1905</v>
      </c>
      <c r="C3896" s="525" t="s">
        <v>1906</v>
      </c>
      <c r="D3896" s="524" t="s">
        <v>397</v>
      </c>
      <c r="E3896" s="524" t="s">
        <v>1523</v>
      </c>
      <c r="F3896" s="528" t="s">
        <v>1907</v>
      </c>
      <c r="G3896" s="252">
        <f t="shared" si="80"/>
        <v>2.16</v>
      </c>
    </row>
    <row r="3897" spans="1:7" x14ac:dyDescent="0.3">
      <c r="A3897" s="524" t="s">
        <v>508</v>
      </c>
      <c r="B3897" s="524" t="s">
        <v>1909</v>
      </c>
      <c r="C3897" s="525" t="s">
        <v>1910</v>
      </c>
      <c r="D3897" s="524" t="s">
        <v>397</v>
      </c>
      <c r="E3897" s="524" t="s">
        <v>1122</v>
      </c>
      <c r="F3897" s="528" t="s">
        <v>1911</v>
      </c>
      <c r="G3897" s="252">
        <f t="shared" si="80"/>
        <v>43.24</v>
      </c>
    </row>
    <row r="3898" spans="1:7" x14ac:dyDescent="0.3">
      <c r="A3898" s="524" t="s">
        <v>522</v>
      </c>
      <c r="B3898" s="524" t="s">
        <v>611</v>
      </c>
      <c r="C3898" s="525" t="s">
        <v>546</v>
      </c>
      <c r="D3898" s="524" t="s">
        <v>32</v>
      </c>
      <c r="E3898" s="524" t="s">
        <v>1082</v>
      </c>
      <c r="F3898" s="528" t="s">
        <v>1646</v>
      </c>
      <c r="G3898" s="252">
        <f t="shared" si="80"/>
        <v>2.6</v>
      </c>
    </row>
    <row r="3899" spans="1:7" x14ac:dyDescent="0.3">
      <c r="A3899" s="524" t="s">
        <v>522</v>
      </c>
      <c r="B3899" s="524" t="s">
        <v>610</v>
      </c>
      <c r="C3899" s="525" t="s">
        <v>543</v>
      </c>
      <c r="D3899" s="524" t="s">
        <v>32</v>
      </c>
      <c r="E3899" s="524" t="s">
        <v>1082</v>
      </c>
      <c r="F3899" s="528" t="s">
        <v>1647</v>
      </c>
      <c r="G3899" s="252">
        <f t="shared" si="80"/>
        <v>3.34</v>
      </c>
    </row>
    <row r="3900" spans="1:7" x14ac:dyDescent="0.3">
      <c r="A3900" s="680" t="s">
        <v>1152</v>
      </c>
      <c r="B3900" s="681"/>
      <c r="C3900" s="681"/>
      <c r="D3900" s="681"/>
      <c r="E3900" s="681"/>
      <c r="F3900" s="682"/>
      <c r="G3900" s="252">
        <f>SUM(G3895:G3899)</f>
        <v>51.34</v>
      </c>
    </row>
    <row r="3901" spans="1:7" x14ac:dyDescent="0.3">
      <c r="A3901" s="683">
        <f>TRUNC(E3901*F3901,2)</f>
        <v>0</v>
      </c>
      <c r="B3901" s="684"/>
      <c r="C3901" s="684"/>
      <c r="D3901" s="684"/>
      <c r="E3901" s="684"/>
      <c r="F3901" s="684"/>
      <c r="G3901" s="685"/>
    </row>
    <row r="3902" spans="1:7" ht="28.8" x14ac:dyDescent="0.3">
      <c r="A3902" s="529" t="s">
        <v>183</v>
      </c>
      <c r="B3902" s="529">
        <v>93673</v>
      </c>
      <c r="C3902" s="530" t="s">
        <v>147</v>
      </c>
      <c r="D3902" s="529" t="s">
        <v>44</v>
      </c>
      <c r="E3902" s="252"/>
      <c r="F3902" s="531">
        <v>75.680000000000007</v>
      </c>
      <c r="G3902" s="252">
        <f t="shared" si="80"/>
        <v>0</v>
      </c>
    </row>
    <row r="3903" spans="1:7" ht="28.8" x14ac:dyDescent="0.3">
      <c r="A3903" s="524" t="s">
        <v>508</v>
      </c>
      <c r="B3903" s="524" t="s">
        <v>1913</v>
      </c>
      <c r="C3903" s="525" t="s">
        <v>1914</v>
      </c>
      <c r="D3903" s="524" t="s">
        <v>397</v>
      </c>
      <c r="E3903" s="524" t="s">
        <v>1915</v>
      </c>
      <c r="F3903" s="528" t="s">
        <v>1916</v>
      </c>
      <c r="G3903" s="252">
        <f t="shared" si="80"/>
        <v>4.1399999999999997</v>
      </c>
    </row>
    <row r="3904" spans="1:7" x14ac:dyDescent="0.3">
      <c r="A3904" s="524" t="s">
        <v>508</v>
      </c>
      <c r="B3904" s="524" t="s">
        <v>1917</v>
      </c>
      <c r="C3904" s="525" t="s">
        <v>1918</v>
      </c>
      <c r="D3904" s="524" t="s">
        <v>397</v>
      </c>
      <c r="E3904" s="524" t="s">
        <v>1122</v>
      </c>
      <c r="F3904" s="528" t="s">
        <v>1919</v>
      </c>
      <c r="G3904" s="252">
        <f t="shared" si="80"/>
        <v>52.98</v>
      </c>
    </row>
    <row r="3905" spans="1:7" x14ac:dyDescent="0.3">
      <c r="A3905" s="524" t="s">
        <v>522</v>
      </c>
      <c r="B3905" s="524" t="s">
        <v>611</v>
      </c>
      <c r="C3905" s="525" t="s">
        <v>546</v>
      </c>
      <c r="D3905" s="524" t="s">
        <v>32</v>
      </c>
      <c r="E3905" s="524" t="s">
        <v>1920</v>
      </c>
      <c r="F3905" s="528" t="s">
        <v>1646</v>
      </c>
      <c r="G3905" s="252">
        <f t="shared" si="80"/>
        <v>8.1300000000000008</v>
      </c>
    </row>
    <row r="3906" spans="1:7" x14ac:dyDescent="0.3">
      <c r="A3906" s="524" t="s">
        <v>522</v>
      </c>
      <c r="B3906" s="524" t="s">
        <v>610</v>
      </c>
      <c r="C3906" s="525" t="s">
        <v>543</v>
      </c>
      <c r="D3906" s="524" t="s">
        <v>32</v>
      </c>
      <c r="E3906" s="524" t="s">
        <v>1920</v>
      </c>
      <c r="F3906" s="528" t="s">
        <v>1647</v>
      </c>
      <c r="G3906" s="252">
        <f t="shared" si="80"/>
        <v>10.43</v>
      </c>
    </row>
    <row r="3907" spans="1:7" x14ac:dyDescent="0.3">
      <c r="A3907" s="680" t="s">
        <v>1152</v>
      </c>
      <c r="B3907" s="681"/>
      <c r="C3907" s="681"/>
      <c r="D3907" s="681"/>
      <c r="E3907" s="681"/>
      <c r="F3907" s="682"/>
      <c r="G3907" s="252">
        <f>SUM(G3902:G3906)</f>
        <v>75.680000000000007</v>
      </c>
    </row>
    <row r="3908" spans="1:7" x14ac:dyDescent="0.3">
      <c r="A3908" s="683">
        <f>TRUNC(E3908*F3908,2)</f>
        <v>0</v>
      </c>
      <c r="B3908" s="684"/>
      <c r="C3908" s="684"/>
      <c r="D3908" s="684"/>
      <c r="E3908" s="684"/>
      <c r="F3908" s="684"/>
      <c r="G3908" s="685"/>
    </row>
    <row r="3909" spans="1:7" ht="28.8" x14ac:dyDescent="0.3">
      <c r="A3909" s="529" t="s">
        <v>677</v>
      </c>
      <c r="B3909" s="529">
        <v>93667</v>
      </c>
      <c r="C3909" s="530" t="s">
        <v>148</v>
      </c>
      <c r="D3909" s="529" t="s">
        <v>44</v>
      </c>
      <c r="E3909" s="252"/>
      <c r="F3909" s="531">
        <v>58.47</v>
      </c>
      <c r="G3909" s="252">
        <f t="shared" si="80"/>
        <v>0</v>
      </c>
    </row>
    <row r="3910" spans="1:7" ht="28.8" x14ac:dyDescent="0.3">
      <c r="A3910" s="524" t="s">
        <v>508</v>
      </c>
      <c r="B3910" s="524" t="s">
        <v>1894</v>
      </c>
      <c r="C3910" s="525" t="s">
        <v>1895</v>
      </c>
      <c r="D3910" s="524" t="s">
        <v>397</v>
      </c>
      <c r="E3910" s="524" t="s">
        <v>1915</v>
      </c>
      <c r="F3910" s="528" t="s">
        <v>1896</v>
      </c>
      <c r="G3910" s="252">
        <f t="shared" si="80"/>
        <v>2.0699999999999998</v>
      </c>
    </row>
    <row r="3911" spans="1:7" x14ac:dyDescent="0.3">
      <c r="A3911" s="524" t="s">
        <v>508</v>
      </c>
      <c r="B3911" s="524" t="s">
        <v>1917</v>
      </c>
      <c r="C3911" s="525" t="s">
        <v>1918</v>
      </c>
      <c r="D3911" s="524" t="s">
        <v>397</v>
      </c>
      <c r="E3911" s="524" t="s">
        <v>1122</v>
      </c>
      <c r="F3911" s="528" t="s">
        <v>1919</v>
      </c>
      <c r="G3911" s="252">
        <f t="shared" si="80"/>
        <v>52.98</v>
      </c>
    </row>
    <row r="3912" spans="1:7" x14ac:dyDescent="0.3">
      <c r="A3912" s="524" t="s">
        <v>522</v>
      </c>
      <c r="B3912" s="524" t="s">
        <v>611</v>
      </c>
      <c r="C3912" s="525" t="s">
        <v>546</v>
      </c>
      <c r="D3912" s="524" t="s">
        <v>32</v>
      </c>
      <c r="E3912" s="524" t="s">
        <v>1921</v>
      </c>
      <c r="F3912" s="528" t="s">
        <v>1646</v>
      </c>
      <c r="G3912" s="252">
        <f t="shared" si="80"/>
        <v>1.5</v>
      </c>
    </row>
    <row r="3913" spans="1:7" x14ac:dyDescent="0.3">
      <c r="A3913" s="524" t="s">
        <v>522</v>
      </c>
      <c r="B3913" s="524" t="s">
        <v>610</v>
      </c>
      <c r="C3913" s="525" t="s">
        <v>543</v>
      </c>
      <c r="D3913" s="524" t="s">
        <v>32</v>
      </c>
      <c r="E3913" s="524" t="s">
        <v>1921</v>
      </c>
      <c r="F3913" s="528" t="s">
        <v>1647</v>
      </c>
      <c r="G3913" s="252">
        <f t="shared" si="80"/>
        <v>1.92</v>
      </c>
    </row>
    <row r="3914" spans="1:7" x14ac:dyDescent="0.3">
      <c r="A3914" s="680" t="s">
        <v>1152</v>
      </c>
      <c r="B3914" s="681"/>
      <c r="C3914" s="681"/>
      <c r="D3914" s="681"/>
      <c r="E3914" s="681"/>
      <c r="F3914" s="682"/>
      <c r="G3914" s="252">
        <f>SUM(G3909:G3913)</f>
        <v>58.47</v>
      </c>
    </row>
    <row r="3915" spans="1:7" x14ac:dyDescent="0.3">
      <c r="A3915" s="683">
        <f>TRUNC(E3915*F3915,2)</f>
        <v>0</v>
      </c>
      <c r="B3915" s="684"/>
      <c r="C3915" s="684"/>
      <c r="D3915" s="684"/>
      <c r="E3915" s="684"/>
      <c r="F3915" s="684"/>
      <c r="G3915" s="685"/>
    </row>
    <row r="3916" spans="1:7" ht="28.8" x14ac:dyDescent="0.3">
      <c r="A3916" s="529" t="s">
        <v>678</v>
      </c>
      <c r="B3916" s="529">
        <v>93669</v>
      </c>
      <c r="C3916" s="530" t="s">
        <v>149</v>
      </c>
      <c r="D3916" s="529" t="s">
        <v>44</v>
      </c>
      <c r="E3916" s="252"/>
      <c r="F3916" s="531">
        <v>62.18</v>
      </c>
      <c r="G3916" s="252">
        <f t="shared" si="80"/>
        <v>0</v>
      </c>
    </row>
    <row r="3917" spans="1:7" ht="28.8" x14ac:dyDescent="0.3">
      <c r="A3917" s="524" t="s">
        <v>508</v>
      </c>
      <c r="B3917" s="524" t="s">
        <v>1901</v>
      </c>
      <c r="C3917" s="525" t="s">
        <v>1902</v>
      </c>
      <c r="D3917" s="524" t="s">
        <v>397</v>
      </c>
      <c r="E3917" s="524" t="s">
        <v>1915</v>
      </c>
      <c r="F3917" s="528" t="s">
        <v>1903</v>
      </c>
      <c r="G3917" s="252">
        <f t="shared" si="80"/>
        <v>2.7</v>
      </c>
    </row>
    <row r="3918" spans="1:7" x14ac:dyDescent="0.3">
      <c r="A3918" s="524" t="s">
        <v>508</v>
      </c>
      <c r="B3918" s="524" t="s">
        <v>1917</v>
      </c>
      <c r="C3918" s="525" t="s">
        <v>1918</v>
      </c>
      <c r="D3918" s="524" t="s">
        <v>397</v>
      </c>
      <c r="E3918" s="524" t="s">
        <v>1122</v>
      </c>
      <c r="F3918" s="528" t="s">
        <v>1919</v>
      </c>
      <c r="G3918" s="252">
        <f t="shared" si="80"/>
        <v>52.98</v>
      </c>
    </row>
    <row r="3919" spans="1:7" x14ac:dyDescent="0.3">
      <c r="A3919" s="524" t="s">
        <v>522</v>
      </c>
      <c r="B3919" s="524" t="s">
        <v>611</v>
      </c>
      <c r="C3919" s="525" t="s">
        <v>546</v>
      </c>
      <c r="D3919" s="524" t="s">
        <v>32</v>
      </c>
      <c r="E3919" s="524" t="s">
        <v>1922</v>
      </c>
      <c r="F3919" s="528" t="s">
        <v>1646</v>
      </c>
      <c r="G3919" s="252">
        <f t="shared" si="80"/>
        <v>2.85</v>
      </c>
    </row>
    <row r="3920" spans="1:7" x14ac:dyDescent="0.3">
      <c r="A3920" s="524" t="s">
        <v>522</v>
      </c>
      <c r="B3920" s="524" t="s">
        <v>610</v>
      </c>
      <c r="C3920" s="525" t="s">
        <v>543</v>
      </c>
      <c r="D3920" s="524" t="s">
        <v>32</v>
      </c>
      <c r="E3920" s="524" t="s">
        <v>1922</v>
      </c>
      <c r="F3920" s="528" t="s">
        <v>1647</v>
      </c>
      <c r="G3920" s="252">
        <f t="shared" si="80"/>
        <v>3.65</v>
      </c>
    </row>
    <row r="3921" spans="1:7" x14ac:dyDescent="0.3">
      <c r="A3921" s="680" t="s">
        <v>1152</v>
      </c>
      <c r="B3921" s="681"/>
      <c r="C3921" s="681"/>
      <c r="D3921" s="681"/>
      <c r="E3921" s="681"/>
      <c r="F3921" s="682"/>
      <c r="G3921" s="252">
        <f>SUM(G3916:G3920)</f>
        <v>62.18</v>
      </c>
    </row>
    <row r="3922" spans="1:7" x14ac:dyDescent="0.3">
      <c r="A3922" s="683">
        <f>TRUNC(E3922*F3922,2)</f>
        <v>0</v>
      </c>
      <c r="B3922" s="684"/>
      <c r="C3922" s="684"/>
      <c r="D3922" s="684"/>
      <c r="E3922" s="684"/>
      <c r="F3922" s="684"/>
      <c r="G3922" s="685"/>
    </row>
    <row r="3923" spans="1:7" ht="28.8" x14ac:dyDescent="0.3">
      <c r="A3923" s="529" t="s">
        <v>679</v>
      </c>
      <c r="B3923" s="529">
        <v>91944</v>
      </c>
      <c r="C3923" s="530" t="s">
        <v>151</v>
      </c>
      <c r="D3923" s="529" t="s">
        <v>44</v>
      </c>
      <c r="E3923" s="252"/>
      <c r="F3923" s="531">
        <v>9.06</v>
      </c>
      <c r="G3923" s="252">
        <f t="shared" si="80"/>
        <v>0</v>
      </c>
    </row>
    <row r="3924" spans="1:7" x14ac:dyDescent="0.3">
      <c r="A3924" s="524" t="s">
        <v>508</v>
      </c>
      <c r="B3924" s="524" t="s">
        <v>1923</v>
      </c>
      <c r="C3924" s="525" t="s">
        <v>1924</v>
      </c>
      <c r="D3924" s="524" t="s">
        <v>397</v>
      </c>
      <c r="E3924" s="524" t="s">
        <v>1122</v>
      </c>
      <c r="F3924" s="528">
        <v>3.13</v>
      </c>
      <c r="G3924" s="252">
        <f t="shared" si="80"/>
        <v>3.13</v>
      </c>
    </row>
    <row r="3925" spans="1:7" x14ac:dyDescent="0.3">
      <c r="A3925" s="524" t="s">
        <v>522</v>
      </c>
      <c r="B3925" s="524" t="s">
        <v>611</v>
      </c>
      <c r="C3925" s="525" t="s">
        <v>546</v>
      </c>
      <c r="D3925" s="524" t="s">
        <v>32</v>
      </c>
      <c r="E3925" s="524" t="s">
        <v>1925</v>
      </c>
      <c r="F3925" s="528" t="s">
        <v>1646</v>
      </c>
      <c r="G3925" s="252">
        <f t="shared" si="80"/>
        <v>2.37</v>
      </c>
    </row>
    <row r="3926" spans="1:7" x14ac:dyDescent="0.3">
      <c r="A3926" s="524" t="s">
        <v>522</v>
      </c>
      <c r="B3926" s="524" t="s">
        <v>610</v>
      </c>
      <c r="C3926" s="525" t="s">
        <v>543</v>
      </c>
      <c r="D3926" s="524" t="s">
        <v>32</v>
      </c>
      <c r="E3926" s="524" t="s">
        <v>1925</v>
      </c>
      <c r="F3926" s="528" t="s">
        <v>1647</v>
      </c>
      <c r="G3926" s="252">
        <f t="shared" si="80"/>
        <v>3.05</v>
      </c>
    </row>
    <row r="3927" spans="1:7" ht="28.8" x14ac:dyDescent="0.3">
      <c r="A3927" s="524" t="s">
        <v>522</v>
      </c>
      <c r="B3927" s="524" t="s">
        <v>1685</v>
      </c>
      <c r="C3927" s="525" t="s">
        <v>1686</v>
      </c>
      <c r="D3927" s="524" t="s">
        <v>41</v>
      </c>
      <c r="E3927" s="524" t="s">
        <v>1926</v>
      </c>
      <c r="F3927" s="528" t="s">
        <v>1688</v>
      </c>
      <c r="G3927" s="252">
        <f t="shared" si="80"/>
        <v>0.51</v>
      </c>
    </row>
    <row r="3928" spans="1:7" x14ac:dyDescent="0.3">
      <c r="A3928" s="680" t="s">
        <v>1152</v>
      </c>
      <c r="B3928" s="681"/>
      <c r="C3928" s="681"/>
      <c r="D3928" s="681"/>
      <c r="E3928" s="681"/>
      <c r="F3928" s="682"/>
      <c r="G3928" s="527">
        <f>SUM(G3924:G3927)</f>
        <v>9.06</v>
      </c>
    </row>
    <row r="3929" spans="1:7" x14ac:dyDescent="0.3">
      <c r="A3929" s="683">
        <f>TRUNC(E3929*F3929,2)</f>
        <v>0</v>
      </c>
      <c r="B3929" s="684"/>
      <c r="C3929" s="684"/>
      <c r="D3929" s="684"/>
      <c r="E3929" s="684"/>
      <c r="F3929" s="684"/>
      <c r="G3929" s="685"/>
    </row>
    <row r="3930" spans="1:7" ht="43.2" x14ac:dyDescent="0.3">
      <c r="A3930" s="529" t="s">
        <v>680</v>
      </c>
      <c r="B3930" s="529">
        <v>83463</v>
      </c>
      <c r="C3930" s="530" t="s">
        <v>152</v>
      </c>
      <c r="D3930" s="529" t="s">
        <v>44</v>
      </c>
      <c r="E3930" s="252"/>
      <c r="F3930" s="531">
        <v>356.52</v>
      </c>
      <c r="G3930" s="252">
        <f t="shared" si="80"/>
        <v>0</v>
      </c>
    </row>
    <row r="3931" spans="1:7" ht="28.8" x14ac:dyDescent="0.3">
      <c r="A3931" s="524" t="s">
        <v>508</v>
      </c>
      <c r="B3931" s="524" t="s">
        <v>1927</v>
      </c>
      <c r="C3931" s="525" t="s">
        <v>1928</v>
      </c>
      <c r="D3931" s="524" t="s">
        <v>397</v>
      </c>
      <c r="E3931" s="524" t="s">
        <v>1122</v>
      </c>
      <c r="F3931" s="528" t="s">
        <v>1929</v>
      </c>
      <c r="G3931" s="252">
        <f t="shared" si="80"/>
        <v>291.10000000000002</v>
      </c>
    </row>
    <row r="3932" spans="1:7" x14ac:dyDescent="0.3">
      <c r="A3932" s="524" t="s">
        <v>522</v>
      </c>
      <c r="B3932" s="524" t="s">
        <v>611</v>
      </c>
      <c r="C3932" s="525" t="s">
        <v>546</v>
      </c>
      <c r="D3932" s="524" t="s">
        <v>32</v>
      </c>
      <c r="E3932" s="524" t="s">
        <v>1523</v>
      </c>
      <c r="F3932" s="528" t="s">
        <v>1646</v>
      </c>
      <c r="G3932" s="252">
        <f t="shared" si="80"/>
        <v>28.66</v>
      </c>
    </row>
    <row r="3933" spans="1:7" x14ac:dyDescent="0.3">
      <c r="A3933" s="524" t="s">
        <v>522</v>
      </c>
      <c r="B3933" s="524" t="s">
        <v>610</v>
      </c>
      <c r="C3933" s="525" t="s">
        <v>543</v>
      </c>
      <c r="D3933" s="524" t="s">
        <v>32</v>
      </c>
      <c r="E3933" s="524" t="s">
        <v>1523</v>
      </c>
      <c r="F3933" s="528" t="s">
        <v>1647</v>
      </c>
      <c r="G3933" s="252">
        <f t="shared" si="80"/>
        <v>36.76</v>
      </c>
    </row>
    <row r="3934" spans="1:7" x14ac:dyDescent="0.3">
      <c r="A3934" s="680" t="s">
        <v>1152</v>
      </c>
      <c r="B3934" s="681"/>
      <c r="C3934" s="681"/>
      <c r="D3934" s="681"/>
      <c r="E3934" s="681"/>
      <c r="F3934" s="682"/>
      <c r="G3934" s="527">
        <f>SUM(G3930:G3933)</f>
        <v>356.52000000000004</v>
      </c>
    </row>
    <row r="3935" spans="1:7" x14ac:dyDescent="0.3">
      <c r="A3935" s="683">
        <f>TRUNC(E3935*F3935,2)</f>
        <v>0</v>
      </c>
      <c r="B3935" s="684"/>
      <c r="C3935" s="684"/>
      <c r="D3935" s="684"/>
      <c r="E3935" s="684"/>
      <c r="F3935" s="684"/>
      <c r="G3935" s="685"/>
    </row>
    <row r="3936" spans="1:7" ht="28.8" x14ac:dyDescent="0.3">
      <c r="A3936" s="529" t="s">
        <v>681</v>
      </c>
      <c r="B3936" s="529">
        <v>91941</v>
      </c>
      <c r="C3936" s="530" t="s">
        <v>150</v>
      </c>
      <c r="D3936" s="529" t="s">
        <v>44</v>
      </c>
      <c r="E3936" s="252"/>
      <c r="F3936" s="531">
        <v>6.8</v>
      </c>
      <c r="G3936" s="252">
        <f t="shared" si="80"/>
        <v>0</v>
      </c>
    </row>
    <row r="3937" spans="1:7" x14ac:dyDescent="0.3">
      <c r="A3937" s="524" t="s">
        <v>508</v>
      </c>
      <c r="B3937" s="524" t="s">
        <v>1681</v>
      </c>
      <c r="C3937" s="525" t="s">
        <v>1682</v>
      </c>
      <c r="D3937" s="524" t="s">
        <v>397</v>
      </c>
      <c r="E3937" s="524" t="s">
        <v>1122</v>
      </c>
      <c r="F3937" s="526" t="s">
        <v>1683</v>
      </c>
      <c r="G3937" s="252">
        <f t="shared" si="80"/>
        <v>1.69</v>
      </c>
    </row>
    <row r="3938" spans="1:7" x14ac:dyDescent="0.3">
      <c r="A3938" s="524" t="s">
        <v>522</v>
      </c>
      <c r="B3938" s="524" t="s">
        <v>611</v>
      </c>
      <c r="C3938" s="525" t="s">
        <v>546</v>
      </c>
      <c r="D3938" s="524" t="s">
        <v>32</v>
      </c>
      <c r="E3938" s="524" t="s">
        <v>1684</v>
      </c>
      <c r="F3938" s="526" t="s">
        <v>1646</v>
      </c>
      <c r="G3938" s="252">
        <f t="shared" si="80"/>
        <v>2.0699999999999998</v>
      </c>
    </row>
    <row r="3939" spans="1:7" x14ac:dyDescent="0.3">
      <c r="A3939" s="524" t="s">
        <v>522</v>
      </c>
      <c r="B3939" s="524" t="s">
        <v>610</v>
      </c>
      <c r="C3939" s="525" t="s">
        <v>543</v>
      </c>
      <c r="D3939" s="524" t="s">
        <v>32</v>
      </c>
      <c r="E3939" s="524" t="s">
        <v>1684</v>
      </c>
      <c r="F3939" s="526" t="s">
        <v>1647</v>
      </c>
      <c r="G3939" s="252">
        <f t="shared" si="80"/>
        <v>2.66</v>
      </c>
    </row>
    <row r="3940" spans="1:7" ht="28.8" x14ac:dyDescent="0.3">
      <c r="A3940" s="524" t="s">
        <v>522</v>
      </c>
      <c r="B3940" s="524" t="s">
        <v>1685</v>
      </c>
      <c r="C3940" s="525" t="s">
        <v>1686</v>
      </c>
      <c r="D3940" s="524" t="s">
        <v>41</v>
      </c>
      <c r="E3940" s="524" t="s">
        <v>1687</v>
      </c>
      <c r="F3940" s="526" t="s">
        <v>1688</v>
      </c>
      <c r="G3940" s="252">
        <f t="shared" si="80"/>
        <v>0.38</v>
      </c>
    </row>
    <row r="3941" spans="1:7" x14ac:dyDescent="0.3">
      <c r="A3941" s="680" t="s">
        <v>1152</v>
      </c>
      <c r="B3941" s="681"/>
      <c r="C3941" s="681"/>
      <c r="D3941" s="681"/>
      <c r="E3941" s="681"/>
      <c r="F3941" s="682"/>
      <c r="G3941" s="527">
        <f>SUM(G3937:G3940)</f>
        <v>6.8</v>
      </c>
    </row>
    <row r="3942" spans="1:7" x14ac:dyDescent="0.3">
      <c r="A3942" s="683">
        <f>TRUNC(E3942*F3942,2)</f>
        <v>0</v>
      </c>
      <c r="B3942" s="684"/>
      <c r="C3942" s="684"/>
      <c r="D3942" s="684"/>
      <c r="E3942" s="684"/>
      <c r="F3942" s="684"/>
      <c r="G3942" s="685"/>
    </row>
    <row r="3943" spans="1:7" x14ac:dyDescent="0.3">
      <c r="A3943" s="529" t="s">
        <v>186</v>
      </c>
      <c r="B3943" s="529"/>
      <c r="C3943" s="530" t="s">
        <v>161</v>
      </c>
      <c r="D3943" s="529"/>
      <c r="E3943" s="252"/>
      <c r="F3943" s="531"/>
      <c r="G3943" s="252">
        <f t="shared" si="80"/>
        <v>0</v>
      </c>
    </row>
    <row r="3944" spans="1:7" ht="28.8" x14ac:dyDescent="0.3">
      <c r="A3944" s="529" t="s">
        <v>188</v>
      </c>
      <c r="B3944" s="529">
        <v>90447</v>
      </c>
      <c r="C3944" s="530" t="s">
        <v>127</v>
      </c>
      <c r="D3944" s="529" t="s">
        <v>55</v>
      </c>
      <c r="E3944" s="252"/>
      <c r="F3944" s="531">
        <v>4.45</v>
      </c>
      <c r="G3944" s="252">
        <f t="shared" si="80"/>
        <v>0</v>
      </c>
    </row>
    <row r="3945" spans="1:7" x14ac:dyDescent="0.3">
      <c r="A3945" s="524" t="s">
        <v>522</v>
      </c>
      <c r="B3945" s="524" t="s">
        <v>611</v>
      </c>
      <c r="C3945" s="525" t="s">
        <v>546</v>
      </c>
      <c r="D3945" s="524" t="s">
        <v>32</v>
      </c>
      <c r="E3945" s="524" t="s">
        <v>1658</v>
      </c>
      <c r="F3945" s="528" t="s">
        <v>1646</v>
      </c>
      <c r="G3945" s="252">
        <f t="shared" si="80"/>
        <v>0.48</v>
      </c>
    </row>
    <row r="3946" spans="1:7" x14ac:dyDescent="0.3">
      <c r="A3946" s="524" t="s">
        <v>522</v>
      </c>
      <c r="B3946" s="524" t="s">
        <v>610</v>
      </c>
      <c r="C3946" s="525" t="s">
        <v>543</v>
      </c>
      <c r="D3946" s="524" t="s">
        <v>32</v>
      </c>
      <c r="E3946" s="524" t="s">
        <v>1659</v>
      </c>
      <c r="F3946" s="528" t="s">
        <v>1647</v>
      </c>
      <c r="G3946" s="252">
        <f t="shared" si="80"/>
        <v>3.97</v>
      </c>
    </row>
    <row r="3947" spans="1:7" x14ac:dyDescent="0.3">
      <c r="A3947" s="680" t="s">
        <v>1152</v>
      </c>
      <c r="B3947" s="681"/>
      <c r="C3947" s="681"/>
      <c r="D3947" s="681"/>
      <c r="E3947" s="681"/>
      <c r="F3947" s="682"/>
      <c r="G3947" s="527">
        <f>SUM(G3943:G3946)</f>
        <v>4.45</v>
      </c>
    </row>
    <row r="3948" spans="1:7" x14ac:dyDescent="0.3">
      <c r="A3948" s="683">
        <f>TRUNC(E3948*F3948,2)</f>
        <v>0</v>
      </c>
      <c r="B3948" s="684"/>
      <c r="C3948" s="684"/>
      <c r="D3948" s="684"/>
      <c r="E3948" s="684"/>
      <c r="F3948" s="684"/>
      <c r="G3948" s="685"/>
    </row>
    <row r="3949" spans="1:7" ht="28.8" x14ac:dyDescent="0.3">
      <c r="A3949" s="529" t="s">
        <v>200</v>
      </c>
      <c r="B3949" s="529">
        <v>91869</v>
      </c>
      <c r="C3949" s="530" t="s">
        <v>132</v>
      </c>
      <c r="D3949" s="529" t="s">
        <v>55</v>
      </c>
      <c r="E3949" s="252"/>
      <c r="F3949" s="531">
        <v>10.32</v>
      </c>
      <c r="G3949" s="252">
        <f t="shared" si="80"/>
        <v>0</v>
      </c>
    </row>
    <row r="3950" spans="1:7" x14ac:dyDescent="0.3">
      <c r="A3950" s="524" t="s">
        <v>508</v>
      </c>
      <c r="B3950" s="524" t="s">
        <v>1665</v>
      </c>
      <c r="C3950" s="525" t="s">
        <v>1666</v>
      </c>
      <c r="D3950" s="524" t="s">
        <v>55</v>
      </c>
      <c r="E3950" s="524" t="s">
        <v>1667</v>
      </c>
      <c r="F3950" s="528" t="s">
        <v>1668</v>
      </c>
      <c r="G3950" s="252">
        <f t="shared" si="80"/>
        <v>5.26</v>
      </c>
    </row>
    <row r="3951" spans="1:7" ht="28.8" x14ac:dyDescent="0.3">
      <c r="A3951" s="524" t="s">
        <v>508</v>
      </c>
      <c r="B3951" s="524" t="s">
        <v>1669</v>
      </c>
      <c r="C3951" s="525" t="s">
        <v>1670</v>
      </c>
      <c r="D3951" s="524" t="s">
        <v>426</v>
      </c>
      <c r="E3951" s="524" t="s">
        <v>1671</v>
      </c>
      <c r="F3951" s="528" t="s">
        <v>1672</v>
      </c>
      <c r="G3951" s="252">
        <f t="shared" si="80"/>
        <v>0.03</v>
      </c>
    </row>
    <row r="3952" spans="1:7" x14ac:dyDescent="0.3">
      <c r="A3952" s="524" t="s">
        <v>522</v>
      </c>
      <c r="B3952" s="524" t="s">
        <v>611</v>
      </c>
      <c r="C3952" s="525" t="s">
        <v>546</v>
      </c>
      <c r="D3952" s="524" t="s">
        <v>32</v>
      </c>
      <c r="E3952" s="524" t="s">
        <v>1673</v>
      </c>
      <c r="F3952" s="528" t="s">
        <v>1646</v>
      </c>
      <c r="G3952" s="252">
        <f t="shared" si="80"/>
        <v>2.2000000000000002</v>
      </c>
    </row>
    <row r="3953" spans="1:7" x14ac:dyDescent="0.3">
      <c r="A3953" s="524" t="s">
        <v>522</v>
      </c>
      <c r="B3953" s="524" t="s">
        <v>610</v>
      </c>
      <c r="C3953" s="525" t="s">
        <v>543</v>
      </c>
      <c r="D3953" s="524" t="s">
        <v>32</v>
      </c>
      <c r="E3953" s="524" t="s">
        <v>1673</v>
      </c>
      <c r="F3953" s="528" t="s">
        <v>1647</v>
      </c>
      <c r="G3953" s="252">
        <f t="shared" si="80"/>
        <v>2.83</v>
      </c>
    </row>
    <row r="3954" spans="1:7" x14ac:dyDescent="0.3">
      <c r="A3954" s="680" t="s">
        <v>1152</v>
      </c>
      <c r="B3954" s="681"/>
      <c r="C3954" s="681"/>
      <c r="D3954" s="681"/>
      <c r="E3954" s="681"/>
      <c r="F3954" s="682"/>
      <c r="G3954" s="527">
        <f>SUM(G3950:G3953)</f>
        <v>10.32</v>
      </c>
    </row>
    <row r="3955" spans="1:7" x14ac:dyDescent="0.3">
      <c r="A3955" s="683">
        <f>TRUNC(E3955*F3955,2)</f>
        <v>0</v>
      </c>
      <c r="B3955" s="684"/>
      <c r="C3955" s="684"/>
      <c r="D3955" s="684"/>
      <c r="E3955" s="684"/>
      <c r="F3955" s="684"/>
      <c r="G3955" s="685"/>
    </row>
    <row r="3956" spans="1:7" ht="28.8" x14ac:dyDescent="0.3">
      <c r="A3956" s="529" t="s">
        <v>236</v>
      </c>
      <c r="B3956" s="529">
        <v>91941</v>
      </c>
      <c r="C3956" s="530" t="s">
        <v>150</v>
      </c>
      <c r="D3956" s="529" t="s">
        <v>44</v>
      </c>
      <c r="E3956" s="252"/>
      <c r="F3956" s="531">
        <v>6.8</v>
      </c>
      <c r="G3956" s="252">
        <f t="shared" si="80"/>
        <v>0</v>
      </c>
    </row>
    <row r="3957" spans="1:7" x14ac:dyDescent="0.3">
      <c r="A3957" s="524" t="s">
        <v>508</v>
      </c>
      <c r="B3957" s="524" t="s">
        <v>1681</v>
      </c>
      <c r="C3957" s="525" t="s">
        <v>1682</v>
      </c>
      <c r="D3957" s="524" t="s">
        <v>397</v>
      </c>
      <c r="E3957" s="524" t="s">
        <v>1122</v>
      </c>
      <c r="F3957" s="526" t="s">
        <v>1683</v>
      </c>
      <c r="G3957" s="252">
        <f t="shared" ref="G3957:G3960" si="84">TRUNC(E3957*F3957,2)</f>
        <v>1.69</v>
      </c>
    </row>
    <row r="3958" spans="1:7" x14ac:dyDescent="0.3">
      <c r="A3958" s="524" t="s">
        <v>522</v>
      </c>
      <c r="B3958" s="524" t="s">
        <v>611</v>
      </c>
      <c r="C3958" s="525" t="s">
        <v>546</v>
      </c>
      <c r="D3958" s="524" t="s">
        <v>32</v>
      </c>
      <c r="E3958" s="524" t="s">
        <v>1684</v>
      </c>
      <c r="F3958" s="526" t="s">
        <v>1646</v>
      </c>
      <c r="G3958" s="252">
        <f t="shared" si="84"/>
        <v>2.0699999999999998</v>
      </c>
    </row>
    <row r="3959" spans="1:7" x14ac:dyDescent="0.3">
      <c r="A3959" s="524" t="s">
        <v>522</v>
      </c>
      <c r="B3959" s="524" t="s">
        <v>610</v>
      </c>
      <c r="C3959" s="525" t="s">
        <v>543</v>
      </c>
      <c r="D3959" s="524" t="s">
        <v>32</v>
      </c>
      <c r="E3959" s="524" t="s">
        <v>1684</v>
      </c>
      <c r="F3959" s="526" t="s">
        <v>1647</v>
      </c>
      <c r="G3959" s="252">
        <f t="shared" si="84"/>
        <v>2.66</v>
      </c>
    </row>
    <row r="3960" spans="1:7" ht="28.8" x14ac:dyDescent="0.3">
      <c r="A3960" s="524" t="s">
        <v>522</v>
      </c>
      <c r="B3960" s="524" t="s">
        <v>1685</v>
      </c>
      <c r="C3960" s="525" t="s">
        <v>1686</v>
      </c>
      <c r="D3960" s="524" t="s">
        <v>41</v>
      </c>
      <c r="E3960" s="524" t="s">
        <v>1687</v>
      </c>
      <c r="F3960" s="526" t="s">
        <v>1688</v>
      </c>
      <c r="G3960" s="252">
        <f t="shared" si="84"/>
        <v>0.38</v>
      </c>
    </row>
    <row r="3961" spans="1:7" x14ac:dyDescent="0.3">
      <c r="A3961" s="680" t="s">
        <v>1152</v>
      </c>
      <c r="B3961" s="681"/>
      <c r="C3961" s="681"/>
      <c r="D3961" s="681"/>
      <c r="E3961" s="681"/>
      <c r="F3961" s="682"/>
      <c r="G3961" s="527">
        <f>SUM(G3957:G3960)</f>
        <v>6.8</v>
      </c>
    </row>
    <row r="3962" spans="1:7" x14ac:dyDescent="0.3">
      <c r="A3962" s="683">
        <f>TRUNC(E3962*F3962,2)</f>
        <v>0</v>
      </c>
      <c r="B3962" s="684"/>
      <c r="C3962" s="684"/>
      <c r="D3962" s="684"/>
      <c r="E3962" s="684"/>
      <c r="F3962" s="684"/>
      <c r="G3962" s="685"/>
    </row>
    <row r="3963" spans="1:7" ht="28.8" x14ac:dyDescent="0.3">
      <c r="A3963" s="529" t="s">
        <v>237</v>
      </c>
      <c r="B3963" s="529">
        <v>95778</v>
      </c>
      <c r="C3963" s="530" t="s">
        <v>168</v>
      </c>
      <c r="D3963" s="529" t="s">
        <v>55</v>
      </c>
      <c r="E3963" s="252"/>
      <c r="F3963" s="531">
        <v>20.28</v>
      </c>
      <c r="G3963" s="252">
        <f t="shared" si="80"/>
        <v>0</v>
      </c>
    </row>
    <row r="3964" spans="1:7" ht="28.8" x14ac:dyDescent="0.3">
      <c r="A3964" s="524" t="s">
        <v>508</v>
      </c>
      <c r="B3964" s="524" t="s">
        <v>1689</v>
      </c>
      <c r="C3964" s="525" t="s">
        <v>1690</v>
      </c>
      <c r="D3964" s="524" t="s">
        <v>397</v>
      </c>
      <c r="E3964" s="524" t="s">
        <v>1122</v>
      </c>
      <c r="F3964" s="526" t="s">
        <v>1691</v>
      </c>
      <c r="G3964" s="252">
        <f t="shared" si="80"/>
        <v>8.69</v>
      </c>
    </row>
    <row r="3965" spans="1:7" ht="28.8" x14ac:dyDescent="0.3">
      <c r="A3965" s="524" t="s">
        <v>508</v>
      </c>
      <c r="B3965" s="524" t="s">
        <v>1692</v>
      </c>
      <c r="C3965" s="525" t="s">
        <v>1693</v>
      </c>
      <c r="D3965" s="524" t="s">
        <v>397</v>
      </c>
      <c r="E3965" s="524" t="s">
        <v>1523</v>
      </c>
      <c r="F3965" s="526" t="s">
        <v>1694</v>
      </c>
      <c r="G3965" s="252">
        <f t="shared" si="80"/>
        <v>0.36</v>
      </c>
    </row>
    <row r="3966" spans="1:7" x14ac:dyDescent="0.3">
      <c r="A3966" s="524" t="s">
        <v>522</v>
      </c>
      <c r="B3966" s="524" t="s">
        <v>611</v>
      </c>
      <c r="C3966" s="525" t="s">
        <v>546</v>
      </c>
      <c r="D3966" s="524" t="s">
        <v>32</v>
      </c>
      <c r="E3966" s="524" t="s">
        <v>1695</v>
      </c>
      <c r="F3966" s="526" t="s">
        <v>1646</v>
      </c>
      <c r="G3966" s="252">
        <f t="shared" si="80"/>
        <v>4.92</v>
      </c>
    </row>
    <row r="3967" spans="1:7" x14ac:dyDescent="0.3">
      <c r="A3967" s="524" t="s">
        <v>522</v>
      </c>
      <c r="B3967" s="524" t="s">
        <v>610</v>
      </c>
      <c r="C3967" s="525" t="s">
        <v>543</v>
      </c>
      <c r="D3967" s="524" t="s">
        <v>32</v>
      </c>
      <c r="E3967" s="524" t="s">
        <v>1695</v>
      </c>
      <c r="F3967" s="526" t="s">
        <v>1647</v>
      </c>
      <c r="G3967" s="252">
        <f t="shared" si="80"/>
        <v>6.31</v>
      </c>
    </row>
    <row r="3968" spans="1:7" x14ac:dyDescent="0.3">
      <c r="A3968" s="680" t="s">
        <v>1152</v>
      </c>
      <c r="B3968" s="681"/>
      <c r="C3968" s="681"/>
      <c r="D3968" s="681"/>
      <c r="E3968" s="681"/>
      <c r="F3968" s="682"/>
      <c r="G3968" s="527">
        <f>SUM(G3964:G3967)</f>
        <v>20.279999999999998</v>
      </c>
    </row>
    <row r="3969" spans="1:7" x14ac:dyDescent="0.3">
      <c r="A3969" s="683">
        <f>TRUNC(E3969*F3969,2)</f>
        <v>0</v>
      </c>
      <c r="B3969" s="684"/>
      <c r="C3969" s="684"/>
      <c r="D3969" s="684"/>
      <c r="E3969" s="684"/>
      <c r="F3969" s="684"/>
      <c r="G3969" s="685"/>
    </row>
    <row r="3970" spans="1:7" ht="28.8" x14ac:dyDescent="0.3">
      <c r="A3970" s="529" t="s">
        <v>238</v>
      </c>
      <c r="B3970" s="529">
        <v>98294</v>
      </c>
      <c r="C3970" s="530" t="s">
        <v>170</v>
      </c>
      <c r="D3970" s="529" t="s">
        <v>55</v>
      </c>
      <c r="E3970" s="252"/>
      <c r="F3970" s="531">
        <v>1.65</v>
      </c>
      <c r="G3970" s="252">
        <f t="shared" si="80"/>
        <v>0</v>
      </c>
    </row>
    <row r="3971" spans="1:7" x14ac:dyDescent="0.3">
      <c r="A3971" s="524" t="s">
        <v>508</v>
      </c>
      <c r="B3971" s="524" t="s">
        <v>1696</v>
      </c>
      <c r="C3971" s="525" t="s">
        <v>619</v>
      </c>
      <c r="D3971" s="524" t="s">
        <v>55</v>
      </c>
      <c r="E3971" s="524" t="s">
        <v>1697</v>
      </c>
      <c r="F3971" s="526" t="s">
        <v>1698</v>
      </c>
      <c r="G3971" s="252">
        <f t="shared" si="80"/>
        <v>1.1000000000000001</v>
      </c>
    </row>
    <row r="3972" spans="1:7" x14ac:dyDescent="0.3">
      <c r="A3972" s="524" t="s">
        <v>522</v>
      </c>
      <c r="B3972" s="524" t="s">
        <v>611</v>
      </c>
      <c r="C3972" s="525" t="s">
        <v>546</v>
      </c>
      <c r="D3972" s="524" t="s">
        <v>32</v>
      </c>
      <c r="E3972" s="524" t="s">
        <v>1699</v>
      </c>
      <c r="F3972" s="526" t="s">
        <v>1646</v>
      </c>
      <c r="G3972" s="252">
        <f t="shared" si="80"/>
        <v>0.24</v>
      </c>
    </row>
    <row r="3973" spans="1:7" x14ac:dyDescent="0.3">
      <c r="A3973" s="524" t="s">
        <v>522</v>
      </c>
      <c r="B3973" s="524" t="s">
        <v>610</v>
      </c>
      <c r="C3973" s="525" t="s">
        <v>543</v>
      </c>
      <c r="D3973" s="524" t="s">
        <v>32</v>
      </c>
      <c r="E3973" s="524" t="s">
        <v>1699</v>
      </c>
      <c r="F3973" s="526" t="s">
        <v>1647</v>
      </c>
      <c r="G3973" s="252">
        <f t="shared" si="80"/>
        <v>0.31</v>
      </c>
    </row>
    <row r="3974" spans="1:7" x14ac:dyDescent="0.3">
      <c r="A3974" s="680" t="s">
        <v>1152</v>
      </c>
      <c r="B3974" s="681"/>
      <c r="C3974" s="681"/>
      <c r="D3974" s="681"/>
      <c r="E3974" s="681"/>
      <c r="F3974" s="682"/>
      <c r="G3974" s="527">
        <f>SUM(G3970:G3973)</f>
        <v>1.6500000000000001</v>
      </c>
    </row>
    <row r="3975" spans="1:7" x14ac:dyDescent="0.3">
      <c r="A3975" s="683">
        <f>TRUNC(E3975*F3975,2)</f>
        <v>0</v>
      </c>
      <c r="B3975" s="684"/>
      <c r="C3975" s="684"/>
      <c r="D3975" s="684"/>
      <c r="E3975" s="684"/>
      <c r="F3975" s="684"/>
      <c r="G3975" s="685"/>
    </row>
    <row r="3976" spans="1:7" ht="28.8" x14ac:dyDescent="0.3">
      <c r="A3976" s="529" t="s">
        <v>239</v>
      </c>
      <c r="B3976" s="529">
        <v>98296</v>
      </c>
      <c r="C3976" s="530" t="s">
        <v>172</v>
      </c>
      <c r="D3976" s="529" t="s">
        <v>55</v>
      </c>
      <c r="E3976" s="252"/>
      <c r="F3976" s="531">
        <v>2.52</v>
      </c>
      <c r="G3976" s="252">
        <f t="shared" si="80"/>
        <v>0</v>
      </c>
    </row>
    <row r="3977" spans="1:7" x14ac:dyDescent="0.3">
      <c r="A3977" s="524" t="s">
        <v>508</v>
      </c>
      <c r="B3977" s="524" t="s">
        <v>1700</v>
      </c>
      <c r="C3977" s="525" t="s">
        <v>1701</v>
      </c>
      <c r="D3977" s="524" t="s">
        <v>55</v>
      </c>
      <c r="E3977" s="524" t="s">
        <v>1697</v>
      </c>
      <c r="F3977" s="526" t="s">
        <v>1702</v>
      </c>
      <c r="G3977" s="252">
        <f t="shared" si="80"/>
        <v>1.65</v>
      </c>
    </row>
    <row r="3978" spans="1:7" x14ac:dyDescent="0.3">
      <c r="A3978" s="524" t="s">
        <v>522</v>
      </c>
      <c r="B3978" s="524" t="s">
        <v>611</v>
      </c>
      <c r="C3978" s="525" t="s">
        <v>546</v>
      </c>
      <c r="D3978" s="524" t="s">
        <v>32</v>
      </c>
      <c r="E3978" s="524" t="s">
        <v>1151</v>
      </c>
      <c r="F3978" s="526" t="s">
        <v>1646</v>
      </c>
      <c r="G3978" s="252">
        <f t="shared" si="80"/>
        <v>0.38</v>
      </c>
    </row>
    <row r="3979" spans="1:7" x14ac:dyDescent="0.3">
      <c r="A3979" s="524" t="s">
        <v>522</v>
      </c>
      <c r="B3979" s="524" t="s">
        <v>610</v>
      </c>
      <c r="C3979" s="525" t="s">
        <v>543</v>
      </c>
      <c r="D3979" s="524" t="s">
        <v>32</v>
      </c>
      <c r="E3979" s="524" t="s">
        <v>1151</v>
      </c>
      <c r="F3979" s="526" t="s">
        <v>1647</v>
      </c>
      <c r="G3979" s="252">
        <f t="shared" si="80"/>
        <v>0.49</v>
      </c>
    </row>
    <row r="3980" spans="1:7" x14ac:dyDescent="0.3">
      <c r="A3980" s="680" t="s">
        <v>1152</v>
      </c>
      <c r="B3980" s="681"/>
      <c r="C3980" s="681"/>
      <c r="D3980" s="681"/>
      <c r="E3980" s="681"/>
      <c r="F3980" s="682"/>
      <c r="G3980" s="527">
        <f>SUM(G3976:G3979)</f>
        <v>2.5199999999999996</v>
      </c>
    </row>
    <row r="3981" spans="1:7" x14ac:dyDescent="0.3">
      <c r="A3981" s="683">
        <f>TRUNC(E3981*F3981,2)</f>
        <v>0</v>
      </c>
      <c r="B3981" s="684"/>
      <c r="C3981" s="684"/>
      <c r="D3981" s="684"/>
      <c r="E3981" s="684"/>
      <c r="F3981" s="684"/>
      <c r="G3981" s="685"/>
    </row>
    <row r="3982" spans="1:7" ht="43.2" x14ac:dyDescent="0.3">
      <c r="A3982" s="529" t="s">
        <v>240</v>
      </c>
      <c r="B3982" s="529" t="s">
        <v>178</v>
      </c>
      <c r="C3982" s="530" t="s">
        <v>179</v>
      </c>
      <c r="D3982" s="529" t="s">
        <v>44</v>
      </c>
      <c r="E3982" s="252"/>
      <c r="F3982" s="531">
        <v>1488.24</v>
      </c>
      <c r="G3982" s="252">
        <f t="shared" si="80"/>
        <v>0</v>
      </c>
    </row>
    <row r="3983" spans="1:7" x14ac:dyDescent="0.3">
      <c r="A3983" s="529"/>
      <c r="B3983" s="529" t="s">
        <v>570</v>
      </c>
      <c r="C3983" s="530" t="s">
        <v>571</v>
      </c>
      <c r="D3983" s="529" t="s">
        <v>397</v>
      </c>
      <c r="E3983" s="609">
        <v>1</v>
      </c>
      <c r="F3983" s="531">
        <v>164.45</v>
      </c>
      <c r="G3983" s="252">
        <f t="shared" si="80"/>
        <v>164.45</v>
      </c>
    </row>
    <row r="3984" spans="1:7" x14ac:dyDescent="0.3">
      <c r="A3984" s="529"/>
      <c r="B3984" s="529" t="s">
        <v>807</v>
      </c>
      <c r="C3984" s="530" t="s">
        <v>573</v>
      </c>
      <c r="D3984" s="529" t="s">
        <v>397</v>
      </c>
      <c r="E3984" s="609">
        <v>1</v>
      </c>
      <c r="F3984" s="531">
        <v>75.58</v>
      </c>
      <c r="G3984" s="252">
        <f t="shared" si="80"/>
        <v>75.58</v>
      </c>
    </row>
    <row r="3985" spans="1:7" x14ac:dyDescent="0.3">
      <c r="A3985" s="529"/>
      <c r="B3985" s="529" t="s">
        <v>807</v>
      </c>
      <c r="C3985" s="530" t="s">
        <v>574</v>
      </c>
      <c r="D3985" s="529" t="s">
        <v>397</v>
      </c>
      <c r="E3985" s="609">
        <v>1</v>
      </c>
      <c r="F3985" s="531">
        <v>62.05</v>
      </c>
      <c r="G3985" s="252">
        <f t="shared" si="80"/>
        <v>62.05</v>
      </c>
    </row>
    <row r="3986" spans="1:7" ht="28.8" x14ac:dyDescent="0.3">
      <c r="A3986" s="529"/>
      <c r="B3986" s="529" t="s">
        <v>807</v>
      </c>
      <c r="C3986" s="530" t="s">
        <v>575</v>
      </c>
      <c r="D3986" s="529" t="s">
        <v>397</v>
      </c>
      <c r="E3986" s="609">
        <v>1</v>
      </c>
      <c r="F3986" s="531">
        <v>922.58</v>
      </c>
      <c r="G3986" s="252">
        <f t="shared" si="80"/>
        <v>922.58</v>
      </c>
    </row>
    <row r="3987" spans="1:7" x14ac:dyDescent="0.3">
      <c r="A3987" s="529"/>
      <c r="B3987" s="529" t="s">
        <v>807</v>
      </c>
      <c r="C3987" s="530" t="s">
        <v>576</v>
      </c>
      <c r="D3987" s="529" t="s">
        <v>397</v>
      </c>
      <c r="E3987" s="609">
        <v>2</v>
      </c>
      <c r="F3987" s="531">
        <v>66.37</v>
      </c>
      <c r="G3987" s="252">
        <f t="shared" si="80"/>
        <v>132.74</v>
      </c>
    </row>
    <row r="3988" spans="1:7" x14ac:dyDescent="0.3">
      <c r="A3988" s="529"/>
      <c r="B3988" s="524" t="s">
        <v>610</v>
      </c>
      <c r="C3988" s="525" t="s">
        <v>543</v>
      </c>
      <c r="D3988" s="529" t="s">
        <v>32</v>
      </c>
      <c r="E3988" s="609">
        <v>4</v>
      </c>
      <c r="F3988" s="531">
        <v>18.38</v>
      </c>
      <c r="G3988" s="252">
        <f t="shared" si="80"/>
        <v>73.52</v>
      </c>
    </row>
    <row r="3989" spans="1:7" x14ac:dyDescent="0.3">
      <c r="A3989" s="529"/>
      <c r="B3989" s="524" t="s">
        <v>611</v>
      </c>
      <c r="C3989" s="525" t="s">
        <v>546</v>
      </c>
      <c r="D3989" s="529" t="s">
        <v>32</v>
      </c>
      <c r="E3989" s="609">
        <v>4</v>
      </c>
      <c r="F3989" s="531">
        <v>14.33</v>
      </c>
      <c r="G3989" s="252">
        <f t="shared" si="80"/>
        <v>57.32</v>
      </c>
    </row>
    <row r="3990" spans="1:7" x14ac:dyDescent="0.3">
      <c r="A3990" s="680" t="s">
        <v>1152</v>
      </c>
      <c r="B3990" s="681"/>
      <c r="C3990" s="681"/>
      <c r="D3990" s="681"/>
      <c r="E3990" s="681"/>
      <c r="F3990" s="682"/>
      <c r="G3990" s="527">
        <f>SUM(G3982:G3989)</f>
        <v>1488.24</v>
      </c>
    </row>
    <row r="3991" spans="1:7" x14ac:dyDescent="0.3">
      <c r="A3991" s="686"/>
      <c r="B3991" s="687"/>
      <c r="C3991" s="687"/>
      <c r="D3991" s="687"/>
      <c r="E3991" s="687"/>
      <c r="F3991" s="687"/>
      <c r="G3991" s="688"/>
    </row>
    <row r="3992" spans="1:7" ht="28.8" x14ac:dyDescent="0.3">
      <c r="A3992" s="529" t="s">
        <v>241</v>
      </c>
      <c r="B3992" s="529" t="s">
        <v>399</v>
      </c>
      <c r="C3992" s="530" t="s">
        <v>400</v>
      </c>
      <c r="D3992" s="529" t="s">
        <v>44</v>
      </c>
      <c r="E3992" s="252"/>
      <c r="F3992" s="531">
        <v>176.86</v>
      </c>
      <c r="G3992" s="252">
        <f t="shared" si="80"/>
        <v>0</v>
      </c>
    </row>
    <row r="3993" spans="1:7" x14ac:dyDescent="0.3">
      <c r="A3993" s="524" t="s">
        <v>508</v>
      </c>
      <c r="B3993" s="524" t="s">
        <v>2236</v>
      </c>
      <c r="C3993" s="525" t="s">
        <v>2237</v>
      </c>
      <c r="D3993" s="524" t="s">
        <v>426</v>
      </c>
      <c r="E3993" s="524" t="s">
        <v>2238</v>
      </c>
      <c r="F3993" s="526" t="s">
        <v>2239</v>
      </c>
      <c r="G3993" s="252">
        <f t="shared" ref="G3993:G4004" si="85">TRUNC(E3993*F3993,2)</f>
        <v>23.47</v>
      </c>
    </row>
    <row r="3994" spans="1:7" ht="28.8" x14ac:dyDescent="0.3">
      <c r="A3994" s="524" t="s">
        <v>508</v>
      </c>
      <c r="B3994" s="524" t="s">
        <v>1669</v>
      </c>
      <c r="C3994" s="525" t="s">
        <v>1670</v>
      </c>
      <c r="D3994" s="524" t="s">
        <v>426</v>
      </c>
      <c r="E3994" s="524" t="s">
        <v>2240</v>
      </c>
      <c r="F3994" s="526" t="s">
        <v>1672</v>
      </c>
      <c r="G3994" s="252">
        <f t="shared" si="85"/>
        <v>0.15</v>
      </c>
    </row>
    <row r="3995" spans="1:7" ht="43.2" x14ac:dyDescent="0.3">
      <c r="A3995" s="524" t="s">
        <v>522</v>
      </c>
      <c r="B3995" s="524" t="s">
        <v>2241</v>
      </c>
      <c r="C3995" s="525" t="s">
        <v>2242</v>
      </c>
      <c r="D3995" s="524" t="s">
        <v>24</v>
      </c>
      <c r="E3995" s="524" t="s">
        <v>2243</v>
      </c>
      <c r="F3995" s="526" t="s">
        <v>2244</v>
      </c>
      <c r="G3995" s="252">
        <f t="shared" si="85"/>
        <v>57.12</v>
      </c>
    </row>
    <row r="3996" spans="1:7" ht="57.6" x14ac:dyDescent="0.3">
      <c r="A3996" s="524" t="s">
        <v>522</v>
      </c>
      <c r="B3996" s="524" t="s">
        <v>2245</v>
      </c>
      <c r="C3996" s="525" t="s">
        <v>2246</v>
      </c>
      <c r="D3996" s="524" t="s">
        <v>24</v>
      </c>
      <c r="E3996" s="524" t="s">
        <v>2247</v>
      </c>
      <c r="F3996" s="526" t="s">
        <v>1749</v>
      </c>
      <c r="G3996" s="252">
        <f t="shared" si="85"/>
        <v>17.079999999999998</v>
      </c>
    </row>
    <row r="3997" spans="1:7" ht="43.2" x14ac:dyDescent="0.3">
      <c r="A3997" s="524" t="s">
        <v>522</v>
      </c>
      <c r="B3997" s="524" t="s">
        <v>2248</v>
      </c>
      <c r="C3997" s="525" t="s">
        <v>2249</v>
      </c>
      <c r="D3997" s="524" t="s">
        <v>24</v>
      </c>
      <c r="E3997" s="524" t="s">
        <v>2247</v>
      </c>
      <c r="F3997" s="526" t="s">
        <v>2250</v>
      </c>
      <c r="G3997" s="252">
        <f t="shared" si="85"/>
        <v>2.58</v>
      </c>
    </row>
    <row r="3998" spans="1:7" x14ac:dyDescent="0.3">
      <c r="A3998" s="524" t="s">
        <v>522</v>
      </c>
      <c r="B3998" s="524" t="s">
        <v>2251</v>
      </c>
      <c r="C3998" s="525" t="s">
        <v>2252</v>
      </c>
      <c r="D3998" s="524" t="s">
        <v>32</v>
      </c>
      <c r="E3998" s="524" t="s">
        <v>1528</v>
      </c>
      <c r="F3998" s="526" t="s">
        <v>2253</v>
      </c>
      <c r="G3998" s="252">
        <f t="shared" si="85"/>
        <v>3.53</v>
      </c>
    </row>
    <row r="3999" spans="1:7" x14ac:dyDescent="0.3">
      <c r="A3999" s="524" t="s">
        <v>522</v>
      </c>
      <c r="B3999" s="524" t="s">
        <v>1362</v>
      </c>
      <c r="C3999" s="525" t="s">
        <v>1363</v>
      </c>
      <c r="D3999" s="524" t="s">
        <v>32</v>
      </c>
      <c r="E3999" s="524" t="s">
        <v>2254</v>
      </c>
      <c r="F3999" s="526" t="s">
        <v>1365</v>
      </c>
      <c r="G3999" s="252">
        <f t="shared" si="85"/>
        <v>16.329999999999998</v>
      </c>
    </row>
    <row r="4000" spans="1:7" x14ac:dyDescent="0.3">
      <c r="A4000" s="524" t="s">
        <v>522</v>
      </c>
      <c r="B4000" s="524" t="s">
        <v>1359</v>
      </c>
      <c r="C4000" s="525" t="s">
        <v>801</v>
      </c>
      <c r="D4000" s="524" t="s">
        <v>32</v>
      </c>
      <c r="E4000" s="524" t="s">
        <v>2254</v>
      </c>
      <c r="F4000" s="526" t="s">
        <v>1361</v>
      </c>
      <c r="G4000" s="252">
        <f t="shared" si="85"/>
        <v>13.22</v>
      </c>
    </row>
    <row r="4001" spans="1:7" ht="43.2" x14ac:dyDescent="0.3">
      <c r="A4001" s="524" t="s">
        <v>522</v>
      </c>
      <c r="B4001" s="524" t="s">
        <v>2255</v>
      </c>
      <c r="C4001" s="525" t="s">
        <v>2256</v>
      </c>
      <c r="D4001" s="524" t="s">
        <v>24</v>
      </c>
      <c r="E4001" s="524" t="s">
        <v>1559</v>
      </c>
      <c r="F4001" s="526" t="s">
        <v>2257</v>
      </c>
      <c r="G4001" s="252">
        <f t="shared" si="85"/>
        <v>13.56</v>
      </c>
    </row>
    <row r="4002" spans="1:7" ht="28.8" x14ac:dyDescent="0.3">
      <c r="A4002" s="524" t="s">
        <v>522</v>
      </c>
      <c r="B4002" s="524" t="s">
        <v>2258</v>
      </c>
      <c r="C4002" s="525" t="s">
        <v>2259</v>
      </c>
      <c r="D4002" s="524" t="s">
        <v>41</v>
      </c>
      <c r="E4002" s="524" t="s">
        <v>2260</v>
      </c>
      <c r="F4002" s="526" t="s">
        <v>2261</v>
      </c>
      <c r="G4002" s="252">
        <f t="shared" si="85"/>
        <v>9.7200000000000006</v>
      </c>
    </row>
    <row r="4003" spans="1:7" ht="28.8" x14ac:dyDescent="0.3">
      <c r="A4003" s="524" t="s">
        <v>522</v>
      </c>
      <c r="B4003" s="524" t="s">
        <v>2262</v>
      </c>
      <c r="C4003" s="525" t="s">
        <v>2263</v>
      </c>
      <c r="D4003" s="524" t="s">
        <v>41</v>
      </c>
      <c r="E4003" s="524" t="s">
        <v>2264</v>
      </c>
      <c r="F4003" s="526" t="s">
        <v>2265</v>
      </c>
      <c r="G4003" s="252">
        <f t="shared" si="85"/>
        <v>6.16</v>
      </c>
    </row>
    <row r="4004" spans="1:7" ht="28.8" x14ac:dyDescent="0.3">
      <c r="A4004" s="524" t="s">
        <v>522</v>
      </c>
      <c r="B4004" s="524" t="s">
        <v>1413</v>
      </c>
      <c r="C4004" s="525" t="s">
        <v>1414</v>
      </c>
      <c r="D4004" s="524" t="s">
        <v>41</v>
      </c>
      <c r="E4004" s="524" t="s">
        <v>1815</v>
      </c>
      <c r="F4004" s="526" t="s">
        <v>1416</v>
      </c>
      <c r="G4004" s="252">
        <f t="shared" si="85"/>
        <v>13.94</v>
      </c>
    </row>
    <row r="4005" spans="1:7" x14ac:dyDescent="0.3">
      <c r="A4005" s="680" t="s">
        <v>1152</v>
      </c>
      <c r="B4005" s="681"/>
      <c r="C4005" s="681"/>
      <c r="D4005" s="681"/>
      <c r="E4005" s="681"/>
      <c r="F4005" s="682"/>
      <c r="G4005" s="527">
        <f>SUM(G3992:G4004)</f>
        <v>176.85999999999999</v>
      </c>
    </row>
    <row r="4006" spans="1:7" x14ac:dyDescent="0.3">
      <c r="A4006" s="686"/>
      <c r="B4006" s="687"/>
      <c r="C4006" s="687"/>
      <c r="D4006" s="687"/>
      <c r="E4006" s="687"/>
      <c r="F4006" s="687"/>
      <c r="G4006" s="688"/>
    </row>
    <row r="4007" spans="1:7" ht="28.8" x14ac:dyDescent="0.3">
      <c r="A4007" s="529" t="s">
        <v>242</v>
      </c>
      <c r="B4007" s="529">
        <v>84798</v>
      </c>
      <c r="C4007" s="530" t="s">
        <v>401</v>
      </c>
      <c r="D4007" s="529" t="s">
        <v>44</v>
      </c>
      <c r="E4007" s="252"/>
      <c r="F4007" s="531">
        <v>257.19</v>
      </c>
      <c r="G4007" s="252">
        <f t="shared" si="80"/>
        <v>0</v>
      </c>
    </row>
    <row r="4008" spans="1:7" ht="28.8" x14ac:dyDescent="0.3">
      <c r="A4008" s="524" t="s">
        <v>508</v>
      </c>
      <c r="B4008" s="524" t="s">
        <v>2266</v>
      </c>
      <c r="C4008" s="525" t="s">
        <v>2267</v>
      </c>
      <c r="D4008" s="524" t="s">
        <v>397</v>
      </c>
      <c r="E4008" s="524" t="s">
        <v>1122</v>
      </c>
      <c r="F4008" s="526" t="s">
        <v>2268</v>
      </c>
      <c r="G4008" s="252">
        <f t="shared" ref="G4008:G4011" si="86">TRUNC(E4008*F4008,2)</f>
        <v>207.66</v>
      </c>
    </row>
    <row r="4009" spans="1:7" ht="28.8" x14ac:dyDescent="0.3">
      <c r="A4009" s="524" t="s">
        <v>522</v>
      </c>
      <c r="B4009" s="524" t="s">
        <v>2269</v>
      </c>
      <c r="C4009" s="525" t="s">
        <v>2270</v>
      </c>
      <c r="D4009" s="524" t="s">
        <v>41</v>
      </c>
      <c r="E4009" s="524" t="s">
        <v>2271</v>
      </c>
      <c r="F4009" s="526" t="s">
        <v>2272</v>
      </c>
      <c r="G4009" s="252">
        <f t="shared" si="86"/>
        <v>1.34</v>
      </c>
    </row>
    <row r="4010" spans="1:7" x14ac:dyDescent="0.3">
      <c r="A4010" s="524" t="s">
        <v>522</v>
      </c>
      <c r="B4010" s="524" t="s">
        <v>1362</v>
      </c>
      <c r="C4010" s="525" t="s">
        <v>1363</v>
      </c>
      <c r="D4010" s="524" t="s">
        <v>32</v>
      </c>
      <c r="E4010" s="524" t="s">
        <v>1962</v>
      </c>
      <c r="F4010" s="526" t="s">
        <v>1365</v>
      </c>
      <c r="G4010" s="252">
        <f t="shared" si="86"/>
        <v>26.64</v>
      </c>
    </row>
    <row r="4011" spans="1:7" x14ac:dyDescent="0.3">
      <c r="A4011" s="524" t="s">
        <v>522</v>
      </c>
      <c r="B4011" s="524" t="s">
        <v>1359</v>
      </c>
      <c r="C4011" s="525" t="s">
        <v>801</v>
      </c>
      <c r="D4011" s="524" t="s">
        <v>32</v>
      </c>
      <c r="E4011" s="524" t="s">
        <v>1962</v>
      </c>
      <c r="F4011" s="526" t="s">
        <v>1361</v>
      </c>
      <c r="G4011" s="252">
        <f t="shared" si="86"/>
        <v>21.55</v>
      </c>
    </row>
    <row r="4012" spans="1:7" x14ac:dyDescent="0.3">
      <c r="A4012" s="680" t="s">
        <v>1152</v>
      </c>
      <c r="B4012" s="681"/>
      <c r="C4012" s="681"/>
      <c r="D4012" s="681"/>
      <c r="E4012" s="681"/>
      <c r="F4012" s="682"/>
      <c r="G4012" s="527">
        <f>SUM(G4007:G4011)</f>
        <v>257.19</v>
      </c>
    </row>
    <row r="4013" spans="1:7" x14ac:dyDescent="0.3">
      <c r="A4013" s="686"/>
      <c r="B4013" s="687"/>
      <c r="C4013" s="687"/>
      <c r="D4013" s="687"/>
      <c r="E4013" s="687"/>
      <c r="F4013" s="687"/>
      <c r="G4013" s="688"/>
    </row>
    <row r="4014" spans="1:7" x14ac:dyDescent="0.3">
      <c r="A4014" s="529" t="s">
        <v>243</v>
      </c>
      <c r="B4014" s="529">
        <v>98307</v>
      </c>
      <c r="C4014" s="530" t="s">
        <v>182</v>
      </c>
      <c r="D4014" s="529" t="s">
        <v>44</v>
      </c>
      <c r="E4014" s="252"/>
      <c r="F4014" s="531">
        <v>27.38</v>
      </c>
      <c r="G4014" s="252">
        <f t="shared" si="80"/>
        <v>0</v>
      </c>
    </row>
    <row r="4015" spans="1:7" ht="28.8" x14ac:dyDescent="0.3">
      <c r="A4015" s="524" t="s">
        <v>508</v>
      </c>
      <c r="B4015" s="524" t="s">
        <v>1715</v>
      </c>
      <c r="C4015" s="525" t="s">
        <v>1716</v>
      </c>
      <c r="D4015" s="524" t="s">
        <v>397</v>
      </c>
      <c r="E4015" s="524" t="s">
        <v>1122</v>
      </c>
      <c r="F4015" s="526" t="s">
        <v>1717</v>
      </c>
      <c r="G4015" s="252">
        <f t="shared" si="80"/>
        <v>20.65</v>
      </c>
    </row>
    <row r="4016" spans="1:7" x14ac:dyDescent="0.3">
      <c r="A4016" s="524" t="s">
        <v>522</v>
      </c>
      <c r="B4016" s="524" t="s">
        <v>611</v>
      </c>
      <c r="C4016" s="525" t="s">
        <v>546</v>
      </c>
      <c r="D4016" s="524" t="s">
        <v>32</v>
      </c>
      <c r="E4016" s="524" t="s">
        <v>1714</v>
      </c>
      <c r="F4016" s="526" t="s">
        <v>1646</v>
      </c>
      <c r="G4016" s="252">
        <f t="shared" si="80"/>
        <v>2.95</v>
      </c>
    </row>
    <row r="4017" spans="1:13" x14ac:dyDescent="0.3">
      <c r="A4017" s="524" t="s">
        <v>522</v>
      </c>
      <c r="B4017" s="524" t="s">
        <v>610</v>
      </c>
      <c r="C4017" s="525" t="s">
        <v>543</v>
      </c>
      <c r="D4017" s="524" t="s">
        <v>32</v>
      </c>
      <c r="E4017" s="524" t="s">
        <v>1714</v>
      </c>
      <c r="F4017" s="526" t="s">
        <v>1647</v>
      </c>
      <c r="G4017" s="252">
        <f t="shared" si="80"/>
        <v>3.78</v>
      </c>
    </row>
    <row r="4018" spans="1:13" x14ac:dyDescent="0.3">
      <c r="A4018" s="680" t="s">
        <v>1152</v>
      </c>
      <c r="B4018" s="681"/>
      <c r="C4018" s="681"/>
      <c r="D4018" s="681"/>
      <c r="E4018" s="681"/>
      <c r="F4018" s="682"/>
      <c r="G4018" s="527">
        <f>SUM(G4014:G4017)</f>
        <v>27.38</v>
      </c>
    </row>
    <row r="4019" spans="1:13" x14ac:dyDescent="0.3">
      <c r="A4019" s="683">
        <f>TRUNC(E4019*F4019,2)</f>
        <v>0</v>
      </c>
      <c r="B4019" s="684"/>
      <c r="C4019" s="684"/>
      <c r="D4019" s="684"/>
      <c r="E4019" s="684"/>
      <c r="F4019" s="684"/>
      <c r="G4019" s="685"/>
    </row>
    <row r="4020" spans="1:13" x14ac:dyDescent="0.3">
      <c r="A4020" s="529" t="s">
        <v>244</v>
      </c>
      <c r="B4020" s="529" t="s">
        <v>651</v>
      </c>
      <c r="C4020" s="530" t="s">
        <v>402</v>
      </c>
      <c r="D4020" s="529" t="s">
        <v>44</v>
      </c>
      <c r="E4020" s="252"/>
      <c r="F4020" s="531">
        <v>5.07</v>
      </c>
      <c r="G4020" s="252">
        <f t="shared" si="80"/>
        <v>0</v>
      </c>
    </row>
    <row r="4021" spans="1:13" x14ac:dyDescent="0.3">
      <c r="A4021" s="529"/>
      <c r="B4021" s="524" t="s">
        <v>610</v>
      </c>
      <c r="C4021" s="525" t="s">
        <v>543</v>
      </c>
      <c r="D4021" s="249" t="s">
        <v>32</v>
      </c>
      <c r="E4021" s="605">
        <v>0.125</v>
      </c>
      <c r="F4021" s="614">
        <v>18.38</v>
      </c>
      <c r="G4021" s="252">
        <f t="shared" ref="G4021:G4023" si="87">TRUNC(E4021*F4021,2)</f>
        <v>2.29</v>
      </c>
      <c r="I4021" s="259">
        <v>0.125</v>
      </c>
      <c r="J4021" s="260">
        <v>18.45</v>
      </c>
      <c r="K4021" s="206">
        <f t="shared" ref="K4021:K4023" si="88">TRUNC(I4021*J4021,2)</f>
        <v>2.2999999999999998</v>
      </c>
      <c r="L4021" s="135" t="s">
        <v>1647</v>
      </c>
      <c r="M4021" s="222">
        <f>I4021*J4021</f>
        <v>2.3062499999999999</v>
      </c>
    </row>
    <row r="4022" spans="1:13" x14ac:dyDescent="0.3">
      <c r="A4022" s="529"/>
      <c r="B4022" s="524" t="s">
        <v>611</v>
      </c>
      <c r="C4022" s="525" t="s">
        <v>546</v>
      </c>
      <c r="D4022" s="249" t="s">
        <v>32</v>
      </c>
      <c r="E4022" s="605">
        <v>0.125</v>
      </c>
      <c r="F4022" s="614">
        <v>14.33</v>
      </c>
      <c r="G4022" s="252">
        <f t="shared" si="87"/>
        <v>1.79</v>
      </c>
      <c r="I4022" s="259">
        <v>0.125</v>
      </c>
      <c r="J4022" s="260">
        <v>14.39</v>
      </c>
      <c r="K4022" s="206">
        <f t="shared" si="88"/>
        <v>1.79</v>
      </c>
      <c r="L4022" s="135" t="s">
        <v>1646</v>
      </c>
      <c r="M4022" s="222">
        <f t="shared" ref="M4022:M4023" si="89">I4022*J4022</f>
        <v>1.7987500000000001</v>
      </c>
    </row>
    <row r="4023" spans="1:13" x14ac:dyDescent="0.3">
      <c r="A4023" s="529"/>
      <c r="B4023" s="615" t="s">
        <v>634</v>
      </c>
      <c r="C4023" s="616" t="s">
        <v>635</v>
      </c>
      <c r="D4023" s="615" t="s">
        <v>397</v>
      </c>
      <c r="E4023" s="617">
        <v>1</v>
      </c>
      <c r="F4023" s="618">
        <v>0.99</v>
      </c>
      <c r="G4023" s="252">
        <f t="shared" si="87"/>
        <v>0.99</v>
      </c>
      <c r="I4023" s="132">
        <v>1</v>
      </c>
      <c r="J4023" s="258">
        <v>0.99</v>
      </c>
      <c r="K4023" s="120">
        <f t="shared" si="88"/>
        <v>0.99</v>
      </c>
      <c r="L4023" s="261"/>
      <c r="M4023" s="222">
        <f t="shared" si="89"/>
        <v>0.99</v>
      </c>
    </row>
    <row r="4024" spans="1:13" x14ac:dyDescent="0.3">
      <c r="A4024" s="680" t="s">
        <v>1152</v>
      </c>
      <c r="B4024" s="681"/>
      <c r="C4024" s="681"/>
      <c r="D4024" s="681"/>
      <c r="E4024" s="681"/>
      <c r="F4024" s="682"/>
      <c r="G4024" s="527">
        <f>SUM(G4020:G4023)</f>
        <v>5.07</v>
      </c>
      <c r="M4024" s="222">
        <f>SUM(M4021:M4023)</f>
        <v>5.0950000000000006</v>
      </c>
    </row>
    <row r="4025" spans="1:13" x14ac:dyDescent="0.3">
      <c r="A4025" s="683">
        <f>TRUNC(E4025*F4025,2)</f>
        <v>0</v>
      </c>
      <c r="B4025" s="684"/>
      <c r="C4025" s="684"/>
      <c r="D4025" s="684"/>
      <c r="E4025" s="684"/>
      <c r="F4025" s="684"/>
      <c r="G4025" s="685"/>
    </row>
    <row r="4026" spans="1:13" x14ac:dyDescent="0.3">
      <c r="A4026" s="529" t="s">
        <v>206</v>
      </c>
      <c r="B4026" s="529"/>
      <c r="C4026" s="530" t="s">
        <v>187</v>
      </c>
      <c r="D4026" s="529"/>
      <c r="E4026" s="252"/>
      <c r="F4026" s="531"/>
      <c r="G4026" s="252">
        <f t="shared" si="80"/>
        <v>0</v>
      </c>
    </row>
    <row r="4027" spans="1:13" x14ac:dyDescent="0.3">
      <c r="A4027" s="529" t="s">
        <v>208</v>
      </c>
      <c r="B4027" s="529"/>
      <c r="C4027" s="530" t="s">
        <v>189</v>
      </c>
      <c r="D4027" s="529"/>
      <c r="E4027" s="252"/>
      <c r="F4027" s="531"/>
      <c r="G4027" s="252">
        <f t="shared" si="80"/>
        <v>0</v>
      </c>
    </row>
    <row r="4028" spans="1:13" ht="28.8" x14ac:dyDescent="0.3">
      <c r="A4028" s="529" t="s">
        <v>688</v>
      </c>
      <c r="B4028" s="529">
        <v>90443</v>
      </c>
      <c r="C4028" s="530" t="s">
        <v>190</v>
      </c>
      <c r="D4028" s="529" t="s">
        <v>55</v>
      </c>
      <c r="E4028" s="252"/>
      <c r="F4028" s="531">
        <v>8.9499999999999993</v>
      </c>
      <c r="G4028" s="252">
        <f t="shared" si="80"/>
        <v>0</v>
      </c>
    </row>
    <row r="4029" spans="1:13" ht="28.8" x14ac:dyDescent="0.3">
      <c r="A4029" s="524" t="s">
        <v>522</v>
      </c>
      <c r="B4029" s="524" t="s">
        <v>1726</v>
      </c>
      <c r="C4029" s="525" t="s">
        <v>1727</v>
      </c>
      <c r="D4029" s="524" t="s">
        <v>32</v>
      </c>
      <c r="E4029" s="524" t="s">
        <v>1728</v>
      </c>
      <c r="F4029" s="526" t="s">
        <v>1729</v>
      </c>
      <c r="G4029" s="252">
        <f t="shared" si="80"/>
        <v>0.97</v>
      </c>
    </row>
    <row r="4030" spans="1:13" x14ac:dyDescent="0.3">
      <c r="A4030" s="524" t="s">
        <v>522</v>
      </c>
      <c r="B4030" s="524" t="s">
        <v>1367</v>
      </c>
      <c r="C4030" s="525" t="s">
        <v>1368</v>
      </c>
      <c r="D4030" s="524" t="s">
        <v>32</v>
      </c>
      <c r="E4030" s="524" t="s">
        <v>1730</v>
      </c>
      <c r="F4030" s="526" t="s">
        <v>1370</v>
      </c>
      <c r="G4030" s="252">
        <f t="shared" si="80"/>
        <v>7.98</v>
      </c>
    </row>
    <row r="4031" spans="1:13" x14ac:dyDescent="0.3">
      <c r="A4031" s="680" t="s">
        <v>1152</v>
      </c>
      <c r="B4031" s="681"/>
      <c r="C4031" s="681"/>
      <c r="D4031" s="681"/>
      <c r="E4031" s="681"/>
      <c r="F4031" s="682"/>
      <c r="G4031" s="527">
        <f>SUM(G4027:G4030)</f>
        <v>8.9500000000000011</v>
      </c>
    </row>
    <row r="4032" spans="1:13" x14ac:dyDescent="0.3">
      <c r="A4032" s="683">
        <f>TRUNC(E4032*F4032,2)</f>
        <v>0</v>
      </c>
      <c r="B4032" s="684"/>
      <c r="C4032" s="684"/>
      <c r="D4032" s="684"/>
      <c r="E4032" s="684"/>
      <c r="F4032" s="684"/>
      <c r="G4032" s="685"/>
    </row>
    <row r="4033" spans="1:7" ht="28.8" x14ac:dyDescent="0.3">
      <c r="A4033" s="529" t="s">
        <v>689</v>
      </c>
      <c r="B4033" s="529">
        <v>86895</v>
      </c>
      <c r="C4033" s="530" t="s">
        <v>191</v>
      </c>
      <c r="D4033" s="529" t="s">
        <v>44</v>
      </c>
      <c r="E4033" s="252"/>
      <c r="F4033" s="531">
        <v>269.19</v>
      </c>
      <c r="G4033" s="252">
        <f t="shared" si="80"/>
        <v>0</v>
      </c>
    </row>
    <row r="4034" spans="1:7" x14ac:dyDescent="0.3">
      <c r="A4034" s="524" t="s">
        <v>508</v>
      </c>
      <c r="B4034" s="524" t="s">
        <v>1731</v>
      </c>
      <c r="C4034" s="525" t="s">
        <v>1732</v>
      </c>
      <c r="D4034" s="524" t="s">
        <v>426</v>
      </c>
      <c r="E4034" s="524" t="s">
        <v>1733</v>
      </c>
      <c r="F4034" s="526" t="s">
        <v>1734</v>
      </c>
      <c r="G4034" s="252">
        <f t="shared" si="80"/>
        <v>14.23</v>
      </c>
    </row>
    <row r="4035" spans="1:7" ht="28.8" x14ac:dyDescent="0.3">
      <c r="A4035" s="524" t="s">
        <v>508</v>
      </c>
      <c r="B4035" s="524" t="s">
        <v>1425</v>
      </c>
      <c r="C4035" s="525" t="s">
        <v>1426</v>
      </c>
      <c r="D4035" s="524" t="s">
        <v>397</v>
      </c>
      <c r="E4035" s="524" t="s">
        <v>1397</v>
      </c>
      <c r="F4035" s="526" t="s">
        <v>1428</v>
      </c>
      <c r="G4035" s="252">
        <f t="shared" si="80"/>
        <v>3.3</v>
      </c>
    </row>
    <row r="4036" spans="1:7" ht="28.8" x14ac:dyDescent="0.3">
      <c r="A4036" s="524" t="s">
        <v>508</v>
      </c>
      <c r="B4036" s="524" t="s">
        <v>1735</v>
      </c>
      <c r="C4036" s="525" t="s">
        <v>1736</v>
      </c>
      <c r="D4036" s="524" t="s">
        <v>24</v>
      </c>
      <c r="E4036" s="524" t="s">
        <v>1737</v>
      </c>
      <c r="F4036" s="526" t="s">
        <v>1738</v>
      </c>
      <c r="G4036" s="252">
        <f t="shared" si="80"/>
        <v>182.09</v>
      </c>
    </row>
    <row r="4037" spans="1:7" x14ac:dyDescent="0.3">
      <c r="A4037" s="524" t="s">
        <v>508</v>
      </c>
      <c r="B4037" s="524" t="s">
        <v>1739</v>
      </c>
      <c r="C4037" s="525" t="s">
        <v>1740</v>
      </c>
      <c r="D4037" s="524" t="s">
        <v>426</v>
      </c>
      <c r="E4037" s="524" t="s">
        <v>1741</v>
      </c>
      <c r="F4037" s="526" t="s">
        <v>1742</v>
      </c>
      <c r="G4037" s="252">
        <f t="shared" si="80"/>
        <v>1.23</v>
      </c>
    </row>
    <row r="4038" spans="1:7" ht="28.8" x14ac:dyDescent="0.3">
      <c r="A4038" s="524" t="s">
        <v>508</v>
      </c>
      <c r="B4038" s="524" t="s">
        <v>1743</v>
      </c>
      <c r="C4038" s="525" t="s">
        <v>1744</v>
      </c>
      <c r="D4038" s="524" t="s">
        <v>397</v>
      </c>
      <c r="E4038" s="524" t="s">
        <v>1523</v>
      </c>
      <c r="F4038" s="526" t="s">
        <v>1745</v>
      </c>
      <c r="G4038" s="252">
        <f t="shared" si="80"/>
        <v>19.72</v>
      </c>
    </row>
    <row r="4039" spans="1:7" x14ac:dyDescent="0.3">
      <c r="A4039" s="524" t="s">
        <v>522</v>
      </c>
      <c r="B4039" s="524" t="s">
        <v>1746</v>
      </c>
      <c r="C4039" s="525" t="s">
        <v>1747</v>
      </c>
      <c r="D4039" s="524" t="s">
        <v>32</v>
      </c>
      <c r="E4039" s="524" t="s">
        <v>1748</v>
      </c>
      <c r="F4039" s="526" t="s">
        <v>1749</v>
      </c>
      <c r="G4039" s="252">
        <f t="shared" si="80"/>
        <v>34.53</v>
      </c>
    </row>
    <row r="4040" spans="1:7" x14ac:dyDescent="0.3">
      <c r="A4040" s="524" t="s">
        <v>522</v>
      </c>
      <c r="B4040" s="524" t="s">
        <v>1359</v>
      </c>
      <c r="C4040" s="525" t="s">
        <v>801</v>
      </c>
      <c r="D4040" s="524" t="s">
        <v>32</v>
      </c>
      <c r="E4040" s="524" t="s">
        <v>1750</v>
      </c>
      <c r="F4040" s="526" t="s">
        <v>1361</v>
      </c>
      <c r="G4040" s="252">
        <f t="shared" si="80"/>
        <v>14.09</v>
      </c>
    </row>
    <row r="4041" spans="1:7" x14ac:dyDescent="0.3">
      <c r="A4041" s="680" t="s">
        <v>1152</v>
      </c>
      <c r="B4041" s="681"/>
      <c r="C4041" s="681"/>
      <c r="D4041" s="681"/>
      <c r="E4041" s="681"/>
      <c r="F4041" s="682"/>
      <c r="G4041" s="527">
        <f>SUM(G4033:G4040)</f>
        <v>269.19</v>
      </c>
    </row>
    <row r="4042" spans="1:7" x14ac:dyDescent="0.3">
      <c r="A4042" s="683">
        <f>TRUNC(E4042*F4042,2)</f>
        <v>0</v>
      </c>
      <c r="B4042" s="684"/>
      <c r="C4042" s="684"/>
      <c r="D4042" s="684"/>
      <c r="E4042" s="684"/>
      <c r="F4042" s="684"/>
      <c r="G4042" s="685"/>
    </row>
    <row r="4043" spans="1:7" x14ac:dyDescent="0.3">
      <c r="A4043" s="529"/>
      <c r="B4043" s="529"/>
      <c r="C4043" s="530"/>
      <c r="D4043" s="529"/>
      <c r="E4043" s="252"/>
      <c r="F4043" s="531"/>
      <c r="G4043" s="252"/>
    </row>
    <row r="4044" spans="1:7" ht="28.8" x14ac:dyDescent="0.3">
      <c r="A4044" s="529" t="s">
        <v>690</v>
      </c>
      <c r="B4044" s="529">
        <v>86901</v>
      </c>
      <c r="C4044" s="530" t="s">
        <v>192</v>
      </c>
      <c r="D4044" s="529" t="s">
        <v>44</v>
      </c>
      <c r="E4044" s="252"/>
      <c r="F4044" s="531">
        <v>108.45</v>
      </c>
      <c r="G4044" s="252">
        <f t="shared" si="80"/>
        <v>0</v>
      </c>
    </row>
    <row r="4045" spans="1:7" x14ac:dyDescent="0.3">
      <c r="A4045" s="524" t="s">
        <v>508</v>
      </c>
      <c r="B4045" s="524" t="s">
        <v>1731</v>
      </c>
      <c r="C4045" s="525" t="s">
        <v>1732</v>
      </c>
      <c r="D4045" s="524" t="s">
        <v>426</v>
      </c>
      <c r="E4045" s="524" t="s">
        <v>1751</v>
      </c>
      <c r="F4045" s="526" t="s">
        <v>1734</v>
      </c>
      <c r="G4045" s="252">
        <f t="shared" si="80"/>
        <v>19.510000000000002</v>
      </c>
    </row>
    <row r="4046" spans="1:7" x14ac:dyDescent="0.3">
      <c r="A4046" s="524" t="s">
        <v>508</v>
      </c>
      <c r="B4046" s="524" t="s">
        <v>1752</v>
      </c>
      <c r="C4046" s="525" t="s">
        <v>1753</v>
      </c>
      <c r="D4046" s="524" t="s">
        <v>397</v>
      </c>
      <c r="E4046" s="524" t="s">
        <v>1122</v>
      </c>
      <c r="F4046" s="526" t="s">
        <v>1754</v>
      </c>
      <c r="G4046" s="252">
        <f t="shared" si="80"/>
        <v>69.92</v>
      </c>
    </row>
    <row r="4047" spans="1:7" x14ac:dyDescent="0.3">
      <c r="A4047" s="524" t="s">
        <v>522</v>
      </c>
      <c r="B4047" s="524" t="s">
        <v>1746</v>
      </c>
      <c r="C4047" s="525" t="s">
        <v>1747</v>
      </c>
      <c r="D4047" s="524" t="s">
        <v>32</v>
      </c>
      <c r="E4047" s="524" t="s">
        <v>1755</v>
      </c>
      <c r="F4047" s="526" t="s">
        <v>1749</v>
      </c>
      <c r="G4047" s="252">
        <f t="shared" si="80"/>
        <v>15.2</v>
      </c>
    </row>
    <row r="4048" spans="1:7" x14ac:dyDescent="0.3">
      <c r="A4048" s="524" t="s">
        <v>522</v>
      </c>
      <c r="B4048" s="524" t="s">
        <v>1359</v>
      </c>
      <c r="C4048" s="525" t="s">
        <v>801</v>
      </c>
      <c r="D4048" s="524" t="s">
        <v>32</v>
      </c>
      <c r="E4048" s="524" t="s">
        <v>1756</v>
      </c>
      <c r="F4048" s="526" t="s">
        <v>1361</v>
      </c>
      <c r="G4048" s="252">
        <f t="shared" si="80"/>
        <v>3.82</v>
      </c>
    </row>
    <row r="4049" spans="1:7" x14ac:dyDescent="0.3">
      <c r="A4049" s="680" t="s">
        <v>1152</v>
      </c>
      <c r="B4049" s="681"/>
      <c r="C4049" s="681"/>
      <c r="D4049" s="681"/>
      <c r="E4049" s="681"/>
      <c r="F4049" s="682"/>
      <c r="G4049" s="527">
        <f>SUM(G4044:G4048)</f>
        <v>108.45</v>
      </c>
    </row>
    <row r="4050" spans="1:7" x14ac:dyDescent="0.3">
      <c r="A4050" s="683">
        <f>TRUNC(E4050*F4050,2)</f>
        <v>0</v>
      </c>
      <c r="B4050" s="684"/>
      <c r="C4050" s="684"/>
      <c r="D4050" s="684"/>
      <c r="E4050" s="684"/>
      <c r="F4050" s="684"/>
      <c r="G4050" s="685"/>
    </row>
    <row r="4051" spans="1:7" ht="28.8" x14ac:dyDescent="0.3">
      <c r="A4051" s="529" t="s">
        <v>691</v>
      </c>
      <c r="B4051" s="529">
        <v>86915</v>
      </c>
      <c r="C4051" s="530" t="s">
        <v>193</v>
      </c>
      <c r="D4051" s="529" t="s">
        <v>44</v>
      </c>
      <c r="E4051" s="252"/>
      <c r="F4051" s="531">
        <v>84.78</v>
      </c>
      <c r="G4051" s="252">
        <f t="shared" si="80"/>
        <v>0</v>
      </c>
    </row>
    <row r="4052" spans="1:7" x14ac:dyDescent="0.3">
      <c r="A4052" s="524" t="s">
        <v>508</v>
      </c>
      <c r="B4052" s="524" t="s">
        <v>1757</v>
      </c>
      <c r="C4052" s="525" t="s">
        <v>1758</v>
      </c>
      <c r="D4052" s="524" t="s">
        <v>397</v>
      </c>
      <c r="E4052" s="524" t="s">
        <v>1759</v>
      </c>
      <c r="F4052" s="526" t="s">
        <v>1760</v>
      </c>
      <c r="G4052" s="252">
        <f t="shared" si="80"/>
        <v>0.08</v>
      </c>
    </row>
    <row r="4053" spans="1:7" x14ac:dyDescent="0.3">
      <c r="A4053" s="524" t="s">
        <v>508</v>
      </c>
      <c r="B4053" s="524" t="s">
        <v>1761</v>
      </c>
      <c r="C4053" s="525" t="s">
        <v>1762</v>
      </c>
      <c r="D4053" s="524" t="s">
        <v>397</v>
      </c>
      <c r="E4053" s="524" t="s">
        <v>1122</v>
      </c>
      <c r="F4053" s="526" t="s">
        <v>1763</v>
      </c>
      <c r="G4053" s="252">
        <f t="shared" si="80"/>
        <v>82.57</v>
      </c>
    </row>
    <row r="4054" spans="1:7" x14ac:dyDescent="0.3">
      <c r="A4054" s="524" t="s">
        <v>522</v>
      </c>
      <c r="B4054" s="524" t="s">
        <v>1367</v>
      </c>
      <c r="C4054" s="525" t="s">
        <v>1368</v>
      </c>
      <c r="D4054" s="524" t="s">
        <v>32</v>
      </c>
      <c r="E4054" s="524" t="s">
        <v>1764</v>
      </c>
      <c r="F4054" s="526" t="s">
        <v>1370</v>
      </c>
      <c r="G4054" s="252">
        <f t="shared" si="80"/>
        <v>1.7</v>
      </c>
    </row>
    <row r="4055" spans="1:7" x14ac:dyDescent="0.3">
      <c r="A4055" s="524" t="s">
        <v>522</v>
      </c>
      <c r="B4055" s="524" t="s">
        <v>1359</v>
      </c>
      <c r="C4055" s="525" t="s">
        <v>801</v>
      </c>
      <c r="D4055" s="524" t="s">
        <v>32</v>
      </c>
      <c r="E4055" s="524" t="s">
        <v>1765</v>
      </c>
      <c r="F4055" s="526" t="s">
        <v>1361</v>
      </c>
      <c r="G4055" s="252">
        <f t="shared" si="80"/>
        <v>0.43</v>
      </c>
    </row>
    <row r="4056" spans="1:7" x14ac:dyDescent="0.3">
      <c r="A4056" s="680" t="s">
        <v>1152</v>
      </c>
      <c r="B4056" s="681"/>
      <c r="C4056" s="681"/>
      <c r="D4056" s="681"/>
      <c r="E4056" s="681"/>
      <c r="F4056" s="682"/>
      <c r="G4056" s="527">
        <f>SUM(G4051:G4055)</f>
        <v>84.78</v>
      </c>
    </row>
    <row r="4057" spans="1:7" x14ac:dyDescent="0.3">
      <c r="A4057" s="683">
        <f>TRUNC(E4057*F4057,2)</f>
        <v>0</v>
      </c>
      <c r="B4057" s="684"/>
      <c r="C4057" s="684"/>
      <c r="D4057" s="684"/>
      <c r="E4057" s="684"/>
      <c r="F4057" s="684"/>
      <c r="G4057" s="685"/>
    </row>
    <row r="4058" spans="1:7" ht="28.8" x14ac:dyDescent="0.3">
      <c r="A4058" s="529" t="s">
        <v>692</v>
      </c>
      <c r="B4058" s="529">
        <v>99635</v>
      </c>
      <c r="C4058" s="530" t="s">
        <v>194</v>
      </c>
      <c r="D4058" s="529" t="s">
        <v>44</v>
      </c>
      <c r="E4058" s="252"/>
      <c r="F4058" s="531">
        <v>184.35</v>
      </c>
      <c r="G4058" s="252">
        <f t="shared" si="80"/>
        <v>0</v>
      </c>
    </row>
    <row r="4059" spans="1:7" x14ac:dyDescent="0.3">
      <c r="A4059" s="524" t="s">
        <v>508</v>
      </c>
      <c r="B4059" s="524" t="s">
        <v>1766</v>
      </c>
      <c r="C4059" s="525" t="s">
        <v>1767</v>
      </c>
      <c r="D4059" s="524" t="s">
        <v>397</v>
      </c>
      <c r="E4059" s="524" t="s">
        <v>1768</v>
      </c>
      <c r="F4059" s="526" t="s">
        <v>1769</v>
      </c>
      <c r="G4059" s="252">
        <f t="shared" si="80"/>
        <v>0.28999999999999998</v>
      </c>
    </row>
    <row r="4060" spans="1:7" ht="28.8" x14ac:dyDescent="0.3">
      <c r="A4060" s="524" t="s">
        <v>508</v>
      </c>
      <c r="B4060" s="524" t="s">
        <v>1770</v>
      </c>
      <c r="C4060" s="525" t="s">
        <v>1771</v>
      </c>
      <c r="D4060" s="524" t="s">
        <v>397</v>
      </c>
      <c r="E4060" s="524" t="s">
        <v>1122</v>
      </c>
      <c r="F4060" s="526" t="s">
        <v>1772</v>
      </c>
      <c r="G4060" s="252">
        <f t="shared" si="80"/>
        <v>159.09</v>
      </c>
    </row>
    <row r="4061" spans="1:7" ht="28.8" x14ac:dyDescent="0.3">
      <c r="A4061" s="524" t="s">
        <v>522</v>
      </c>
      <c r="B4061" s="524" t="s">
        <v>1726</v>
      </c>
      <c r="C4061" s="525" t="s">
        <v>1727</v>
      </c>
      <c r="D4061" s="524" t="s">
        <v>32</v>
      </c>
      <c r="E4061" s="524" t="s">
        <v>1773</v>
      </c>
      <c r="F4061" s="526" t="s">
        <v>1729</v>
      </c>
      <c r="G4061" s="252">
        <f t="shared" si="80"/>
        <v>10.94</v>
      </c>
    </row>
    <row r="4062" spans="1:7" x14ac:dyDescent="0.3">
      <c r="A4062" s="524" t="s">
        <v>522</v>
      </c>
      <c r="B4062" s="524" t="s">
        <v>1367</v>
      </c>
      <c r="C4062" s="525" t="s">
        <v>1368</v>
      </c>
      <c r="D4062" s="524" t="s">
        <v>32</v>
      </c>
      <c r="E4062" s="524" t="s">
        <v>1773</v>
      </c>
      <c r="F4062" s="526" t="s">
        <v>1370</v>
      </c>
      <c r="G4062" s="252">
        <f t="shared" si="80"/>
        <v>14.03</v>
      </c>
    </row>
    <row r="4063" spans="1:7" x14ac:dyDescent="0.3">
      <c r="A4063" s="680" t="s">
        <v>1152</v>
      </c>
      <c r="B4063" s="681"/>
      <c r="C4063" s="681"/>
      <c r="D4063" s="681"/>
      <c r="E4063" s="681"/>
      <c r="F4063" s="682"/>
      <c r="G4063" s="527">
        <f>SUM(G4058:G4062)</f>
        <v>184.35</v>
      </c>
    </row>
    <row r="4064" spans="1:7" x14ac:dyDescent="0.3">
      <c r="A4064" s="683">
        <f>TRUNC(E4064*F4064,2)</f>
        <v>0</v>
      </c>
      <c r="B4064" s="684"/>
      <c r="C4064" s="684"/>
      <c r="D4064" s="684"/>
      <c r="E4064" s="684"/>
      <c r="F4064" s="684"/>
      <c r="G4064" s="685"/>
    </row>
    <row r="4065" spans="1:7" x14ac:dyDescent="0.3">
      <c r="A4065" s="529" t="s">
        <v>252</v>
      </c>
      <c r="B4065" s="529"/>
      <c r="C4065" s="530" t="s">
        <v>201</v>
      </c>
      <c r="D4065" s="529"/>
      <c r="E4065" s="252"/>
      <c r="F4065" s="531"/>
      <c r="G4065" s="252">
        <f t="shared" si="80"/>
        <v>0</v>
      </c>
    </row>
    <row r="4066" spans="1:7" ht="28.8" x14ac:dyDescent="0.3">
      <c r="A4066" s="529" t="s">
        <v>698</v>
      </c>
      <c r="B4066" s="529">
        <v>95544</v>
      </c>
      <c r="C4066" s="530" t="s">
        <v>202</v>
      </c>
      <c r="D4066" s="529" t="s">
        <v>44</v>
      </c>
      <c r="E4066" s="252"/>
      <c r="F4066" s="531">
        <v>30.21</v>
      </c>
      <c r="G4066" s="252">
        <f t="shared" si="80"/>
        <v>0</v>
      </c>
    </row>
    <row r="4067" spans="1:7" x14ac:dyDescent="0.3">
      <c r="A4067" s="524" t="s">
        <v>508</v>
      </c>
      <c r="B4067" s="524" t="s">
        <v>1816</v>
      </c>
      <c r="C4067" s="525" t="s">
        <v>1817</v>
      </c>
      <c r="D4067" s="524" t="s">
        <v>397</v>
      </c>
      <c r="E4067" s="524" t="s">
        <v>1122</v>
      </c>
      <c r="F4067" s="526" t="s">
        <v>1818</v>
      </c>
      <c r="G4067" s="252">
        <f t="shared" si="80"/>
        <v>23.16</v>
      </c>
    </row>
    <row r="4068" spans="1:7" x14ac:dyDescent="0.3">
      <c r="A4068" s="524" t="s">
        <v>522</v>
      </c>
      <c r="B4068" s="524" t="s">
        <v>1367</v>
      </c>
      <c r="C4068" s="525" t="s">
        <v>1368</v>
      </c>
      <c r="D4068" s="524" t="s">
        <v>32</v>
      </c>
      <c r="E4068" s="524" t="s">
        <v>1819</v>
      </c>
      <c r="F4068" s="526" t="s">
        <v>1370</v>
      </c>
      <c r="G4068" s="252">
        <f t="shared" si="80"/>
        <v>5.62</v>
      </c>
    </row>
    <row r="4069" spans="1:7" x14ac:dyDescent="0.3">
      <c r="A4069" s="524" t="s">
        <v>522</v>
      </c>
      <c r="B4069" s="524" t="s">
        <v>1359</v>
      </c>
      <c r="C4069" s="525" t="s">
        <v>801</v>
      </c>
      <c r="D4069" s="524" t="s">
        <v>32</v>
      </c>
      <c r="E4069" s="524" t="s">
        <v>1820</v>
      </c>
      <c r="F4069" s="526" t="s">
        <v>1361</v>
      </c>
      <c r="G4069" s="252">
        <f t="shared" si="80"/>
        <v>1.43</v>
      </c>
    </row>
    <row r="4070" spans="1:7" x14ac:dyDescent="0.3">
      <c r="A4070" s="680" t="s">
        <v>1152</v>
      </c>
      <c r="B4070" s="681"/>
      <c r="C4070" s="681"/>
      <c r="D4070" s="681"/>
      <c r="E4070" s="681"/>
      <c r="F4070" s="682"/>
      <c r="G4070" s="527">
        <f>SUM(G4065:G4069)</f>
        <v>30.21</v>
      </c>
    </row>
    <row r="4071" spans="1:7" x14ac:dyDescent="0.3">
      <c r="A4071" s="683">
        <f>TRUNC(E4071*F4071,2)</f>
        <v>0</v>
      </c>
      <c r="B4071" s="684"/>
      <c r="C4071" s="684"/>
      <c r="D4071" s="684"/>
      <c r="E4071" s="684"/>
      <c r="F4071" s="684"/>
      <c r="G4071" s="685"/>
    </row>
    <row r="4072" spans="1:7" ht="28.8" x14ac:dyDescent="0.3">
      <c r="A4072" s="529" t="s">
        <v>699</v>
      </c>
      <c r="B4072" s="529">
        <v>88571</v>
      </c>
      <c r="C4072" s="530" t="s">
        <v>357</v>
      </c>
      <c r="D4072" s="529" t="s">
        <v>44</v>
      </c>
      <c r="E4072" s="252"/>
      <c r="F4072" s="531">
        <v>29.63</v>
      </c>
      <c r="G4072" s="252">
        <f t="shared" si="80"/>
        <v>0</v>
      </c>
    </row>
    <row r="4073" spans="1:7" ht="28.8" x14ac:dyDescent="0.3">
      <c r="A4073" s="524" t="s">
        <v>508</v>
      </c>
      <c r="B4073" s="529">
        <v>88571</v>
      </c>
      <c r="C4073" s="530" t="s">
        <v>357</v>
      </c>
      <c r="D4073" s="524" t="s">
        <v>397</v>
      </c>
      <c r="E4073" s="524" t="s">
        <v>1122</v>
      </c>
      <c r="F4073" s="526">
        <v>22.58</v>
      </c>
      <c r="G4073" s="252">
        <f t="shared" si="80"/>
        <v>22.58</v>
      </c>
    </row>
    <row r="4074" spans="1:7" x14ac:dyDescent="0.3">
      <c r="A4074" s="524" t="s">
        <v>522</v>
      </c>
      <c r="B4074" s="524" t="s">
        <v>1367</v>
      </c>
      <c r="C4074" s="525" t="s">
        <v>1368</v>
      </c>
      <c r="D4074" s="524" t="s">
        <v>32</v>
      </c>
      <c r="E4074" s="524" t="s">
        <v>1819</v>
      </c>
      <c r="F4074" s="526" t="s">
        <v>1370</v>
      </c>
      <c r="G4074" s="252">
        <f t="shared" si="80"/>
        <v>5.62</v>
      </c>
    </row>
    <row r="4075" spans="1:7" x14ac:dyDescent="0.3">
      <c r="A4075" s="524" t="s">
        <v>522</v>
      </c>
      <c r="B4075" s="524" t="s">
        <v>1359</v>
      </c>
      <c r="C4075" s="525" t="s">
        <v>801</v>
      </c>
      <c r="D4075" s="524" t="s">
        <v>32</v>
      </c>
      <c r="E4075" s="524" t="s">
        <v>1820</v>
      </c>
      <c r="F4075" s="526" t="s">
        <v>1361</v>
      </c>
      <c r="G4075" s="252">
        <f t="shared" si="80"/>
        <v>1.43</v>
      </c>
    </row>
    <row r="4076" spans="1:7" x14ac:dyDescent="0.3">
      <c r="A4076" s="680" t="s">
        <v>1152</v>
      </c>
      <c r="B4076" s="681"/>
      <c r="C4076" s="681"/>
      <c r="D4076" s="681"/>
      <c r="E4076" s="681"/>
      <c r="F4076" s="682"/>
      <c r="G4076" s="527">
        <f>SUM(G4072:G4075)</f>
        <v>29.63</v>
      </c>
    </row>
    <row r="4077" spans="1:7" x14ac:dyDescent="0.3">
      <c r="A4077" s="683">
        <f>TRUNC(E4077*F4077,2)</f>
        <v>0</v>
      </c>
      <c r="B4077" s="684"/>
      <c r="C4077" s="684"/>
      <c r="D4077" s="684"/>
      <c r="E4077" s="684"/>
      <c r="F4077" s="684"/>
      <c r="G4077" s="685"/>
    </row>
    <row r="4078" spans="1:7" ht="43.2" x14ac:dyDescent="0.3">
      <c r="A4078" s="529" t="s">
        <v>700</v>
      </c>
      <c r="B4078" s="529">
        <v>95470</v>
      </c>
      <c r="C4078" s="530" t="s">
        <v>205</v>
      </c>
      <c r="D4078" s="529" t="s">
        <v>44</v>
      </c>
      <c r="E4078" s="252"/>
      <c r="F4078" s="531">
        <v>169.53</v>
      </c>
      <c r="G4078" s="252">
        <f t="shared" si="80"/>
        <v>0</v>
      </c>
    </row>
    <row r="4079" spans="1:7" ht="28.8" x14ac:dyDescent="0.3">
      <c r="A4079" s="524" t="s">
        <v>508</v>
      </c>
      <c r="B4079" s="524" t="s">
        <v>1837</v>
      </c>
      <c r="C4079" s="525" t="s">
        <v>1838</v>
      </c>
      <c r="D4079" s="524" t="s">
        <v>397</v>
      </c>
      <c r="E4079" s="524" t="s">
        <v>1122</v>
      </c>
      <c r="F4079" s="526" t="s">
        <v>1839</v>
      </c>
      <c r="G4079" s="252">
        <f t="shared" si="80"/>
        <v>6.61</v>
      </c>
    </row>
    <row r="4080" spans="1:7" ht="28.8" x14ac:dyDescent="0.3">
      <c r="A4080" s="524" t="s">
        <v>522</v>
      </c>
      <c r="B4080" s="524" t="s">
        <v>1840</v>
      </c>
      <c r="C4080" s="525" t="s">
        <v>1841</v>
      </c>
      <c r="D4080" s="524" t="s">
        <v>397</v>
      </c>
      <c r="E4080" s="524" t="s">
        <v>1122</v>
      </c>
      <c r="F4080" s="526" t="s">
        <v>1842</v>
      </c>
      <c r="G4080" s="252">
        <f t="shared" ref="G4080" si="90">TRUNC(E4080*F4080,2)</f>
        <v>162.91999999999999</v>
      </c>
    </row>
    <row r="4081" spans="1:7" x14ac:dyDescent="0.3">
      <c r="A4081" s="680" t="s">
        <v>1152</v>
      </c>
      <c r="B4081" s="681"/>
      <c r="C4081" s="681"/>
      <c r="D4081" s="681"/>
      <c r="E4081" s="681"/>
      <c r="F4081" s="682"/>
      <c r="G4081" s="527">
        <f>SUM(G4078:G4080)</f>
        <v>169.53</v>
      </c>
    </row>
    <row r="4082" spans="1:7" x14ac:dyDescent="0.3">
      <c r="A4082" s="683">
        <f>TRUNC(E4082*F4082,2)</f>
        <v>0</v>
      </c>
      <c r="B4082" s="684"/>
      <c r="C4082" s="684"/>
      <c r="D4082" s="684"/>
      <c r="E4082" s="684"/>
      <c r="F4082" s="684"/>
      <c r="G4082" s="685"/>
    </row>
    <row r="4083" spans="1:7" x14ac:dyDescent="0.3">
      <c r="A4083" s="529">
        <v>10</v>
      </c>
      <c r="B4083" s="529"/>
      <c r="C4083" s="530" t="s">
        <v>212</v>
      </c>
      <c r="D4083" s="529"/>
      <c r="E4083" s="252"/>
      <c r="F4083" s="531"/>
      <c r="G4083" s="252">
        <f t="shared" ref="G4083:G4449" si="91">TRUNC(E4083*F4083,2)</f>
        <v>0</v>
      </c>
    </row>
    <row r="4084" spans="1:7" ht="28.8" x14ac:dyDescent="0.3">
      <c r="A4084" s="529" t="s">
        <v>213</v>
      </c>
      <c r="B4084" s="529">
        <v>96114</v>
      </c>
      <c r="C4084" s="530" t="s">
        <v>639</v>
      </c>
      <c r="D4084" s="529" t="s">
        <v>24</v>
      </c>
      <c r="E4084" s="252"/>
      <c r="F4084" s="531">
        <v>49.24</v>
      </c>
      <c r="G4084" s="252">
        <f t="shared" si="91"/>
        <v>0</v>
      </c>
    </row>
    <row r="4085" spans="1:7" ht="28.8" x14ac:dyDescent="0.3">
      <c r="A4085" s="524" t="s">
        <v>508</v>
      </c>
      <c r="B4085" s="524" t="s">
        <v>1843</v>
      </c>
      <c r="C4085" s="525" t="s">
        <v>1844</v>
      </c>
      <c r="D4085" s="524" t="s">
        <v>24</v>
      </c>
      <c r="E4085" s="606">
        <v>1</v>
      </c>
      <c r="F4085" s="526" t="s">
        <v>1845</v>
      </c>
      <c r="G4085" s="252">
        <f t="shared" si="91"/>
        <v>19.97</v>
      </c>
    </row>
    <row r="4086" spans="1:7" ht="28.8" x14ac:dyDescent="0.3">
      <c r="A4086" s="524" t="s">
        <v>508</v>
      </c>
      <c r="B4086" s="524" t="s">
        <v>1846</v>
      </c>
      <c r="C4086" s="525" t="s">
        <v>1847</v>
      </c>
      <c r="D4086" s="524" t="s">
        <v>55</v>
      </c>
      <c r="E4086" s="606">
        <v>3</v>
      </c>
      <c r="F4086" s="526" t="s">
        <v>1848</v>
      </c>
      <c r="G4086" s="252">
        <f t="shared" si="91"/>
        <v>11.79</v>
      </c>
    </row>
    <row r="4087" spans="1:7" ht="28.8" x14ac:dyDescent="0.3">
      <c r="A4087" s="524" t="s">
        <v>508</v>
      </c>
      <c r="B4087" s="524" t="s">
        <v>1849</v>
      </c>
      <c r="C4087" s="525" t="s">
        <v>1850</v>
      </c>
      <c r="D4087" s="524" t="s">
        <v>397</v>
      </c>
      <c r="E4087" s="606">
        <v>1</v>
      </c>
      <c r="F4087" s="526" t="s">
        <v>1851</v>
      </c>
      <c r="G4087" s="252">
        <f t="shared" si="91"/>
        <v>1.48</v>
      </c>
    </row>
    <row r="4088" spans="1:7" ht="28.8" x14ac:dyDescent="0.3">
      <c r="A4088" s="524" t="s">
        <v>508</v>
      </c>
      <c r="B4088" s="524" t="s">
        <v>1852</v>
      </c>
      <c r="C4088" s="525" t="s">
        <v>1853</v>
      </c>
      <c r="D4088" s="524" t="s">
        <v>55</v>
      </c>
      <c r="E4088" s="606">
        <v>1.4</v>
      </c>
      <c r="F4088" s="526" t="s">
        <v>1854</v>
      </c>
      <c r="G4088" s="252">
        <f t="shared" si="91"/>
        <v>4.1399999999999997</v>
      </c>
    </row>
    <row r="4089" spans="1:7" ht="28.8" x14ac:dyDescent="0.3">
      <c r="A4089" s="524" t="s">
        <v>508</v>
      </c>
      <c r="B4089" s="524" t="s">
        <v>1855</v>
      </c>
      <c r="C4089" s="525" t="s">
        <v>1856</v>
      </c>
      <c r="D4089" s="524" t="s">
        <v>426</v>
      </c>
      <c r="E4089" s="606">
        <v>0.5</v>
      </c>
      <c r="F4089" s="526" t="s">
        <v>1501</v>
      </c>
      <c r="G4089" s="252">
        <f t="shared" si="91"/>
        <v>1.98</v>
      </c>
    </row>
    <row r="4090" spans="1:7" ht="28.8" x14ac:dyDescent="0.3">
      <c r="A4090" s="524" t="s">
        <v>508</v>
      </c>
      <c r="B4090" s="524" t="s">
        <v>1857</v>
      </c>
      <c r="C4090" s="525" t="s">
        <v>1858</v>
      </c>
      <c r="D4090" s="524" t="s">
        <v>397</v>
      </c>
      <c r="E4090" s="606">
        <v>7</v>
      </c>
      <c r="F4090" s="526" t="s">
        <v>1327</v>
      </c>
      <c r="G4090" s="252">
        <f t="shared" si="91"/>
        <v>0.49</v>
      </c>
    </row>
    <row r="4091" spans="1:7" ht="28.8" x14ac:dyDescent="0.3">
      <c r="A4091" s="524" t="s">
        <v>508</v>
      </c>
      <c r="B4091" s="524" t="s">
        <v>1859</v>
      </c>
      <c r="C4091" s="525" t="s">
        <v>1860</v>
      </c>
      <c r="D4091" s="524" t="s">
        <v>397</v>
      </c>
      <c r="E4091" s="606">
        <v>2</v>
      </c>
      <c r="F4091" s="526" t="s">
        <v>1861</v>
      </c>
      <c r="G4091" s="252">
        <f t="shared" si="91"/>
        <v>0.32</v>
      </c>
    </row>
    <row r="4092" spans="1:7" x14ac:dyDescent="0.3">
      <c r="A4092" s="524" t="s">
        <v>508</v>
      </c>
      <c r="B4092" s="524" t="s">
        <v>1862</v>
      </c>
      <c r="C4092" s="525" t="s">
        <v>1863</v>
      </c>
      <c r="D4092" s="524" t="s">
        <v>1458</v>
      </c>
      <c r="E4092" s="524" t="s">
        <v>1864</v>
      </c>
      <c r="F4092" s="526" t="s">
        <v>1865</v>
      </c>
      <c r="G4092" s="252">
        <f t="shared" si="91"/>
        <v>0.24</v>
      </c>
    </row>
    <row r="4093" spans="1:7" ht="28.8" x14ac:dyDescent="0.3">
      <c r="A4093" s="524" t="s">
        <v>508</v>
      </c>
      <c r="B4093" s="524" t="s">
        <v>1866</v>
      </c>
      <c r="C4093" s="525" t="s">
        <v>1867</v>
      </c>
      <c r="D4093" s="524" t="s">
        <v>426</v>
      </c>
      <c r="E4093" s="524" t="s">
        <v>1868</v>
      </c>
      <c r="F4093" s="526" t="s">
        <v>1869</v>
      </c>
      <c r="G4093" s="252">
        <f t="shared" si="91"/>
        <v>0.68</v>
      </c>
    </row>
    <row r="4094" spans="1:7" x14ac:dyDescent="0.3">
      <c r="A4094" s="524" t="s">
        <v>522</v>
      </c>
      <c r="B4094" s="524" t="s">
        <v>1870</v>
      </c>
      <c r="C4094" s="525" t="s">
        <v>1871</v>
      </c>
      <c r="D4094" s="524" t="s">
        <v>32</v>
      </c>
      <c r="E4094" s="607">
        <v>0.3</v>
      </c>
      <c r="F4094" s="526" t="s">
        <v>1872</v>
      </c>
      <c r="G4094" s="252">
        <f t="shared" si="91"/>
        <v>3.84</v>
      </c>
    </row>
    <row r="4095" spans="1:7" x14ac:dyDescent="0.3">
      <c r="A4095" s="524" t="s">
        <v>522</v>
      </c>
      <c r="B4095" s="524" t="s">
        <v>1359</v>
      </c>
      <c r="C4095" s="525" t="s">
        <v>801</v>
      </c>
      <c r="D4095" s="524" t="s">
        <v>32</v>
      </c>
      <c r="E4095" s="607">
        <v>0.3</v>
      </c>
      <c r="F4095" s="526" t="s">
        <v>1361</v>
      </c>
      <c r="G4095" s="252">
        <f t="shared" ref="G4095" si="92">TRUNC(E4095*F4095,2)</f>
        <v>4.3099999999999996</v>
      </c>
    </row>
    <row r="4096" spans="1:7" x14ac:dyDescent="0.3">
      <c r="A4096" s="680" t="s">
        <v>1152</v>
      </c>
      <c r="B4096" s="681"/>
      <c r="C4096" s="681"/>
      <c r="D4096" s="681"/>
      <c r="E4096" s="681"/>
      <c r="F4096" s="682"/>
      <c r="G4096" s="527">
        <f>SUM(G4083:G4095)</f>
        <v>49.239999999999995</v>
      </c>
    </row>
    <row r="4097" spans="1:7" x14ac:dyDescent="0.3">
      <c r="A4097" s="683">
        <f>TRUNC(E4097*F4097,2)</f>
        <v>0</v>
      </c>
      <c r="B4097" s="684"/>
      <c r="C4097" s="684"/>
      <c r="D4097" s="684"/>
      <c r="E4097" s="684"/>
      <c r="F4097" s="684"/>
      <c r="G4097" s="685"/>
    </row>
    <row r="4098" spans="1:7" x14ac:dyDescent="0.3">
      <c r="A4098" s="529" t="s">
        <v>20</v>
      </c>
      <c r="B4098" s="529"/>
      <c r="C4098" s="530" t="s">
        <v>37</v>
      </c>
      <c r="D4098" s="529"/>
      <c r="E4098" s="252"/>
      <c r="F4098" s="531"/>
      <c r="G4098" s="252">
        <f t="shared" si="91"/>
        <v>0</v>
      </c>
    </row>
    <row r="4099" spans="1:7" x14ac:dyDescent="0.3">
      <c r="A4099" s="529" t="s">
        <v>22</v>
      </c>
      <c r="B4099" s="529" t="s">
        <v>39</v>
      </c>
      <c r="C4099" s="530" t="s">
        <v>40</v>
      </c>
      <c r="D4099" s="529" t="s">
        <v>41</v>
      </c>
      <c r="E4099" s="252"/>
      <c r="F4099" s="531">
        <v>209.74</v>
      </c>
      <c r="G4099" s="252">
        <f t="shared" si="91"/>
        <v>0</v>
      </c>
    </row>
    <row r="4100" spans="1:7" x14ac:dyDescent="0.3">
      <c r="A4100" s="524" t="s">
        <v>522</v>
      </c>
      <c r="B4100" s="524" t="s">
        <v>1362</v>
      </c>
      <c r="C4100" s="525" t="s">
        <v>1363</v>
      </c>
      <c r="D4100" s="524" t="s">
        <v>32</v>
      </c>
      <c r="E4100" s="603">
        <v>1.3</v>
      </c>
      <c r="F4100" s="528">
        <v>17.64</v>
      </c>
      <c r="G4100" s="252">
        <f t="shared" si="91"/>
        <v>22.93</v>
      </c>
    </row>
    <row r="4101" spans="1:7" x14ac:dyDescent="0.3">
      <c r="A4101" s="524" t="s">
        <v>522</v>
      </c>
      <c r="B4101" s="524" t="s">
        <v>1359</v>
      </c>
      <c r="C4101" s="525" t="s">
        <v>801</v>
      </c>
      <c r="D4101" s="524" t="s">
        <v>32</v>
      </c>
      <c r="E4101" s="603">
        <v>13</v>
      </c>
      <c r="F4101" s="528">
        <v>14.37</v>
      </c>
      <c r="G4101" s="252">
        <f t="shared" si="91"/>
        <v>186.81</v>
      </c>
    </row>
    <row r="4102" spans="1:7" x14ac:dyDescent="0.3">
      <c r="A4102" s="680" t="s">
        <v>1152</v>
      </c>
      <c r="B4102" s="681"/>
      <c r="C4102" s="681"/>
      <c r="D4102" s="681"/>
      <c r="E4102" s="681"/>
      <c r="F4102" s="682"/>
      <c r="G4102" s="527">
        <f>SUM(G4098:G4101)</f>
        <v>209.74</v>
      </c>
    </row>
    <row r="4103" spans="1:7" x14ac:dyDescent="0.3">
      <c r="A4103" s="683">
        <f>TRUNC(E4103*F4103,2)</f>
        <v>0</v>
      </c>
      <c r="B4103" s="684"/>
      <c r="C4103" s="684"/>
      <c r="D4103" s="684"/>
      <c r="E4103" s="684"/>
      <c r="F4103" s="684"/>
      <c r="G4103" s="685"/>
    </row>
    <row r="4104" spans="1:7" ht="28.8" x14ac:dyDescent="0.3">
      <c r="A4104" s="529" t="s">
        <v>25</v>
      </c>
      <c r="B4104" s="529">
        <v>97633</v>
      </c>
      <c r="C4104" s="530" t="s">
        <v>42</v>
      </c>
      <c r="D4104" s="529" t="s">
        <v>24</v>
      </c>
      <c r="E4104" s="252"/>
      <c r="F4104" s="531">
        <v>14.85</v>
      </c>
      <c r="G4104" s="252">
        <f t="shared" si="91"/>
        <v>0</v>
      </c>
    </row>
    <row r="4105" spans="1:7" x14ac:dyDescent="0.3">
      <c r="A4105" s="524" t="s">
        <v>522</v>
      </c>
      <c r="B4105" s="524" t="s">
        <v>1355</v>
      </c>
      <c r="C4105" s="525" t="s">
        <v>1356</v>
      </c>
      <c r="D4105" s="524" t="s">
        <v>32</v>
      </c>
      <c r="E4105" s="524" t="s">
        <v>1357</v>
      </c>
      <c r="F4105" s="528" t="s">
        <v>1358</v>
      </c>
      <c r="G4105" s="252">
        <f t="shared" si="91"/>
        <v>4.5199999999999996</v>
      </c>
    </row>
    <row r="4106" spans="1:7" x14ac:dyDescent="0.3">
      <c r="A4106" s="524" t="s">
        <v>522</v>
      </c>
      <c r="B4106" s="524" t="s">
        <v>1359</v>
      </c>
      <c r="C4106" s="525" t="s">
        <v>801</v>
      </c>
      <c r="D4106" s="524" t="s">
        <v>32</v>
      </c>
      <c r="E4106" s="524" t="s">
        <v>1360</v>
      </c>
      <c r="F4106" s="528" t="s">
        <v>1361</v>
      </c>
      <c r="G4106" s="252">
        <f t="shared" si="91"/>
        <v>10.33</v>
      </c>
    </row>
    <row r="4107" spans="1:7" x14ac:dyDescent="0.3">
      <c r="A4107" s="680" t="s">
        <v>1152</v>
      </c>
      <c r="B4107" s="681"/>
      <c r="C4107" s="681"/>
      <c r="D4107" s="681"/>
      <c r="E4107" s="681"/>
      <c r="F4107" s="682"/>
      <c r="G4107" s="527">
        <f>SUM(G4103:G4106)</f>
        <v>14.85</v>
      </c>
    </row>
    <row r="4108" spans="1:7" x14ac:dyDescent="0.3">
      <c r="A4108" s="683">
        <f>TRUNC(E4108*F4108,2)</f>
        <v>0</v>
      </c>
      <c r="B4108" s="684"/>
      <c r="C4108" s="684"/>
      <c r="D4108" s="684"/>
      <c r="E4108" s="684"/>
      <c r="F4108" s="684"/>
      <c r="G4108" s="685"/>
    </row>
    <row r="4109" spans="1:7" x14ac:dyDescent="0.3">
      <c r="A4109" s="529" t="s">
        <v>56</v>
      </c>
      <c r="B4109" s="529">
        <v>97644</v>
      </c>
      <c r="C4109" s="530" t="s">
        <v>43</v>
      </c>
      <c r="D4109" s="529" t="s">
        <v>44</v>
      </c>
      <c r="E4109" s="252"/>
      <c r="F4109" s="531">
        <v>6.04</v>
      </c>
      <c r="G4109" s="252">
        <f t="shared" si="91"/>
        <v>0</v>
      </c>
    </row>
    <row r="4110" spans="1:7" x14ac:dyDescent="0.3">
      <c r="A4110" s="524" t="s">
        <v>522</v>
      </c>
      <c r="B4110" s="524" t="s">
        <v>1362</v>
      </c>
      <c r="C4110" s="525" t="s">
        <v>1363</v>
      </c>
      <c r="D4110" s="524" t="s">
        <v>32</v>
      </c>
      <c r="E4110" s="524" t="s">
        <v>1364</v>
      </c>
      <c r="F4110" s="528" t="s">
        <v>1365</v>
      </c>
      <c r="G4110" s="252">
        <f t="shared" si="91"/>
        <v>2.33</v>
      </c>
    </row>
    <row r="4111" spans="1:7" x14ac:dyDescent="0.3">
      <c r="A4111" s="524" t="s">
        <v>522</v>
      </c>
      <c r="B4111" s="524" t="s">
        <v>1359</v>
      </c>
      <c r="C4111" s="525" t="s">
        <v>801</v>
      </c>
      <c r="D4111" s="524" t="s">
        <v>32</v>
      </c>
      <c r="E4111" s="524" t="s">
        <v>1366</v>
      </c>
      <c r="F4111" s="528" t="s">
        <v>1361</v>
      </c>
      <c r="G4111" s="252">
        <f t="shared" si="91"/>
        <v>3.71</v>
      </c>
    </row>
    <row r="4112" spans="1:7" x14ac:dyDescent="0.3">
      <c r="A4112" s="680" t="s">
        <v>1152</v>
      </c>
      <c r="B4112" s="681"/>
      <c r="C4112" s="681"/>
      <c r="D4112" s="681"/>
      <c r="E4112" s="681"/>
      <c r="F4112" s="682"/>
      <c r="G4112" s="527">
        <f>SUM(G4108:G4111)</f>
        <v>6.04</v>
      </c>
    </row>
    <row r="4113" spans="1:7" x14ac:dyDescent="0.3">
      <c r="A4113" s="683">
        <f>TRUNC(E4113*F4113,2)</f>
        <v>0</v>
      </c>
      <c r="B4113" s="684"/>
      <c r="C4113" s="684"/>
      <c r="D4113" s="684"/>
      <c r="E4113" s="684"/>
      <c r="F4113" s="684"/>
      <c r="G4113" s="685"/>
    </row>
    <row r="4114" spans="1:7" x14ac:dyDescent="0.3">
      <c r="A4114" s="529" t="s">
        <v>216</v>
      </c>
      <c r="B4114" s="529">
        <v>97663</v>
      </c>
      <c r="C4114" s="530" t="s">
        <v>45</v>
      </c>
      <c r="D4114" s="529" t="s">
        <v>44</v>
      </c>
      <c r="E4114" s="252"/>
      <c r="F4114" s="531">
        <v>8.07</v>
      </c>
      <c r="G4114" s="252">
        <f t="shared" si="91"/>
        <v>0</v>
      </c>
    </row>
    <row r="4115" spans="1:7" x14ac:dyDescent="0.3">
      <c r="A4115" s="524" t="s">
        <v>522</v>
      </c>
      <c r="B4115" s="524" t="s">
        <v>1367</v>
      </c>
      <c r="C4115" s="525" t="s">
        <v>1368</v>
      </c>
      <c r="D4115" s="524" t="s">
        <v>32</v>
      </c>
      <c r="E4115" s="524" t="s">
        <v>1369</v>
      </c>
      <c r="F4115" s="528" t="s">
        <v>1370</v>
      </c>
      <c r="G4115" s="252">
        <f t="shared" si="91"/>
        <v>3.12</v>
      </c>
    </row>
    <row r="4116" spans="1:7" x14ac:dyDescent="0.3">
      <c r="A4116" s="524" t="s">
        <v>522</v>
      </c>
      <c r="B4116" s="524" t="s">
        <v>1359</v>
      </c>
      <c r="C4116" s="525" t="s">
        <v>801</v>
      </c>
      <c r="D4116" s="524" t="s">
        <v>32</v>
      </c>
      <c r="E4116" s="524" t="s">
        <v>1371</v>
      </c>
      <c r="F4116" s="528" t="s">
        <v>1361</v>
      </c>
      <c r="G4116" s="252">
        <f t="shared" si="91"/>
        <v>4.95</v>
      </c>
    </row>
    <row r="4117" spans="1:7" x14ac:dyDescent="0.3">
      <c r="A4117" s="680" t="s">
        <v>1152</v>
      </c>
      <c r="B4117" s="681"/>
      <c r="C4117" s="681"/>
      <c r="D4117" s="681"/>
      <c r="E4117" s="681"/>
      <c r="F4117" s="682"/>
      <c r="G4117" s="527">
        <f>SUM(G4114:G4116)</f>
        <v>8.07</v>
      </c>
    </row>
    <row r="4118" spans="1:7" x14ac:dyDescent="0.3">
      <c r="A4118" s="683">
        <f>TRUNC(E4118*F4118,2)</f>
        <v>0</v>
      </c>
      <c r="B4118" s="684"/>
      <c r="C4118" s="684"/>
      <c r="D4118" s="684"/>
      <c r="E4118" s="684"/>
      <c r="F4118" s="684"/>
      <c r="G4118" s="685"/>
    </row>
    <row r="4119" spans="1:7" ht="28.8" x14ac:dyDescent="0.3">
      <c r="A4119" s="529" t="s">
        <v>217</v>
      </c>
      <c r="B4119" s="529">
        <v>97666</v>
      </c>
      <c r="C4119" s="530" t="s">
        <v>46</v>
      </c>
      <c r="D4119" s="529" t="s">
        <v>44</v>
      </c>
      <c r="E4119" s="252"/>
      <c r="F4119" s="531">
        <v>5.88</v>
      </c>
      <c r="G4119" s="252">
        <f t="shared" si="91"/>
        <v>0</v>
      </c>
    </row>
    <row r="4120" spans="1:7" x14ac:dyDescent="0.3">
      <c r="A4120" s="524" t="s">
        <v>522</v>
      </c>
      <c r="B4120" s="524" t="s">
        <v>1367</v>
      </c>
      <c r="C4120" s="525" t="s">
        <v>1368</v>
      </c>
      <c r="D4120" s="524" t="s">
        <v>32</v>
      </c>
      <c r="E4120" s="524" t="s">
        <v>1372</v>
      </c>
      <c r="F4120" s="528" t="s">
        <v>1370</v>
      </c>
      <c r="G4120" s="252">
        <f t="shared" si="91"/>
        <v>2.27</v>
      </c>
    </row>
    <row r="4121" spans="1:7" x14ac:dyDescent="0.3">
      <c r="A4121" s="524" t="s">
        <v>522</v>
      </c>
      <c r="B4121" s="524" t="s">
        <v>1359</v>
      </c>
      <c r="C4121" s="525" t="s">
        <v>801</v>
      </c>
      <c r="D4121" s="524" t="s">
        <v>32</v>
      </c>
      <c r="E4121" s="524" t="s">
        <v>1373</v>
      </c>
      <c r="F4121" s="528" t="s">
        <v>1361</v>
      </c>
      <c r="G4121" s="252">
        <f t="shared" si="91"/>
        <v>3.61</v>
      </c>
    </row>
    <row r="4122" spans="1:7" x14ac:dyDescent="0.3">
      <c r="A4122" s="680" t="s">
        <v>1152</v>
      </c>
      <c r="B4122" s="681"/>
      <c r="C4122" s="681"/>
      <c r="D4122" s="681"/>
      <c r="E4122" s="681"/>
      <c r="F4122" s="682"/>
      <c r="G4122" s="527">
        <f>SUM(G4119:G4121)</f>
        <v>5.88</v>
      </c>
    </row>
    <row r="4123" spans="1:7" x14ac:dyDescent="0.3">
      <c r="A4123" s="683">
        <f>TRUNC(E4123*F4123,2)</f>
        <v>0</v>
      </c>
      <c r="B4123" s="684"/>
      <c r="C4123" s="684"/>
      <c r="D4123" s="684"/>
      <c r="E4123" s="684"/>
      <c r="F4123" s="684"/>
      <c r="G4123" s="685"/>
    </row>
    <row r="4124" spans="1:7" ht="28.8" x14ac:dyDescent="0.3">
      <c r="A4124" s="529" t="s">
        <v>218</v>
      </c>
      <c r="B4124" s="529">
        <v>97622</v>
      </c>
      <c r="C4124" s="530" t="s">
        <v>47</v>
      </c>
      <c r="D4124" s="529" t="s">
        <v>41</v>
      </c>
      <c r="E4124" s="252"/>
      <c r="F4124" s="531">
        <v>37.39</v>
      </c>
      <c r="G4124" s="252">
        <f t="shared" si="91"/>
        <v>0</v>
      </c>
    </row>
    <row r="4125" spans="1:7" x14ac:dyDescent="0.3">
      <c r="A4125" s="524" t="s">
        <v>522</v>
      </c>
      <c r="B4125" s="524" t="s">
        <v>1362</v>
      </c>
      <c r="C4125" s="525" t="s">
        <v>1363</v>
      </c>
      <c r="D4125" s="524" t="s">
        <v>32</v>
      </c>
      <c r="E4125" s="524" t="s">
        <v>1374</v>
      </c>
      <c r="F4125" s="528" t="s">
        <v>1365</v>
      </c>
      <c r="G4125" s="252">
        <f t="shared" si="91"/>
        <v>3.99</v>
      </c>
    </row>
    <row r="4126" spans="1:7" x14ac:dyDescent="0.3">
      <c r="A4126" s="524" t="s">
        <v>522</v>
      </c>
      <c r="B4126" s="524" t="s">
        <v>1359</v>
      </c>
      <c r="C4126" s="525" t="s">
        <v>801</v>
      </c>
      <c r="D4126" s="524" t="s">
        <v>32</v>
      </c>
      <c r="E4126" s="524" t="s">
        <v>1375</v>
      </c>
      <c r="F4126" s="528" t="s">
        <v>1361</v>
      </c>
      <c r="G4126" s="252">
        <f t="shared" si="91"/>
        <v>33.4</v>
      </c>
    </row>
    <row r="4127" spans="1:7" x14ac:dyDescent="0.3">
      <c r="A4127" s="680" t="s">
        <v>1152</v>
      </c>
      <c r="B4127" s="681"/>
      <c r="C4127" s="681"/>
      <c r="D4127" s="681"/>
      <c r="E4127" s="681"/>
      <c r="F4127" s="682"/>
      <c r="G4127" s="527">
        <f>SUM(G4124:G4126)</f>
        <v>37.39</v>
      </c>
    </row>
    <row r="4128" spans="1:7" x14ac:dyDescent="0.3">
      <c r="A4128" s="683">
        <f>TRUNC(E4128*F4128,2)</f>
        <v>0</v>
      </c>
      <c r="B4128" s="684"/>
      <c r="C4128" s="684"/>
      <c r="D4128" s="684"/>
      <c r="E4128" s="684"/>
      <c r="F4128" s="684"/>
      <c r="G4128" s="685"/>
    </row>
    <row r="4129" spans="1:7" x14ac:dyDescent="0.3">
      <c r="A4129" s="529" t="s">
        <v>60</v>
      </c>
      <c r="B4129" s="529"/>
      <c r="C4129" s="530" t="s">
        <v>51</v>
      </c>
      <c r="D4129" s="529"/>
      <c r="E4129" s="252"/>
      <c r="F4129" s="531"/>
      <c r="G4129" s="252">
        <f t="shared" si="91"/>
        <v>0</v>
      </c>
    </row>
    <row r="4130" spans="1:7" ht="57.6" x14ac:dyDescent="0.3">
      <c r="A4130" s="529" t="s">
        <v>64</v>
      </c>
      <c r="B4130" s="529">
        <v>90843</v>
      </c>
      <c r="C4130" s="530" t="s">
        <v>53</v>
      </c>
      <c r="D4130" s="529" t="s">
        <v>44</v>
      </c>
      <c r="E4130" s="252"/>
      <c r="F4130" s="531">
        <v>640</v>
      </c>
      <c r="G4130" s="252">
        <f t="shared" si="91"/>
        <v>0</v>
      </c>
    </row>
    <row r="4131" spans="1:7" ht="28.8" x14ac:dyDescent="0.3">
      <c r="A4131" s="524" t="s">
        <v>522</v>
      </c>
      <c r="B4131" s="524" t="s">
        <v>1380</v>
      </c>
      <c r="C4131" s="525" t="s">
        <v>1381</v>
      </c>
      <c r="D4131" s="524" t="s">
        <v>397</v>
      </c>
      <c r="E4131" s="524" t="s">
        <v>1122</v>
      </c>
      <c r="F4131" s="526">
        <v>200</v>
      </c>
      <c r="G4131" s="252">
        <f t="shared" si="91"/>
        <v>200</v>
      </c>
    </row>
    <row r="4132" spans="1:7" ht="43.2" x14ac:dyDescent="0.3">
      <c r="A4132" s="524" t="s">
        <v>522</v>
      </c>
      <c r="B4132" s="524" t="s">
        <v>956</v>
      </c>
      <c r="C4132" s="525" t="s">
        <v>957</v>
      </c>
      <c r="D4132" s="524" t="s">
        <v>397</v>
      </c>
      <c r="E4132" s="524" t="s">
        <v>1122</v>
      </c>
      <c r="F4132" s="526">
        <v>300</v>
      </c>
      <c r="G4132" s="252">
        <f t="shared" si="91"/>
        <v>300</v>
      </c>
    </row>
    <row r="4133" spans="1:7" ht="43.2" x14ac:dyDescent="0.3">
      <c r="A4133" s="524" t="s">
        <v>522</v>
      </c>
      <c r="B4133" s="524" t="s">
        <v>1383</v>
      </c>
      <c r="C4133" s="525" t="s">
        <v>1384</v>
      </c>
      <c r="D4133" s="524" t="s">
        <v>397</v>
      </c>
      <c r="E4133" s="524" t="s">
        <v>1122</v>
      </c>
      <c r="F4133" s="526">
        <v>90</v>
      </c>
      <c r="G4133" s="252">
        <f t="shared" si="91"/>
        <v>90</v>
      </c>
    </row>
    <row r="4134" spans="1:7" ht="28.8" x14ac:dyDescent="0.3">
      <c r="A4134" s="524" t="s">
        <v>522</v>
      </c>
      <c r="B4134" s="524" t="s">
        <v>1386</v>
      </c>
      <c r="C4134" s="525" t="s">
        <v>1387</v>
      </c>
      <c r="D4134" s="524" t="s">
        <v>55</v>
      </c>
      <c r="E4134" s="524" t="s">
        <v>1388</v>
      </c>
      <c r="F4134" s="526">
        <v>5</v>
      </c>
      <c r="G4134" s="252">
        <f t="shared" si="91"/>
        <v>50</v>
      </c>
    </row>
    <row r="4135" spans="1:7" x14ac:dyDescent="0.3">
      <c r="A4135" s="680" t="s">
        <v>1152</v>
      </c>
      <c r="B4135" s="681"/>
      <c r="C4135" s="681"/>
      <c r="D4135" s="681"/>
      <c r="E4135" s="681"/>
      <c r="F4135" s="682"/>
      <c r="G4135" s="527">
        <f>SUM(G4128:G4134)</f>
        <v>640</v>
      </c>
    </row>
    <row r="4136" spans="1:7" x14ac:dyDescent="0.3">
      <c r="A4136" s="683">
        <f>TRUNC(E4136*F4136,2)</f>
        <v>0</v>
      </c>
      <c r="B4136" s="684"/>
      <c r="C4136" s="684"/>
      <c r="D4136" s="684"/>
      <c r="E4136" s="684"/>
      <c r="F4136" s="684"/>
      <c r="G4136" s="685"/>
    </row>
    <row r="4137" spans="1:7" ht="28.8" x14ac:dyDescent="0.3">
      <c r="A4137" s="529" t="s">
        <v>69</v>
      </c>
      <c r="B4137" s="529">
        <v>91338</v>
      </c>
      <c r="C4137" s="530" t="s">
        <v>57</v>
      </c>
      <c r="D4137" s="529" t="s">
        <v>24</v>
      </c>
      <c r="E4137" s="252"/>
      <c r="F4137" s="531">
        <v>871.17</v>
      </c>
      <c r="G4137" s="252">
        <f t="shared" si="91"/>
        <v>0</v>
      </c>
    </row>
    <row r="4138" spans="1:7" ht="28.8" x14ac:dyDescent="0.3">
      <c r="A4138" s="524" t="s">
        <v>508</v>
      </c>
      <c r="B4138" s="524" t="s">
        <v>1417</v>
      </c>
      <c r="C4138" s="525" t="s">
        <v>1418</v>
      </c>
      <c r="D4138" s="524" t="s">
        <v>1419</v>
      </c>
      <c r="E4138" s="606">
        <v>0.8</v>
      </c>
      <c r="F4138" s="526">
        <v>20</v>
      </c>
      <c r="G4138" s="252">
        <f t="shared" si="91"/>
        <v>16</v>
      </c>
    </row>
    <row r="4139" spans="1:7" ht="28.8" x14ac:dyDescent="0.3">
      <c r="A4139" s="524" t="s">
        <v>508</v>
      </c>
      <c r="B4139" s="524" t="s">
        <v>1422</v>
      </c>
      <c r="C4139" s="525" t="s">
        <v>1423</v>
      </c>
      <c r="D4139" s="524" t="s">
        <v>24</v>
      </c>
      <c r="E4139" s="606">
        <v>1</v>
      </c>
      <c r="F4139" s="526">
        <v>800</v>
      </c>
      <c r="G4139" s="252">
        <f t="shared" si="91"/>
        <v>800</v>
      </c>
    </row>
    <row r="4140" spans="1:7" ht="28.8" x14ac:dyDescent="0.3">
      <c r="A4140" s="524" t="s">
        <v>508</v>
      </c>
      <c r="B4140" s="524" t="s">
        <v>1425</v>
      </c>
      <c r="C4140" s="525" t="s">
        <v>1426</v>
      </c>
      <c r="D4140" s="524" t="s">
        <v>397</v>
      </c>
      <c r="E4140" s="606">
        <v>4</v>
      </c>
      <c r="F4140" s="526" t="s">
        <v>1428</v>
      </c>
      <c r="G4140" s="252">
        <f t="shared" si="91"/>
        <v>2.2000000000000002</v>
      </c>
    </row>
    <row r="4141" spans="1:7" ht="28.8" x14ac:dyDescent="0.3">
      <c r="A4141" s="524" t="s">
        <v>508</v>
      </c>
      <c r="B4141" s="524" t="s">
        <v>1429</v>
      </c>
      <c r="C4141" s="525" t="s">
        <v>1430</v>
      </c>
      <c r="D4141" s="524" t="s">
        <v>55</v>
      </c>
      <c r="E4141" s="606">
        <v>6.5</v>
      </c>
      <c r="F4141" s="526">
        <v>7</v>
      </c>
      <c r="G4141" s="252">
        <f t="shared" si="91"/>
        <v>45.5</v>
      </c>
    </row>
    <row r="4142" spans="1:7" x14ac:dyDescent="0.3">
      <c r="A4142" s="524" t="s">
        <v>522</v>
      </c>
      <c r="B4142" s="524" t="s">
        <v>1362</v>
      </c>
      <c r="C4142" s="525" t="s">
        <v>1363</v>
      </c>
      <c r="D4142" s="524" t="s">
        <v>32</v>
      </c>
      <c r="E4142" s="606">
        <v>0.3</v>
      </c>
      <c r="F4142" s="526" t="s">
        <v>1365</v>
      </c>
      <c r="G4142" s="252">
        <f t="shared" si="91"/>
        <v>5.32</v>
      </c>
    </row>
    <row r="4143" spans="1:7" x14ac:dyDescent="0.3">
      <c r="A4143" s="524" t="s">
        <v>522</v>
      </c>
      <c r="B4143" s="524" t="s">
        <v>1359</v>
      </c>
      <c r="C4143" s="525" t="s">
        <v>801</v>
      </c>
      <c r="D4143" s="524" t="s">
        <v>32</v>
      </c>
      <c r="E4143" s="606">
        <v>0.15</v>
      </c>
      <c r="F4143" s="526" t="s">
        <v>1361</v>
      </c>
      <c r="G4143" s="252">
        <f t="shared" si="91"/>
        <v>2.15</v>
      </c>
    </row>
    <row r="4144" spans="1:7" x14ac:dyDescent="0.3">
      <c r="A4144" s="680" t="s">
        <v>1152</v>
      </c>
      <c r="B4144" s="681"/>
      <c r="C4144" s="681"/>
      <c r="D4144" s="681"/>
      <c r="E4144" s="681"/>
      <c r="F4144" s="682"/>
      <c r="G4144" s="527">
        <f>SUM(G4137:G4143)</f>
        <v>871.17000000000007</v>
      </c>
    </row>
    <row r="4145" spans="1:7" x14ac:dyDescent="0.3">
      <c r="A4145" s="683">
        <f>TRUNC(E4145*F4145,2)</f>
        <v>0</v>
      </c>
      <c r="B4145" s="684"/>
      <c r="C4145" s="684"/>
      <c r="D4145" s="684"/>
      <c r="E4145" s="684"/>
      <c r="F4145" s="684"/>
      <c r="G4145" s="685"/>
    </row>
    <row r="4146" spans="1:7" x14ac:dyDescent="0.3">
      <c r="A4146" s="529" t="s">
        <v>72</v>
      </c>
      <c r="B4146" s="529">
        <v>100701</v>
      </c>
      <c r="C4146" s="530" t="s">
        <v>324</v>
      </c>
      <c r="D4146" s="529" t="s">
        <v>24</v>
      </c>
      <c r="E4146" s="252"/>
      <c r="F4146" s="531">
        <v>479.56</v>
      </c>
      <c r="G4146" s="252">
        <f t="shared" si="91"/>
        <v>0</v>
      </c>
    </row>
    <row r="4147" spans="1:7" ht="28.8" x14ac:dyDescent="0.3">
      <c r="A4147" s="524" t="s">
        <v>508</v>
      </c>
      <c r="B4147" s="524" t="s">
        <v>2041</v>
      </c>
      <c r="C4147" s="525" t="s">
        <v>2042</v>
      </c>
      <c r="D4147" s="524" t="s">
        <v>24</v>
      </c>
      <c r="E4147" s="524" t="s">
        <v>1122</v>
      </c>
      <c r="F4147" s="526" t="s">
        <v>2043</v>
      </c>
      <c r="G4147" s="252">
        <f t="shared" si="91"/>
        <v>463.18</v>
      </c>
    </row>
    <row r="4148" spans="1:7" x14ac:dyDescent="0.3">
      <c r="A4148" s="524" t="s">
        <v>522</v>
      </c>
      <c r="B4148" s="524" t="s">
        <v>1362</v>
      </c>
      <c r="C4148" s="525" t="s">
        <v>1363</v>
      </c>
      <c r="D4148" s="524" t="s">
        <v>32</v>
      </c>
      <c r="E4148" s="524" t="s">
        <v>2044</v>
      </c>
      <c r="F4148" s="526" t="s">
        <v>1365</v>
      </c>
      <c r="G4148" s="252">
        <f t="shared" si="91"/>
        <v>8.11</v>
      </c>
    </row>
    <row r="4149" spans="1:7" x14ac:dyDescent="0.3">
      <c r="A4149" s="524" t="s">
        <v>522</v>
      </c>
      <c r="B4149" s="524" t="s">
        <v>1359</v>
      </c>
      <c r="C4149" s="525" t="s">
        <v>801</v>
      </c>
      <c r="D4149" s="524" t="s">
        <v>32</v>
      </c>
      <c r="E4149" s="524" t="s">
        <v>2045</v>
      </c>
      <c r="F4149" s="526" t="s">
        <v>1361</v>
      </c>
      <c r="G4149" s="252">
        <f t="shared" si="91"/>
        <v>3.29</v>
      </c>
    </row>
    <row r="4150" spans="1:7" ht="28.8" x14ac:dyDescent="0.3">
      <c r="A4150" s="524" t="s">
        <v>522</v>
      </c>
      <c r="B4150" s="524" t="s">
        <v>2046</v>
      </c>
      <c r="C4150" s="525" t="s">
        <v>2047</v>
      </c>
      <c r="D4150" s="524" t="s">
        <v>41</v>
      </c>
      <c r="E4150" s="524" t="s">
        <v>1415</v>
      </c>
      <c r="F4150" s="526" t="s">
        <v>2048</v>
      </c>
      <c r="G4150" s="252">
        <f t="shared" si="91"/>
        <v>4.9800000000000004</v>
      </c>
    </row>
    <row r="4151" spans="1:7" x14ac:dyDescent="0.3">
      <c r="A4151" s="680" t="s">
        <v>1152</v>
      </c>
      <c r="B4151" s="681"/>
      <c r="C4151" s="681"/>
      <c r="D4151" s="681"/>
      <c r="E4151" s="681"/>
      <c r="F4151" s="682"/>
      <c r="G4151" s="527">
        <f>SUM(G4147:G4150)</f>
        <v>479.56000000000006</v>
      </c>
    </row>
    <row r="4152" spans="1:7" x14ac:dyDescent="0.3">
      <c r="A4152" s="683">
        <f>TRUNC(E4152*F4152,2)</f>
        <v>0</v>
      </c>
      <c r="B4152" s="684"/>
      <c r="C4152" s="684"/>
      <c r="D4152" s="684"/>
      <c r="E4152" s="684"/>
      <c r="F4152" s="684"/>
      <c r="G4152" s="685"/>
    </row>
    <row r="4153" spans="1:7" x14ac:dyDescent="0.3">
      <c r="A4153" s="529" t="s">
        <v>74</v>
      </c>
      <c r="B4153" s="529"/>
      <c r="C4153" s="530" t="s">
        <v>61</v>
      </c>
      <c r="D4153" s="529"/>
      <c r="E4153" s="252"/>
      <c r="F4153" s="531"/>
      <c r="G4153" s="252">
        <f t="shared" si="91"/>
        <v>0</v>
      </c>
    </row>
    <row r="4154" spans="1:7" ht="43.2" x14ac:dyDescent="0.3">
      <c r="A4154" s="529" t="s">
        <v>77</v>
      </c>
      <c r="B4154" s="529">
        <v>87266</v>
      </c>
      <c r="C4154" s="530" t="s">
        <v>65</v>
      </c>
      <c r="D4154" s="529" t="s">
        <v>24</v>
      </c>
      <c r="E4154" s="252"/>
      <c r="F4154" s="531">
        <v>32.79</v>
      </c>
      <c r="G4154" s="252">
        <f t="shared" si="91"/>
        <v>0</v>
      </c>
    </row>
    <row r="4155" spans="1:7" ht="28.8" x14ac:dyDescent="0.3">
      <c r="A4155" s="524" t="s">
        <v>508</v>
      </c>
      <c r="B4155" s="524" t="s">
        <v>1441</v>
      </c>
      <c r="C4155" s="525" t="s">
        <v>1442</v>
      </c>
      <c r="D4155" s="524" t="s">
        <v>24</v>
      </c>
      <c r="E4155" s="606">
        <v>1</v>
      </c>
      <c r="F4155" s="526">
        <v>14</v>
      </c>
      <c r="G4155" s="252">
        <f t="shared" si="91"/>
        <v>14</v>
      </c>
    </row>
    <row r="4156" spans="1:7" x14ac:dyDescent="0.3">
      <c r="A4156" s="524" t="s">
        <v>508</v>
      </c>
      <c r="B4156" s="524" t="s">
        <v>1444</v>
      </c>
      <c r="C4156" s="525" t="s">
        <v>1445</v>
      </c>
      <c r="D4156" s="524" t="s">
        <v>426</v>
      </c>
      <c r="E4156" s="606">
        <v>4</v>
      </c>
      <c r="F4156" s="526" t="s">
        <v>1447</v>
      </c>
      <c r="G4156" s="252">
        <f t="shared" si="91"/>
        <v>2.6</v>
      </c>
    </row>
    <row r="4157" spans="1:7" x14ac:dyDescent="0.3">
      <c r="A4157" s="524" t="s">
        <v>508</v>
      </c>
      <c r="B4157" s="524" t="s">
        <v>1448</v>
      </c>
      <c r="C4157" s="525" t="s">
        <v>1449</v>
      </c>
      <c r="D4157" s="524" t="s">
        <v>426</v>
      </c>
      <c r="E4157" s="524" t="s">
        <v>1450</v>
      </c>
      <c r="F4157" s="526" t="s">
        <v>1451</v>
      </c>
      <c r="G4157" s="252">
        <f t="shared" si="91"/>
        <v>1.6</v>
      </c>
    </row>
    <row r="4158" spans="1:7" x14ac:dyDescent="0.3">
      <c r="A4158" s="524" t="s">
        <v>522</v>
      </c>
      <c r="B4158" s="524" t="s">
        <v>1355</v>
      </c>
      <c r="C4158" s="525" t="s">
        <v>1356</v>
      </c>
      <c r="D4158" s="524" t="s">
        <v>32</v>
      </c>
      <c r="E4158" s="606">
        <v>0.5</v>
      </c>
      <c r="F4158" s="526" t="s">
        <v>1358</v>
      </c>
      <c r="G4158" s="252">
        <f t="shared" si="91"/>
        <v>8.85</v>
      </c>
    </row>
    <row r="4159" spans="1:7" x14ac:dyDescent="0.3">
      <c r="A4159" s="524" t="s">
        <v>522</v>
      </c>
      <c r="B4159" s="524" t="s">
        <v>1359</v>
      </c>
      <c r="C4159" s="525" t="s">
        <v>801</v>
      </c>
      <c r="D4159" s="524" t="s">
        <v>32</v>
      </c>
      <c r="E4159" s="606">
        <v>0.4</v>
      </c>
      <c r="F4159" s="526" t="s">
        <v>1361</v>
      </c>
      <c r="G4159" s="252">
        <f t="shared" si="91"/>
        <v>5.74</v>
      </c>
    </row>
    <row r="4160" spans="1:7" x14ac:dyDescent="0.3">
      <c r="A4160" s="680" t="s">
        <v>1152</v>
      </c>
      <c r="B4160" s="681"/>
      <c r="C4160" s="681"/>
      <c r="D4160" s="681"/>
      <c r="E4160" s="681"/>
      <c r="F4160" s="682"/>
      <c r="G4160" s="527">
        <f>SUM(G4154:G4159)</f>
        <v>32.790000000000006</v>
      </c>
    </row>
    <row r="4161" spans="1:7" x14ac:dyDescent="0.3">
      <c r="A4161" s="683">
        <f>TRUNC(E4161*F4161,2)</f>
        <v>0</v>
      </c>
      <c r="B4161" s="684"/>
      <c r="C4161" s="684"/>
      <c r="D4161" s="684"/>
      <c r="E4161" s="684"/>
      <c r="F4161" s="684"/>
      <c r="G4161" s="685"/>
    </row>
    <row r="4162" spans="1:7" x14ac:dyDescent="0.3">
      <c r="A4162" s="529" t="s">
        <v>85</v>
      </c>
      <c r="B4162" s="529"/>
      <c r="C4162" s="530" t="s">
        <v>75</v>
      </c>
      <c r="D4162" s="529"/>
      <c r="E4162" s="252"/>
      <c r="F4162" s="531"/>
      <c r="G4162" s="252">
        <f t="shared" si="91"/>
        <v>0</v>
      </c>
    </row>
    <row r="4163" spans="1:7" ht="43.2" x14ac:dyDescent="0.3">
      <c r="A4163" s="529" t="s">
        <v>87</v>
      </c>
      <c r="B4163" s="529">
        <v>94993</v>
      </c>
      <c r="C4163" s="530" t="s">
        <v>78</v>
      </c>
      <c r="D4163" s="529" t="s">
        <v>24</v>
      </c>
      <c r="E4163" s="252"/>
      <c r="F4163" s="531">
        <v>62.94</v>
      </c>
      <c r="G4163" s="252">
        <f t="shared" si="91"/>
        <v>0</v>
      </c>
    </row>
    <row r="4164" spans="1:7" x14ac:dyDescent="0.3">
      <c r="A4164" s="524" t="s">
        <v>508</v>
      </c>
      <c r="B4164" s="524" t="s">
        <v>1475</v>
      </c>
      <c r="C4164" s="525" t="s">
        <v>1476</v>
      </c>
      <c r="D4164" s="524" t="s">
        <v>24</v>
      </c>
      <c r="E4164" s="524" t="s">
        <v>1477</v>
      </c>
      <c r="F4164" s="526" t="s">
        <v>1478</v>
      </c>
      <c r="G4164" s="252">
        <f t="shared" si="91"/>
        <v>1.03</v>
      </c>
    </row>
    <row r="4165" spans="1:7" ht="28.8" x14ac:dyDescent="0.3">
      <c r="A4165" s="524" t="s">
        <v>508</v>
      </c>
      <c r="B4165" s="524" t="s">
        <v>1479</v>
      </c>
      <c r="C4165" s="525" t="s">
        <v>1480</v>
      </c>
      <c r="D4165" s="524" t="s">
        <v>55</v>
      </c>
      <c r="E4165" s="524" t="s">
        <v>1481</v>
      </c>
      <c r="F4165" s="526" t="s">
        <v>1482</v>
      </c>
      <c r="G4165" s="252">
        <f t="shared" si="91"/>
        <v>0.9</v>
      </c>
    </row>
    <row r="4166" spans="1:7" ht="28.8" x14ac:dyDescent="0.3">
      <c r="A4166" s="524" t="s">
        <v>508</v>
      </c>
      <c r="B4166" s="524" t="s">
        <v>1483</v>
      </c>
      <c r="C4166" s="525" t="s">
        <v>1484</v>
      </c>
      <c r="D4166" s="524" t="s">
        <v>24</v>
      </c>
      <c r="E4166" s="524" t="s">
        <v>1485</v>
      </c>
      <c r="F4166" s="526" t="s">
        <v>1486</v>
      </c>
      <c r="G4166" s="252">
        <f t="shared" si="91"/>
        <v>26.02</v>
      </c>
    </row>
    <row r="4167" spans="1:7" ht="28.8" x14ac:dyDescent="0.3">
      <c r="A4167" s="524" t="s">
        <v>508</v>
      </c>
      <c r="B4167" s="524" t="s">
        <v>1487</v>
      </c>
      <c r="C4167" s="525" t="s">
        <v>1488</v>
      </c>
      <c r="D4167" s="524" t="s">
        <v>41</v>
      </c>
      <c r="E4167" s="524" t="s">
        <v>1489</v>
      </c>
      <c r="F4167" s="526" t="s">
        <v>1490</v>
      </c>
      <c r="G4167" s="252">
        <f t="shared" si="91"/>
        <v>26.87</v>
      </c>
    </row>
    <row r="4168" spans="1:7" x14ac:dyDescent="0.3">
      <c r="A4168" s="524" t="s">
        <v>522</v>
      </c>
      <c r="B4168" s="524" t="s">
        <v>527</v>
      </c>
      <c r="C4168" s="525" t="s">
        <v>528</v>
      </c>
      <c r="D4168" s="524" t="s">
        <v>32</v>
      </c>
      <c r="E4168" s="524" t="s">
        <v>1491</v>
      </c>
      <c r="F4168" s="526" t="s">
        <v>530</v>
      </c>
      <c r="G4168" s="252">
        <f t="shared" si="91"/>
        <v>2.38</v>
      </c>
    </row>
    <row r="4169" spans="1:7" x14ac:dyDescent="0.3">
      <c r="A4169" s="524" t="s">
        <v>522</v>
      </c>
      <c r="B4169" s="524" t="s">
        <v>1362</v>
      </c>
      <c r="C4169" s="525" t="s">
        <v>1363</v>
      </c>
      <c r="D4169" s="524" t="s">
        <v>32</v>
      </c>
      <c r="E4169" s="524" t="s">
        <v>1492</v>
      </c>
      <c r="F4169" s="526" t="s">
        <v>1365</v>
      </c>
      <c r="G4169" s="252">
        <f t="shared" si="91"/>
        <v>2.1</v>
      </c>
    </row>
    <row r="4170" spans="1:7" x14ac:dyDescent="0.3">
      <c r="A4170" s="524" t="s">
        <v>522</v>
      </c>
      <c r="B4170" s="524" t="s">
        <v>1359</v>
      </c>
      <c r="C4170" s="525" t="s">
        <v>801</v>
      </c>
      <c r="D4170" s="524" t="s">
        <v>32</v>
      </c>
      <c r="E4170" s="524" t="s">
        <v>1493</v>
      </c>
      <c r="F4170" s="526" t="s">
        <v>1361</v>
      </c>
      <c r="G4170" s="252">
        <f t="shared" si="91"/>
        <v>3.64</v>
      </c>
    </row>
    <row r="4171" spans="1:7" x14ac:dyDescent="0.3">
      <c r="A4171" s="680" t="s">
        <v>1152</v>
      </c>
      <c r="B4171" s="681"/>
      <c r="C4171" s="681"/>
      <c r="D4171" s="681"/>
      <c r="E4171" s="681"/>
      <c r="F4171" s="682"/>
      <c r="G4171" s="527">
        <f>SUM(G4163:G4170)</f>
        <v>62.940000000000005</v>
      </c>
    </row>
    <row r="4172" spans="1:7" x14ac:dyDescent="0.3">
      <c r="A4172" s="683">
        <f>TRUNC(E4172*F4172,2)</f>
        <v>0</v>
      </c>
      <c r="B4172" s="684"/>
      <c r="C4172" s="684"/>
      <c r="D4172" s="684"/>
      <c r="E4172" s="684"/>
      <c r="F4172" s="684"/>
      <c r="G4172" s="685"/>
    </row>
    <row r="4173" spans="1:7" ht="43.2" x14ac:dyDescent="0.3">
      <c r="A4173" s="529" t="s">
        <v>90</v>
      </c>
      <c r="B4173" s="529">
        <v>87262</v>
      </c>
      <c r="C4173" s="530" t="s">
        <v>84</v>
      </c>
      <c r="D4173" s="529" t="s">
        <v>24</v>
      </c>
      <c r="E4173" s="252"/>
      <c r="F4173" s="531">
        <v>82.17</v>
      </c>
      <c r="G4173" s="252">
        <f t="shared" si="91"/>
        <v>0</v>
      </c>
    </row>
    <row r="4174" spans="1:7" x14ac:dyDescent="0.3">
      <c r="A4174" s="524" t="s">
        <v>508</v>
      </c>
      <c r="B4174" s="524" t="s">
        <v>1448</v>
      </c>
      <c r="C4174" s="525" t="s">
        <v>1449</v>
      </c>
      <c r="D4174" s="524" t="s">
        <v>426</v>
      </c>
      <c r="E4174" s="524" t="s">
        <v>1559</v>
      </c>
      <c r="F4174" s="526" t="s">
        <v>1451</v>
      </c>
      <c r="G4174" s="252">
        <f t="shared" si="91"/>
        <v>0.53</v>
      </c>
    </row>
    <row r="4175" spans="1:7" x14ac:dyDescent="0.3">
      <c r="A4175" s="524" t="s">
        <v>508</v>
      </c>
      <c r="B4175" s="524" t="s">
        <v>1560</v>
      </c>
      <c r="C4175" s="525" t="s">
        <v>1561</v>
      </c>
      <c r="D4175" s="524" t="s">
        <v>426</v>
      </c>
      <c r="E4175" s="606">
        <v>8</v>
      </c>
      <c r="F4175" s="526" t="s">
        <v>1563</v>
      </c>
      <c r="G4175" s="252">
        <f t="shared" si="91"/>
        <v>15.92</v>
      </c>
    </row>
    <row r="4176" spans="1:7" x14ac:dyDescent="0.3">
      <c r="A4176" s="524" t="s">
        <v>508</v>
      </c>
      <c r="B4176" s="524" t="s">
        <v>1564</v>
      </c>
      <c r="C4176" s="525" t="s">
        <v>1565</v>
      </c>
      <c r="D4176" s="524" t="s">
        <v>24</v>
      </c>
      <c r="E4176" s="606" t="s">
        <v>1566</v>
      </c>
      <c r="F4176" s="526">
        <v>50</v>
      </c>
      <c r="G4176" s="252">
        <f t="shared" si="91"/>
        <v>54</v>
      </c>
    </row>
    <row r="4177" spans="1:7" x14ac:dyDescent="0.3">
      <c r="A4177" s="524" t="s">
        <v>522</v>
      </c>
      <c r="B4177" s="524" t="s">
        <v>1355</v>
      </c>
      <c r="C4177" s="525" t="s">
        <v>1356</v>
      </c>
      <c r="D4177" s="524" t="s">
        <v>32</v>
      </c>
      <c r="E4177" s="606">
        <v>0.5</v>
      </c>
      <c r="F4177" s="526" t="s">
        <v>1358</v>
      </c>
      <c r="G4177" s="252">
        <f t="shared" si="91"/>
        <v>8.85</v>
      </c>
    </row>
    <row r="4178" spans="1:7" x14ac:dyDescent="0.3">
      <c r="A4178" s="524" t="s">
        <v>522</v>
      </c>
      <c r="B4178" s="524" t="s">
        <v>1359</v>
      </c>
      <c r="C4178" s="525" t="s">
        <v>801</v>
      </c>
      <c r="D4178" s="524" t="s">
        <v>32</v>
      </c>
      <c r="E4178" s="606">
        <v>0.2</v>
      </c>
      <c r="F4178" s="526" t="s">
        <v>1361</v>
      </c>
      <c r="G4178" s="252">
        <f t="shared" si="91"/>
        <v>2.87</v>
      </c>
    </row>
    <row r="4179" spans="1:7" x14ac:dyDescent="0.3">
      <c r="A4179" s="680" t="s">
        <v>1152</v>
      </c>
      <c r="B4179" s="681"/>
      <c r="C4179" s="681"/>
      <c r="D4179" s="681"/>
      <c r="E4179" s="681"/>
      <c r="F4179" s="682"/>
      <c r="G4179" s="527">
        <f>SUM(G4173:G4178)</f>
        <v>82.17</v>
      </c>
    </row>
    <row r="4180" spans="1:7" x14ac:dyDescent="0.3">
      <c r="A4180" s="683">
        <f>TRUNC(E4180*F4180,2)</f>
        <v>0</v>
      </c>
      <c r="B4180" s="684"/>
      <c r="C4180" s="684"/>
      <c r="D4180" s="684"/>
      <c r="E4180" s="684"/>
      <c r="F4180" s="684"/>
      <c r="G4180" s="685"/>
    </row>
    <row r="4181" spans="1:7" x14ac:dyDescent="0.3">
      <c r="A4181" s="529" t="s">
        <v>95</v>
      </c>
      <c r="B4181" s="529"/>
      <c r="C4181" s="530" t="s">
        <v>86</v>
      </c>
      <c r="D4181" s="529"/>
      <c r="E4181" s="252"/>
      <c r="F4181" s="531"/>
      <c r="G4181" s="252">
        <f t="shared" si="91"/>
        <v>0</v>
      </c>
    </row>
    <row r="4182" spans="1:7" x14ac:dyDescent="0.3">
      <c r="A4182" s="529" t="s">
        <v>97</v>
      </c>
      <c r="B4182" s="529">
        <v>72117</v>
      </c>
      <c r="C4182" s="530" t="s">
        <v>88</v>
      </c>
      <c r="D4182" s="529" t="s">
        <v>24</v>
      </c>
      <c r="E4182" s="252"/>
      <c r="F4182" s="531">
        <v>159.13</v>
      </c>
      <c r="G4182" s="252">
        <f t="shared" si="91"/>
        <v>0</v>
      </c>
    </row>
    <row r="4183" spans="1:7" x14ac:dyDescent="0.3">
      <c r="A4183" s="524" t="s">
        <v>508</v>
      </c>
      <c r="B4183" s="524" t="s">
        <v>1549</v>
      </c>
      <c r="C4183" s="525" t="s">
        <v>1550</v>
      </c>
      <c r="D4183" s="524" t="s">
        <v>24</v>
      </c>
      <c r="E4183" s="524" t="s">
        <v>1122</v>
      </c>
      <c r="F4183" s="526" t="s">
        <v>1551</v>
      </c>
      <c r="G4183" s="252">
        <f t="shared" si="91"/>
        <v>131.59</v>
      </c>
    </row>
    <row r="4184" spans="1:7" x14ac:dyDescent="0.3">
      <c r="A4184" s="524" t="s">
        <v>508</v>
      </c>
      <c r="B4184" s="524" t="s">
        <v>1552</v>
      </c>
      <c r="C4184" s="525" t="s">
        <v>1553</v>
      </c>
      <c r="D4184" s="524" t="s">
        <v>426</v>
      </c>
      <c r="E4184" s="524" t="s">
        <v>1554</v>
      </c>
      <c r="F4184" s="526" t="s">
        <v>1555</v>
      </c>
      <c r="G4184" s="252">
        <f t="shared" si="91"/>
        <v>13.37</v>
      </c>
    </row>
    <row r="4185" spans="1:7" x14ac:dyDescent="0.3">
      <c r="A4185" s="524" t="s">
        <v>522</v>
      </c>
      <c r="B4185" s="524" t="s">
        <v>1359</v>
      </c>
      <c r="C4185" s="525" t="s">
        <v>801</v>
      </c>
      <c r="D4185" s="524" t="s">
        <v>32</v>
      </c>
      <c r="E4185" s="524" t="s">
        <v>1481</v>
      </c>
      <c r="F4185" s="526" t="s">
        <v>1361</v>
      </c>
      <c r="G4185" s="252">
        <f t="shared" si="91"/>
        <v>6.46</v>
      </c>
    </row>
    <row r="4186" spans="1:7" x14ac:dyDescent="0.3">
      <c r="A4186" s="524" t="s">
        <v>522</v>
      </c>
      <c r="B4186" s="524" t="s">
        <v>1556</v>
      </c>
      <c r="C4186" s="525" t="s">
        <v>1557</v>
      </c>
      <c r="D4186" s="524" t="s">
        <v>32</v>
      </c>
      <c r="E4186" s="524" t="s">
        <v>1481</v>
      </c>
      <c r="F4186" s="526" t="s">
        <v>1558</v>
      </c>
      <c r="G4186" s="252">
        <f t="shared" si="91"/>
        <v>7.71</v>
      </c>
    </row>
    <row r="4187" spans="1:7" x14ac:dyDescent="0.3">
      <c r="A4187" s="680" t="s">
        <v>1152</v>
      </c>
      <c r="B4187" s="681"/>
      <c r="C4187" s="681"/>
      <c r="D4187" s="681"/>
      <c r="E4187" s="681"/>
      <c r="F4187" s="682"/>
      <c r="G4187" s="527">
        <f>SUM(G4181:G4186)</f>
        <v>159.13000000000002</v>
      </c>
    </row>
    <row r="4188" spans="1:7" x14ac:dyDescent="0.3">
      <c r="A4188" s="683">
        <f>TRUNC(E4188*F4188,2)</f>
        <v>0</v>
      </c>
      <c r="B4188" s="684"/>
      <c r="C4188" s="684"/>
      <c r="D4188" s="684"/>
      <c r="E4188" s="684"/>
      <c r="F4188" s="684"/>
      <c r="G4188" s="685"/>
    </row>
    <row r="4189" spans="1:7" x14ac:dyDescent="0.3">
      <c r="A4189" s="529" t="s">
        <v>100</v>
      </c>
      <c r="B4189" s="529">
        <v>84886</v>
      </c>
      <c r="C4189" s="530" t="s">
        <v>91</v>
      </c>
      <c r="D4189" s="529" t="s">
        <v>92</v>
      </c>
      <c r="E4189" s="252"/>
      <c r="F4189" s="531">
        <v>1114.46</v>
      </c>
      <c r="G4189" s="252">
        <f t="shared" si="91"/>
        <v>0</v>
      </c>
    </row>
    <row r="4190" spans="1:7" x14ac:dyDescent="0.3">
      <c r="A4190" s="524" t="s">
        <v>508</v>
      </c>
      <c r="B4190" s="524" t="s">
        <v>1568</v>
      </c>
      <c r="C4190" s="525" t="s">
        <v>1569</v>
      </c>
      <c r="D4190" s="524" t="s">
        <v>397</v>
      </c>
      <c r="E4190" s="524" t="s">
        <v>1122</v>
      </c>
      <c r="F4190" s="526">
        <v>1097.3</v>
      </c>
      <c r="G4190" s="252">
        <f t="shared" si="91"/>
        <v>1097.3</v>
      </c>
    </row>
    <row r="4191" spans="1:7" x14ac:dyDescent="0.3">
      <c r="A4191" s="524" t="s">
        <v>522</v>
      </c>
      <c r="B4191" s="524" t="s">
        <v>1359</v>
      </c>
      <c r="C4191" s="525" t="s">
        <v>801</v>
      </c>
      <c r="D4191" s="524" t="s">
        <v>32</v>
      </c>
      <c r="E4191" s="524" t="s">
        <v>1518</v>
      </c>
      <c r="F4191" s="526" t="s">
        <v>1361</v>
      </c>
      <c r="G4191" s="252">
        <f t="shared" si="91"/>
        <v>4.3099999999999996</v>
      </c>
    </row>
    <row r="4192" spans="1:7" x14ac:dyDescent="0.3">
      <c r="A4192" s="524" t="s">
        <v>522</v>
      </c>
      <c r="B4192" s="524" t="s">
        <v>1556</v>
      </c>
      <c r="C4192" s="525" t="s">
        <v>1557</v>
      </c>
      <c r="D4192" s="524" t="s">
        <v>32</v>
      </c>
      <c r="E4192" s="524" t="s">
        <v>1570</v>
      </c>
      <c r="F4192" s="526" t="s">
        <v>1558</v>
      </c>
      <c r="G4192" s="252">
        <f t="shared" si="91"/>
        <v>12.85</v>
      </c>
    </row>
    <row r="4193" spans="1:7" x14ac:dyDescent="0.3">
      <c r="A4193" s="680" t="s">
        <v>1152</v>
      </c>
      <c r="B4193" s="681"/>
      <c r="C4193" s="681"/>
      <c r="D4193" s="681"/>
      <c r="E4193" s="681"/>
      <c r="F4193" s="682"/>
      <c r="G4193" s="527">
        <f>SUM(G4189:G4192)</f>
        <v>1114.4599999999998</v>
      </c>
    </row>
    <row r="4194" spans="1:7" x14ac:dyDescent="0.3">
      <c r="A4194" s="683">
        <f>TRUNC(E4194*F4194,2)</f>
        <v>0</v>
      </c>
      <c r="B4194" s="684"/>
      <c r="C4194" s="684"/>
      <c r="D4194" s="684"/>
      <c r="E4194" s="684"/>
      <c r="F4194" s="684"/>
      <c r="G4194" s="685"/>
    </row>
    <row r="4195" spans="1:7" ht="43.2" x14ac:dyDescent="0.3">
      <c r="A4195" s="529" t="s">
        <v>103</v>
      </c>
      <c r="B4195" s="529">
        <v>84885</v>
      </c>
      <c r="C4195" s="530" t="s">
        <v>94</v>
      </c>
      <c r="D4195" s="529" t="s">
        <v>44</v>
      </c>
      <c r="E4195" s="252"/>
      <c r="F4195" s="531">
        <v>612.76</v>
      </c>
      <c r="G4195" s="252">
        <f t="shared" si="91"/>
        <v>0</v>
      </c>
    </row>
    <row r="4196" spans="1:7" ht="43.2" x14ac:dyDescent="0.3">
      <c r="A4196" s="524" t="s">
        <v>508</v>
      </c>
      <c r="B4196" s="524" t="s">
        <v>1571</v>
      </c>
      <c r="C4196" s="525" t="s">
        <v>1572</v>
      </c>
      <c r="D4196" s="524" t="s">
        <v>92</v>
      </c>
      <c r="E4196" s="524" t="s">
        <v>1122</v>
      </c>
      <c r="F4196" s="526" t="s">
        <v>1573</v>
      </c>
      <c r="G4196" s="252">
        <f t="shared" si="91"/>
        <v>376.14</v>
      </c>
    </row>
    <row r="4197" spans="1:7" x14ac:dyDescent="0.3">
      <c r="A4197" s="524" t="s">
        <v>522</v>
      </c>
      <c r="B4197" s="524" t="s">
        <v>523</v>
      </c>
      <c r="C4197" s="525" t="s">
        <v>524</v>
      </c>
      <c r="D4197" s="524" t="s">
        <v>32</v>
      </c>
      <c r="E4197" s="524" t="s">
        <v>1574</v>
      </c>
      <c r="F4197" s="526" t="s">
        <v>526</v>
      </c>
      <c r="G4197" s="252">
        <f t="shared" si="91"/>
        <v>64.11</v>
      </c>
    </row>
    <row r="4198" spans="1:7" x14ac:dyDescent="0.3">
      <c r="A4198" s="524" t="s">
        <v>522</v>
      </c>
      <c r="B4198" s="524" t="s">
        <v>1376</v>
      </c>
      <c r="C4198" s="525" t="s">
        <v>1377</v>
      </c>
      <c r="D4198" s="524" t="s">
        <v>32</v>
      </c>
      <c r="E4198" s="524" t="s">
        <v>1575</v>
      </c>
      <c r="F4198" s="526" t="s">
        <v>1379</v>
      </c>
      <c r="G4198" s="252">
        <f t="shared" si="91"/>
        <v>114.92</v>
      </c>
    </row>
    <row r="4199" spans="1:7" x14ac:dyDescent="0.3">
      <c r="A4199" s="524" t="s">
        <v>522</v>
      </c>
      <c r="B4199" s="524" t="s">
        <v>1556</v>
      </c>
      <c r="C4199" s="525" t="s">
        <v>1557</v>
      </c>
      <c r="D4199" s="524" t="s">
        <v>32</v>
      </c>
      <c r="E4199" s="524" t="s">
        <v>1576</v>
      </c>
      <c r="F4199" s="526" t="s">
        <v>1558</v>
      </c>
      <c r="G4199" s="252">
        <f t="shared" si="91"/>
        <v>57.59</v>
      </c>
    </row>
    <row r="4200" spans="1:7" x14ac:dyDescent="0.3">
      <c r="A4200" s="680" t="s">
        <v>1152</v>
      </c>
      <c r="B4200" s="681"/>
      <c r="C4200" s="681"/>
      <c r="D4200" s="681"/>
      <c r="E4200" s="681"/>
      <c r="F4200" s="682"/>
      <c r="G4200" s="527">
        <f>SUM(G4196:G4199)</f>
        <v>612.76</v>
      </c>
    </row>
    <row r="4201" spans="1:7" x14ac:dyDescent="0.3">
      <c r="A4201" s="683">
        <f>TRUNC(E4201*F4201,2)</f>
        <v>0</v>
      </c>
      <c r="B4201" s="684"/>
      <c r="C4201" s="684"/>
      <c r="D4201" s="684"/>
      <c r="E4201" s="684"/>
      <c r="F4201" s="684"/>
      <c r="G4201" s="685"/>
    </row>
    <row r="4202" spans="1:7" x14ac:dyDescent="0.3">
      <c r="A4202" s="529" t="s">
        <v>116</v>
      </c>
      <c r="B4202" s="529"/>
      <c r="C4202" s="530" t="s">
        <v>96</v>
      </c>
      <c r="D4202" s="529"/>
      <c r="E4202" s="252"/>
      <c r="F4202" s="531"/>
      <c r="G4202" s="252">
        <f t="shared" si="91"/>
        <v>0</v>
      </c>
    </row>
    <row r="4203" spans="1:7" ht="28.8" x14ac:dyDescent="0.3">
      <c r="A4203" s="529" t="s">
        <v>118</v>
      </c>
      <c r="B4203" s="529">
        <v>88423</v>
      </c>
      <c r="C4203" s="530" t="s">
        <v>98</v>
      </c>
      <c r="D4203" s="529" t="s">
        <v>24</v>
      </c>
      <c r="E4203" s="252"/>
      <c r="F4203" s="531">
        <v>13.45</v>
      </c>
      <c r="G4203" s="252">
        <f t="shared" si="91"/>
        <v>0</v>
      </c>
    </row>
    <row r="4204" spans="1:7" x14ac:dyDescent="0.3">
      <c r="A4204" s="524" t="s">
        <v>508</v>
      </c>
      <c r="B4204" s="524" t="s">
        <v>1577</v>
      </c>
      <c r="C4204" s="525" t="s">
        <v>1578</v>
      </c>
      <c r="D4204" s="524" t="s">
        <v>426</v>
      </c>
      <c r="E4204" s="606">
        <v>1.9</v>
      </c>
      <c r="F4204" s="526">
        <v>5</v>
      </c>
      <c r="G4204" s="252">
        <f t="shared" ref="G4204:G4206" si="93">TRUNC(E4204*F4204,2)</f>
        <v>9.5</v>
      </c>
    </row>
    <row r="4205" spans="1:7" x14ac:dyDescent="0.3">
      <c r="A4205" s="524" t="s">
        <v>522</v>
      </c>
      <c r="B4205" s="524" t="s">
        <v>1579</v>
      </c>
      <c r="C4205" s="525" t="s">
        <v>1580</v>
      </c>
      <c r="D4205" s="524" t="s">
        <v>32</v>
      </c>
      <c r="E4205" s="524" t="s">
        <v>1581</v>
      </c>
      <c r="F4205" s="526" t="s">
        <v>1582</v>
      </c>
      <c r="G4205" s="252">
        <f t="shared" si="93"/>
        <v>3.32</v>
      </c>
    </row>
    <row r="4206" spans="1:7" x14ac:dyDescent="0.3">
      <c r="A4206" s="524" t="s">
        <v>522</v>
      </c>
      <c r="B4206" s="524" t="s">
        <v>1359</v>
      </c>
      <c r="C4206" s="525" t="s">
        <v>801</v>
      </c>
      <c r="D4206" s="524" t="s">
        <v>32</v>
      </c>
      <c r="E4206" s="524" t="s">
        <v>1583</v>
      </c>
      <c r="F4206" s="526" t="s">
        <v>1361</v>
      </c>
      <c r="G4206" s="252">
        <f t="shared" si="93"/>
        <v>0.63</v>
      </c>
    </row>
    <row r="4207" spans="1:7" x14ac:dyDescent="0.3">
      <c r="A4207" s="680" t="s">
        <v>1152</v>
      </c>
      <c r="B4207" s="681"/>
      <c r="C4207" s="681"/>
      <c r="D4207" s="681"/>
      <c r="E4207" s="681"/>
      <c r="F4207" s="682"/>
      <c r="G4207" s="527">
        <f>SUM(G4203:G4206)</f>
        <v>13.450000000000001</v>
      </c>
    </row>
    <row r="4208" spans="1:7" x14ac:dyDescent="0.3">
      <c r="A4208" s="683">
        <f>TRUNC(E4208*F4208,2)</f>
        <v>0</v>
      </c>
      <c r="B4208" s="684"/>
      <c r="C4208" s="684"/>
      <c r="D4208" s="684"/>
      <c r="E4208" s="684"/>
      <c r="F4208" s="684"/>
      <c r="G4208" s="685"/>
    </row>
    <row r="4209" spans="1:7" x14ac:dyDescent="0.3">
      <c r="A4209" s="529" t="s">
        <v>120</v>
      </c>
      <c r="B4209" s="529">
        <v>88496</v>
      </c>
      <c r="C4209" s="530" t="s">
        <v>101</v>
      </c>
      <c r="D4209" s="529" t="s">
        <v>24</v>
      </c>
      <c r="E4209" s="252"/>
      <c r="F4209" s="531">
        <v>15.34</v>
      </c>
      <c r="G4209" s="252">
        <f t="shared" si="91"/>
        <v>0</v>
      </c>
    </row>
    <row r="4210" spans="1:7" x14ac:dyDescent="0.3">
      <c r="A4210" s="524" t="s">
        <v>508</v>
      </c>
      <c r="B4210" s="524" t="s">
        <v>1584</v>
      </c>
      <c r="C4210" s="525" t="s">
        <v>1585</v>
      </c>
      <c r="D4210" s="524" t="s">
        <v>397</v>
      </c>
      <c r="E4210" s="524" t="s">
        <v>1586</v>
      </c>
      <c r="F4210" s="526" t="s">
        <v>1447</v>
      </c>
      <c r="G4210" s="252">
        <f t="shared" si="91"/>
        <v>0.06</v>
      </c>
    </row>
    <row r="4211" spans="1:7" x14ac:dyDescent="0.3">
      <c r="A4211" s="524" t="s">
        <v>508</v>
      </c>
      <c r="B4211" s="524" t="s">
        <v>1587</v>
      </c>
      <c r="C4211" s="525" t="s">
        <v>1588</v>
      </c>
      <c r="D4211" s="524" t="s">
        <v>1589</v>
      </c>
      <c r="E4211" s="607">
        <v>4.8000000000000001E-2</v>
      </c>
      <c r="F4211" s="526">
        <v>40</v>
      </c>
      <c r="G4211" s="252">
        <f t="shared" si="91"/>
        <v>1.92</v>
      </c>
    </row>
    <row r="4212" spans="1:7" x14ac:dyDescent="0.3">
      <c r="A4212" s="524" t="s">
        <v>522</v>
      </c>
      <c r="B4212" s="524" t="s">
        <v>1579</v>
      </c>
      <c r="C4212" s="525" t="s">
        <v>1580</v>
      </c>
      <c r="D4212" s="524" t="s">
        <v>32</v>
      </c>
      <c r="E4212" s="607">
        <v>0.3</v>
      </c>
      <c r="F4212" s="526" t="s">
        <v>1582</v>
      </c>
      <c r="G4212" s="252">
        <f t="shared" si="91"/>
        <v>5.66</v>
      </c>
    </row>
    <row r="4213" spans="1:7" x14ac:dyDescent="0.3">
      <c r="A4213" s="524" t="s">
        <v>522</v>
      </c>
      <c r="B4213" s="524" t="s">
        <v>1359</v>
      </c>
      <c r="C4213" s="525" t="s">
        <v>801</v>
      </c>
      <c r="D4213" s="524" t="s">
        <v>32</v>
      </c>
      <c r="E4213" s="607">
        <v>0.2</v>
      </c>
      <c r="F4213" s="526" t="s">
        <v>1361</v>
      </c>
      <c r="G4213" s="252">
        <f t="shared" si="91"/>
        <v>2.87</v>
      </c>
    </row>
    <row r="4214" spans="1:7" x14ac:dyDescent="0.3">
      <c r="A4214" s="680" t="s">
        <v>1152</v>
      </c>
      <c r="B4214" s="681"/>
      <c r="C4214" s="681"/>
      <c r="D4214" s="681"/>
      <c r="E4214" s="681"/>
      <c r="F4214" s="682"/>
      <c r="G4214" s="527">
        <f>SUM(G4210:G4213)</f>
        <v>10.510000000000002</v>
      </c>
    </row>
    <row r="4215" spans="1:7" x14ac:dyDescent="0.3">
      <c r="A4215" s="683">
        <f>TRUNC(E4215*F4215,2)</f>
        <v>0</v>
      </c>
      <c r="B4215" s="684"/>
      <c r="C4215" s="684"/>
      <c r="D4215" s="684"/>
      <c r="E4215" s="684"/>
      <c r="F4215" s="684"/>
      <c r="G4215" s="685"/>
    </row>
    <row r="4216" spans="1:7" ht="28.8" x14ac:dyDescent="0.3">
      <c r="A4216" s="529" t="s">
        <v>122</v>
      </c>
      <c r="B4216" s="529">
        <v>88488</v>
      </c>
      <c r="C4216" s="530" t="s">
        <v>104</v>
      </c>
      <c r="D4216" s="529" t="s">
        <v>24</v>
      </c>
      <c r="E4216" s="252"/>
      <c r="F4216" s="531">
        <v>8.42</v>
      </c>
      <c r="G4216" s="252">
        <f t="shared" si="91"/>
        <v>0</v>
      </c>
    </row>
    <row r="4217" spans="1:7" x14ac:dyDescent="0.3">
      <c r="A4217" s="524" t="s">
        <v>508</v>
      </c>
      <c r="B4217" s="524" t="s">
        <v>1592</v>
      </c>
      <c r="C4217" s="525" t="s">
        <v>1593</v>
      </c>
      <c r="D4217" s="524" t="s">
        <v>1392</v>
      </c>
      <c r="E4217" s="606">
        <v>0.3</v>
      </c>
      <c r="F4217" s="526">
        <v>18</v>
      </c>
      <c r="G4217" s="252">
        <f t="shared" si="91"/>
        <v>5.4</v>
      </c>
    </row>
    <row r="4218" spans="1:7" x14ac:dyDescent="0.3">
      <c r="A4218" s="524" t="s">
        <v>522</v>
      </c>
      <c r="B4218" s="524" t="s">
        <v>1579</v>
      </c>
      <c r="C4218" s="525" t="s">
        <v>1580</v>
      </c>
      <c r="D4218" s="524" t="s">
        <v>32</v>
      </c>
      <c r="E4218" s="606">
        <v>0.1</v>
      </c>
      <c r="F4218" s="526" t="s">
        <v>1582</v>
      </c>
      <c r="G4218" s="252">
        <f t="shared" si="91"/>
        <v>1.88</v>
      </c>
    </row>
    <row r="4219" spans="1:7" x14ac:dyDescent="0.3">
      <c r="A4219" s="524" t="s">
        <v>522</v>
      </c>
      <c r="B4219" s="524" t="s">
        <v>1359</v>
      </c>
      <c r="C4219" s="525" t="s">
        <v>801</v>
      </c>
      <c r="D4219" s="524" t="s">
        <v>32</v>
      </c>
      <c r="E4219" s="607">
        <v>0.08</v>
      </c>
      <c r="F4219" s="526" t="s">
        <v>1361</v>
      </c>
      <c r="G4219" s="252">
        <f t="shared" si="91"/>
        <v>1.1399999999999999</v>
      </c>
    </row>
    <row r="4220" spans="1:7" x14ac:dyDescent="0.3">
      <c r="A4220" s="680" t="s">
        <v>1152</v>
      </c>
      <c r="B4220" s="681"/>
      <c r="C4220" s="681"/>
      <c r="D4220" s="681"/>
      <c r="E4220" s="681"/>
      <c r="F4220" s="682"/>
      <c r="G4220" s="527">
        <f>SUM(G4216:G4219)</f>
        <v>8.42</v>
      </c>
    </row>
    <row r="4221" spans="1:7" x14ac:dyDescent="0.3">
      <c r="A4221" s="683">
        <f>TRUNC(E4221*F4221,2)</f>
        <v>0</v>
      </c>
      <c r="B4221" s="684"/>
      <c r="C4221" s="684"/>
      <c r="D4221" s="684"/>
      <c r="E4221" s="684"/>
      <c r="F4221" s="684"/>
      <c r="G4221" s="685"/>
    </row>
    <row r="4222" spans="1:7" x14ac:dyDescent="0.3">
      <c r="A4222" s="529" t="s">
        <v>124</v>
      </c>
      <c r="B4222" s="529">
        <v>88497</v>
      </c>
      <c r="C4222" s="530" t="s">
        <v>232</v>
      </c>
      <c r="D4222" s="529" t="s">
        <v>24</v>
      </c>
      <c r="E4222" s="252"/>
      <c r="F4222" s="531">
        <v>9.74</v>
      </c>
      <c r="G4222" s="252">
        <f t="shared" si="91"/>
        <v>0</v>
      </c>
    </row>
    <row r="4223" spans="1:7" x14ac:dyDescent="0.3">
      <c r="A4223" s="524" t="s">
        <v>508</v>
      </c>
      <c r="B4223" s="524" t="s">
        <v>1584</v>
      </c>
      <c r="C4223" s="525" t="s">
        <v>1585</v>
      </c>
      <c r="D4223" s="524" t="s">
        <v>397</v>
      </c>
      <c r="E4223" s="524" t="s">
        <v>1586</v>
      </c>
      <c r="F4223" s="526" t="s">
        <v>1447</v>
      </c>
      <c r="G4223" s="252">
        <f t="shared" ref="G4223:G4226" si="94">TRUNC(E4223*F4223,2)</f>
        <v>0.06</v>
      </c>
    </row>
    <row r="4224" spans="1:7" x14ac:dyDescent="0.3">
      <c r="A4224" s="524" t="s">
        <v>508</v>
      </c>
      <c r="B4224" s="524" t="s">
        <v>1587</v>
      </c>
      <c r="C4224" s="525" t="s">
        <v>1588</v>
      </c>
      <c r="D4224" s="524" t="s">
        <v>1589</v>
      </c>
      <c r="E4224" s="524" t="s">
        <v>1590</v>
      </c>
      <c r="F4224" s="526">
        <v>50</v>
      </c>
      <c r="G4224" s="252">
        <f t="shared" si="94"/>
        <v>2.44</v>
      </c>
    </row>
    <row r="4225" spans="1:7" x14ac:dyDescent="0.3">
      <c r="A4225" s="524" t="s">
        <v>522</v>
      </c>
      <c r="B4225" s="524" t="s">
        <v>1579</v>
      </c>
      <c r="C4225" s="525" t="s">
        <v>1580</v>
      </c>
      <c r="D4225" s="524" t="s">
        <v>32</v>
      </c>
      <c r="E4225" s="607">
        <v>0.3</v>
      </c>
      <c r="F4225" s="526" t="s">
        <v>1582</v>
      </c>
      <c r="G4225" s="252">
        <f t="shared" si="94"/>
        <v>5.66</v>
      </c>
    </row>
    <row r="4226" spans="1:7" x14ac:dyDescent="0.3">
      <c r="A4226" s="524" t="s">
        <v>522</v>
      </c>
      <c r="B4226" s="524" t="s">
        <v>1359</v>
      </c>
      <c r="C4226" s="525" t="s">
        <v>801</v>
      </c>
      <c r="D4226" s="524" t="s">
        <v>32</v>
      </c>
      <c r="E4226" s="607">
        <v>0.11</v>
      </c>
      <c r="F4226" s="526" t="s">
        <v>1361</v>
      </c>
      <c r="G4226" s="252">
        <f t="shared" si="94"/>
        <v>1.58</v>
      </c>
    </row>
    <row r="4227" spans="1:7" x14ac:dyDescent="0.3">
      <c r="A4227" s="680" t="s">
        <v>1152</v>
      </c>
      <c r="B4227" s="681"/>
      <c r="C4227" s="681"/>
      <c r="D4227" s="681"/>
      <c r="E4227" s="681"/>
      <c r="F4227" s="682"/>
      <c r="G4227" s="527">
        <f>SUM(G4223:G4226)</f>
        <v>9.74</v>
      </c>
    </row>
    <row r="4228" spans="1:7" x14ac:dyDescent="0.3">
      <c r="A4228" s="683">
        <f>TRUNC(E4228*F4228,2)</f>
        <v>0</v>
      </c>
      <c r="B4228" s="684"/>
      <c r="C4228" s="684"/>
      <c r="D4228" s="684"/>
      <c r="E4228" s="684"/>
      <c r="F4228" s="684"/>
      <c r="G4228" s="685"/>
    </row>
    <row r="4229" spans="1:7" ht="28.8" x14ac:dyDescent="0.3">
      <c r="A4229" s="529" t="s">
        <v>126</v>
      </c>
      <c r="B4229" s="529">
        <v>88489</v>
      </c>
      <c r="C4229" s="530" t="s">
        <v>108</v>
      </c>
      <c r="D4229" s="529" t="s">
        <v>24</v>
      </c>
      <c r="E4229" s="252"/>
      <c r="F4229" s="531">
        <v>8.14</v>
      </c>
      <c r="G4229" s="252">
        <f t="shared" si="91"/>
        <v>0</v>
      </c>
    </row>
    <row r="4230" spans="1:7" x14ac:dyDescent="0.3">
      <c r="A4230" s="524" t="s">
        <v>508</v>
      </c>
      <c r="B4230" s="524" t="s">
        <v>1592</v>
      </c>
      <c r="C4230" s="525" t="s">
        <v>1593</v>
      </c>
      <c r="D4230" s="524" t="s">
        <v>1392</v>
      </c>
      <c r="E4230" s="606">
        <v>0.3</v>
      </c>
      <c r="F4230" s="526">
        <v>18</v>
      </c>
      <c r="G4230" s="252">
        <f t="shared" si="91"/>
        <v>5.4</v>
      </c>
    </row>
    <row r="4231" spans="1:7" x14ac:dyDescent="0.3">
      <c r="A4231" s="524" t="s">
        <v>522</v>
      </c>
      <c r="B4231" s="524" t="s">
        <v>1579</v>
      </c>
      <c r="C4231" s="525" t="s">
        <v>1580</v>
      </c>
      <c r="D4231" s="524" t="s">
        <v>32</v>
      </c>
      <c r="E4231" s="606">
        <v>0.1</v>
      </c>
      <c r="F4231" s="526" t="s">
        <v>1582</v>
      </c>
      <c r="G4231" s="252">
        <f t="shared" si="91"/>
        <v>1.88</v>
      </c>
    </row>
    <row r="4232" spans="1:7" x14ac:dyDescent="0.3">
      <c r="A4232" s="524" t="s">
        <v>522</v>
      </c>
      <c r="B4232" s="524" t="s">
        <v>1359</v>
      </c>
      <c r="C4232" s="525" t="s">
        <v>801</v>
      </c>
      <c r="D4232" s="524" t="s">
        <v>32</v>
      </c>
      <c r="E4232" s="524">
        <v>0.06</v>
      </c>
      <c r="F4232" s="526" t="s">
        <v>1361</v>
      </c>
      <c r="G4232" s="252">
        <f t="shared" si="91"/>
        <v>0.86</v>
      </c>
    </row>
    <row r="4233" spans="1:7" x14ac:dyDescent="0.3">
      <c r="A4233" s="680" t="s">
        <v>1152</v>
      </c>
      <c r="B4233" s="681"/>
      <c r="C4233" s="681"/>
      <c r="D4233" s="681"/>
      <c r="E4233" s="681"/>
      <c r="F4233" s="682"/>
      <c r="G4233" s="527">
        <f>SUM(G4229:G4232)</f>
        <v>8.14</v>
      </c>
    </row>
    <row r="4234" spans="1:7" x14ac:dyDescent="0.3">
      <c r="A4234" s="683">
        <f>TRUNC(E4234*F4234,2)</f>
        <v>0</v>
      </c>
      <c r="B4234" s="684"/>
      <c r="C4234" s="684"/>
      <c r="D4234" s="684"/>
      <c r="E4234" s="684"/>
      <c r="F4234" s="684"/>
      <c r="G4234" s="685"/>
    </row>
    <row r="4235" spans="1:7" ht="28.8" x14ac:dyDescent="0.3">
      <c r="A4235" s="529" t="s">
        <v>129</v>
      </c>
      <c r="B4235" s="529">
        <v>100725</v>
      </c>
      <c r="C4235" s="530" t="s">
        <v>804</v>
      </c>
      <c r="D4235" s="529" t="s">
        <v>24</v>
      </c>
      <c r="E4235" s="252"/>
      <c r="F4235" s="531">
        <v>16.12</v>
      </c>
      <c r="G4235" s="252">
        <f t="shared" si="91"/>
        <v>0</v>
      </c>
    </row>
    <row r="4236" spans="1:7" x14ac:dyDescent="0.3">
      <c r="A4236" s="524" t="s">
        <v>508</v>
      </c>
      <c r="B4236" s="524" t="s">
        <v>1597</v>
      </c>
      <c r="C4236" s="525" t="s">
        <v>1598</v>
      </c>
      <c r="D4236" s="524" t="s">
        <v>1392</v>
      </c>
      <c r="E4236" s="524" t="s">
        <v>1604</v>
      </c>
      <c r="F4236" s="528" t="s">
        <v>1600</v>
      </c>
      <c r="G4236" s="252">
        <f t="shared" si="91"/>
        <v>0.77</v>
      </c>
    </row>
    <row r="4237" spans="1:7" x14ac:dyDescent="0.3">
      <c r="A4237" s="524" t="s">
        <v>508</v>
      </c>
      <c r="B4237" s="524" t="s">
        <v>1605</v>
      </c>
      <c r="C4237" s="525" t="s">
        <v>1606</v>
      </c>
      <c r="D4237" s="524" t="s">
        <v>1392</v>
      </c>
      <c r="E4237" s="524" t="s">
        <v>1607</v>
      </c>
      <c r="F4237" s="528" t="s">
        <v>1615</v>
      </c>
      <c r="G4237" s="252">
        <f t="shared" si="91"/>
        <v>5.16</v>
      </c>
    </row>
    <row r="4238" spans="1:7" x14ac:dyDescent="0.3">
      <c r="A4238" s="524" t="s">
        <v>522</v>
      </c>
      <c r="B4238" s="524" t="s">
        <v>1579</v>
      </c>
      <c r="C4238" s="525" t="s">
        <v>1580</v>
      </c>
      <c r="D4238" s="524" t="s">
        <v>32</v>
      </c>
      <c r="E4238" s="524" t="s">
        <v>1608</v>
      </c>
      <c r="F4238" s="528" t="s">
        <v>1582</v>
      </c>
      <c r="G4238" s="252">
        <f t="shared" si="91"/>
        <v>9.94</v>
      </c>
    </row>
    <row r="4239" spans="1:7" ht="43.2" x14ac:dyDescent="0.3">
      <c r="A4239" s="524" t="s">
        <v>522</v>
      </c>
      <c r="B4239" s="524" t="s">
        <v>1609</v>
      </c>
      <c r="C4239" s="525" t="s">
        <v>1610</v>
      </c>
      <c r="D4239" s="524" t="s">
        <v>1437</v>
      </c>
      <c r="E4239" s="524" t="s">
        <v>1611</v>
      </c>
      <c r="F4239" s="528" t="s">
        <v>1616</v>
      </c>
      <c r="G4239" s="252">
        <f t="shared" si="91"/>
        <v>0.05</v>
      </c>
    </row>
    <row r="4240" spans="1:7" ht="43.2" x14ac:dyDescent="0.3">
      <c r="A4240" s="524" t="s">
        <v>522</v>
      </c>
      <c r="B4240" s="524" t="s">
        <v>1612</v>
      </c>
      <c r="C4240" s="525" t="s">
        <v>1613</v>
      </c>
      <c r="D4240" s="524" t="s">
        <v>410</v>
      </c>
      <c r="E4240" s="524" t="s">
        <v>1614</v>
      </c>
      <c r="F4240" s="528" t="s">
        <v>1617</v>
      </c>
      <c r="G4240" s="252">
        <f t="shared" si="91"/>
        <v>0.2</v>
      </c>
    </row>
    <row r="4241" spans="1:7" x14ac:dyDescent="0.3">
      <c r="A4241" s="680" t="s">
        <v>1152</v>
      </c>
      <c r="B4241" s="681"/>
      <c r="C4241" s="681"/>
      <c r="D4241" s="681"/>
      <c r="E4241" s="681"/>
      <c r="F4241" s="682"/>
      <c r="G4241" s="527">
        <f>SUM(G4235:G4240)</f>
        <v>16.12</v>
      </c>
    </row>
    <row r="4242" spans="1:7" x14ac:dyDescent="0.3">
      <c r="A4242" s="683">
        <f>TRUNC(E4242*F4242,2)</f>
        <v>0</v>
      </c>
      <c r="B4242" s="684"/>
      <c r="C4242" s="684"/>
      <c r="D4242" s="684"/>
      <c r="E4242" s="684"/>
      <c r="F4242" s="684"/>
      <c r="G4242" s="685"/>
    </row>
    <row r="4243" spans="1:7" ht="28.8" x14ac:dyDescent="0.3">
      <c r="A4243" s="529" t="s">
        <v>131</v>
      </c>
      <c r="B4243" s="529">
        <v>100727</v>
      </c>
      <c r="C4243" s="530" t="s">
        <v>805</v>
      </c>
      <c r="D4243" s="529" t="s">
        <v>24</v>
      </c>
      <c r="E4243" s="252"/>
      <c r="F4243" s="531">
        <v>11.97</v>
      </c>
      <c r="G4243" s="252">
        <f t="shared" si="91"/>
        <v>0</v>
      </c>
    </row>
    <row r="4244" spans="1:7" x14ac:dyDescent="0.3">
      <c r="A4244" s="524" t="s">
        <v>508</v>
      </c>
      <c r="B4244" s="524" t="s">
        <v>1618</v>
      </c>
      <c r="C4244" s="525" t="s">
        <v>1619</v>
      </c>
      <c r="D4244" s="524" t="s">
        <v>1392</v>
      </c>
      <c r="E4244" s="524" t="s">
        <v>1620</v>
      </c>
      <c r="F4244" s="528" t="s">
        <v>1621</v>
      </c>
      <c r="G4244" s="252">
        <f t="shared" si="91"/>
        <v>1.08</v>
      </c>
    </row>
    <row r="4245" spans="1:7" x14ac:dyDescent="0.3">
      <c r="A4245" s="524" t="s">
        <v>508</v>
      </c>
      <c r="B4245" s="524" t="s">
        <v>1622</v>
      </c>
      <c r="C4245" s="525" t="s">
        <v>1623</v>
      </c>
      <c r="D4245" s="524" t="s">
        <v>1624</v>
      </c>
      <c r="E4245" s="524" t="s">
        <v>1625</v>
      </c>
      <c r="F4245" s="528" t="s">
        <v>1626</v>
      </c>
      <c r="G4245" s="252">
        <f t="shared" si="91"/>
        <v>9.6199999999999992</v>
      </c>
    </row>
    <row r="4246" spans="1:7" x14ac:dyDescent="0.3">
      <c r="A4246" s="524" t="s">
        <v>522</v>
      </c>
      <c r="B4246" s="524" t="s">
        <v>1627</v>
      </c>
      <c r="C4246" s="525" t="s">
        <v>1628</v>
      </c>
      <c r="D4246" s="524" t="s">
        <v>32</v>
      </c>
      <c r="E4246" s="524" t="s">
        <v>1629</v>
      </c>
      <c r="F4246" s="528" t="s">
        <v>1630</v>
      </c>
      <c r="G4246" s="252">
        <f t="shared" si="91"/>
        <v>1.25</v>
      </c>
    </row>
    <row r="4247" spans="1:7" ht="43.2" x14ac:dyDescent="0.3">
      <c r="A4247" s="524" t="s">
        <v>522</v>
      </c>
      <c r="B4247" s="524" t="s">
        <v>1612</v>
      </c>
      <c r="C4247" s="525" t="s">
        <v>1613</v>
      </c>
      <c r="D4247" s="524" t="s">
        <v>410</v>
      </c>
      <c r="E4247" s="524" t="s">
        <v>1631</v>
      </c>
      <c r="F4247" s="528" t="s">
        <v>1617</v>
      </c>
      <c r="G4247" s="252">
        <f t="shared" si="91"/>
        <v>0.02</v>
      </c>
    </row>
    <row r="4248" spans="1:7" x14ac:dyDescent="0.3">
      <c r="A4248" s="680" t="s">
        <v>1152</v>
      </c>
      <c r="B4248" s="681"/>
      <c r="C4248" s="681"/>
      <c r="D4248" s="681"/>
      <c r="E4248" s="681"/>
      <c r="F4248" s="682"/>
      <c r="G4248" s="527">
        <f>SUM(G4243:G4247)</f>
        <v>11.969999999999999</v>
      </c>
    </row>
    <row r="4249" spans="1:7" x14ac:dyDescent="0.3">
      <c r="A4249" s="693"/>
      <c r="B4249" s="694"/>
      <c r="C4249" s="694"/>
      <c r="D4249" s="694"/>
      <c r="E4249" s="694"/>
      <c r="F4249" s="694"/>
      <c r="G4249" s="695"/>
    </row>
    <row r="4250" spans="1:7" x14ac:dyDescent="0.3">
      <c r="A4250" s="529" t="s">
        <v>133</v>
      </c>
      <c r="B4250" s="529" t="s">
        <v>109</v>
      </c>
      <c r="C4250" s="530" t="s">
        <v>110</v>
      </c>
      <c r="D4250" s="529" t="s">
        <v>24</v>
      </c>
      <c r="E4250" s="252"/>
      <c r="F4250" s="531">
        <v>12.4</v>
      </c>
      <c r="G4250" s="252">
        <f t="shared" si="91"/>
        <v>0</v>
      </c>
    </row>
    <row r="4251" spans="1:7" x14ac:dyDescent="0.3">
      <c r="A4251" s="524" t="s">
        <v>508</v>
      </c>
      <c r="B4251" s="524" t="s">
        <v>1584</v>
      </c>
      <c r="C4251" s="525" t="s">
        <v>1585</v>
      </c>
      <c r="D4251" s="524" t="s">
        <v>397</v>
      </c>
      <c r="E4251" s="524" t="s">
        <v>1596</v>
      </c>
      <c r="F4251" s="526" t="s">
        <v>1447</v>
      </c>
      <c r="G4251" s="252">
        <f t="shared" si="91"/>
        <v>0.26</v>
      </c>
    </row>
    <row r="4252" spans="1:7" x14ac:dyDescent="0.3">
      <c r="A4252" s="524" t="s">
        <v>508</v>
      </c>
      <c r="B4252" s="524" t="s">
        <v>1597</v>
      </c>
      <c r="C4252" s="525" t="s">
        <v>1598</v>
      </c>
      <c r="D4252" s="524" t="s">
        <v>1392</v>
      </c>
      <c r="E4252" s="524" t="s">
        <v>1599</v>
      </c>
      <c r="F4252" s="526" t="s">
        <v>1600</v>
      </c>
      <c r="G4252" s="252">
        <f t="shared" si="91"/>
        <v>0.49</v>
      </c>
    </row>
    <row r="4253" spans="1:7" x14ac:dyDescent="0.3">
      <c r="A4253" s="524" t="s">
        <v>508</v>
      </c>
      <c r="B4253" s="524" t="s">
        <v>1601</v>
      </c>
      <c r="C4253" s="525" t="s">
        <v>1602</v>
      </c>
      <c r="D4253" s="524" t="s">
        <v>1392</v>
      </c>
      <c r="E4253" s="524" t="s">
        <v>1603</v>
      </c>
      <c r="F4253" s="526" t="s">
        <v>911</v>
      </c>
      <c r="G4253" s="252">
        <f t="shared" si="91"/>
        <v>3.84</v>
      </c>
    </row>
    <row r="4254" spans="1:7" x14ac:dyDescent="0.3">
      <c r="A4254" s="524" t="s">
        <v>522</v>
      </c>
      <c r="B4254" s="524" t="s">
        <v>1579</v>
      </c>
      <c r="C4254" s="525" t="s">
        <v>1580</v>
      </c>
      <c r="D4254" s="524" t="s">
        <v>32</v>
      </c>
      <c r="E4254" s="607">
        <v>0.3</v>
      </c>
      <c r="F4254" s="526" t="s">
        <v>1582</v>
      </c>
      <c r="G4254" s="252">
        <f t="shared" si="91"/>
        <v>5.66</v>
      </c>
    </row>
    <row r="4255" spans="1:7" x14ac:dyDescent="0.3">
      <c r="A4255" s="524" t="s">
        <v>522</v>
      </c>
      <c r="B4255" s="524" t="s">
        <v>1359</v>
      </c>
      <c r="C4255" s="525" t="s">
        <v>801</v>
      </c>
      <c r="D4255" s="524" t="s">
        <v>32</v>
      </c>
      <c r="E4255" s="607">
        <v>0.15</v>
      </c>
      <c r="F4255" s="526" t="s">
        <v>1361</v>
      </c>
      <c r="G4255" s="252">
        <f t="shared" si="91"/>
        <v>2.15</v>
      </c>
    </row>
    <row r="4256" spans="1:7" x14ac:dyDescent="0.3">
      <c r="A4256" s="680" t="s">
        <v>1152</v>
      </c>
      <c r="B4256" s="681"/>
      <c r="C4256" s="681"/>
      <c r="D4256" s="681"/>
      <c r="E4256" s="681"/>
      <c r="F4256" s="682"/>
      <c r="G4256" s="527">
        <f>SUM(G4250:G4255)</f>
        <v>12.4</v>
      </c>
    </row>
    <row r="4257" spans="1:7" x14ac:dyDescent="0.3">
      <c r="A4257" s="683">
        <f>TRUNC(E4257*F4257,2)</f>
        <v>0</v>
      </c>
      <c r="B4257" s="684"/>
      <c r="C4257" s="684"/>
      <c r="D4257" s="684"/>
      <c r="E4257" s="684"/>
      <c r="F4257" s="684"/>
      <c r="G4257" s="685"/>
    </row>
    <row r="4258" spans="1:7" x14ac:dyDescent="0.3">
      <c r="A4258" s="529" t="s">
        <v>136</v>
      </c>
      <c r="B4258" s="529">
        <v>100725</v>
      </c>
      <c r="C4258" s="530" t="s">
        <v>113</v>
      </c>
      <c r="D4258" s="529" t="s">
        <v>24</v>
      </c>
      <c r="E4258" s="252"/>
      <c r="F4258" s="531">
        <v>16.12</v>
      </c>
      <c r="G4258" s="252">
        <f t="shared" si="91"/>
        <v>0</v>
      </c>
    </row>
    <row r="4259" spans="1:7" x14ac:dyDescent="0.3">
      <c r="A4259" s="524" t="s">
        <v>508</v>
      </c>
      <c r="B4259" s="524" t="s">
        <v>1597</v>
      </c>
      <c r="C4259" s="525" t="s">
        <v>1598</v>
      </c>
      <c r="D4259" s="524" t="s">
        <v>1392</v>
      </c>
      <c r="E4259" s="524" t="s">
        <v>1604</v>
      </c>
      <c r="F4259" s="528" t="s">
        <v>1600</v>
      </c>
      <c r="G4259" s="252">
        <f t="shared" si="91"/>
        <v>0.77</v>
      </c>
    </row>
    <row r="4260" spans="1:7" x14ac:dyDescent="0.3">
      <c r="A4260" s="524" t="s">
        <v>508</v>
      </c>
      <c r="B4260" s="524" t="s">
        <v>1605</v>
      </c>
      <c r="C4260" s="525" t="s">
        <v>1606</v>
      </c>
      <c r="D4260" s="524" t="s">
        <v>1392</v>
      </c>
      <c r="E4260" s="524" t="s">
        <v>1607</v>
      </c>
      <c r="F4260" s="528" t="s">
        <v>1615</v>
      </c>
      <c r="G4260" s="252">
        <f t="shared" si="91"/>
        <v>5.16</v>
      </c>
    </row>
    <row r="4261" spans="1:7" x14ac:dyDescent="0.3">
      <c r="A4261" s="524" t="s">
        <v>522</v>
      </c>
      <c r="B4261" s="524" t="s">
        <v>1579</v>
      </c>
      <c r="C4261" s="525" t="s">
        <v>1580</v>
      </c>
      <c r="D4261" s="524" t="s">
        <v>32</v>
      </c>
      <c r="E4261" s="524" t="s">
        <v>1608</v>
      </c>
      <c r="F4261" s="528" t="s">
        <v>1582</v>
      </c>
      <c r="G4261" s="252">
        <f t="shared" si="91"/>
        <v>9.94</v>
      </c>
    </row>
    <row r="4262" spans="1:7" ht="43.2" x14ac:dyDescent="0.3">
      <c r="A4262" s="524" t="s">
        <v>522</v>
      </c>
      <c r="B4262" s="524" t="s">
        <v>1609</v>
      </c>
      <c r="C4262" s="525" t="s">
        <v>1610</v>
      </c>
      <c r="D4262" s="524" t="s">
        <v>1437</v>
      </c>
      <c r="E4262" s="524" t="s">
        <v>1611</v>
      </c>
      <c r="F4262" s="528" t="s">
        <v>1616</v>
      </c>
      <c r="G4262" s="252">
        <f t="shared" si="91"/>
        <v>0.05</v>
      </c>
    </row>
    <row r="4263" spans="1:7" ht="43.2" x14ac:dyDescent="0.3">
      <c r="A4263" s="524" t="s">
        <v>522</v>
      </c>
      <c r="B4263" s="524" t="s">
        <v>1612</v>
      </c>
      <c r="C4263" s="525" t="s">
        <v>1613</v>
      </c>
      <c r="D4263" s="524" t="s">
        <v>410</v>
      </c>
      <c r="E4263" s="524" t="s">
        <v>1614</v>
      </c>
      <c r="F4263" s="528" t="s">
        <v>1617</v>
      </c>
      <c r="G4263" s="252">
        <f t="shared" si="91"/>
        <v>0.2</v>
      </c>
    </row>
    <row r="4264" spans="1:7" x14ac:dyDescent="0.3">
      <c r="A4264" s="680" t="s">
        <v>1152</v>
      </c>
      <c r="B4264" s="681"/>
      <c r="C4264" s="681"/>
      <c r="D4264" s="681"/>
      <c r="E4264" s="681"/>
      <c r="F4264" s="682"/>
      <c r="G4264" s="527">
        <f>SUM(G4258:G4263)</f>
        <v>16.12</v>
      </c>
    </row>
    <row r="4265" spans="1:7" x14ac:dyDescent="0.3">
      <c r="A4265" s="683">
        <f>TRUNC(E4265*F4265,2)</f>
        <v>0</v>
      </c>
      <c r="B4265" s="684"/>
      <c r="C4265" s="684"/>
      <c r="D4265" s="684"/>
      <c r="E4265" s="684"/>
      <c r="F4265" s="684"/>
      <c r="G4265" s="685"/>
    </row>
    <row r="4266" spans="1:7" x14ac:dyDescent="0.3">
      <c r="A4266" s="529" t="s">
        <v>160</v>
      </c>
      <c r="B4266" s="529"/>
      <c r="C4266" s="530" t="s">
        <v>117</v>
      </c>
      <c r="D4266" s="529"/>
      <c r="E4266" s="252"/>
      <c r="F4266" s="531"/>
      <c r="G4266" s="252">
        <f t="shared" si="91"/>
        <v>0</v>
      </c>
    </row>
    <row r="4267" spans="1:7" ht="28.8" x14ac:dyDescent="0.3">
      <c r="A4267" s="529" t="s">
        <v>162</v>
      </c>
      <c r="B4267" s="529">
        <v>91932</v>
      </c>
      <c r="C4267" s="530" t="s">
        <v>119</v>
      </c>
      <c r="D4267" s="529" t="s">
        <v>55</v>
      </c>
      <c r="E4267" s="252"/>
      <c r="F4267" s="531">
        <v>9.9499999999999993</v>
      </c>
      <c r="G4267" s="252">
        <f t="shared" si="91"/>
        <v>0</v>
      </c>
    </row>
    <row r="4268" spans="1:7" ht="28.8" x14ac:dyDescent="0.3">
      <c r="A4268" s="524" t="s">
        <v>508</v>
      </c>
      <c r="B4268" s="524" t="s">
        <v>1637</v>
      </c>
      <c r="C4268" s="525" t="s">
        <v>1638</v>
      </c>
      <c r="D4268" s="524" t="s">
        <v>55</v>
      </c>
      <c r="E4268" s="524" t="s">
        <v>1639</v>
      </c>
      <c r="F4268" s="528" t="s">
        <v>1640</v>
      </c>
      <c r="G4268" s="252">
        <f t="shared" si="91"/>
        <v>7.41</v>
      </c>
    </row>
    <row r="4269" spans="1:7" x14ac:dyDescent="0.3">
      <c r="A4269" s="524" t="s">
        <v>508</v>
      </c>
      <c r="B4269" s="524" t="s">
        <v>1641</v>
      </c>
      <c r="C4269" s="525" t="s">
        <v>1642</v>
      </c>
      <c r="D4269" s="524" t="s">
        <v>397</v>
      </c>
      <c r="E4269" s="524" t="s">
        <v>1643</v>
      </c>
      <c r="F4269" s="528" t="s">
        <v>1644</v>
      </c>
      <c r="G4269" s="252">
        <f t="shared" si="91"/>
        <v>0.03</v>
      </c>
    </row>
    <row r="4270" spans="1:7" x14ac:dyDescent="0.3">
      <c r="A4270" s="524" t="s">
        <v>522</v>
      </c>
      <c r="B4270" s="524" t="s">
        <v>611</v>
      </c>
      <c r="C4270" s="525" t="s">
        <v>546</v>
      </c>
      <c r="D4270" s="524" t="s">
        <v>32</v>
      </c>
      <c r="E4270" s="524" t="s">
        <v>1645</v>
      </c>
      <c r="F4270" s="528" t="s">
        <v>1646</v>
      </c>
      <c r="G4270" s="252">
        <f t="shared" si="91"/>
        <v>1.1000000000000001</v>
      </c>
    </row>
    <row r="4271" spans="1:7" x14ac:dyDescent="0.3">
      <c r="A4271" s="524" t="s">
        <v>522</v>
      </c>
      <c r="B4271" s="524" t="s">
        <v>610</v>
      </c>
      <c r="C4271" s="525" t="s">
        <v>543</v>
      </c>
      <c r="D4271" s="524" t="s">
        <v>32</v>
      </c>
      <c r="E4271" s="524" t="s">
        <v>1645</v>
      </c>
      <c r="F4271" s="528" t="s">
        <v>1647</v>
      </c>
      <c r="G4271" s="252">
        <f t="shared" si="91"/>
        <v>1.41</v>
      </c>
    </row>
    <row r="4272" spans="1:7" x14ac:dyDescent="0.3">
      <c r="A4272" s="680" t="s">
        <v>1152</v>
      </c>
      <c r="B4272" s="681"/>
      <c r="C4272" s="681"/>
      <c r="D4272" s="681"/>
      <c r="E4272" s="681"/>
      <c r="F4272" s="682"/>
      <c r="G4272" s="527">
        <f>SUM(G4268:G4271)</f>
        <v>9.9500000000000011</v>
      </c>
    </row>
    <row r="4273" spans="1:7" x14ac:dyDescent="0.3">
      <c r="A4273" s="683">
        <f>TRUNC(E4273*F4273,2)</f>
        <v>0</v>
      </c>
      <c r="B4273" s="684"/>
      <c r="C4273" s="684"/>
      <c r="D4273" s="684"/>
      <c r="E4273" s="684"/>
      <c r="F4273" s="684"/>
      <c r="G4273" s="685"/>
    </row>
    <row r="4274" spans="1:7" ht="28.8" x14ac:dyDescent="0.3">
      <c r="A4274" s="529" t="s">
        <v>163</v>
      </c>
      <c r="B4274" s="529">
        <v>91930</v>
      </c>
      <c r="C4274" s="530" t="s">
        <v>121</v>
      </c>
      <c r="D4274" s="529" t="s">
        <v>55</v>
      </c>
      <c r="E4274" s="252"/>
      <c r="F4274" s="531">
        <v>5.5</v>
      </c>
      <c r="G4274" s="252">
        <f t="shared" si="91"/>
        <v>0</v>
      </c>
    </row>
    <row r="4275" spans="1:7" ht="28.8" x14ac:dyDescent="0.3">
      <c r="A4275" s="524" t="s">
        <v>508</v>
      </c>
      <c r="B4275" s="524" t="s">
        <v>1648</v>
      </c>
      <c r="C4275" s="525" t="s">
        <v>1649</v>
      </c>
      <c r="D4275" s="524" t="s">
        <v>55</v>
      </c>
      <c r="E4275" s="606">
        <v>1.036</v>
      </c>
      <c r="F4275" s="528" t="s">
        <v>1650</v>
      </c>
      <c r="G4275" s="252">
        <f t="shared" si="91"/>
        <v>3.78</v>
      </c>
    </row>
    <row r="4276" spans="1:7" x14ac:dyDescent="0.3">
      <c r="A4276" s="524" t="s">
        <v>508</v>
      </c>
      <c r="B4276" s="524" t="s">
        <v>1641</v>
      </c>
      <c r="C4276" s="525" t="s">
        <v>1642</v>
      </c>
      <c r="D4276" s="524" t="s">
        <v>397</v>
      </c>
      <c r="E4276" s="524" t="s">
        <v>1643</v>
      </c>
      <c r="F4276" s="528" t="s">
        <v>1644</v>
      </c>
      <c r="G4276" s="252">
        <f t="shared" si="91"/>
        <v>0.03</v>
      </c>
    </row>
    <row r="4277" spans="1:7" x14ac:dyDescent="0.3">
      <c r="A4277" s="524" t="s">
        <v>522</v>
      </c>
      <c r="B4277" s="524" t="s">
        <v>611</v>
      </c>
      <c r="C4277" s="525" t="s">
        <v>546</v>
      </c>
      <c r="D4277" s="524" t="s">
        <v>32</v>
      </c>
      <c r="E4277" s="524" t="s">
        <v>1651</v>
      </c>
      <c r="F4277" s="528" t="s">
        <v>1646</v>
      </c>
      <c r="G4277" s="252">
        <f t="shared" si="91"/>
        <v>0.74</v>
      </c>
    </row>
    <row r="4278" spans="1:7" x14ac:dyDescent="0.3">
      <c r="A4278" s="524" t="s">
        <v>522</v>
      </c>
      <c r="B4278" s="524" t="s">
        <v>610</v>
      </c>
      <c r="C4278" s="525" t="s">
        <v>543</v>
      </c>
      <c r="D4278" s="524" t="s">
        <v>32</v>
      </c>
      <c r="E4278" s="524" t="s">
        <v>1651</v>
      </c>
      <c r="F4278" s="528" t="s">
        <v>1647</v>
      </c>
      <c r="G4278" s="252">
        <f t="shared" si="91"/>
        <v>0.95</v>
      </c>
    </row>
    <row r="4279" spans="1:7" x14ac:dyDescent="0.3">
      <c r="A4279" s="680" t="s">
        <v>1152</v>
      </c>
      <c r="B4279" s="681"/>
      <c r="C4279" s="681"/>
      <c r="D4279" s="681"/>
      <c r="E4279" s="681"/>
      <c r="F4279" s="682"/>
      <c r="G4279" s="527">
        <f>SUM(G4274:G4278)</f>
        <v>5.5</v>
      </c>
    </row>
    <row r="4280" spans="1:7" x14ac:dyDescent="0.3">
      <c r="A4280" s="683">
        <f>TRUNC(E4280*F4280,2)</f>
        <v>0</v>
      </c>
      <c r="B4280" s="684"/>
      <c r="C4280" s="684"/>
      <c r="D4280" s="684"/>
      <c r="E4280" s="684"/>
      <c r="F4280" s="684"/>
      <c r="G4280" s="685"/>
    </row>
    <row r="4281" spans="1:7" ht="28.8" x14ac:dyDescent="0.3">
      <c r="A4281" s="529" t="s">
        <v>164</v>
      </c>
      <c r="B4281" s="529">
        <v>91928</v>
      </c>
      <c r="C4281" s="530" t="s">
        <v>123</v>
      </c>
      <c r="D4281" s="529" t="s">
        <v>55</v>
      </c>
      <c r="E4281" s="252"/>
      <c r="F4281" s="531">
        <v>4.42</v>
      </c>
      <c r="G4281" s="252">
        <f t="shared" si="91"/>
        <v>0</v>
      </c>
    </row>
    <row r="4282" spans="1:7" ht="28.8" x14ac:dyDescent="0.3">
      <c r="A4282" s="524" t="s">
        <v>508</v>
      </c>
      <c r="B4282" s="524" t="s">
        <v>1652</v>
      </c>
      <c r="C4282" s="525" t="s">
        <v>1653</v>
      </c>
      <c r="D4282" s="524" t="s">
        <v>55</v>
      </c>
      <c r="E4282" s="524" t="s">
        <v>1639</v>
      </c>
      <c r="F4282" s="528" t="s">
        <v>1654</v>
      </c>
      <c r="G4282" s="252">
        <f t="shared" si="91"/>
        <v>3.09</v>
      </c>
    </row>
    <row r="4283" spans="1:7" x14ac:dyDescent="0.3">
      <c r="A4283" s="524" t="s">
        <v>508</v>
      </c>
      <c r="B4283" s="524" t="s">
        <v>1641</v>
      </c>
      <c r="C4283" s="525" t="s">
        <v>1642</v>
      </c>
      <c r="D4283" s="524" t="s">
        <v>397</v>
      </c>
      <c r="E4283" s="524" t="s">
        <v>1643</v>
      </c>
      <c r="F4283" s="528" t="s">
        <v>1644</v>
      </c>
      <c r="G4283" s="252">
        <f t="shared" si="91"/>
        <v>0.03</v>
      </c>
    </row>
    <row r="4284" spans="1:7" x14ac:dyDescent="0.3">
      <c r="A4284" s="524" t="s">
        <v>522</v>
      </c>
      <c r="B4284" s="524" t="s">
        <v>611</v>
      </c>
      <c r="C4284" s="525" t="s">
        <v>546</v>
      </c>
      <c r="D4284" s="524" t="s">
        <v>32</v>
      </c>
      <c r="E4284" s="524" t="s">
        <v>1599</v>
      </c>
      <c r="F4284" s="528" t="s">
        <v>1646</v>
      </c>
      <c r="G4284" s="252">
        <f t="shared" si="91"/>
        <v>0.56999999999999995</v>
      </c>
    </row>
    <row r="4285" spans="1:7" x14ac:dyDescent="0.3">
      <c r="A4285" s="524" t="s">
        <v>522</v>
      </c>
      <c r="B4285" s="524" t="s">
        <v>610</v>
      </c>
      <c r="C4285" s="525" t="s">
        <v>543</v>
      </c>
      <c r="D4285" s="524" t="s">
        <v>32</v>
      </c>
      <c r="E4285" s="524" t="s">
        <v>1599</v>
      </c>
      <c r="F4285" s="528" t="s">
        <v>1647</v>
      </c>
      <c r="G4285" s="252">
        <f t="shared" si="91"/>
        <v>0.73</v>
      </c>
    </row>
    <row r="4286" spans="1:7" x14ac:dyDescent="0.3">
      <c r="A4286" s="680" t="s">
        <v>1152</v>
      </c>
      <c r="B4286" s="681"/>
      <c r="C4286" s="681"/>
      <c r="D4286" s="681"/>
      <c r="E4286" s="681"/>
      <c r="F4286" s="682"/>
      <c r="G4286" s="527">
        <f>SUM(G4282:G4285)</f>
        <v>4.42</v>
      </c>
    </row>
    <row r="4287" spans="1:7" x14ac:dyDescent="0.3">
      <c r="A4287" s="683">
        <f>TRUNC(E4287*F4287,2)</f>
        <v>0</v>
      </c>
      <c r="B4287" s="684"/>
      <c r="C4287" s="684"/>
      <c r="D4287" s="684"/>
      <c r="E4287" s="684"/>
      <c r="F4287" s="684"/>
      <c r="G4287" s="685"/>
    </row>
    <row r="4288" spans="1:7" ht="28.8" x14ac:dyDescent="0.3">
      <c r="A4288" s="529" t="s">
        <v>165</v>
      </c>
      <c r="B4288" s="529">
        <v>91927</v>
      </c>
      <c r="C4288" s="530" t="s">
        <v>125</v>
      </c>
      <c r="D4288" s="529" t="s">
        <v>55</v>
      </c>
      <c r="E4288" s="252"/>
      <c r="F4288" s="531">
        <v>3</v>
      </c>
      <c r="G4288" s="252">
        <f t="shared" si="91"/>
        <v>0</v>
      </c>
    </row>
    <row r="4289" spans="1:7" ht="43.2" x14ac:dyDescent="0.3">
      <c r="A4289" s="524" t="s">
        <v>508</v>
      </c>
      <c r="B4289" s="524" t="s">
        <v>1655</v>
      </c>
      <c r="C4289" s="525" t="s">
        <v>1656</v>
      </c>
      <c r="D4289" s="524" t="s">
        <v>55</v>
      </c>
      <c r="E4289" s="606">
        <v>1</v>
      </c>
      <c r="F4289" s="528">
        <v>2</v>
      </c>
      <c r="G4289" s="252">
        <f t="shared" si="91"/>
        <v>2</v>
      </c>
    </row>
    <row r="4290" spans="1:7" x14ac:dyDescent="0.3">
      <c r="A4290" s="524" t="s">
        <v>508</v>
      </c>
      <c r="B4290" s="524" t="s">
        <v>1641</v>
      </c>
      <c r="C4290" s="525" t="s">
        <v>1642</v>
      </c>
      <c r="D4290" s="524" t="s">
        <v>397</v>
      </c>
      <c r="E4290" s="524" t="s">
        <v>1643</v>
      </c>
      <c r="F4290" s="528" t="s">
        <v>1644</v>
      </c>
      <c r="G4290" s="252">
        <f t="shared" si="91"/>
        <v>0.03</v>
      </c>
    </row>
    <row r="4291" spans="1:7" x14ac:dyDescent="0.3">
      <c r="A4291" s="524" t="s">
        <v>522</v>
      </c>
      <c r="B4291" s="524" t="s">
        <v>611</v>
      </c>
      <c r="C4291" s="525" t="s">
        <v>546</v>
      </c>
      <c r="D4291" s="524" t="s">
        <v>32</v>
      </c>
      <c r="E4291" s="524" t="s">
        <v>1657</v>
      </c>
      <c r="F4291" s="528" t="s">
        <v>1646</v>
      </c>
      <c r="G4291" s="252">
        <f t="shared" si="91"/>
        <v>0.42</v>
      </c>
    </row>
    <row r="4292" spans="1:7" x14ac:dyDescent="0.3">
      <c r="A4292" s="524" t="s">
        <v>522</v>
      </c>
      <c r="B4292" s="524" t="s">
        <v>610</v>
      </c>
      <c r="C4292" s="525" t="s">
        <v>543</v>
      </c>
      <c r="D4292" s="524" t="s">
        <v>32</v>
      </c>
      <c r="E4292" s="524" t="s">
        <v>1657</v>
      </c>
      <c r="F4292" s="528" t="s">
        <v>1647</v>
      </c>
      <c r="G4292" s="252">
        <f t="shared" si="91"/>
        <v>0.55000000000000004</v>
      </c>
    </row>
    <row r="4293" spans="1:7" x14ac:dyDescent="0.3">
      <c r="A4293" s="680" t="s">
        <v>1152</v>
      </c>
      <c r="B4293" s="681"/>
      <c r="C4293" s="681"/>
      <c r="D4293" s="681"/>
      <c r="E4293" s="681"/>
      <c r="F4293" s="682"/>
      <c r="G4293" s="527">
        <f>SUM(G4289:G4292)</f>
        <v>3</v>
      </c>
    </row>
    <row r="4294" spans="1:7" x14ac:dyDescent="0.3">
      <c r="A4294" s="683">
        <f>TRUNC(E4294*F4294,2)</f>
        <v>0</v>
      </c>
      <c r="B4294" s="684"/>
      <c r="C4294" s="684"/>
      <c r="D4294" s="684"/>
      <c r="E4294" s="684"/>
      <c r="F4294" s="684"/>
      <c r="G4294" s="685"/>
    </row>
    <row r="4295" spans="1:7" ht="28.8" x14ac:dyDescent="0.3">
      <c r="A4295" s="529" t="s">
        <v>166</v>
      </c>
      <c r="B4295" s="529">
        <v>90447</v>
      </c>
      <c r="C4295" s="530" t="s">
        <v>127</v>
      </c>
      <c r="D4295" s="529" t="s">
        <v>55</v>
      </c>
      <c r="E4295" s="252"/>
      <c r="F4295" s="531">
        <v>4.45</v>
      </c>
      <c r="G4295" s="252">
        <f t="shared" si="91"/>
        <v>0</v>
      </c>
    </row>
    <row r="4296" spans="1:7" x14ac:dyDescent="0.3">
      <c r="A4296" s="524" t="s">
        <v>522</v>
      </c>
      <c r="B4296" s="524" t="s">
        <v>611</v>
      </c>
      <c r="C4296" s="525" t="s">
        <v>546</v>
      </c>
      <c r="D4296" s="524" t="s">
        <v>32</v>
      </c>
      <c r="E4296" s="524" t="s">
        <v>1658</v>
      </c>
      <c r="F4296" s="528" t="s">
        <v>1646</v>
      </c>
      <c r="G4296" s="252">
        <f t="shared" si="91"/>
        <v>0.48</v>
      </c>
    </row>
    <row r="4297" spans="1:7" x14ac:dyDescent="0.3">
      <c r="A4297" s="524" t="s">
        <v>522</v>
      </c>
      <c r="B4297" s="524" t="s">
        <v>610</v>
      </c>
      <c r="C4297" s="525" t="s">
        <v>543</v>
      </c>
      <c r="D4297" s="524" t="s">
        <v>32</v>
      </c>
      <c r="E4297" s="524" t="s">
        <v>1659</v>
      </c>
      <c r="F4297" s="528" t="s">
        <v>1647</v>
      </c>
      <c r="G4297" s="252">
        <f t="shared" si="91"/>
        <v>3.97</v>
      </c>
    </row>
    <row r="4298" spans="1:7" x14ac:dyDescent="0.3">
      <c r="A4298" s="680" t="s">
        <v>1152</v>
      </c>
      <c r="B4298" s="681"/>
      <c r="C4298" s="681"/>
      <c r="D4298" s="681"/>
      <c r="E4298" s="681"/>
      <c r="F4298" s="682"/>
      <c r="G4298" s="527">
        <f>SUM(G4294:G4297)</f>
        <v>4.45</v>
      </c>
    </row>
    <row r="4299" spans="1:7" x14ac:dyDescent="0.3">
      <c r="A4299" s="683">
        <f>TRUNC(E4299*F4299,2)</f>
        <v>0</v>
      </c>
      <c r="B4299" s="684"/>
      <c r="C4299" s="684"/>
      <c r="D4299" s="684"/>
      <c r="E4299" s="684"/>
      <c r="F4299" s="684"/>
      <c r="G4299" s="685"/>
    </row>
    <row r="4300" spans="1:7" ht="28.8" x14ac:dyDescent="0.3">
      <c r="A4300" s="529" t="s">
        <v>167</v>
      </c>
      <c r="B4300" s="529">
        <v>91836</v>
      </c>
      <c r="C4300" s="530" t="s">
        <v>130</v>
      </c>
      <c r="D4300" s="529" t="s">
        <v>55</v>
      </c>
      <c r="E4300" s="252"/>
      <c r="F4300" s="531">
        <v>7.55</v>
      </c>
      <c r="G4300" s="252">
        <f t="shared" si="91"/>
        <v>0</v>
      </c>
    </row>
    <row r="4301" spans="1:7" x14ac:dyDescent="0.3">
      <c r="A4301" s="524" t="s">
        <v>508</v>
      </c>
      <c r="B4301" s="524" t="s">
        <v>1660</v>
      </c>
      <c r="C4301" s="525" t="s">
        <v>1661</v>
      </c>
      <c r="D4301" s="524" t="s">
        <v>55</v>
      </c>
      <c r="E4301" s="524" t="s">
        <v>1662</v>
      </c>
      <c r="F4301" s="528" t="s">
        <v>1663</v>
      </c>
      <c r="G4301" s="252">
        <f t="shared" si="91"/>
        <v>2.46</v>
      </c>
    </row>
    <row r="4302" spans="1:7" x14ac:dyDescent="0.3">
      <c r="A4302" s="524" t="s">
        <v>522</v>
      </c>
      <c r="B4302" s="524" t="s">
        <v>611</v>
      </c>
      <c r="C4302" s="525" t="s">
        <v>546</v>
      </c>
      <c r="D4302" s="524" t="s">
        <v>32</v>
      </c>
      <c r="E4302" s="524" t="s">
        <v>1664</v>
      </c>
      <c r="F4302" s="528" t="s">
        <v>1646</v>
      </c>
      <c r="G4302" s="252">
        <f t="shared" si="91"/>
        <v>1.28</v>
      </c>
    </row>
    <row r="4303" spans="1:7" x14ac:dyDescent="0.3">
      <c r="A4303" s="524" t="s">
        <v>522</v>
      </c>
      <c r="B4303" s="524" t="s">
        <v>610</v>
      </c>
      <c r="C4303" s="525" t="s">
        <v>543</v>
      </c>
      <c r="D4303" s="524" t="s">
        <v>32</v>
      </c>
      <c r="E4303" s="524" t="s">
        <v>1664</v>
      </c>
      <c r="F4303" s="528" t="s">
        <v>1647</v>
      </c>
      <c r="G4303" s="252">
        <f t="shared" si="91"/>
        <v>1.65</v>
      </c>
    </row>
    <row r="4304" spans="1:7" ht="43.2" x14ac:dyDescent="0.3">
      <c r="A4304" s="524" t="s">
        <v>522</v>
      </c>
      <c r="B4304" s="524" t="s">
        <v>959</v>
      </c>
      <c r="C4304" s="525" t="s">
        <v>960</v>
      </c>
      <c r="D4304" s="524" t="s">
        <v>55</v>
      </c>
      <c r="E4304" s="524" t="s">
        <v>1122</v>
      </c>
      <c r="F4304" s="528" t="s">
        <v>962</v>
      </c>
      <c r="G4304" s="252">
        <f t="shared" si="91"/>
        <v>2.16</v>
      </c>
    </row>
    <row r="4305" spans="1:7" x14ac:dyDescent="0.3">
      <c r="A4305" s="680" t="s">
        <v>1152</v>
      </c>
      <c r="B4305" s="681"/>
      <c r="C4305" s="681"/>
      <c r="D4305" s="681"/>
      <c r="E4305" s="681"/>
      <c r="F4305" s="682"/>
      <c r="G4305" s="527">
        <f>SUM(G4301:G4304)</f>
        <v>7.5500000000000007</v>
      </c>
    </row>
    <row r="4306" spans="1:7" x14ac:dyDescent="0.3">
      <c r="A4306" s="683">
        <f>TRUNC(E4306*F4306,2)</f>
        <v>0</v>
      </c>
      <c r="B4306" s="684"/>
      <c r="C4306" s="684"/>
      <c r="D4306" s="684"/>
      <c r="E4306" s="684"/>
      <c r="F4306" s="684"/>
      <c r="G4306" s="685"/>
    </row>
    <row r="4307" spans="1:7" ht="28.8" x14ac:dyDescent="0.3">
      <c r="A4307" s="529" t="s">
        <v>169</v>
      </c>
      <c r="B4307" s="529">
        <v>91869</v>
      </c>
      <c r="C4307" s="530" t="s">
        <v>132</v>
      </c>
      <c r="D4307" s="529" t="s">
        <v>55</v>
      </c>
      <c r="E4307" s="252"/>
      <c r="F4307" s="531">
        <v>10.32</v>
      </c>
      <c r="G4307" s="252">
        <f t="shared" si="91"/>
        <v>0</v>
      </c>
    </row>
    <row r="4308" spans="1:7" x14ac:dyDescent="0.3">
      <c r="A4308" s="524" t="s">
        <v>508</v>
      </c>
      <c r="B4308" s="524" t="s">
        <v>1665</v>
      </c>
      <c r="C4308" s="525" t="s">
        <v>1666</v>
      </c>
      <c r="D4308" s="524" t="s">
        <v>55</v>
      </c>
      <c r="E4308" s="524" t="s">
        <v>1667</v>
      </c>
      <c r="F4308" s="528" t="s">
        <v>1668</v>
      </c>
      <c r="G4308" s="252">
        <f t="shared" si="91"/>
        <v>5.26</v>
      </c>
    </row>
    <row r="4309" spans="1:7" ht="28.8" x14ac:dyDescent="0.3">
      <c r="A4309" s="524" t="s">
        <v>508</v>
      </c>
      <c r="B4309" s="524" t="s">
        <v>1669</v>
      </c>
      <c r="C4309" s="525" t="s">
        <v>1670</v>
      </c>
      <c r="D4309" s="524" t="s">
        <v>426</v>
      </c>
      <c r="E4309" s="524" t="s">
        <v>1671</v>
      </c>
      <c r="F4309" s="528" t="s">
        <v>1672</v>
      </c>
      <c r="G4309" s="252">
        <f t="shared" si="91"/>
        <v>0.03</v>
      </c>
    </row>
    <row r="4310" spans="1:7" x14ac:dyDescent="0.3">
      <c r="A4310" s="524" t="s">
        <v>522</v>
      </c>
      <c r="B4310" s="524" t="s">
        <v>611</v>
      </c>
      <c r="C4310" s="525" t="s">
        <v>546</v>
      </c>
      <c r="D4310" s="524" t="s">
        <v>32</v>
      </c>
      <c r="E4310" s="524" t="s">
        <v>1673</v>
      </c>
      <c r="F4310" s="528" t="s">
        <v>1646</v>
      </c>
      <c r="G4310" s="252">
        <f t="shared" si="91"/>
        <v>2.2000000000000002</v>
      </c>
    </row>
    <row r="4311" spans="1:7" x14ac:dyDescent="0.3">
      <c r="A4311" s="524" t="s">
        <v>522</v>
      </c>
      <c r="B4311" s="524" t="s">
        <v>610</v>
      </c>
      <c r="C4311" s="525" t="s">
        <v>543</v>
      </c>
      <c r="D4311" s="524" t="s">
        <v>32</v>
      </c>
      <c r="E4311" s="524" t="s">
        <v>1673</v>
      </c>
      <c r="F4311" s="528" t="s">
        <v>1647</v>
      </c>
      <c r="G4311" s="252">
        <f t="shared" si="91"/>
        <v>2.83</v>
      </c>
    </row>
    <row r="4312" spans="1:7" x14ac:dyDescent="0.3">
      <c r="A4312" s="680" t="s">
        <v>1152</v>
      </c>
      <c r="B4312" s="681"/>
      <c r="C4312" s="681"/>
      <c r="D4312" s="681"/>
      <c r="E4312" s="681"/>
      <c r="F4312" s="682"/>
      <c r="G4312" s="527">
        <f>SUM(G4308:G4311)</f>
        <v>10.32</v>
      </c>
    </row>
    <row r="4313" spans="1:7" x14ac:dyDescent="0.3">
      <c r="A4313" s="683">
        <f>TRUNC(E4313*F4313,2)</f>
        <v>0</v>
      </c>
      <c r="B4313" s="684"/>
      <c r="C4313" s="684"/>
      <c r="D4313" s="684"/>
      <c r="E4313" s="684"/>
      <c r="F4313" s="684"/>
      <c r="G4313" s="685"/>
    </row>
    <row r="4314" spans="1:7" x14ac:dyDescent="0.3">
      <c r="A4314" s="529" t="s">
        <v>171</v>
      </c>
      <c r="B4314" s="529">
        <v>91990</v>
      </c>
      <c r="C4314" s="530" t="s">
        <v>134</v>
      </c>
      <c r="D4314" s="529" t="s">
        <v>44</v>
      </c>
      <c r="E4314" s="252"/>
      <c r="F4314" s="531">
        <v>20.73</v>
      </c>
      <c r="G4314" s="252">
        <f t="shared" si="91"/>
        <v>0</v>
      </c>
    </row>
    <row r="4315" spans="1:7" x14ac:dyDescent="0.3">
      <c r="A4315" s="524" t="s">
        <v>508</v>
      </c>
      <c r="B4315" s="524" t="s">
        <v>1674</v>
      </c>
      <c r="C4315" s="525" t="s">
        <v>1675</v>
      </c>
      <c r="D4315" s="524" t="s">
        <v>397</v>
      </c>
      <c r="E4315" s="524" t="s">
        <v>1122</v>
      </c>
      <c r="F4315" s="528" t="s">
        <v>1676</v>
      </c>
      <c r="G4315" s="252">
        <f t="shared" si="91"/>
        <v>4.5199999999999996</v>
      </c>
    </row>
    <row r="4316" spans="1:7" x14ac:dyDescent="0.3">
      <c r="A4316" s="524" t="s">
        <v>522</v>
      </c>
      <c r="B4316" s="524" t="s">
        <v>611</v>
      </c>
      <c r="C4316" s="525" t="s">
        <v>546</v>
      </c>
      <c r="D4316" s="524" t="s">
        <v>32</v>
      </c>
      <c r="E4316" s="524" t="s">
        <v>1677</v>
      </c>
      <c r="F4316" s="528" t="s">
        <v>1646</v>
      </c>
      <c r="G4316" s="252">
        <f t="shared" si="91"/>
        <v>7.1</v>
      </c>
    </row>
    <row r="4317" spans="1:7" x14ac:dyDescent="0.3">
      <c r="A4317" s="524" t="s">
        <v>522</v>
      </c>
      <c r="B4317" s="524" t="s">
        <v>610</v>
      </c>
      <c r="C4317" s="525" t="s">
        <v>543</v>
      </c>
      <c r="D4317" s="524" t="s">
        <v>32</v>
      </c>
      <c r="E4317" s="524" t="s">
        <v>1677</v>
      </c>
      <c r="F4317" s="528" t="s">
        <v>1647</v>
      </c>
      <c r="G4317" s="252">
        <f t="shared" si="91"/>
        <v>9.11</v>
      </c>
    </row>
    <row r="4318" spans="1:7" x14ac:dyDescent="0.3">
      <c r="A4318" s="680" t="s">
        <v>1152</v>
      </c>
      <c r="B4318" s="681"/>
      <c r="C4318" s="681"/>
      <c r="D4318" s="681"/>
      <c r="E4318" s="681"/>
      <c r="F4318" s="682"/>
      <c r="G4318" s="527">
        <f>SUM(G4314:G4317)</f>
        <v>20.729999999999997</v>
      </c>
    </row>
    <row r="4319" spans="1:7" x14ac:dyDescent="0.3">
      <c r="A4319" s="683">
        <f>TRUNC(E4319*F4319,2)</f>
        <v>0</v>
      </c>
      <c r="B4319" s="684"/>
      <c r="C4319" s="684"/>
      <c r="D4319" s="684"/>
      <c r="E4319" s="684"/>
      <c r="F4319" s="684"/>
      <c r="G4319" s="685"/>
    </row>
    <row r="4320" spans="1:7" x14ac:dyDescent="0.3">
      <c r="A4320" s="529" t="s">
        <v>173</v>
      </c>
      <c r="B4320" s="529">
        <v>91991</v>
      </c>
      <c r="C4320" s="530" t="s">
        <v>137</v>
      </c>
      <c r="D4320" s="529" t="s">
        <v>44</v>
      </c>
      <c r="E4320" s="252"/>
      <c r="F4320" s="531">
        <v>21.99</v>
      </c>
      <c r="G4320" s="252">
        <f t="shared" si="91"/>
        <v>0</v>
      </c>
    </row>
    <row r="4321" spans="1:7" x14ac:dyDescent="0.3">
      <c r="A4321" s="524" t="s">
        <v>508</v>
      </c>
      <c r="B4321" s="524" t="s">
        <v>1678</v>
      </c>
      <c r="C4321" s="525" t="s">
        <v>1679</v>
      </c>
      <c r="D4321" s="524" t="s">
        <v>397</v>
      </c>
      <c r="E4321" s="524" t="s">
        <v>1122</v>
      </c>
      <c r="F4321" s="528" t="s">
        <v>1680</v>
      </c>
      <c r="G4321" s="252">
        <f t="shared" si="91"/>
        <v>5.78</v>
      </c>
    </row>
    <row r="4322" spans="1:7" x14ac:dyDescent="0.3">
      <c r="A4322" s="524" t="s">
        <v>522</v>
      </c>
      <c r="B4322" s="524" t="s">
        <v>611</v>
      </c>
      <c r="C4322" s="525" t="s">
        <v>546</v>
      </c>
      <c r="D4322" s="524" t="s">
        <v>32</v>
      </c>
      <c r="E4322" s="524" t="s">
        <v>1677</v>
      </c>
      <c r="F4322" s="528" t="s">
        <v>1646</v>
      </c>
      <c r="G4322" s="252">
        <f t="shared" si="91"/>
        <v>7.1</v>
      </c>
    </row>
    <row r="4323" spans="1:7" x14ac:dyDescent="0.3">
      <c r="A4323" s="524" t="s">
        <v>522</v>
      </c>
      <c r="B4323" s="524" t="s">
        <v>610</v>
      </c>
      <c r="C4323" s="525" t="s">
        <v>543</v>
      </c>
      <c r="D4323" s="524" t="s">
        <v>32</v>
      </c>
      <c r="E4323" s="524" t="s">
        <v>1677</v>
      </c>
      <c r="F4323" s="528" t="s">
        <v>1647</v>
      </c>
      <c r="G4323" s="252">
        <f t="shared" si="91"/>
        <v>9.11</v>
      </c>
    </row>
    <row r="4324" spans="1:7" x14ac:dyDescent="0.3">
      <c r="A4324" s="680" t="s">
        <v>1152</v>
      </c>
      <c r="B4324" s="681"/>
      <c r="C4324" s="681"/>
      <c r="D4324" s="681"/>
      <c r="E4324" s="681"/>
      <c r="F4324" s="682"/>
      <c r="G4324" s="527">
        <f>SUM(G4320:G4323)</f>
        <v>21.99</v>
      </c>
    </row>
    <row r="4325" spans="1:7" x14ac:dyDescent="0.3">
      <c r="A4325" s="683">
        <f>TRUNC(E4325*F4325,2)</f>
        <v>0</v>
      </c>
      <c r="B4325" s="684"/>
      <c r="C4325" s="684"/>
      <c r="D4325" s="684"/>
      <c r="E4325" s="684"/>
      <c r="F4325" s="684"/>
      <c r="G4325" s="685"/>
    </row>
    <row r="4326" spans="1:7" ht="28.8" x14ac:dyDescent="0.3">
      <c r="A4326" s="529" t="s">
        <v>175</v>
      </c>
      <c r="B4326" s="529">
        <v>91953</v>
      </c>
      <c r="C4326" s="530" t="s">
        <v>139</v>
      </c>
      <c r="D4326" s="529" t="s">
        <v>44</v>
      </c>
      <c r="E4326" s="252"/>
      <c r="F4326" s="531">
        <v>16.14</v>
      </c>
      <c r="G4326" s="252">
        <f t="shared" si="91"/>
        <v>0</v>
      </c>
    </row>
    <row r="4327" spans="1:7" ht="28.8" x14ac:dyDescent="0.3">
      <c r="A4327" s="524" t="s">
        <v>522</v>
      </c>
      <c r="B4327" s="524" t="s">
        <v>1885</v>
      </c>
      <c r="C4327" s="525" t="s">
        <v>1886</v>
      </c>
      <c r="D4327" s="524" t="s">
        <v>397</v>
      </c>
      <c r="E4327" s="524" t="s">
        <v>1122</v>
      </c>
      <c r="F4327" s="528" t="s">
        <v>1887</v>
      </c>
      <c r="G4327" s="252">
        <f t="shared" si="91"/>
        <v>4.82</v>
      </c>
    </row>
    <row r="4328" spans="1:7" ht="28.8" x14ac:dyDescent="0.3">
      <c r="A4328" s="524" t="s">
        <v>522</v>
      </c>
      <c r="B4328" s="524" t="s">
        <v>1888</v>
      </c>
      <c r="C4328" s="525" t="s">
        <v>1889</v>
      </c>
      <c r="D4328" s="524" t="s">
        <v>397</v>
      </c>
      <c r="E4328" s="524" t="s">
        <v>1122</v>
      </c>
      <c r="F4328" s="528" t="s">
        <v>1890</v>
      </c>
      <c r="G4328" s="252">
        <f t="shared" si="91"/>
        <v>11.32</v>
      </c>
    </row>
    <row r="4329" spans="1:7" x14ac:dyDescent="0.3">
      <c r="A4329" s="680" t="s">
        <v>1152</v>
      </c>
      <c r="B4329" s="681"/>
      <c r="C4329" s="681"/>
      <c r="D4329" s="681"/>
      <c r="E4329" s="681"/>
      <c r="F4329" s="682"/>
      <c r="G4329" s="252">
        <f>SUM(G4326:G4328)</f>
        <v>16.14</v>
      </c>
    </row>
    <row r="4330" spans="1:7" x14ac:dyDescent="0.3">
      <c r="A4330" s="683">
        <f>TRUNC(E4330*F4330,2)</f>
        <v>0</v>
      </c>
      <c r="B4330" s="684"/>
      <c r="C4330" s="684"/>
      <c r="D4330" s="684"/>
      <c r="E4330" s="684"/>
      <c r="F4330" s="684"/>
      <c r="G4330" s="685"/>
    </row>
    <row r="4331" spans="1:7" ht="28.8" x14ac:dyDescent="0.3">
      <c r="A4331" s="529" t="s">
        <v>177</v>
      </c>
      <c r="B4331" s="529">
        <v>91959</v>
      </c>
      <c r="C4331" s="530" t="s">
        <v>140</v>
      </c>
      <c r="D4331" s="529" t="s">
        <v>44</v>
      </c>
      <c r="E4331" s="252"/>
      <c r="F4331" s="531">
        <v>25.5</v>
      </c>
      <c r="G4331" s="252">
        <f t="shared" si="91"/>
        <v>0</v>
      </c>
    </row>
    <row r="4332" spans="1:7" ht="28.8" x14ac:dyDescent="0.3">
      <c r="A4332" s="524" t="s">
        <v>522</v>
      </c>
      <c r="B4332" s="524" t="s">
        <v>1885</v>
      </c>
      <c r="C4332" s="525" t="s">
        <v>1886</v>
      </c>
      <c r="D4332" s="524" t="s">
        <v>397</v>
      </c>
      <c r="E4332" s="524" t="s">
        <v>1122</v>
      </c>
      <c r="F4332" s="528" t="s">
        <v>1887</v>
      </c>
      <c r="G4332" s="252">
        <f t="shared" si="91"/>
        <v>4.82</v>
      </c>
    </row>
    <row r="4333" spans="1:7" ht="28.8" x14ac:dyDescent="0.3">
      <c r="A4333" s="524" t="s">
        <v>522</v>
      </c>
      <c r="B4333" s="524" t="s">
        <v>1891</v>
      </c>
      <c r="C4333" s="525" t="s">
        <v>1892</v>
      </c>
      <c r="D4333" s="524" t="s">
        <v>397</v>
      </c>
      <c r="E4333" s="524" t="s">
        <v>1122</v>
      </c>
      <c r="F4333" s="528" t="s">
        <v>1893</v>
      </c>
      <c r="G4333" s="252">
        <f t="shared" si="91"/>
        <v>20.68</v>
      </c>
    </row>
    <row r="4334" spans="1:7" x14ac:dyDescent="0.3">
      <c r="A4334" s="680" t="s">
        <v>1152</v>
      </c>
      <c r="B4334" s="681"/>
      <c r="C4334" s="681"/>
      <c r="D4334" s="681"/>
      <c r="E4334" s="681"/>
      <c r="F4334" s="682"/>
      <c r="G4334" s="252">
        <f>SUM(G4331:G4333)</f>
        <v>25.5</v>
      </c>
    </row>
    <row r="4335" spans="1:7" x14ac:dyDescent="0.3">
      <c r="A4335" s="683">
        <f>TRUNC(E4335*F4335,2)</f>
        <v>0</v>
      </c>
      <c r="B4335" s="684"/>
      <c r="C4335" s="684"/>
      <c r="D4335" s="684"/>
      <c r="E4335" s="684"/>
      <c r="F4335" s="684"/>
      <c r="G4335" s="685"/>
    </row>
    <row r="4336" spans="1:7" ht="28.8" x14ac:dyDescent="0.3">
      <c r="A4336" s="529" t="s">
        <v>675</v>
      </c>
      <c r="B4336" s="529">
        <v>93653</v>
      </c>
      <c r="C4336" s="530" t="s">
        <v>141</v>
      </c>
      <c r="D4336" s="529" t="s">
        <v>44</v>
      </c>
      <c r="E4336" s="252"/>
      <c r="F4336" s="531">
        <v>9.3699999999999992</v>
      </c>
      <c r="G4336" s="252">
        <f t="shared" si="91"/>
        <v>0</v>
      </c>
    </row>
    <row r="4337" spans="1:7" ht="28.8" x14ac:dyDescent="0.3">
      <c r="A4337" s="524" t="s">
        <v>508</v>
      </c>
      <c r="B4337" s="524" t="s">
        <v>1894</v>
      </c>
      <c r="C4337" s="525" t="s">
        <v>1895</v>
      </c>
      <c r="D4337" s="524" t="s">
        <v>397</v>
      </c>
      <c r="E4337" s="524" t="s">
        <v>1122</v>
      </c>
      <c r="F4337" s="528" t="s">
        <v>1896</v>
      </c>
      <c r="G4337" s="252">
        <f t="shared" si="91"/>
        <v>0.69</v>
      </c>
    </row>
    <row r="4338" spans="1:7" x14ac:dyDescent="0.3">
      <c r="A4338" s="524" t="s">
        <v>508</v>
      </c>
      <c r="B4338" s="524" t="s">
        <v>1897</v>
      </c>
      <c r="C4338" s="525" t="s">
        <v>1898</v>
      </c>
      <c r="D4338" s="524" t="s">
        <v>397</v>
      </c>
      <c r="E4338" s="524" t="s">
        <v>1122</v>
      </c>
      <c r="F4338" s="528" t="s">
        <v>1899</v>
      </c>
      <c r="G4338" s="252">
        <f t="shared" si="91"/>
        <v>7.54</v>
      </c>
    </row>
    <row r="4339" spans="1:7" x14ac:dyDescent="0.3">
      <c r="A4339" s="524" t="s">
        <v>522</v>
      </c>
      <c r="B4339" s="524" t="s">
        <v>611</v>
      </c>
      <c r="C4339" s="525" t="s">
        <v>546</v>
      </c>
      <c r="D4339" s="524" t="s">
        <v>32</v>
      </c>
      <c r="E4339" s="524" t="s">
        <v>1900</v>
      </c>
      <c r="F4339" s="528" t="s">
        <v>1646</v>
      </c>
      <c r="G4339" s="252">
        <f t="shared" si="91"/>
        <v>0.5</v>
      </c>
    </row>
    <row r="4340" spans="1:7" x14ac:dyDescent="0.3">
      <c r="A4340" s="524" t="s">
        <v>522</v>
      </c>
      <c r="B4340" s="524" t="s">
        <v>610</v>
      </c>
      <c r="C4340" s="525" t="s">
        <v>543</v>
      </c>
      <c r="D4340" s="524" t="s">
        <v>32</v>
      </c>
      <c r="E4340" s="524" t="s">
        <v>1900</v>
      </c>
      <c r="F4340" s="528" t="s">
        <v>1647</v>
      </c>
      <c r="G4340" s="252">
        <f t="shared" si="91"/>
        <v>0.64</v>
      </c>
    </row>
    <row r="4341" spans="1:7" x14ac:dyDescent="0.3">
      <c r="A4341" s="680" t="s">
        <v>1152</v>
      </c>
      <c r="B4341" s="681"/>
      <c r="C4341" s="681"/>
      <c r="D4341" s="681"/>
      <c r="E4341" s="681"/>
      <c r="F4341" s="682"/>
      <c r="G4341" s="252">
        <f>SUM(G4336:G4340)</f>
        <v>9.370000000000001</v>
      </c>
    </row>
    <row r="4342" spans="1:7" x14ac:dyDescent="0.3">
      <c r="A4342" s="683">
        <f>TRUNC(E4342*F4342,2)</f>
        <v>0</v>
      </c>
      <c r="B4342" s="684"/>
      <c r="C4342" s="684"/>
      <c r="D4342" s="684"/>
      <c r="E4342" s="684"/>
      <c r="F4342" s="684"/>
      <c r="G4342" s="685"/>
    </row>
    <row r="4343" spans="1:7" ht="28.8" x14ac:dyDescent="0.3">
      <c r="A4343" s="529" t="s">
        <v>676</v>
      </c>
      <c r="B4343" s="529">
        <v>93655</v>
      </c>
      <c r="C4343" s="530" t="s">
        <v>142</v>
      </c>
      <c r="D4343" s="529" t="s">
        <v>44</v>
      </c>
      <c r="E4343" s="252"/>
      <c r="F4343" s="531">
        <v>10.59</v>
      </c>
      <c r="G4343" s="252">
        <f t="shared" si="91"/>
        <v>0</v>
      </c>
    </row>
    <row r="4344" spans="1:7" ht="28.8" x14ac:dyDescent="0.3">
      <c r="A4344" s="524" t="s">
        <v>508</v>
      </c>
      <c r="B4344" s="524" t="s">
        <v>1901</v>
      </c>
      <c r="C4344" s="525" t="s">
        <v>1902</v>
      </c>
      <c r="D4344" s="524" t="s">
        <v>397</v>
      </c>
      <c r="E4344" s="524" t="s">
        <v>1122</v>
      </c>
      <c r="F4344" s="528" t="s">
        <v>1903</v>
      </c>
      <c r="G4344" s="252">
        <f t="shared" si="91"/>
        <v>0.9</v>
      </c>
    </row>
    <row r="4345" spans="1:7" x14ac:dyDescent="0.3">
      <c r="A4345" s="524" t="s">
        <v>508</v>
      </c>
      <c r="B4345" s="524" t="s">
        <v>1897</v>
      </c>
      <c r="C4345" s="525" t="s">
        <v>1898</v>
      </c>
      <c r="D4345" s="524" t="s">
        <v>397</v>
      </c>
      <c r="E4345" s="524" t="s">
        <v>1122</v>
      </c>
      <c r="F4345" s="528" t="s">
        <v>1899</v>
      </c>
      <c r="G4345" s="252">
        <f t="shared" si="91"/>
        <v>7.54</v>
      </c>
    </row>
    <row r="4346" spans="1:7" x14ac:dyDescent="0.3">
      <c r="A4346" s="524" t="s">
        <v>522</v>
      </c>
      <c r="B4346" s="524" t="s">
        <v>611</v>
      </c>
      <c r="C4346" s="525" t="s">
        <v>546</v>
      </c>
      <c r="D4346" s="524" t="s">
        <v>32</v>
      </c>
      <c r="E4346" s="524" t="s">
        <v>1904</v>
      </c>
      <c r="F4346" s="528" t="s">
        <v>1646</v>
      </c>
      <c r="G4346" s="252">
        <f t="shared" si="91"/>
        <v>0.94</v>
      </c>
    </row>
    <row r="4347" spans="1:7" x14ac:dyDescent="0.3">
      <c r="A4347" s="524" t="s">
        <v>522</v>
      </c>
      <c r="B4347" s="524" t="s">
        <v>610</v>
      </c>
      <c r="C4347" s="525" t="s">
        <v>543</v>
      </c>
      <c r="D4347" s="524" t="s">
        <v>32</v>
      </c>
      <c r="E4347" s="524" t="s">
        <v>1904</v>
      </c>
      <c r="F4347" s="528" t="s">
        <v>1647</v>
      </c>
      <c r="G4347" s="252">
        <f t="shared" si="91"/>
        <v>1.21</v>
      </c>
    </row>
    <row r="4348" spans="1:7" x14ac:dyDescent="0.3">
      <c r="A4348" s="680" t="s">
        <v>1152</v>
      </c>
      <c r="B4348" s="681"/>
      <c r="C4348" s="681"/>
      <c r="D4348" s="681"/>
      <c r="E4348" s="681"/>
      <c r="F4348" s="682"/>
      <c r="G4348" s="252">
        <f>SUM(G4343:G4347)</f>
        <v>10.59</v>
      </c>
    </row>
    <row r="4349" spans="1:7" x14ac:dyDescent="0.3">
      <c r="A4349" s="683">
        <f>TRUNC(E4349*F4349,2)</f>
        <v>0</v>
      </c>
      <c r="B4349" s="684"/>
      <c r="C4349" s="684"/>
      <c r="D4349" s="684"/>
      <c r="E4349" s="684"/>
      <c r="F4349" s="684"/>
      <c r="G4349" s="685"/>
    </row>
    <row r="4350" spans="1:7" ht="28.8" x14ac:dyDescent="0.3">
      <c r="A4350" s="529" t="s">
        <v>311</v>
      </c>
      <c r="B4350" s="529">
        <v>93657</v>
      </c>
      <c r="C4350" s="530" t="s">
        <v>143</v>
      </c>
      <c r="D4350" s="529" t="s">
        <v>44</v>
      </c>
      <c r="E4350" s="252"/>
      <c r="F4350" s="531">
        <v>11.59</v>
      </c>
      <c r="G4350" s="252">
        <f t="shared" si="91"/>
        <v>0</v>
      </c>
    </row>
    <row r="4351" spans="1:7" ht="28.8" x14ac:dyDescent="0.3">
      <c r="A4351" s="524" t="s">
        <v>508</v>
      </c>
      <c r="B4351" s="524" t="s">
        <v>1905</v>
      </c>
      <c r="C4351" s="525" t="s">
        <v>1906</v>
      </c>
      <c r="D4351" s="524" t="s">
        <v>397</v>
      </c>
      <c r="E4351" s="524" t="s">
        <v>1122</v>
      </c>
      <c r="F4351" s="528" t="s">
        <v>1907</v>
      </c>
      <c r="G4351" s="252">
        <f t="shared" si="91"/>
        <v>1.08</v>
      </c>
    </row>
    <row r="4352" spans="1:7" x14ac:dyDescent="0.3">
      <c r="A4352" s="524" t="s">
        <v>508</v>
      </c>
      <c r="B4352" s="524" t="s">
        <v>1897</v>
      </c>
      <c r="C4352" s="525" t="s">
        <v>1898</v>
      </c>
      <c r="D4352" s="524" t="s">
        <v>397</v>
      </c>
      <c r="E4352" s="524" t="s">
        <v>1122</v>
      </c>
      <c r="F4352" s="528" t="s">
        <v>1899</v>
      </c>
      <c r="G4352" s="252">
        <f t="shared" si="91"/>
        <v>7.54</v>
      </c>
    </row>
    <row r="4353" spans="1:7" x14ac:dyDescent="0.3">
      <c r="A4353" s="524" t="s">
        <v>522</v>
      </c>
      <c r="B4353" s="524" t="s">
        <v>611</v>
      </c>
      <c r="C4353" s="525" t="s">
        <v>546</v>
      </c>
      <c r="D4353" s="524" t="s">
        <v>32</v>
      </c>
      <c r="E4353" s="524" t="s">
        <v>1908</v>
      </c>
      <c r="F4353" s="528" t="s">
        <v>1646</v>
      </c>
      <c r="G4353" s="252">
        <f t="shared" si="91"/>
        <v>1.3</v>
      </c>
    </row>
    <row r="4354" spans="1:7" x14ac:dyDescent="0.3">
      <c r="A4354" s="524" t="s">
        <v>522</v>
      </c>
      <c r="B4354" s="524" t="s">
        <v>610</v>
      </c>
      <c r="C4354" s="525" t="s">
        <v>543</v>
      </c>
      <c r="D4354" s="524" t="s">
        <v>32</v>
      </c>
      <c r="E4354" s="524" t="s">
        <v>1908</v>
      </c>
      <c r="F4354" s="528" t="s">
        <v>1647</v>
      </c>
      <c r="G4354" s="252">
        <f t="shared" si="91"/>
        <v>1.67</v>
      </c>
    </row>
    <row r="4355" spans="1:7" x14ac:dyDescent="0.3">
      <c r="A4355" s="680" t="s">
        <v>1152</v>
      </c>
      <c r="B4355" s="681"/>
      <c r="C4355" s="681"/>
      <c r="D4355" s="681"/>
      <c r="E4355" s="681"/>
      <c r="F4355" s="682"/>
      <c r="G4355" s="252">
        <f>SUM(G4350:G4354)</f>
        <v>11.590000000000002</v>
      </c>
    </row>
    <row r="4356" spans="1:7" x14ac:dyDescent="0.3">
      <c r="A4356" s="683">
        <f>TRUNC(E4356*F4356,2)</f>
        <v>0</v>
      </c>
      <c r="B4356" s="684"/>
      <c r="C4356" s="684"/>
      <c r="D4356" s="684"/>
      <c r="E4356" s="684"/>
      <c r="F4356" s="684"/>
      <c r="G4356" s="685"/>
    </row>
    <row r="4357" spans="1:7" ht="28.8" x14ac:dyDescent="0.3">
      <c r="A4357" s="529" t="s">
        <v>181</v>
      </c>
      <c r="B4357" s="529">
        <v>93660</v>
      </c>
      <c r="C4357" s="530" t="s">
        <v>144</v>
      </c>
      <c r="D4357" s="529" t="s">
        <v>44</v>
      </c>
      <c r="E4357" s="252"/>
      <c r="F4357" s="531">
        <v>46.9</v>
      </c>
      <c r="G4357" s="252">
        <f t="shared" si="91"/>
        <v>0</v>
      </c>
    </row>
    <row r="4358" spans="1:7" ht="28.8" x14ac:dyDescent="0.3">
      <c r="A4358" s="524" t="s">
        <v>508</v>
      </c>
      <c r="B4358" s="524" t="s">
        <v>1894</v>
      </c>
      <c r="C4358" s="525" t="s">
        <v>1895</v>
      </c>
      <c r="D4358" s="524" t="s">
        <v>397</v>
      </c>
      <c r="E4358" s="524" t="s">
        <v>1523</v>
      </c>
      <c r="F4358" s="528" t="s">
        <v>1896</v>
      </c>
      <c r="G4358" s="252">
        <f t="shared" si="91"/>
        <v>1.38</v>
      </c>
    </row>
    <row r="4359" spans="1:7" x14ac:dyDescent="0.3">
      <c r="A4359" s="524" t="s">
        <v>508</v>
      </c>
      <c r="B4359" s="524" t="s">
        <v>1909</v>
      </c>
      <c r="C4359" s="525" t="s">
        <v>1910</v>
      </c>
      <c r="D4359" s="524" t="s">
        <v>397</v>
      </c>
      <c r="E4359" s="524" t="s">
        <v>1122</v>
      </c>
      <c r="F4359" s="528" t="s">
        <v>1911</v>
      </c>
      <c r="G4359" s="252">
        <f t="shared" si="91"/>
        <v>43.24</v>
      </c>
    </row>
    <row r="4360" spans="1:7" x14ac:dyDescent="0.3">
      <c r="A4360" s="524" t="s">
        <v>522</v>
      </c>
      <c r="B4360" s="524" t="s">
        <v>611</v>
      </c>
      <c r="C4360" s="525" t="s">
        <v>546</v>
      </c>
      <c r="D4360" s="524" t="s">
        <v>32</v>
      </c>
      <c r="E4360" s="524" t="s">
        <v>1728</v>
      </c>
      <c r="F4360" s="528" t="s">
        <v>1646</v>
      </c>
      <c r="G4360" s="252">
        <f t="shared" si="91"/>
        <v>1</v>
      </c>
    </row>
    <row r="4361" spans="1:7" x14ac:dyDescent="0.3">
      <c r="A4361" s="524" t="s">
        <v>522</v>
      </c>
      <c r="B4361" s="524" t="s">
        <v>610</v>
      </c>
      <c r="C4361" s="525" t="s">
        <v>543</v>
      </c>
      <c r="D4361" s="524" t="s">
        <v>32</v>
      </c>
      <c r="E4361" s="524" t="s">
        <v>1728</v>
      </c>
      <c r="F4361" s="528" t="s">
        <v>1647</v>
      </c>
      <c r="G4361" s="252">
        <f t="shared" si="91"/>
        <v>1.28</v>
      </c>
    </row>
    <row r="4362" spans="1:7" x14ac:dyDescent="0.3">
      <c r="A4362" s="680" t="s">
        <v>1152</v>
      </c>
      <c r="B4362" s="681"/>
      <c r="C4362" s="681"/>
      <c r="D4362" s="681"/>
      <c r="E4362" s="681"/>
      <c r="F4362" s="682"/>
      <c r="G4362" s="252">
        <f>SUM(G4357:G4361)</f>
        <v>46.900000000000006</v>
      </c>
    </row>
    <row r="4363" spans="1:7" x14ac:dyDescent="0.3">
      <c r="A4363" s="683">
        <f>TRUNC(E4363*F4363,2)</f>
        <v>0</v>
      </c>
      <c r="B4363" s="684"/>
      <c r="C4363" s="684"/>
      <c r="D4363" s="684"/>
      <c r="E4363" s="684"/>
      <c r="F4363" s="684"/>
      <c r="G4363" s="685"/>
    </row>
    <row r="4364" spans="1:7" ht="28.8" x14ac:dyDescent="0.3">
      <c r="A4364" s="529" t="s">
        <v>183</v>
      </c>
      <c r="B4364" s="529">
        <v>93662</v>
      </c>
      <c r="C4364" s="530" t="s">
        <v>145</v>
      </c>
      <c r="D4364" s="529" t="s">
        <v>44</v>
      </c>
      <c r="E4364" s="252"/>
      <c r="F4364" s="531">
        <v>49.38</v>
      </c>
      <c r="G4364" s="252">
        <f t="shared" si="91"/>
        <v>0</v>
      </c>
    </row>
    <row r="4365" spans="1:7" ht="28.8" x14ac:dyDescent="0.3">
      <c r="A4365" s="524" t="s">
        <v>508</v>
      </c>
      <c r="B4365" s="524" t="s">
        <v>1901</v>
      </c>
      <c r="C4365" s="525" t="s">
        <v>1902</v>
      </c>
      <c r="D4365" s="524" t="s">
        <v>397</v>
      </c>
      <c r="E4365" s="524" t="s">
        <v>1523</v>
      </c>
      <c r="F4365" s="528" t="s">
        <v>1903</v>
      </c>
      <c r="G4365" s="252">
        <f t="shared" si="91"/>
        <v>1.8</v>
      </c>
    </row>
    <row r="4366" spans="1:7" x14ac:dyDescent="0.3">
      <c r="A4366" s="524" t="s">
        <v>508</v>
      </c>
      <c r="B4366" s="524" t="s">
        <v>1909</v>
      </c>
      <c r="C4366" s="525" t="s">
        <v>1910</v>
      </c>
      <c r="D4366" s="524" t="s">
        <v>397</v>
      </c>
      <c r="E4366" s="524" t="s">
        <v>1122</v>
      </c>
      <c r="F4366" s="528" t="s">
        <v>1911</v>
      </c>
      <c r="G4366" s="252">
        <f t="shared" si="91"/>
        <v>43.24</v>
      </c>
    </row>
    <row r="4367" spans="1:7" x14ac:dyDescent="0.3">
      <c r="A4367" s="524" t="s">
        <v>522</v>
      </c>
      <c r="B4367" s="524" t="s">
        <v>611</v>
      </c>
      <c r="C4367" s="525" t="s">
        <v>546</v>
      </c>
      <c r="D4367" s="524" t="s">
        <v>32</v>
      </c>
      <c r="E4367" s="524" t="s">
        <v>1912</v>
      </c>
      <c r="F4367" s="528" t="s">
        <v>1646</v>
      </c>
      <c r="G4367" s="252">
        <f t="shared" si="91"/>
        <v>1.9</v>
      </c>
    </row>
    <row r="4368" spans="1:7" x14ac:dyDescent="0.3">
      <c r="A4368" s="524" t="s">
        <v>522</v>
      </c>
      <c r="B4368" s="524" t="s">
        <v>610</v>
      </c>
      <c r="C4368" s="525" t="s">
        <v>543</v>
      </c>
      <c r="D4368" s="524" t="s">
        <v>32</v>
      </c>
      <c r="E4368" s="524" t="s">
        <v>1912</v>
      </c>
      <c r="F4368" s="528" t="s">
        <v>1647</v>
      </c>
      <c r="G4368" s="252">
        <f t="shared" si="91"/>
        <v>2.44</v>
      </c>
    </row>
    <row r="4369" spans="1:7" x14ac:dyDescent="0.3">
      <c r="A4369" s="680" t="s">
        <v>1152</v>
      </c>
      <c r="B4369" s="681"/>
      <c r="C4369" s="681"/>
      <c r="D4369" s="681"/>
      <c r="E4369" s="681"/>
      <c r="F4369" s="682"/>
      <c r="G4369" s="252">
        <f>SUM(G4364:G4368)</f>
        <v>49.379999999999995</v>
      </c>
    </row>
    <row r="4370" spans="1:7" x14ac:dyDescent="0.3">
      <c r="A4370" s="683">
        <f>TRUNC(E4370*F4370,2)</f>
        <v>0</v>
      </c>
      <c r="B4370" s="684"/>
      <c r="C4370" s="684"/>
      <c r="D4370" s="684"/>
      <c r="E4370" s="684"/>
      <c r="F4370" s="684"/>
      <c r="G4370" s="685"/>
    </row>
    <row r="4371" spans="1:7" ht="28.8" x14ac:dyDescent="0.3">
      <c r="A4371" s="529" t="s">
        <v>677</v>
      </c>
      <c r="B4371" s="529">
        <v>93664</v>
      </c>
      <c r="C4371" s="530" t="s">
        <v>146</v>
      </c>
      <c r="D4371" s="529" t="s">
        <v>44</v>
      </c>
      <c r="E4371" s="252"/>
      <c r="F4371" s="531">
        <v>51.34</v>
      </c>
      <c r="G4371" s="252">
        <f t="shared" si="91"/>
        <v>0</v>
      </c>
    </row>
    <row r="4372" spans="1:7" ht="28.8" x14ac:dyDescent="0.3">
      <c r="A4372" s="524" t="s">
        <v>508</v>
      </c>
      <c r="B4372" s="524" t="s">
        <v>1905</v>
      </c>
      <c r="C4372" s="525" t="s">
        <v>1906</v>
      </c>
      <c r="D4372" s="524" t="s">
        <v>397</v>
      </c>
      <c r="E4372" s="524" t="s">
        <v>1523</v>
      </c>
      <c r="F4372" s="528" t="s">
        <v>1907</v>
      </c>
      <c r="G4372" s="252">
        <f t="shared" si="91"/>
        <v>2.16</v>
      </c>
    </row>
    <row r="4373" spans="1:7" x14ac:dyDescent="0.3">
      <c r="A4373" s="524" t="s">
        <v>508</v>
      </c>
      <c r="B4373" s="524" t="s">
        <v>1909</v>
      </c>
      <c r="C4373" s="525" t="s">
        <v>1910</v>
      </c>
      <c r="D4373" s="524" t="s">
        <v>397</v>
      </c>
      <c r="E4373" s="524" t="s">
        <v>1122</v>
      </c>
      <c r="F4373" s="528" t="s">
        <v>1911</v>
      </c>
      <c r="G4373" s="252">
        <f t="shared" si="91"/>
        <v>43.24</v>
      </c>
    </row>
    <row r="4374" spans="1:7" x14ac:dyDescent="0.3">
      <c r="A4374" s="524" t="s">
        <v>522</v>
      </c>
      <c r="B4374" s="524" t="s">
        <v>611</v>
      </c>
      <c r="C4374" s="525" t="s">
        <v>546</v>
      </c>
      <c r="D4374" s="524" t="s">
        <v>32</v>
      </c>
      <c r="E4374" s="524" t="s">
        <v>1082</v>
      </c>
      <c r="F4374" s="528" t="s">
        <v>1646</v>
      </c>
      <c r="G4374" s="252">
        <f t="shared" si="91"/>
        <v>2.6</v>
      </c>
    </row>
    <row r="4375" spans="1:7" x14ac:dyDescent="0.3">
      <c r="A4375" s="524" t="s">
        <v>522</v>
      </c>
      <c r="B4375" s="524" t="s">
        <v>610</v>
      </c>
      <c r="C4375" s="525" t="s">
        <v>543</v>
      </c>
      <c r="D4375" s="524" t="s">
        <v>32</v>
      </c>
      <c r="E4375" s="524" t="s">
        <v>1082</v>
      </c>
      <c r="F4375" s="528" t="s">
        <v>1647</v>
      </c>
      <c r="G4375" s="252">
        <f t="shared" si="91"/>
        <v>3.34</v>
      </c>
    </row>
    <row r="4376" spans="1:7" x14ac:dyDescent="0.3">
      <c r="A4376" s="680" t="s">
        <v>1152</v>
      </c>
      <c r="B4376" s="681"/>
      <c r="C4376" s="681"/>
      <c r="D4376" s="681"/>
      <c r="E4376" s="681"/>
      <c r="F4376" s="682"/>
      <c r="G4376" s="252">
        <f>SUM(G4371:G4375)</f>
        <v>51.34</v>
      </c>
    </row>
    <row r="4377" spans="1:7" x14ac:dyDescent="0.3">
      <c r="A4377" s="683">
        <f>TRUNC(E4377*F4377,2)</f>
        <v>0</v>
      </c>
      <c r="B4377" s="684"/>
      <c r="C4377" s="684"/>
      <c r="D4377" s="684"/>
      <c r="E4377" s="684"/>
      <c r="F4377" s="684"/>
      <c r="G4377" s="685"/>
    </row>
    <row r="4378" spans="1:7" ht="28.8" x14ac:dyDescent="0.3">
      <c r="A4378" s="529" t="s">
        <v>678</v>
      </c>
      <c r="B4378" s="529">
        <v>93673</v>
      </c>
      <c r="C4378" s="530" t="s">
        <v>147</v>
      </c>
      <c r="D4378" s="529" t="s">
        <v>44</v>
      </c>
      <c r="E4378" s="252"/>
      <c r="F4378" s="531">
        <v>75.680000000000007</v>
      </c>
      <c r="G4378" s="252">
        <f t="shared" si="91"/>
        <v>0</v>
      </c>
    </row>
    <row r="4379" spans="1:7" ht="28.8" x14ac:dyDescent="0.3">
      <c r="A4379" s="524" t="s">
        <v>508</v>
      </c>
      <c r="B4379" s="524" t="s">
        <v>1913</v>
      </c>
      <c r="C4379" s="525" t="s">
        <v>1914</v>
      </c>
      <c r="D4379" s="524" t="s">
        <v>397</v>
      </c>
      <c r="E4379" s="524" t="s">
        <v>1915</v>
      </c>
      <c r="F4379" s="528" t="s">
        <v>1916</v>
      </c>
      <c r="G4379" s="252">
        <f t="shared" si="91"/>
        <v>4.1399999999999997</v>
      </c>
    </row>
    <row r="4380" spans="1:7" x14ac:dyDescent="0.3">
      <c r="A4380" s="524" t="s">
        <v>508</v>
      </c>
      <c r="B4380" s="524" t="s">
        <v>1917</v>
      </c>
      <c r="C4380" s="525" t="s">
        <v>1918</v>
      </c>
      <c r="D4380" s="524" t="s">
        <v>397</v>
      </c>
      <c r="E4380" s="524" t="s">
        <v>1122</v>
      </c>
      <c r="F4380" s="528" t="s">
        <v>1919</v>
      </c>
      <c r="G4380" s="252">
        <f t="shared" si="91"/>
        <v>52.98</v>
      </c>
    </row>
    <row r="4381" spans="1:7" x14ac:dyDescent="0.3">
      <c r="A4381" s="524" t="s">
        <v>522</v>
      </c>
      <c r="B4381" s="524" t="s">
        <v>611</v>
      </c>
      <c r="C4381" s="525" t="s">
        <v>546</v>
      </c>
      <c r="D4381" s="524" t="s">
        <v>32</v>
      </c>
      <c r="E4381" s="524" t="s">
        <v>1920</v>
      </c>
      <c r="F4381" s="528" t="s">
        <v>1646</v>
      </c>
      <c r="G4381" s="252">
        <f t="shared" si="91"/>
        <v>8.1300000000000008</v>
      </c>
    </row>
    <row r="4382" spans="1:7" x14ac:dyDescent="0.3">
      <c r="A4382" s="524" t="s">
        <v>522</v>
      </c>
      <c r="B4382" s="524" t="s">
        <v>610</v>
      </c>
      <c r="C4382" s="525" t="s">
        <v>543</v>
      </c>
      <c r="D4382" s="524" t="s">
        <v>32</v>
      </c>
      <c r="E4382" s="524" t="s">
        <v>1920</v>
      </c>
      <c r="F4382" s="528" t="s">
        <v>1647</v>
      </c>
      <c r="G4382" s="252">
        <f t="shared" si="91"/>
        <v>10.43</v>
      </c>
    </row>
    <row r="4383" spans="1:7" x14ac:dyDescent="0.3">
      <c r="A4383" s="680" t="s">
        <v>1152</v>
      </c>
      <c r="B4383" s="681"/>
      <c r="C4383" s="681"/>
      <c r="D4383" s="681"/>
      <c r="E4383" s="681"/>
      <c r="F4383" s="682"/>
      <c r="G4383" s="252">
        <f>SUM(G4378:G4382)</f>
        <v>75.680000000000007</v>
      </c>
    </row>
    <row r="4384" spans="1:7" x14ac:dyDescent="0.3">
      <c r="A4384" s="683">
        <f>TRUNC(E4384*F4384,2)</f>
        <v>0</v>
      </c>
      <c r="B4384" s="684"/>
      <c r="C4384" s="684"/>
      <c r="D4384" s="684"/>
      <c r="E4384" s="684"/>
      <c r="F4384" s="684"/>
      <c r="G4384" s="685"/>
    </row>
    <row r="4385" spans="1:7" ht="28.8" x14ac:dyDescent="0.3">
      <c r="A4385" s="529" t="s">
        <v>679</v>
      </c>
      <c r="B4385" s="529">
        <v>93667</v>
      </c>
      <c r="C4385" s="530" t="s">
        <v>148</v>
      </c>
      <c r="D4385" s="529" t="s">
        <v>44</v>
      </c>
      <c r="E4385" s="252"/>
      <c r="F4385" s="531">
        <v>58.47</v>
      </c>
      <c r="G4385" s="252">
        <f t="shared" si="91"/>
        <v>0</v>
      </c>
    </row>
    <row r="4386" spans="1:7" ht="28.8" x14ac:dyDescent="0.3">
      <c r="A4386" s="524" t="s">
        <v>508</v>
      </c>
      <c r="B4386" s="524" t="s">
        <v>1894</v>
      </c>
      <c r="C4386" s="525" t="s">
        <v>1895</v>
      </c>
      <c r="D4386" s="524" t="s">
        <v>397</v>
      </c>
      <c r="E4386" s="524" t="s">
        <v>1915</v>
      </c>
      <c r="F4386" s="528" t="s">
        <v>1896</v>
      </c>
      <c r="G4386" s="252">
        <f t="shared" si="91"/>
        <v>2.0699999999999998</v>
      </c>
    </row>
    <row r="4387" spans="1:7" x14ac:dyDescent="0.3">
      <c r="A4387" s="524" t="s">
        <v>508</v>
      </c>
      <c r="B4387" s="524" t="s">
        <v>1917</v>
      </c>
      <c r="C4387" s="525" t="s">
        <v>1918</v>
      </c>
      <c r="D4387" s="524" t="s">
        <v>397</v>
      </c>
      <c r="E4387" s="524" t="s">
        <v>1122</v>
      </c>
      <c r="F4387" s="528" t="s">
        <v>1919</v>
      </c>
      <c r="G4387" s="252">
        <f t="shared" si="91"/>
        <v>52.98</v>
      </c>
    </row>
    <row r="4388" spans="1:7" x14ac:dyDescent="0.3">
      <c r="A4388" s="524" t="s">
        <v>522</v>
      </c>
      <c r="B4388" s="524" t="s">
        <v>611</v>
      </c>
      <c r="C4388" s="525" t="s">
        <v>546</v>
      </c>
      <c r="D4388" s="524" t="s">
        <v>32</v>
      </c>
      <c r="E4388" s="524" t="s">
        <v>1921</v>
      </c>
      <c r="F4388" s="528" t="s">
        <v>1646</v>
      </c>
      <c r="G4388" s="252">
        <f t="shared" si="91"/>
        <v>1.5</v>
      </c>
    </row>
    <row r="4389" spans="1:7" x14ac:dyDescent="0.3">
      <c r="A4389" s="524" t="s">
        <v>522</v>
      </c>
      <c r="B4389" s="524" t="s">
        <v>610</v>
      </c>
      <c r="C4389" s="525" t="s">
        <v>543</v>
      </c>
      <c r="D4389" s="524" t="s">
        <v>32</v>
      </c>
      <c r="E4389" s="524" t="s">
        <v>1921</v>
      </c>
      <c r="F4389" s="528" t="s">
        <v>1647</v>
      </c>
      <c r="G4389" s="252">
        <f t="shared" si="91"/>
        <v>1.92</v>
      </c>
    </row>
    <row r="4390" spans="1:7" x14ac:dyDescent="0.3">
      <c r="A4390" s="680" t="s">
        <v>1152</v>
      </c>
      <c r="B4390" s="681"/>
      <c r="C4390" s="681"/>
      <c r="D4390" s="681"/>
      <c r="E4390" s="681"/>
      <c r="F4390" s="682"/>
      <c r="G4390" s="252">
        <f>SUM(G4385:G4389)</f>
        <v>58.47</v>
      </c>
    </row>
    <row r="4391" spans="1:7" x14ac:dyDescent="0.3">
      <c r="A4391" s="683">
        <f>TRUNC(E4391*F4391,2)</f>
        <v>0</v>
      </c>
      <c r="B4391" s="684"/>
      <c r="C4391" s="684"/>
      <c r="D4391" s="684"/>
      <c r="E4391" s="684"/>
      <c r="F4391" s="684"/>
      <c r="G4391" s="685"/>
    </row>
    <row r="4392" spans="1:7" ht="28.8" x14ac:dyDescent="0.3">
      <c r="A4392" s="529" t="s">
        <v>680</v>
      </c>
      <c r="B4392" s="529">
        <v>93669</v>
      </c>
      <c r="C4392" s="530" t="s">
        <v>149</v>
      </c>
      <c r="D4392" s="529" t="s">
        <v>44</v>
      </c>
      <c r="E4392" s="252"/>
      <c r="F4392" s="531">
        <v>62.18</v>
      </c>
      <c r="G4392" s="252">
        <f t="shared" si="91"/>
        <v>0</v>
      </c>
    </row>
    <row r="4393" spans="1:7" ht="28.8" x14ac:dyDescent="0.3">
      <c r="A4393" s="524" t="s">
        <v>508</v>
      </c>
      <c r="B4393" s="524" t="s">
        <v>1901</v>
      </c>
      <c r="C4393" s="525" t="s">
        <v>1902</v>
      </c>
      <c r="D4393" s="524" t="s">
        <v>397</v>
      </c>
      <c r="E4393" s="524" t="s">
        <v>1915</v>
      </c>
      <c r="F4393" s="528" t="s">
        <v>1903</v>
      </c>
      <c r="G4393" s="252">
        <f t="shared" si="91"/>
        <v>2.7</v>
      </c>
    </row>
    <row r="4394" spans="1:7" x14ac:dyDescent="0.3">
      <c r="A4394" s="524" t="s">
        <v>508</v>
      </c>
      <c r="B4394" s="524" t="s">
        <v>1917</v>
      </c>
      <c r="C4394" s="525" t="s">
        <v>1918</v>
      </c>
      <c r="D4394" s="524" t="s">
        <v>397</v>
      </c>
      <c r="E4394" s="524" t="s">
        <v>1122</v>
      </c>
      <c r="F4394" s="528" t="s">
        <v>1919</v>
      </c>
      <c r="G4394" s="252">
        <f t="shared" si="91"/>
        <v>52.98</v>
      </c>
    </row>
    <row r="4395" spans="1:7" x14ac:dyDescent="0.3">
      <c r="A4395" s="524" t="s">
        <v>522</v>
      </c>
      <c r="B4395" s="524" t="s">
        <v>611</v>
      </c>
      <c r="C4395" s="525" t="s">
        <v>546</v>
      </c>
      <c r="D4395" s="524" t="s">
        <v>32</v>
      </c>
      <c r="E4395" s="524" t="s">
        <v>1922</v>
      </c>
      <c r="F4395" s="528" t="s">
        <v>1646</v>
      </c>
      <c r="G4395" s="252">
        <f t="shared" si="91"/>
        <v>2.85</v>
      </c>
    </row>
    <row r="4396" spans="1:7" x14ac:dyDescent="0.3">
      <c r="A4396" s="524" t="s">
        <v>522</v>
      </c>
      <c r="B4396" s="524" t="s">
        <v>610</v>
      </c>
      <c r="C4396" s="525" t="s">
        <v>543</v>
      </c>
      <c r="D4396" s="524" t="s">
        <v>32</v>
      </c>
      <c r="E4396" s="524" t="s">
        <v>1922</v>
      </c>
      <c r="F4396" s="528" t="s">
        <v>1647</v>
      </c>
      <c r="G4396" s="252">
        <f t="shared" si="91"/>
        <v>3.65</v>
      </c>
    </row>
    <row r="4397" spans="1:7" x14ac:dyDescent="0.3">
      <c r="A4397" s="680" t="s">
        <v>1152</v>
      </c>
      <c r="B4397" s="681"/>
      <c r="C4397" s="681"/>
      <c r="D4397" s="681"/>
      <c r="E4397" s="681"/>
      <c r="F4397" s="682"/>
      <c r="G4397" s="252">
        <f>SUM(G4392:G4396)</f>
        <v>62.18</v>
      </c>
    </row>
    <row r="4398" spans="1:7" x14ac:dyDescent="0.3">
      <c r="A4398" s="683">
        <f>TRUNC(E4398*F4398,2)</f>
        <v>0</v>
      </c>
      <c r="B4398" s="684"/>
      <c r="C4398" s="684"/>
      <c r="D4398" s="684"/>
      <c r="E4398" s="684"/>
      <c r="F4398" s="684"/>
      <c r="G4398" s="685"/>
    </row>
    <row r="4399" spans="1:7" ht="28.8" x14ac:dyDescent="0.3">
      <c r="A4399" s="529" t="s">
        <v>681</v>
      </c>
      <c r="B4399" s="529" t="s">
        <v>369</v>
      </c>
      <c r="C4399" s="530" t="s">
        <v>370</v>
      </c>
      <c r="D4399" s="529" t="s">
        <v>44</v>
      </c>
      <c r="E4399" s="252"/>
      <c r="F4399" s="531">
        <v>432.24</v>
      </c>
      <c r="G4399" s="252">
        <f t="shared" si="91"/>
        <v>0</v>
      </c>
    </row>
    <row r="4400" spans="1:7" x14ac:dyDescent="0.3">
      <c r="A4400" s="524" t="s">
        <v>508</v>
      </c>
      <c r="B4400" s="524" t="s">
        <v>2126</v>
      </c>
      <c r="C4400" s="525" t="s">
        <v>2127</v>
      </c>
      <c r="D4400" s="524" t="s">
        <v>397</v>
      </c>
      <c r="E4400" s="524" t="s">
        <v>1122</v>
      </c>
      <c r="F4400" s="526">
        <v>419.16</v>
      </c>
      <c r="G4400" s="252">
        <f t="shared" ref="G4400:G4402" si="95">TRUNC(E4400*F4400,2)</f>
        <v>419.16</v>
      </c>
    </row>
    <row r="4401" spans="1:11" x14ac:dyDescent="0.3">
      <c r="A4401" s="524" t="s">
        <v>522</v>
      </c>
      <c r="B4401" s="524" t="s">
        <v>611</v>
      </c>
      <c r="C4401" s="525" t="s">
        <v>546</v>
      </c>
      <c r="D4401" s="524" t="s">
        <v>32</v>
      </c>
      <c r="E4401" s="524" t="s">
        <v>1596</v>
      </c>
      <c r="F4401" s="526" t="s">
        <v>1646</v>
      </c>
      <c r="G4401" s="252">
        <f t="shared" si="95"/>
        <v>5.73</v>
      </c>
    </row>
    <row r="4402" spans="1:11" x14ac:dyDescent="0.3">
      <c r="A4402" s="524" t="s">
        <v>522</v>
      </c>
      <c r="B4402" s="524" t="s">
        <v>610</v>
      </c>
      <c r="C4402" s="525" t="s">
        <v>543</v>
      </c>
      <c r="D4402" s="524" t="s">
        <v>32</v>
      </c>
      <c r="E4402" s="524" t="s">
        <v>1596</v>
      </c>
      <c r="F4402" s="526" t="s">
        <v>1647</v>
      </c>
      <c r="G4402" s="252">
        <f t="shared" si="95"/>
        <v>7.35</v>
      </c>
    </row>
    <row r="4403" spans="1:11" x14ac:dyDescent="0.3">
      <c r="A4403" s="680" t="s">
        <v>1152</v>
      </c>
      <c r="B4403" s="681"/>
      <c r="C4403" s="681"/>
      <c r="D4403" s="681"/>
      <c r="E4403" s="681"/>
      <c r="F4403" s="682"/>
      <c r="G4403" s="252">
        <f>SUM(G4399:G4402)</f>
        <v>432.24000000000007</v>
      </c>
      <c r="I4403" s="211">
        <f>F4399-G4403</f>
        <v>0</v>
      </c>
      <c r="J4403">
        <v>419.16</v>
      </c>
      <c r="K4403" s="211">
        <f>J4403-I4403</f>
        <v>419.16</v>
      </c>
    </row>
    <row r="4404" spans="1:11" x14ac:dyDescent="0.3">
      <c r="A4404" s="683">
        <f>TRUNC(E4404*F4404,2)</f>
        <v>0</v>
      </c>
      <c r="B4404" s="684"/>
      <c r="C4404" s="684"/>
      <c r="D4404" s="684"/>
      <c r="E4404" s="684"/>
      <c r="F4404" s="684"/>
      <c r="G4404" s="685"/>
    </row>
    <row r="4405" spans="1:11" ht="28.8" x14ac:dyDescent="0.3">
      <c r="A4405" s="529" t="s">
        <v>682</v>
      </c>
      <c r="B4405" s="529">
        <v>91944</v>
      </c>
      <c r="C4405" s="530" t="s">
        <v>151</v>
      </c>
      <c r="D4405" s="529" t="s">
        <v>44</v>
      </c>
      <c r="E4405" s="252"/>
      <c r="F4405" s="531">
        <v>9.06</v>
      </c>
      <c r="G4405" s="252">
        <f t="shared" si="91"/>
        <v>0</v>
      </c>
    </row>
    <row r="4406" spans="1:11" x14ac:dyDescent="0.3">
      <c r="A4406" s="524" t="s">
        <v>508</v>
      </c>
      <c r="B4406" s="524" t="s">
        <v>1923</v>
      </c>
      <c r="C4406" s="525" t="s">
        <v>1924</v>
      </c>
      <c r="D4406" s="524" t="s">
        <v>397</v>
      </c>
      <c r="E4406" s="524" t="s">
        <v>1122</v>
      </c>
      <c r="F4406" s="528">
        <v>3.13</v>
      </c>
      <c r="G4406" s="252">
        <f t="shared" si="91"/>
        <v>3.13</v>
      </c>
    </row>
    <row r="4407" spans="1:11" x14ac:dyDescent="0.3">
      <c r="A4407" s="524" t="s">
        <v>522</v>
      </c>
      <c r="B4407" s="524" t="s">
        <v>611</v>
      </c>
      <c r="C4407" s="525" t="s">
        <v>546</v>
      </c>
      <c r="D4407" s="524" t="s">
        <v>32</v>
      </c>
      <c r="E4407" s="524" t="s">
        <v>1925</v>
      </c>
      <c r="F4407" s="528" t="s">
        <v>1646</v>
      </c>
      <c r="G4407" s="252">
        <f t="shared" si="91"/>
        <v>2.37</v>
      </c>
    </row>
    <row r="4408" spans="1:11" x14ac:dyDescent="0.3">
      <c r="A4408" s="524" t="s">
        <v>522</v>
      </c>
      <c r="B4408" s="524" t="s">
        <v>610</v>
      </c>
      <c r="C4408" s="525" t="s">
        <v>543</v>
      </c>
      <c r="D4408" s="524" t="s">
        <v>32</v>
      </c>
      <c r="E4408" s="524" t="s">
        <v>1925</v>
      </c>
      <c r="F4408" s="528" t="s">
        <v>1647</v>
      </c>
      <c r="G4408" s="252">
        <f t="shared" si="91"/>
        <v>3.05</v>
      </c>
    </row>
    <row r="4409" spans="1:11" ht="28.8" x14ac:dyDescent="0.3">
      <c r="A4409" s="524" t="s">
        <v>522</v>
      </c>
      <c r="B4409" s="524" t="s">
        <v>1685</v>
      </c>
      <c r="C4409" s="525" t="s">
        <v>1686</v>
      </c>
      <c r="D4409" s="524" t="s">
        <v>41</v>
      </c>
      <c r="E4409" s="524" t="s">
        <v>1926</v>
      </c>
      <c r="F4409" s="528" t="s">
        <v>1688</v>
      </c>
      <c r="G4409" s="252">
        <f t="shared" si="91"/>
        <v>0.51</v>
      </c>
    </row>
    <row r="4410" spans="1:11" x14ac:dyDescent="0.3">
      <c r="A4410" s="680" t="s">
        <v>1152</v>
      </c>
      <c r="B4410" s="681"/>
      <c r="C4410" s="681"/>
      <c r="D4410" s="681"/>
      <c r="E4410" s="681"/>
      <c r="F4410" s="682"/>
      <c r="G4410" s="527">
        <f>SUM(G4406:G4409)</f>
        <v>9.06</v>
      </c>
    </row>
    <row r="4411" spans="1:11" x14ac:dyDescent="0.3">
      <c r="A4411" s="683">
        <f>TRUNC(E4411*F4411,2)</f>
        <v>0</v>
      </c>
      <c r="B4411" s="684"/>
      <c r="C4411" s="684"/>
      <c r="D4411" s="684"/>
      <c r="E4411" s="684"/>
      <c r="F4411" s="684"/>
      <c r="G4411" s="685"/>
    </row>
    <row r="4412" spans="1:11" ht="43.2" x14ac:dyDescent="0.3">
      <c r="A4412" s="529" t="s">
        <v>683</v>
      </c>
      <c r="B4412" s="529">
        <v>83463</v>
      </c>
      <c r="C4412" s="530" t="s">
        <v>152</v>
      </c>
      <c r="D4412" s="529" t="s">
        <v>44</v>
      </c>
      <c r="E4412" s="252"/>
      <c r="F4412" s="531">
        <v>356.52</v>
      </c>
      <c r="G4412" s="252">
        <f t="shared" si="91"/>
        <v>0</v>
      </c>
    </row>
    <row r="4413" spans="1:11" ht="28.8" x14ac:dyDescent="0.3">
      <c r="A4413" s="524" t="s">
        <v>508</v>
      </c>
      <c r="B4413" s="524" t="s">
        <v>1927</v>
      </c>
      <c r="C4413" s="525" t="s">
        <v>1928</v>
      </c>
      <c r="D4413" s="524" t="s">
        <v>397</v>
      </c>
      <c r="E4413" s="524" t="s">
        <v>1122</v>
      </c>
      <c r="F4413" s="528" t="s">
        <v>1929</v>
      </c>
      <c r="G4413" s="252">
        <f t="shared" si="91"/>
        <v>291.10000000000002</v>
      </c>
    </row>
    <row r="4414" spans="1:11" x14ac:dyDescent="0.3">
      <c r="A4414" s="524" t="s">
        <v>522</v>
      </c>
      <c r="B4414" s="524" t="s">
        <v>611</v>
      </c>
      <c r="C4414" s="525" t="s">
        <v>546</v>
      </c>
      <c r="D4414" s="524" t="s">
        <v>32</v>
      </c>
      <c r="E4414" s="524" t="s">
        <v>1523</v>
      </c>
      <c r="F4414" s="528" t="s">
        <v>1646</v>
      </c>
      <c r="G4414" s="252">
        <f t="shared" si="91"/>
        <v>28.66</v>
      </c>
    </row>
    <row r="4415" spans="1:11" x14ac:dyDescent="0.3">
      <c r="A4415" s="524" t="s">
        <v>522</v>
      </c>
      <c r="B4415" s="524" t="s">
        <v>610</v>
      </c>
      <c r="C4415" s="525" t="s">
        <v>543</v>
      </c>
      <c r="D4415" s="524" t="s">
        <v>32</v>
      </c>
      <c r="E4415" s="524" t="s">
        <v>1523</v>
      </c>
      <c r="F4415" s="528" t="s">
        <v>1647</v>
      </c>
      <c r="G4415" s="252">
        <f t="shared" si="91"/>
        <v>36.76</v>
      </c>
    </row>
    <row r="4416" spans="1:11" x14ac:dyDescent="0.3">
      <c r="A4416" s="680" t="s">
        <v>1152</v>
      </c>
      <c r="B4416" s="681"/>
      <c r="C4416" s="681"/>
      <c r="D4416" s="681"/>
      <c r="E4416" s="681"/>
      <c r="F4416" s="682"/>
      <c r="G4416" s="527">
        <f>SUM(G4412:G4415)</f>
        <v>356.52000000000004</v>
      </c>
    </row>
    <row r="4417" spans="1:7" x14ac:dyDescent="0.3">
      <c r="A4417" s="683">
        <f>TRUNC(E4417*F4417,2)</f>
        <v>0</v>
      </c>
      <c r="B4417" s="684"/>
      <c r="C4417" s="684"/>
      <c r="D4417" s="684"/>
      <c r="E4417" s="684"/>
      <c r="F4417" s="684"/>
      <c r="G4417" s="685"/>
    </row>
    <row r="4418" spans="1:7" ht="43.2" x14ac:dyDescent="0.3">
      <c r="A4418" s="529" t="s">
        <v>684</v>
      </c>
      <c r="B4418" s="529" t="s">
        <v>153</v>
      </c>
      <c r="C4418" s="530" t="s">
        <v>154</v>
      </c>
      <c r="D4418" s="529" t="s">
        <v>44</v>
      </c>
      <c r="E4418" s="252"/>
      <c r="F4418" s="531">
        <v>606.13</v>
      </c>
      <c r="G4418" s="252">
        <f t="shared" si="91"/>
        <v>0</v>
      </c>
    </row>
    <row r="4419" spans="1:7" ht="28.8" x14ac:dyDescent="0.3">
      <c r="A4419" s="524" t="s">
        <v>508</v>
      </c>
      <c r="B4419" s="524" t="s">
        <v>1930</v>
      </c>
      <c r="C4419" s="525" t="s">
        <v>1931</v>
      </c>
      <c r="D4419" s="524" t="s">
        <v>397</v>
      </c>
      <c r="E4419" s="524" t="s">
        <v>1122</v>
      </c>
      <c r="F4419" s="528" t="s">
        <v>1932</v>
      </c>
      <c r="G4419" s="252">
        <f t="shared" si="91"/>
        <v>491.65</v>
      </c>
    </row>
    <row r="4420" spans="1:7" x14ac:dyDescent="0.3">
      <c r="A4420" s="524" t="s">
        <v>522</v>
      </c>
      <c r="B4420" s="524" t="s">
        <v>611</v>
      </c>
      <c r="C4420" s="525" t="s">
        <v>546</v>
      </c>
      <c r="D4420" s="524" t="s">
        <v>32</v>
      </c>
      <c r="E4420" s="524" t="s">
        <v>1933</v>
      </c>
      <c r="F4420" s="528" t="s">
        <v>1646</v>
      </c>
      <c r="G4420" s="252">
        <f t="shared" si="91"/>
        <v>50.15</v>
      </c>
    </row>
    <row r="4421" spans="1:7" x14ac:dyDescent="0.3">
      <c r="A4421" s="524" t="s">
        <v>522</v>
      </c>
      <c r="B4421" s="524" t="s">
        <v>610</v>
      </c>
      <c r="C4421" s="525" t="s">
        <v>543</v>
      </c>
      <c r="D4421" s="524" t="s">
        <v>32</v>
      </c>
      <c r="E4421" s="524" t="s">
        <v>1933</v>
      </c>
      <c r="F4421" s="528" t="s">
        <v>1647</v>
      </c>
      <c r="G4421" s="252">
        <f t="shared" si="91"/>
        <v>64.33</v>
      </c>
    </row>
    <row r="4422" spans="1:7" x14ac:dyDescent="0.3">
      <c r="A4422" s="680" t="s">
        <v>1152</v>
      </c>
      <c r="B4422" s="681"/>
      <c r="C4422" s="681"/>
      <c r="D4422" s="681"/>
      <c r="E4422" s="681"/>
      <c r="F4422" s="682"/>
      <c r="G4422" s="527">
        <f>SUM(G4418:G4421)</f>
        <v>606.13</v>
      </c>
    </row>
    <row r="4423" spans="1:7" x14ac:dyDescent="0.3">
      <c r="A4423" s="683">
        <f>TRUNC(E4423*F4423,2)</f>
        <v>0</v>
      </c>
      <c r="B4423" s="684"/>
      <c r="C4423" s="684"/>
      <c r="D4423" s="684"/>
      <c r="E4423" s="684"/>
      <c r="F4423" s="684"/>
      <c r="G4423" s="685"/>
    </row>
    <row r="4424" spans="1:7" ht="28.8" x14ac:dyDescent="0.3">
      <c r="A4424" s="529" t="s">
        <v>685</v>
      </c>
      <c r="B4424" s="529">
        <v>91941</v>
      </c>
      <c r="C4424" s="530" t="s">
        <v>150</v>
      </c>
      <c r="D4424" s="529" t="s">
        <v>44</v>
      </c>
      <c r="E4424" s="252"/>
      <c r="F4424" s="531">
        <v>6.8</v>
      </c>
      <c r="G4424" s="252">
        <f t="shared" si="91"/>
        <v>0</v>
      </c>
    </row>
    <row r="4425" spans="1:7" x14ac:dyDescent="0.3">
      <c r="A4425" s="524" t="s">
        <v>508</v>
      </c>
      <c r="B4425" s="524" t="s">
        <v>1681</v>
      </c>
      <c r="C4425" s="525" t="s">
        <v>1682</v>
      </c>
      <c r="D4425" s="524" t="s">
        <v>397</v>
      </c>
      <c r="E4425" s="524" t="s">
        <v>1122</v>
      </c>
      <c r="F4425" s="526" t="s">
        <v>1683</v>
      </c>
      <c r="G4425" s="252">
        <f t="shared" si="91"/>
        <v>1.69</v>
      </c>
    </row>
    <row r="4426" spans="1:7" x14ac:dyDescent="0.3">
      <c r="A4426" s="524" t="s">
        <v>522</v>
      </c>
      <c r="B4426" s="524" t="s">
        <v>611</v>
      </c>
      <c r="C4426" s="525" t="s">
        <v>546</v>
      </c>
      <c r="D4426" s="524" t="s">
        <v>32</v>
      </c>
      <c r="E4426" s="524" t="s">
        <v>1684</v>
      </c>
      <c r="F4426" s="526" t="s">
        <v>1646</v>
      </c>
      <c r="G4426" s="252">
        <f t="shared" si="91"/>
        <v>2.0699999999999998</v>
      </c>
    </row>
    <row r="4427" spans="1:7" x14ac:dyDescent="0.3">
      <c r="A4427" s="524" t="s">
        <v>522</v>
      </c>
      <c r="B4427" s="524" t="s">
        <v>610</v>
      </c>
      <c r="C4427" s="525" t="s">
        <v>543</v>
      </c>
      <c r="D4427" s="524" t="s">
        <v>32</v>
      </c>
      <c r="E4427" s="524" t="s">
        <v>1684</v>
      </c>
      <c r="F4427" s="526" t="s">
        <v>1647</v>
      </c>
      <c r="G4427" s="252">
        <f t="shared" si="91"/>
        <v>2.66</v>
      </c>
    </row>
    <row r="4428" spans="1:7" ht="28.8" x14ac:dyDescent="0.3">
      <c r="A4428" s="524" t="s">
        <v>522</v>
      </c>
      <c r="B4428" s="524" t="s">
        <v>1685</v>
      </c>
      <c r="C4428" s="525" t="s">
        <v>1686</v>
      </c>
      <c r="D4428" s="524" t="s">
        <v>41</v>
      </c>
      <c r="E4428" s="524" t="s">
        <v>1687</v>
      </c>
      <c r="F4428" s="526" t="s">
        <v>1688</v>
      </c>
      <c r="G4428" s="252">
        <f t="shared" si="91"/>
        <v>0.38</v>
      </c>
    </row>
    <row r="4429" spans="1:7" x14ac:dyDescent="0.3">
      <c r="A4429" s="680" t="s">
        <v>1152</v>
      </c>
      <c r="B4429" s="681"/>
      <c r="C4429" s="681"/>
      <c r="D4429" s="681"/>
      <c r="E4429" s="681"/>
      <c r="F4429" s="682"/>
      <c r="G4429" s="527">
        <f>SUM(G4425:G4428)</f>
        <v>6.8</v>
      </c>
    </row>
    <row r="4430" spans="1:7" x14ac:dyDescent="0.3">
      <c r="A4430" s="683">
        <f>TRUNC(E4430*F4430,2)</f>
        <v>0</v>
      </c>
      <c r="B4430" s="684"/>
      <c r="C4430" s="684"/>
      <c r="D4430" s="684"/>
      <c r="E4430" s="684"/>
      <c r="F4430" s="684"/>
      <c r="G4430" s="685"/>
    </row>
    <row r="4431" spans="1:7" ht="28.8" x14ac:dyDescent="0.3">
      <c r="A4431" s="529" t="s">
        <v>686</v>
      </c>
      <c r="B4431" s="529">
        <v>93012</v>
      </c>
      <c r="C4431" s="530" t="s">
        <v>155</v>
      </c>
      <c r="D4431" s="529" t="s">
        <v>55</v>
      </c>
      <c r="E4431" s="252"/>
      <c r="F4431" s="531">
        <v>36.47</v>
      </c>
      <c r="G4431" s="252">
        <f t="shared" si="91"/>
        <v>0</v>
      </c>
    </row>
    <row r="4432" spans="1:7" x14ac:dyDescent="0.3">
      <c r="A4432" s="524" t="s">
        <v>508</v>
      </c>
      <c r="B4432" s="524" t="s">
        <v>1934</v>
      </c>
      <c r="C4432" s="525" t="s">
        <v>1935</v>
      </c>
      <c r="D4432" s="524" t="s">
        <v>55</v>
      </c>
      <c r="E4432" s="524" t="s">
        <v>1662</v>
      </c>
      <c r="F4432" s="528" t="s">
        <v>1936</v>
      </c>
      <c r="G4432" s="252">
        <f t="shared" si="91"/>
        <v>29.51</v>
      </c>
    </row>
    <row r="4433" spans="1:7" x14ac:dyDescent="0.3">
      <c r="A4433" s="524" t="s">
        <v>522</v>
      </c>
      <c r="B4433" s="524" t="s">
        <v>611</v>
      </c>
      <c r="C4433" s="525" t="s">
        <v>546</v>
      </c>
      <c r="D4433" s="524" t="s">
        <v>32</v>
      </c>
      <c r="E4433" s="524" t="s">
        <v>1937</v>
      </c>
      <c r="F4433" s="528" t="s">
        <v>1646</v>
      </c>
      <c r="G4433" s="252">
        <f t="shared" si="91"/>
        <v>3.05</v>
      </c>
    </row>
    <row r="4434" spans="1:7" x14ac:dyDescent="0.3">
      <c r="A4434" s="524" t="s">
        <v>522</v>
      </c>
      <c r="B4434" s="524" t="s">
        <v>610</v>
      </c>
      <c r="C4434" s="525" t="s">
        <v>543</v>
      </c>
      <c r="D4434" s="524" t="s">
        <v>32</v>
      </c>
      <c r="E4434" s="524" t="s">
        <v>1937</v>
      </c>
      <c r="F4434" s="528" t="s">
        <v>1647</v>
      </c>
      <c r="G4434" s="252">
        <f t="shared" si="91"/>
        <v>3.91</v>
      </c>
    </row>
    <row r="4435" spans="1:7" x14ac:dyDescent="0.3">
      <c r="A4435" s="680" t="s">
        <v>1152</v>
      </c>
      <c r="B4435" s="681"/>
      <c r="C4435" s="681"/>
      <c r="D4435" s="681"/>
      <c r="E4435" s="681"/>
      <c r="F4435" s="682"/>
      <c r="G4435" s="527">
        <f>SUM(G4431:G4434)</f>
        <v>36.47</v>
      </c>
    </row>
    <row r="4436" spans="1:7" x14ac:dyDescent="0.3">
      <c r="A4436" s="683">
        <f>TRUNC(E4436*F4436,2)</f>
        <v>0</v>
      </c>
      <c r="B4436" s="684"/>
      <c r="C4436" s="684"/>
      <c r="D4436" s="684"/>
      <c r="E4436" s="684"/>
      <c r="F4436" s="684"/>
      <c r="G4436" s="685"/>
    </row>
    <row r="4437" spans="1:7" ht="43.2" x14ac:dyDescent="0.3">
      <c r="A4437" s="529" t="s">
        <v>687</v>
      </c>
      <c r="B4437" s="529" t="s">
        <v>156</v>
      </c>
      <c r="C4437" s="530" t="s">
        <v>157</v>
      </c>
      <c r="D4437" s="529" t="s">
        <v>44</v>
      </c>
      <c r="E4437" s="252"/>
      <c r="F4437" s="531">
        <v>852.27</v>
      </c>
      <c r="G4437" s="252">
        <f t="shared" si="91"/>
        <v>0</v>
      </c>
    </row>
    <row r="4438" spans="1:7" ht="28.8" x14ac:dyDescent="0.3">
      <c r="A4438" s="524" t="s">
        <v>508</v>
      </c>
      <c r="B4438" s="524" t="s">
        <v>1938</v>
      </c>
      <c r="C4438" s="525" t="s">
        <v>1939</v>
      </c>
      <c r="D4438" s="524" t="s">
        <v>397</v>
      </c>
      <c r="E4438" s="524" t="s">
        <v>1122</v>
      </c>
      <c r="F4438" s="528" t="s">
        <v>1940</v>
      </c>
      <c r="G4438" s="252">
        <f t="shared" si="91"/>
        <v>721.43</v>
      </c>
    </row>
    <row r="4439" spans="1:7" x14ac:dyDescent="0.3">
      <c r="A4439" s="524" t="s">
        <v>522</v>
      </c>
      <c r="B4439" s="524" t="s">
        <v>611</v>
      </c>
      <c r="C4439" s="525" t="s">
        <v>546</v>
      </c>
      <c r="D4439" s="524" t="s">
        <v>32</v>
      </c>
      <c r="E4439" s="524" t="s">
        <v>1941</v>
      </c>
      <c r="F4439" s="528" t="s">
        <v>1646</v>
      </c>
      <c r="G4439" s="252">
        <f t="shared" si="91"/>
        <v>57.32</v>
      </c>
    </row>
    <row r="4440" spans="1:7" x14ac:dyDescent="0.3">
      <c r="A4440" s="524" t="s">
        <v>522</v>
      </c>
      <c r="B4440" s="524" t="s">
        <v>610</v>
      </c>
      <c r="C4440" s="525" t="s">
        <v>543</v>
      </c>
      <c r="D4440" s="524" t="s">
        <v>32</v>
      </c>
      <c r="E4440" s="524" t="s">
        <v>1941</v>
      </c>
      <c r="F4440" s="528" t="s">
        <v>1647</v>
      </c>
      <c r="G4440" s="252">
        <f t="shared" si="91"/>
        <v>73.52</v>
      </c>
    </row>
    <row r="4441" spans="1:7" x14ac:dyDescent="0.3">
      <c r="A4441" s="680" t="s">
        <v>1152</v>
      </c>
      <c r="B4441" s="681"/>
      <c r="C4441" s="681"/>
      <c r="D4441" s="681"/>
      <c r="E4441" s="681"/>
      <c r="F4441" s="682"/>
      <c r="G4441" s="527">
        <f>SUM(G4437:G4440)</f>
        <v>852.27</v>
      </c>
    </row>
    <row r="4442" spans="1:7" x14ac:dyDescent="0.3">
      <c r="A4442" s="683">
        <f>TRUNC(E4442*F4442,2)</f>
        <v>0</v>
      </c>
      <c r="B4442" s="684"/>
      <c r="C4442" s="684"/>
      <c r="D4442" s="684"/>
      <c r="E4442" s="684"/>
      <c r="F4442" s="684"/>
      <c r="G4442" s="685"/>
    </row>
    <row r="4443" spans="1:7" ht="43.2" x14ac:dyDescent="0.3">
      <c r="A4443" s="529" t="s">
        <v>710</v>
      </c>
      <c r="B4443" s="529" t="s">
        <v>351</v>
      </c>
      <c r="C4443" s="530" t="s">
        <v>352</v>
      </c>
      <c r="D4443" s="529" t="s">
        <v>44</v>
      </c>
      <c r="E4443" s="252"/>
      <c r="F4443" s="531">
        <v>459.34</v>
      </c>
      <c r="G4443" s="252">
        <f t="shared" si="91"/>
        <v>0</v>
      </c>
    </row>
    <row r="4444" spans="1:7" ht="28.8" x14ac:dyDescent="0.3">
      <c r="A4444" s="524" t="s">
        <v>508</v>
      </c>
      <c r="B4444" s="524" t="s">
        <v>2092</v>
      </c>
      <c r="C4444" s="525" t="s">
        <v>2093</v>
      </c>
      <c r="D4444" s="524" t="s">
        <v>397</v>
      </c>
      <c r="E4444" s="524" t="s">
        <v>1122</v>
      </c>
      <c r="F4444" s="526" t="s">
        <v>2094</v>
      </c>
      <c r="G4444" s="252">
        <f t="shared" ref="G4444:G4446" si="96">TRUNC(E4444*F4444,2)</f>
        <v>377.57</v>
      </c>
    </row>
    <row r="4445" spans="1:7" x14ac:dyDescent="0.3">
      <c r="A4445" s="524" t="s">
        <v>522</v>
      </c>
      <c r="B4445" s="524" t="s">
        <v>611</v>
      </c>
      <c r="C4445" s="525" t="s">
        <v>546</v>
      </c>
      <c r="D4445" s="524" t="s">
        <v>32</v>
      </c>
      <c r="E4445" s="524" t="s">
        <v>1521</v>
      </c>
      <c r="F4445" s="526" t="s">
        <v>1646</v>
      </c>
      <c r="G4445" s="252">
        <f t="shared" si="96"/>
        <v>35.82</v>
      </c>
    </row>
    <row r="4446" spans="1:7" x14ac:dyDescent="0.3">
      <c r="A4446" s="524" t="s">
        <v>522</v>
      </c>
      <c r="B4446" s="524" t="s">
        <v>610</v>
      </c>
      <c r="C4446" s="525" t="s">
        <v>543</v>
      </c>
      <c r="D4446" s="524" t="s">
        <v>32</v>
      </c>
      <c r="E4446" s="524" t="s">
        <v>1521</v>
      </c>
      <c r="F4446" s="526" t="s">
        <v>1647</v>
      </c>
      <c r="G4446" s="252">
        <f t="shared" si="96"/>
        <v>45.95</v>
      </c>
    </row>
    <row r="4447" spans="1:7" x14ac:dyDescent="0.3">
      <c r="A4447" s="680" t="s">
        <v>1152</v>
      </c>
      <c r="B4447" s="681"/>
      <c r="C4447" s="681"/>
      <c r="D4447" s="681"/>
      <c r="E4447" s="681"/>
      <c r="F4447" s="682"/>
      <c r="G4447" s="252">
        <f>SUM(G4443:G4446)</f>
        <v>459.34</v>
      </c>
    </row>
    <row r="4448" spans="1:7" x14ac:dyDescent="0.3">
      <c r="A4448" s="683">
        <f>TRUNC(E4448*F4448,2)</f>
        <v>0</v>
      </c>
      <c r="B4448" s="684"/>
      <c r="C4448" s="684"/>
      <c r="D4448" s="684"/>
      <c r="E4448" s="684"/>
      <c r="F4448" s="684"/>
      <c r="G4448" s="685"/>
    </row>
    <row r="4449" spans="1:7" x14ac:dyDescent="0.3">
      <c r="A4449" s="529" t="s">
        <v>186</v>
      </c>
      <c r="B4449" s="529"/>
      <c r="C4449" s="530" t="s">
        <v>161</v>
      </c>
      <c r="D4449" s="529"/>
      <c r="E4449" s="252"/>
      <c r="F4449" s="531"/>
      <c r="G4449" s="252">
        <f t="shared" si="91"/>
        <v>0</v>
      </c>
    </row>
    <row r="4450" spans="1:7" ht="28.8" x14ac:dyDescent="0.3">
      <c r="A4450" s="529" t="s">
        <v>188</v>
      </c>
      <c r="B4450" s="529">
        <v>90447</v>
      </c>
      <c r="C4450" s="530" t="s">
        <v>127</v>
      </c>
      <c r="D4450" s="529" t="s">
        <v>55</v>
      </c>
      <c r="E4450" s="252"/>
      <c r="F4450" s="531">
        <v>4.45</v>
      </c>
      <c r="G4450" s="252">
        <f t="shared" ref="G4450:G4840" si="97">TRUNC(E4450*F4450,2)</f>
        <v>0</v>
      </c>
    </row>
    <row r="4451" spans="1:7" x14ac:dyDescent="0.3">
      <c r="A4451" s="524" t="s">
        <v>522</v>
      </c>
      <c r="B4451" s="524" t="s">
        <v>611</v>
      </c>
      <c r="C4451" s="525" t="s">
        <v>546</v>
      </c>
      <c r="D4451" s="524" t="s">
        <v>32</v>
      </c>
      <c r="E4451" s="524" t="s">
        <v>1658</v>
      </c>
      <c r="F4451" s="528" t="s">
        <v>1646</v>
      </c>
      <c r="G4451" s="252">
        <f t="shared" si="97"/>
        <v>0.48</v>
      </c>
    </row>
    <row r="4452" spans="1:7" x14ac:dyDescent="0.3">
      <c r="A4452" s="524" t="s">
        <v>522</v>
      </c>
      <c r="B4452" s="524" t="s">
        <v>610</v>
      </c>
      <c r="C4452" s="525" t="s">
        <v>543</v>
      </c>
      <c r="D4452" s="524" t="s">
        <v>32</v>
      </c>
      <c r="E4452" s="524" t="s">
        <v>1659</v>
      </c>
      <c r="F4452" s="528" t="s">
        <v>1647</v>
      </c>
      <c r="G4452" s="252">
        <f t="shared" si="97"/>
        <v>3.97</v>
      </c>
    </row>
    <row r="4453" spans="1:7" x14ac:dyDescent="0.3">
      <c r="A4453" s="680" t="s">
        <v>1152</v>
      </c>
      <c r="B4453" s="681"/>
      <c r="C4453" s="681"/>
      <c r="D4453" s="681"/>
      <c r="E4453" s="681"/>
      <c r="F4453" s="682"/>
      <c r="G4453" s="527">
        <f>SUM(G4449:G4452)</f>
        <v>4.45</v>
      </c>
    </row>
    <row r="4454" spans="1:7" x14ac:dyDescent="0.3">
      <c r="A4454" s="683">
        <f>TRUNC(E4454*F4454,2)</f>
        <v>0</v>
      </c>
      <c r="B4454" s="684"/>
      <c r="C4454" s="684"/>
      <c r="D4454" s="684"/>
      <c r="E4454" s="684"/>
      <c r="F4454" s="684"/>
      <c r="G4454" s="685"/>
    </row>
    <row r="4455" spans="1:7" ht="28.8" x14ac:dyDescent="0.3">
      <c r="A4455" s="529" t="s">
        <v>200</v>
      </c>
      <c r="B4455" s="529">
        <v>91836</v>
      </c>
      <c r="C4455" s="530" t="s">
        <v>130</v>
      </c>
      <c r="D4455" s="529" t="s">
        <v>55</v>
      </c>
      <c r="E4455" s="252"/>
      <c r="F4455" s="531">
        <v>7.55</v>
      </c>
      <c r="G4455" s="252">
        <f t="shared" si="97"/>
        <v>0</v>
      </c>
    </row>
    <row r="4456" spans="1:7" x14ac:dyDescent="0.3">
      <c r="A4456" s="524" t="s">
        <v>508</v>
      </c>
      <c r="B4456" s="524" t="s">
        <v>1660</v>
      </c>
      <c r="C4456" s="525" t="s">
        <v>1661</v>
      </c>
      <c r="D4456" s="524" t="s">
        <v>55</v>
      </c>
      <c r="E4456" s="524" t="s">
        <v>1662</v>
      </c>
      <c r="F4456" s="528" t="s">
        <v>1663</v>
      </c>
      <c r="G4456" s="252">
        <f t="shared" si="97"/>
        <v>2.46</v>
      </c>
    </row>
    <row r="4457" spans="1:7" x14ac:dyDescent="0.3">
      <c r="A4457" s="524" t="s">
        <v>522</v>
      </c>
      <c r="B4457" s="524" t="s">
        <v>611</v>
      </c>
      <c r="C4457" s="525" t="s">
        <v>546</v>
      </c>
      <c r="D4457" s="524" t="s">
        <v>32</v>
      </c>
      <c r="E4457" s="524" t="s">
        <v>1664</v>
      </c>
      <c r="F4457" s="528" t="s">
        <v>1646</v>
      </c>
      <c r="G4457" s="252">
        <f t="shared" si="97"/>
        <v>1.28</v>
      </c>
    </row>
    <row r="4458" spans="1:7" x14ac:dyDescent="0.3">
      <c r="A4458" s="524" t="s">
        <v>522</v>
      </c>
      <c r="B4458" s="524" t="s">
        <v>610</v>
      </c>
      <c r="C4458" s="525" t="s">
        <v>543</v>
      </c>
      <c r="D4458" s="524" t="s">
        <v>32</v>
      </c>
      <c r="E4458" s="524" t="s">
        <v>1664</v>
      </c>
      <c r="F4458" s="528" t="s">
        <v>1647</v>
      </c>
      <c r="G4458" s="252">
        <f t="shared" si="97"/>
        <v>1.65</v>
      </c>
    </row>
    <row r="4459" spans="1:7" ht="43.2" x14ac:dyDescent="0.3">
      <c r="A4459" s="524" t="s">
        <v>522</v>
      </c>
      <c r="B4459" s="524" t="s">
        <v>959</v>
      </c>
      <c r="C4459" s="525" t="s">
        <v>960</v>
      </c>
      <c r="D4459" s="524" t="s">
        <v>55</v>
      </c>
      <c r="E4459" s="524" t="s">
        <v>1122</v>
      </c>
      <c r="F4459" s="528" t="s">
        <v>962</v>
      </c>
      <c r="G4459" s="252">
        <f t="shared" si="97"/>
        <v>2.16</v>
      </c>
    </row>
    <row r="4460" spans="1:7" x14ac:dyDescent="0.3">
      <c r="A4460" s="680" t="s">
        <v>1152</v>
      </c>
      <c r="B4460" s="681"/>
      <c r="C4460" s="681"/>
      <c r="D4460" s="681"/>
      <c r="E4460" s="681"/>
      <c r="F4460" s="682"/>
      <c r="G4460" s="527">
        <f>SUM(G4456:G4459)</f>
        <v>7.5500000000000007</v>
      </c>
    </row>
    <row r="4461" spans="1:7" x14ac:dyDescent="0.3">
      <c r="A4461" s="683">
        <f>TRUNC(E4461*F4461,2)</f>
        <v>0</v>
      </c>
      <c r="B4461" s="684"/>
      <c r="C4461" s="684"/>
      <c r="D4461" s="684"/>
      <c r="E4461" s="684"/>
      <c r="F4461" s="684"/>
      <c r="G4461" s="685"/>
    </row>
    <row r="4462" spans="1:7" ht="28.8" x14ac:dyDescent="0.3">
      <c r="A4462" s="529" t="s">
        <v>236</v>
      </c>
      <c r="B4462" s="529">
        <v>91869</v>
      </c>
      <c r="C4462" s="530" t="s">
        <v>132</v>
      </c>
      <c r="D4462" s="529" t="s">
        <v>55</v>
      </c>
      <c r="E4462" s="252"/>
      <c r="F4462" s="531">
        <v>10.32</v>
      </c>
      <c r="G4462" s="252">
        <f t="shared" si="97"/>
        <v>0</v>
      </c>
    </row>
    <row r="4463" spans="1:7" x14ac:dyDescent="0.3">
      <c r="A4463" s="524" t="s">
        <v>508</v>
      </c>
      <c r="B4463" s="524" t="s">
        <v>1665</v>
      </c>
      <c r="C4463" s="525" t="s">
        <v>1666</v>
      </c>
      <c r="D4463" s="524" t="s">
        <v>55</v>
      </c>
      <c r="E4463" s="524" t="s">
        <v>1667</v>
      </c>
      <c r="F4463" s="528" t="s">
        <v>1668</v>
      </c>
      <c r="G4463" s="252">
        <f t="shared" si="97"/>
        <v>5.26</v>
      </c>
    </row>
    <row r="4464" spans="1:7" ht="28.8" x14ac:dyDescent="0.3">
      <c r="A4464" s="524" t="s">
        <v>508</v>
      </c>
      <c r="B4464" s="524" t="s">
        <v>1669</v>
      </c>
      <c r="C4464" s="525" t="s">
        <v>1670</v>
      </c>
      <c r="D4464" s="524" t="s">
        <v>426</v>
      </c>
      <c r="E4464" s="524" t="s">
        <v>1671</v>
      </c>
      <c r="F4464" s="528" t="s">
        <v>1672</v>
      </c>
      <c r="G4464" s="252">
        <f t="shared" si="97"/>
        <v>0.03</v>
      </c>
    </row>
    <row r="4465" spans="1:7" x14ac:dyDescent="0.3">
      <c r="A4465" s="524" t="s">
        <v>522</v>
      </c>
      <c r="B4465" s="524" t="s">
        <v>611</v>
      </c>
      <c r="C4465" s="525" t="s">
        <v>546</v>
      </c>
      <c r="D4465" s="524" t="s">
        <v>32</v>
      </c>
      <c r="E4465" s="524" t="s">
        <v>1673</v>
      </c>
      <c r="F4465" s="528" t="s">
        <v>1646</v>
      </c>
      <c r="G4465" s="252">
        <f t="shared" si="97"/>
        <v>2.2000000000000002</v>
      </c>
    </row>
    <row r="4466" spans="1:7" x14ac:dyDescent="0.3">
      <c r="A4466" s="524" t="s">
        <v>522</v>
      </c>
      <c r="B4466" s="524" t="s">
        <v>610</v>
      </c>
      <c r="C4466" s="525" t="s">
        <v>543</v>
      </c>
      <c r="D4466" s="524" t="s">
        <v>32</v>
      </c>
      <c r="E4466" s="524" t="s">
        <v>1673</v>
      </c>
      <c r="F4466" s="528" t="s">
        <v>1647</v>
      </c>
      <c r="G4466" s="252">
        <f t="shared" si="97"/>
        <v>2.83</v>
      </c>
    </row>
    <row r="4467" spans="1:7" x14ac:dyDescent="0.3">
      <c r="A4467" s="680" t="s">
        <v>1152</v>
      </c>
      <c r="B4467" s="681"/>
      <c r="C4467" s="681"/>
      <c r="D4467" s="681"/>
      <c r="E4467" s="681"/>
      <c r="F4467" s="682"/>
      <c r="G4467" s="527">
        <f>SUM(G4463:G4466)</f>
        <v>10.32</v>
      </c>
    </row>
    <row r="4468" spans="1:7" x14ac:dyDescent="0.3">
      <c r="A4468" s="683">
        <f>TRUNC(E4468*F4468,2)</f>
        <v>0</v>
      </c>
      <c r="B4468" s="684"/>
      <c r="C4468" s="684"/>
      <c r="D4468" s="684"/>
      <c r="E4468" s="684"/>
      <c r="F4468" s="684"/>
      <c r="G4468" s="685"/>
    </row>
    <row r="4469" spans="1:7" ht="28.8" x14ac:dyDescent="0.3">
      <c r="A4469" s="529" t="s">
        <v>237</v>
      </c>
      <c r="B4469" s="529">
        <v>91941</v>
      </c>
      <c r="C4469" s="530" t="s">
        <v>150</v>
      </c>
      <c r="D4469" s="529" t="s">
        <v>44</v>
      </c>
      <c r="E4469" s="252"/>
      <c r="F4469" s="531">
        <v>6.8</v>
      </c>
      <c r="G4469" s="252">
        <f t="shared" si="97"/>
        <v>0</v>
      </c>
    </row>
    <row r="4470" spans="1:7" x14ac:dyDescent="0.3">
      <c r="A4470" s="524" t="s">
        <v>508</v>
      </c>
      <c r="B4470" s="524" t="s">
        <v>1681</v>
      </c>
      <c r="C4470" s="525" t="s">
        <v>1682</v>
      </c>
      <c r="D4470" s="524" t="s">
        <v>397</v>
      </c>
      <c r="E4470" s="524" t="s">
        <v>1122</v>
      </c>
      <c r="F4470" s="526" t="s">
        <v>1683</v>
      </c>
      <c r="G4470" s="252">
        <f t="shared" si="97"/>
        <v>1.69</v>
      </c>
    </row>
    <row r="4471" spans="1:7" x14ac:dyDescent="0.3">
      <c r="A4471" s="524" t="s">
        <v>522</v>
      </c>
      <c r="B4471" s="524" t="s">
        <v>611</v>
      </c>
      <c r="C4471" s="525" t="s">
        <v>546</v>
      </c>
      <c r="D4471" s="524" t="s">
        <v>32</v>
      </c>
      <c r="E4471" s="524" t="s">
        <v>1684</v>
      </c>
      <c r="F4471" s="526" t="s">
        <v>1646</v>
      </c>
      <c r="G4471" s="252">
        <f t="shared" si="97"/>
        <v>2.0699999999999998</v>
      </c>
    </row>
    <row r="4472" spans="1:7" x14ac:dyDescent="0.3">
      <c r="A4472" s="524" t="s">
        <v>522</v>
      </c>
      <c r="B4472" s="524" t="s">
        <v>610</v>
      </c>
      <c r="C4472" s="525" t="s">
        <v>543</v>
      </c>
      <c r="D4472" s="524" t="s">
        <v>32</v>
      </c>
      <c r="E4472" s="524" t="s">
        <v>1684</v>
      </c>
      <c r="F4472" s="526" t="s">
        <v>1647</v>
      </c>
      <c r="G4472" s="252">
        <f t="shared" si="97"/>
        <v>2.66</v>
      </c>
    </row>
    <row r="4473" spans="1:7" ht="28.8" x14ac:dyDescent="0.3">
      <c r="A4473" s="524" t="s">
        <v>522</v>
      </c>
      <c r="B4473" s="524" t="s">
        <v>1685</v>
      </c>
      <c r="C4473" s="525" t="s">
        <v>1686</v>
      </c>
      <c r="D4473" s="524" t="s">
        <v>41</v>
      </c>
      <c r="E4473" s="524" t="s">
        <v>1687</v>
      </c>
      <c r="F4473" s="526" t="s">
        <v>1688</v>
      </c>
      <c r="G4473" s="252">
        <f t="shared" si="97"/>
        <v>0.38</v>
      </c>
    </row>
    <row r="4474" spans="1:7" x14ac:dyDescent="0.3">
      <c r="A4474" s="680" t="s">
        <v>1152</v>
      </c>
      <c r="B4474" s="681"/>
      <c r="C4474" s="681"/>
      <c r="D4474" s="681"/>
      <c r="E4474" s="681"/>
      <c r="F4474" s="682"/>
      <c r="G4474" s="527">
        <f>SUM(G4470:G4473)</f>
        <v>6.8</v>
      </c>
    </row>
    <row r="4475" spans="1:7" x14ac:dyDescent="0.3">
      <c r="A4475" s="683">
        <f>TRUNC(E4475*F4475,2)</f>
        <v>0</v>
      </c>
      <c r="B4475" s="684"/>
      <c r="C4475" s="684"/>
      <c r="D4475" s="684"/>
      <c r="E4475" s="684"/>
      <c r="F4475" s="684"/>
      <c r="G4475" s="685"/>
    </row>
    <row r="4476" spans="1:7" ht="28.8" x14ac:dyDescent="0.3">
      <c r="A4476" s="529" t="s">
        <v>238</v>
      </c>
      <c r="B4476" s="529">
        <v>95778</v>
      </c>
      <c r="C4476" s="530" t="s">
        <v>168</v>
      </c>
      <c r="D4476" s="529" t="s">
        <v>55</v>
      </c>
      <c r="E4476" s="252"/>
      <c r="F4476" s="531">
        <v>20.28</v>
      </c>
      <c r="G4476" s="252">
        <f t="shared" si="97"/>
        <v>0</v>
      </c>
    </row>
    <row r="4477" spans="1:7" ht="28.8" x14ac:dyDescent="0.3">
      <c r="A4477" s="524" t="s">
        <v>508</v>
      </c>
      <c r="B4477" s="524" t="s">
        <v>1689</v>
      </c>
      <c r="C4477" s="525" t="s">
        <v>1690</v>
      </c>
      <c r="D4477" s="524" t="s">
        <v>397</v>
      </c>
      <c r="E4477" s="524" t="s">
        <v>1122</v>
      </c>
      <c r="F4477" s="526" t="s">
        <v>1691</v>
      </c>
      <c r="G4477" s="252">
        <f t="shared" si="97"/>
        <v>8.69</v>
      </c>
    </row>
    <row r="4478" spans="1:7" ht="28.8" x14ac:dyDescent="0.3">
      <c r="A4478" s="524" t="s">
        <v>508</v>
      </c>
      <c r="B4478" s="524" t="s">
        <v>1692</v>
      </c>
      <c r="C4478" s="525" t="s">
        <v>1693</v>
      </c>
      <c r="D4478" s="524" t="s">
        <v>397</v>
      </c>
      <c r="E4478" s="524" t="s">
        <v>1523</v>
      </c>
      <c r="F4478" s="526" t="s">
        <v>1694</v>
      </c>
      <c r="G4478" s="252">
        <f t="shared" si="97"/>
        <v>0.36</v>
      </c>
    </row>
    <row r="4479" spans="1:7" x14ac:dyDescent="0.3">
      <c r="A4479" s="524" t="s">
        <v>522</v>
      </c>
      <c r="B4479" s="524" t="s">
        <v>611</v>
      </c>
      <c r="C4479" s="525" t="s">
        <v>546</v>
      </c>
      <c r="D4479" s="524" t="s">
        <v>32</v>
      </c>
      <c r="E4479" s="524" t="s">
        <v>1695</v>
      </c>
      <c r="F4479" s="526" t="s">
        <v>1646</v>
      </c>
      <c r="G4479" s="252">
        <f t="shared" si="97"/>
        <v>4.92</v>
      </c>
    </row>
    <row r="4480" spans="1:7" x14ac:dyDescent="0.3">
      <c r="A4480" s="524" t="s">
        <v>522</v>
      </c>
      <c r="B4480" s="524" t="s">
        <v>610</v>
      </c>
      <c r="C4480" s="525" t="s">
        <v>543</v>
      </c>
      <c r="D4480" s="524" t="s">
        <v>32</v>
      </c>
      <c r="E4480" s="524" t="s">
        <v>1695</v>
      </c>
      <c r="F4480" s="526" t="s">
        <v>1647</v>
      </c>
      <c r="G4480" s="252">
        <f t="shared" si="97"/>
        <v>6.31</v>
      </c>
    </row>
    <row r="4481" spans="1:7" x14ac:dyDescent="0.3">
      <c r="A4481" s="680" t="s">
        <v>1152</v>
      </c>
      <c r="B4481" s="681"/>
      <c r="C4481" s="681"/>
      <c r="D4481" s="681"/>
      <c r="E4481" s="681"/>
      <c r="F4481" s="682"/>
      <c r="G4481" s="527">
        <f>SUM(G4477:G4480)</f>
        <v>20.279999999999998</v>
      </c>
    </row>
    <row r="4482" spans="1:7" x14ac:dyDescent="0.3">
      <c r="A4482" s="683">
        <f>TRUNC(E4482*F4482,2)</f>
        <v>0</v>
      </c>
      <c r="B4482" s="684"/>
      <c r="C4482" s="684"/>
      <c r="D4482" s="684"/>
      <c r="E4482" s="684"/>
      <c r="F4482" s="684"/>
      <c r="G4482" s="685"/>
    </row>
    <row r="4483" spans="1:7" ht="28.8" x14ac:dyDescent="0.3">
      <c r="A4483" s="529" t="s">
        <v>239</v>
      </c>
      <c r="B4483" s="529">
        <v>98296</v>
      </c>
      <c r="C4483" s="530" t="s">
        <v>172</v>
      </c>
      <c r="D4483" s="529" t="s">
        <v>55</v>
      </c>
      <c r="E4483" s="252"/>
      <c r="F4483" s="531">
        <v>2.52</v>
      </c>
      <c r="G4483" s="252">
        <f t="shared" si="97"/>
        <v>0</v>
      </c>
    </row>
    <row r="4484" spans="1:7" x14ac:dyDescent="0.3">
      <c r="A4484" s="524" t="s">
        <v>508</v>
      </c>
      <c r="B4484" s="524" t="s">
        <v>1700</v>
      </c>
      <c r="C4484" s="525" t="s">
        <v>1701</v>
      </c>
      <c r="D4484" s="524" t="s">
        <v>55</v>
      </c>
      <c r="E4484" s="524" t="s">
        <v>1697</v>
      </c>
      <c r="F4484" s="526" t="s">
        <v>1702</v>
      </c>
      <c r="G4484" s="252">
        <f t="shared" si="97"/>
        <v>1.65</v>
      </c>
    </row>
    <row r="4485" spans="1:7" x14ac:dyDescent="0.3">
      <c r="A4485" s="524" t="s">
        <v>522</v>
      </c>
      <c r="B4485" s="524" t="s">
        <v>611</v>
      </c>
      <c r="C4485" s="525" t="s">
        <v>546</v>
      </c>
      <c r="D4485" s="524" t="s">
        <v>32</v>
      </c>
      <c r="E4485" s="524" t="s">
        <v>1151</v>
      </c>
      <c r="F4485" s="526" t="s">
        <v>1646</v>
      </c>
      <c r="G4485" s="252">
        <f t="shared" si="97"/>
        <v>0.38</v>
      </c>
    </row>
    <row r="4486" spans="1:7" x14ac:dyDescent="0.3">
      <c r="A4486" s="524" t="s">
        <v>522</v>
      </c>
      <c r="B4486" s="524" t="s">
        <v>610</v>
      </c>
      <c r="C4486" s="525" t="s">
        <v>543</v>
      </c>
      <c r="D4486" s="524" t="s">
        <v>32</v>
      </c>
      <c r="E4486" s="524" t="s">
        <v>1151</v>
      </c>
      <c r="F4486" s="526" t="s">
        <v>1647</v>
      </c>
      <c r="G4486" s="252">
        <f t="shared" si="97"/>
        <v>0.49</v>
      </c>
    </row>
    <row r="4487" spans="1:7" x14ac:dyDescent="0.3">
      <c r="A4487" s="680" t="s">
        <v>1152</v>
      </c>
      <c r="B4487" s="681"/>
      <c r="C4487" s="681"/>
      <c r="D4487" s="681"/>
      <c r="E4487" s="681"/>
      <c r="F4487" s="682"/>
      <c r="G4487" s="527">
        <f>SUM(G4483:G4486)</f>
        <v>2.5199999999999996</v>
      </c>
    </row>
    <row r="4488" spans="1:7" x14ac:dyDescent="0.3">
      <c r="A4488" s="683">
        <f>TRUNC(E4488*F4488,2)</f>
        <v>0</v>
      </c>
      <c r="B4488" s="684"/>
      <c r="C4488" s="684"/>
      <c r="D4488" s="684"/>
      <c r="E4488" s="684"/>
      <c r="F4488" s="684"/>
      <c r="G4488" s="685"/>
    </row>
    <row r="4489" spans="1:7" x14ac:dyDescent="0.3">
      <c r="A4489" s="529" t="s">
        <v>240</v>
      </c>
      <c r="B4489" s="529">
        <v>98302</v>
      </c>
      <c r="C4489" s="530" t="s">
        <v>174</v>
      </c>
      <c r="D4489" s="529" t="s">
        <v>44</v>
      </c>
      <c r="E4489" s="252"/>
      <c r="F4489" s="531">
        <v>497.66</v>
      </c>
      <c r="G4489" s="252">
        <f t="shared" si="97"/>
        <v>0</v>
      </c>
    </row>
    <row r="4490" spans="1:7" x14ac:dyDescent="0.3">
      <c r="A4490" s="524" t="s">
        <v>508</v>
      </c>
      <c r="B4490" s="524" t="s">
        <v>1703</v>
      </c>
      <c r="C4490" s="525" t="s">
        <v>1704</v>
      </c>
      <c r="D4490" s="524" t="s">
        <v>397</v>
      </c>
      <c r="E4490" s="524" t="s">
        <v>1122</v>
      </c>
      <c r="F4490" s="526" t="s">
        <v>1706</v>
      </c>
      <c r="G4490" s="252">
        <f t="shared" si="97"/>
        <v>294.85000000000002</v>
      </c>
    </row>
    <row r="4491" spans="1:7" x14ac:dyDescent="0.3">
      <c r="A4491" s="524" t="s">
        <v>522</v>
      </c>
      <c r="B4491" s="524" t="s">
        <v>611</v>
      </c>
      <c r="C4491" s="525" t="s">
        <v>546</v>
      </c>
      <c r="D4491" s="524" t="s">
        <v>32</v>
      </c>
      <c r="E4491" s="524" t="s">
        <v>1705</v>
      </c>
      <c r="F4491" s="526" t="s">
        <v>1646</v>
      </c>
      <c r="G4491" s="252">
        <f t="shared" si="97"/>
        <v>88.85</v>
      </c>
    </row>
    <row r="4492" spans="1:7" x14ac:dyDescent="0.3">
      <c r="A4492" s="524" t="s">
        <v>522</v>
      </c>
      <c r="B4492" s="524" t="s">
        <v>610</v>
      </c>
      <c r="C4492" s="525" t="s">
        <v>543</v>
      </c>
      <c r="D4492" s="524" t="s">
        <v>32</v>
      </c>
      <c r="E4492" s="524" t="s">
        <v>1705</v>
      </c>
      <c r="F4492" s="526" t="s">
        <v>1647</v>
      </c>
      <c r="G4492" s="252">
        <f t="shared" si="97"/>
        <v>113.96</v>
      </c>
    </row>
    <row r="4493" spans="1:7" x14ac:dyDescent="0.3">
      <c r="A4493" s="680" t="s">
        <v>1152</v>
      </c>
      <c r="B4493" s="681"/>
      <c r="C4493" s="681"/>
      <c r="D4493" s="681"/>
      <c r="E4493" s="681"/>
      <c r="F4493" s="682"/>
      <c r="G4493" s="527">
        <f>SUM(G4489:G4492)</f>
        <v>497.66</v>
      </c>
    </row>
    <row r="4494" spans="1:7" x14ac:dyDescent="0.3">
      <c r="A4494" s="683">
        <f>TRUNC(E4494*F4494,2)</f>
        <v>0</v>
      </c>
      <c r="B4494" s="684"/>
      <c r="C4494" s="684"/>
      <c r="D4494" s="684"/>
      <c r="E4494" s="684"/>
      <c r="F4494" s="684"/>
      <c r="G4494" s="685"/>
    </row>
    <row r="4495" spans="1:7" x14ac:dyDescent="0.3">
      <c r="A4495" s="529" t="s">
        <v>241</v>
      </c>
      <c r="B4495" s="529">
        <v>98593</v>
      </c>
      <c r="C4495" s="530" t="s">
        <v>176</v>
      </c>
      <c r="D4495" s="529" t="s">
        <v>44</v>
      </c>
      <c r="E4495" s="252"/>
      <c r="F4495" s="531">
        <v>650.59</v>
      </c>
      <c r="G4495" s="252">
        <f t="shared" si="97"/>
        <v>0</v>
      </c>
    </row>
    <row r="4496" spans="1:7" x14ac:dyDescent="0.3">
      <c r="A4496" s="524" t="s">
        <v>508</v>
      </c>
      <c r="B4496" s="524" t="s">
        <v>1707</v>
      </c>
      <c r="C4496" s="525" t="s">
        <v>1708</v>
      </c>
      <c r="D4496" s="524" t="s">
        <v>397</v>
      </c>
      <c r="E4496" s="524" t="s">
        <v>1122</v>
      </c>
      <c r="F4496" s="526" t="s">
        <v>1709</v>
      </c>
      <c r="G4496" s="252">
        <f t="shared" si="97"/>
        <v>247.5</v>
      </c>
    </row>
    <row r="4497" spans="1:7" x14ac:dyDescent="0.3">
      <c r="A4497" s="524" t="s">
        <v>522</v>
      </c>
      <c r="B4497" s="524" t="s">
        <v>611</v>
      </c>
      <c r="C4497" s="525" t="s">
        <v>546</v>
      </c>
      <c r="D4497" s="524" t="s">
        <v>32</v>
      </c>
      <c r="E4497" s="524" t="s">
        <v>1710</v>
      </c>
      <c r="F4497" s="526" t="s">
        <v>1646</v>
      </c>
      <c r="G4497" s="252">
        <f t="shared" si="97"/>
        <v>176.59</v>
      </c>
    </row>
    <row r="4498" spans="1:7" x14ac:dyDescent="0.3">
      <c r="A4498" s="524" t="s">
        <v>522</v>
      </c>
      <c r="B4498" s="524" t="s">
        <v>610</v>
      </c>
      <c r="C4498" s="525" t="s">
        <v>543</v>
      </c>
      <c r="D4498" s="524" t="s">
        <v>32</v>
      </c>
      <c r="E4498" s="524" t="s">
        <v>1710</v>
      </c>
      <c r="F4498" s="526" t="s">
        <v>1647</v>
      </c>
      <c r="G4498" s="252">
        <f t="shared" si="97"/>
        <v>226.5</v>
      </c>
    </row>
    <row r="4499" spans="1:7" x14ac:dyDescent="0.3">
      <c r="A4499" s="680" t="s">
        <v>1152</v>
      </c>
      <c r="B4499" s="681"/>
      <c r="C4499" s="681"/>
      <c r="D4499" s="681"/>
      <c r="E4499" s="681"/>
      <c r="F4499" s="682"/>
      <c r="G4499" s="527">
        <f>SUM(G4495:G4498)</f>
        <v>650.59</v>
      </c>
    </row>
    <row r="4500" spans="1:7" x14ac:dyDescent="0.3">
      <c r="A4500" s="683">
        <f>TRUNC(E4500*F4500,2)</f>
        <v>0</v>
      </c>
      <c r="B4500" s="684"/>
      <c r="C4500" s="684"/>
      <c r="D4500" s="684"/>
      <c r="E4500" s="684"/>
      <c r="F4500" s="684"/>
      <c r="G4500" s="685"/>
    </row>
    <row r="4501" spans="1:7" x14ac:dyDescent="0.3">
      <c r="A4501" s="529" t="s">
        <v>242</v>
      </c>
      <c r="B4501" s="529" t="s">
        <v>652</v>
      </c>
      <c r="C4501" s="530" t="s">
        <v>406</v>
      </c>
      <c r="D4501" s="529" t="s">
        <v>44</v>
      </c>
      <c r="E4501" s="252"/>
      <c r="F4501" s="531">
        <v>3.63</v>
      </c>
      <c r="G4501" s="252">
        <f t="shared" si="97"/>
        <v>0</v>
      </c>
    </row>
    <row r="4502" spans="1:7" x14ac:dyDescent="0.3">
      <c r="A4502" s="524" t="s">
        <v>522</v>
      </c>
      <c r="B4502" s="524" t="s">
        <v>611</v>
      </c>
      <c r="C4502" s="525" t="s">
        <v>546</v>
      </c>
      <c r="D4502" s="524" t="s">
        <v>32</v>
      </c>
      <c r="E4502" s="619">
        <v>0.08</v>
      </c>
      <c r="F4502" s="526" t="s">
        <v>1646</v>
      </c>
      <c r="G4502" s="252">
        <f t="shared" si="97"/>
        <v>1.1399999999999999</v>
      </c>
    </row>
    <row r="4503" spans="1:7" x14ac:dyDescent="0.3">
      <c r="A4503" s="524" t="s">
        <v>522</v>
      </c>
      <c r="B4503" s="524" t="s">
        <v>610</v>
      </c>
      <c r="C4503" s="525" t="s">
        <v>543</v>
      </c>
      <c r="D4503" s="524" t="s">
        <v>32</v>
      </c>
      <c r="E4503" s="619">
        <v>0.08</v>
      </c>
      <c r="F4503" s="526" t="s">
        <v>1647</v>
      </c>
      <c r="G4503" s="252">
        <f t="shared" si="97"/>
        <v>1.47</v>
      </c>
    </row>
    <row r="4504" spans="1:7" x14ac:dyDescent="0.3">
      <c r="A4504" s="529"/>
      <c r="B4504" s="593" t="s">
        <v>618</v>
      </c>
      <c r="C4504" s="592" t="s">
        <v>619</v>
      </c>
      <c r="D4504" s="593" t="s">
        <v>55</v>
      </c>
      <c r="E4504" s="620">
        <v>1</v>
      </c>
      <c r="F4504" s="528">
        <v>1.02</v>
      </c>
      <c r="G4504" s="252">
        <f t="shared" si="97"/>
        <v>1.02</v>
      </c>
    </row>
    <row r="4505" spans="1:7" x14ac:dyDescent="0.3">
      <c r="A4505" s="680" t="s">
        <v>1152</v>
      </c>
      <c r="B4505" s="681"/>
      <c r="C4505" s="681"/>
      <c r="D4505" s="681"/>
      <c r="E4505" s="681"/>
      <c r="F4505" s="682"/>
      <c r="G4505" s="527">
        <f>SUM(G4501:G4504)</f>
        <v>3.63</v>
      </c>
    </row>
    <row r="4506" spans="1:7" x14ac:dyDescent="0.3">
      <c r="A4506" s="683">
        <f>TRUNC(E4506*F4506,2)</f>
        <v>0</v>
      </c>
      <c r="B4506" s="684"/>
      <c r="C4506" s="684"/>
      <c r="D4506" s="684"/>
      <c r="E4506" s="684"/>
      <c r="F4506" s="684"/>
      <c r="G4506" s="685"/>
    </row>
    <row r="4507" spans="1:7" ht="28.8" x14ac:dyDescent="0.3">
      <c r="A4507" s="529" t="s">
        <v>243</v>
      </c>
      <c r="B4507" s="529" t="s">
        <v>178</v>
      </c>
      <c r="C4507" s="530" t="s">
        <v>407</v>
      </c>
      <c r="D4507" s="529" t="s">
        <v>44</v>
      </c>
      <c r="E4507" s="252"/>
      <c r="F4507" s="531">
        <v>1488.24</v>
      </c>
      <c r="G4507" s="252">
        <f t="shared" si="97"/>
        <v>0</v>
      </c>
    </row>
    <row r="4508" spans="1:7" x14ac:dyDescent="0.3">
      <c r="A4508" s="529"/>
      <c r="B4508" s="529" t="s">
        <v>570</v>
      </c>
      <c r="C4508" s="530" t="s">
        <v>571</v>
      </c>
      <c r="D4508" s="529" t="s">
        <v>397</v>
      </c>
      <c r="E4508" s="609">
        <v>1</v>
      </c>
      <c r="F4508" s="531">
        <v>164.45</v>
      </c>
      <c r="G4508" s="252">
        <f t="shared" si="97"/>
        <v>164.45</v>
      </c>
    </row>
    <row r="4509" spans="1:7" x14ac:dyDescent="0.3">
      <c r="A4509" s="529"/>
      <c r="B4509" s="529" t="s">
        <v>807</v>
      </c>
      <c r="C4509" s="530" t="s">
        <v>573</v>
      </c>
      <c r="D4509" s="529" t="s">
        <v>397</v>
      </c>
      <c r="E4509" s="609">
        <v>1</v>
      </c>
      <c r="F4509" s="531">
        <v>75.58</v>
      </c>
      <c r="G4509" s="252">
        <f t="shared" si="97"/>
        <v>75.58</v>
      </c>
    </row>
    <row r="4510" spans="1:7" x14ac:dyDescent="0.3">
      <c r="A4510" s="529"/>
      <c r="B4510" s="529" t="s">
        <v>807</v>
      </c>
      <c r="C4510" s="530" t="s">
        <v>574</v>
      </c>
      <c r="D4510" s="529" t="s">
        <v>397</v>
      </c>
      <c r="E4510" s="609">
        <v>1</v>
      </c>
      <c r="F4510" s="531">
        <v>62.05</v>
      </c>
      <c r="G4510" s="252">
        <f t="shared" si="97"/>
        <v>62.05</v>
      </c>
    </row>
    <row r="4511" spans="1:7" ht="28.8" x14ac:dyDescent="0.3">
      <c r="A4511" s="529"/>
      <c r="B4511" s="529" t="s">
        <v>807</v>
      </c>
      <c r="C4511" s="530" t="s">
        <v>575</v>
      </c>
      <c r="D4511" s="529" t="s">
        <v>397</v>
      </c>
      <c r="E4511" s="609">
        <v>1</v>
      </c>
      <c r="F4511" s="531">
        <v>922.58</v>
      </c>
      <c r="G4511" s="252">
        <f t="shared" si="97"/>
        <v>922.58</v>
      </c>
    </row>
    <row r="4512" spans="1:7" x14ac:dyDescent="0.3">
      <c r="A4512" s="529"/>
      <c r="B4512" s="529" t="s">
        <v>807</v>
      </c>
      <c r="C4512" s="530" t="s">
        <v>576</v>
      </c>
      <c r="D4512" s="529" t="s">
        <v>397</v>
      </c>
      <c r="E4512" s="609">
        <v>2</v>
      </c>
      <c r="F4512" s="531">
        <v>66.37</v>
      </c>
      <c r="G4512" s="252">
        <f t="shared" si="97"/>
        <v>132.74</v>
      </c>
    </row>
    <row r="4513" spans="1:7" x14ac:dyDescent="0.3">
      <c r="A4513" s="529"/>
      <c r="B4513" s="524" t="s">
        <v>610</v>
      </c>
      <c r="C4513" s="525" t="s">
        <v>543</v>
      </c>
      <c r="D4513" s="529" t="s">
        <v>32</v>
      </c>
      <c r="E4513" s="609">
        <v>4</v>
      </c>
      <c r="F4513" s="531">
        <v>18.38</v>
      </c>
      <c r="G4513" s="252">
        <f t="shared" si="97"/>
        <v>73.52</v>
      </c>
    </row>
    <row r="4514" spans="1:7" x14ac:dyDescent="0.3">
      <c r="A4514" s="529"/>
      <c r="B4514" s="524" t="s">
        <v>611</v>
      </c>
      <c r="C4514" s="525" t="s">
        <v>546</v>
      </c>
      <c r="D4514" s="529" t="s">
        <v>32</v>
      </c>
      <c r="E4514" s="609">
        <v>4</v>
      </c>
      <c r="F4514" s="531">
        <v>14.33</v>
      </c>
      <c r="G4514" s="252">
        <f t="shared" si="97"/>
        <v>57.32</v>
      </c>
    </row>
    <row r="4515" spans="1:7" x14ac:dyDescent="0.3">
      <c r="A4515" s="680" t="s">
        <v>1152</v>
      </c>
      <c r="B4515" s="681"/>
      <c r="C4515" s="681"/>
      <c r="D4515" s="681"/>
      <c r="E4515" s="681"/>
      <c r="F4515" s="682"/>
      <c r="G4515" s="527">
        <f>SUM(G4507:G4514)</f>
        <v>1488.24</v>
      </c>
    </row>
    <row r="4516" spans="1:7" x14ac:dyDescent="0.3">
      <c r="A4516" s="686"/>
      <c r="B4516" s="687"/>
      <c r="C4516" s="687"/>
      <c r="D4516" s="687"/>
      <c r="E4516" s="687"/>
      <c r="F4516" s="687"/>
      <c r="G4516" s="688"/>
    </row>
    <row r="4517" spans="1:7" x14ac:dyDescent="0.3">
      <c r="A4517" s="529" t="s">
        <v>244</v>
      </c>
      <c r="B4517" s="529">
        <v>98307</v>
      </c>
      <c r="C4517" s="530" t="s">
        <v>182</v>
      </c>
      <c r="D4517" s="529" t="s">
        <v>44</v>
      </c>
      <c r="E4517" s="252"/>
      <c r="F4517" s="531">
        <v>27.38</v>
      </c>
      <c r="G4517" s="252">
        <f t="shared" si="97"/>
        <v>0</v>
      </c>
    </row>
    <row r="4518" spans="1:7" ht="28.8" x14ac:dyDescent="0.3">
      <c r="A4518" s="524" t="s">
        <v>508</v>
      </c>
      <c r="B4518" s="524" t="s">
        <v>1715</v>
      </c>
      <c r="C4518" s="525" t="s">
        <v>1716</v>
      </c>
      <c r="D4518" s="524" t="s">
        <v>397</v>
      </c>
      <c r="E4518" s="524" t="s">
        <v>1122</v>
      </c>
      <c r="F4518" s="526" t="s">
        <v>1717</v>
      </c>
      <c r="G4518" s="252">
        <f t="shared" si="97"/>
        <v>20.65</v>
      </c>
    </row>
    <row r="4519" spans="1:7" x14ac:dyDescent="0.3">
      <c r="A4519" s="524" t="s">
        <v>522</v>
      </c>
      <c r="B4519" s="524" t="s">
        <v>611</v>
      </c>
      <c r="C4519" s="525" t="s">
        <v>546</v>
      </c>
      <c r="D4519" s="524" t="s">
        <v>32</v>
      </c>
      <c r="E4519" s="524" t="s">
        <v>1714</v>
      </c>
      <c r="F4519" s="526" t="s">
        <v>1646</v>
      </c>
      <c r="G4519" s="252">
        <f t="shared" si="97"/>
        <v>2.95</v>
      </c>
    </row>
    <row r="4520" spans="1:7" x14ac:dyDescent="0.3">
      <c r="A4520" s="524" t="s">
        <v>522</v>
      </c>
      <c r="B4520" s="524" t="s">
        <v>610</v>
      </c>
      <c r="C4520" s="525" t="s">
        <v>543</v>
      </c>
      <c r="D4520" s="524" t="s">
        <v>32</v>
      </c>
      <c r="E4520" s="524" t="s">
        <v>1714</v>
      </c>
      <c r="F4520" s="526" t="s">
        <v>1647</v>
      </c>
      <c r="G4520" s="252">
        <f t="shared" si="97"/>
        <v>3.78</v>
      </c>
    </row>
    <row r="4521" spans="1:7" x14ac:dyDescent="0.3">
      <c r="A4521" s="680" t="s">
        <v>1152</v>
      </c>
      <c r="B4521" s="681"/>
      <c r="C4521" s="681"/>
      <c r="D4521" s="681"/>
      <c r="E4521" s="681"/>
      <c r="F4521" s="682"/>
      <c r="G4521" s="527">
        <f>SUM(G4517:G4520)</f>
        <v>27.38</v>
      </c>
    </row>
    <row r="4522" spans="1:7" x14ac:dyDescent="0.3">
      <c r="A4522" s="683">
        <f>TRUNC(E4522*F4522,2)</f>
        <v>0</v>
      </c>
      <c r="B4522" s="684"/>
      <c r="C4522" s="684"/>
      <c r="D4522" s="684"/>
      <c r="E4522" s="684"/>
      <c r="F4522" s="684"/>
      <c r="G4522" s="685"/>
    </row>
    <row r="4523" spans="1:7" ht="28.8" x14ac:dyDescent="0.3">
      <c r="A4523" s="529" t="s">
        <v>368</v>
      </c>
      <c r="B4523" s="529">
        <v>100560</v>
      </c>
      <c r="C4523" s="530" t="s">
        <v>184</v>
      </c>
      <c r="D4523" s="529" t="s">
        <v>185</v>
      </c>
      <c r="E4523" s="252"/>
      <c r="F4523" s="531">
        <v>80.44</v>
      </c>
      <c r="G4523" s="252">
        <f t="shared" si="97"/>
        <v>0</v>
      </c>
    </row>
    <row r="4524" spans="1:7" ht="28.8" x14ac:dyDescent="0.3">
      <c r="A4524" s="524" t="s">
        <v>508</v>
      </c>
      <c r="B4524" s="524" t="s">
        <v>1718</v>
      </c>
      <c r="C4524" s="525" t="s">
        <v>1719</v>
      </c>
      <c r="D4524" s="524" t="s">
        <v>397</v>
      </c>
      <c r="E4524" s="524" t="s">
        <v>1122</v>
      </c>
      <c r="F4524" s="526" t="s">
        <v>1720</v>
      </c>
      <c r="G4524" s="252">
        <f t="shared" si="97"/>
        <v>49.76</v>
      </c>
    </row>
    <row r="4525" spans="1:7" ht="43.2" x14ac:dyDescent="0.3">
      <c r="A4525" s="524" t="s">
        <v>522</v>
      </c>
      <c r="B4525" s="524" t="s">
        <v>1721</v>
      </c>
      <c r="C4525" s="525" t="s">
        <v>1722</v>
      </c>
      <c r="D4525" s="524" t="s">
        <v>41</v>
      </c>
      <c r="E4525" s="524" t="s">
        <v>1723</v>
      </c>
      <c r="F4525" s="526" t="s">
        <v>1724</v>
      </c>
      <c r="G4525" s="252">
        <f t="shared" si="97"/>
        <v>1.9</v>
      </c>
    </row>
    <row r="4526" spans="1:7" x14ac:dyDescent="0.3">
      <c r="A4526" s="524" t="s">
        <v>522</v>
      </c>
      <c r="B4526" s="524" t="s">
        <v>611</v>
      </c>
      <c r="C4526" s="525" t="s">
        <v>546</v>
      </c>
      <c r="D4526" s="524" t="s">
        <v>32</v>
      </c>
      <c r="E4526" s="524" t="s">
        <v>1725</v>
      </c>
      <c r="F4526" s="526" t="s">
        <v>1646</v>
      </c>
      <c r="G4526" s="252">
        <f t="shared" si="97"/>
        <v>12.61</v>
      </c>
    </row>
    <row r="4527" spans="1:7" x14ac:dyDescent="0.3">
      <c r="A4527" s="524" t="s">
        <v>522</v>
      </c>
      <c r="B4527" s="524" t="s">
        <v>610</v>
      </c>
      <c r="C4527" s="525" t="s">
        <v>543</v>
      </c>
      <c r="D4527" s="524" t="s">
        <v>32</v>
      </c>
      <c r="E4527" s="524" t="s">
        <v>1725</v>
      </c>
      <c r="F4527" s="526" t="s">
        <v>1647</v>
      </c>
      <c r="G4527" s="252">
        <f t="shared" si="97"/>
        <v>16.170000000000002</v>
      </c>
    </row>
    <row r="4528" spans="1:7" x14ac:dyDescent="0.3">
      <c r="A4528" s="680" t="s">
        <v>1152</v>
      </c>
      <c r="B4528" s="681"/>
      <c r="C4528" s="681"/>
      <c r="D4528" s="681"/>
      <c r="E4528" s="681"/>
      <c r="F4528" s="682"/>
      <c r="G4528" s="527">
        <f>SUM(G4524:G4527)</f>
        <v>80.44</v>
      </c>
    </row>
    <row r="4529" spans="1:7" x14ac:dyDescent="0.3">
      <c r="A4529" s="683">
        <f>TRUNC(E4529*F4529,2)</f>
        <v>0</v>
      </c>
      <c r="B4529" s="684"/>
      <c r="C4529" s="684"/>
      <c r="D4529" s="684"/>
      <c r="E4529" s="684"/>
      <c r="F4529" s="684"/>
      <c r="G4529" s="685"/>
    </row>
    <row r="4530" spans="1:7" x14ac:dyDescent="0.3">
      <c r="A4530" s="529" t="s">
        <v>206</v>
      </c>
      <c r="B4530" s="529"/>
      <c r="C4530" s="530" t="s">
        <v>187</v>
      </c>
      <c r="D4530" s="529"/>
      <c r="E4530" s="252"/>
      <c r="F4530" s="531"/>
      <c r="G4530" s="252">
        <f t="shared" si="97"/>
        <v>0</v>
      </c>
    </row>
    <row r="4531" spans="1:7" x14ac:dyDescent="0.3">
      <c r="A4531" s="529" t="s">
        <v>208</v>
      </c>
      <c r="B4531" s="529"/>
      <c r="C4531" s="530" t="s">
        <v>189</v>
      </c>
      <c r="D4531" s="529"/>
      <c r="E4531" s="252"/>
      <c r="F4531" s="531"/>
      <c r="G4531" s="252">
        <f t="shared" si="97"/>
        <v>0</v>
      </c>
    </row>
    <row r="4532" spans="1:7" ht="28.8" x14ac:dyDescent="0.3">
      <c r="A4532" s="529" t="s">
        <v>688</v>
      </c>
      <c r="B4532" s="529">
        <v>90443</v>
      </c>
      <c r="C4532" s="530" t="s">
        <v>190</v>
      </c>
      <c r="D4532" s="529" t="s">
        <v>55</v>
      </c>
      <c r="E4532" s="252"/>
      <c r="F4532" s="531">
        <v>8.9499999999999993</v>
      </c>
      <c r="G4532" s="252">
        <f t="shared" si="97"/>
        <v>0</v>
      </c>
    </row>
    <row r="4533" spans="1:7" ht="28.8" x14ac:dyDescent="0.3">
      <c r="A4533" s="524" t="s">
        <v>522</v>
      </c>
      <c r="B4533" s="524" t="s">
        <v>1726</v>
      </c>
      <c r="C4533" s="525" t="s">
        <v>1727</v>
      </c>
      <c r="D4533" s="524" t="s">
        <v>32</v>
      </c>
      <c r="E4533" s="524" t="s">
        <v>1728</v>
      </c>
      <c r="F4533" s="526" t="s">
        <v>1729</v>
      </c>
      <c r="G4533" s="252">
        <f t="shared" si="97"/>
        <v>0.97</v>
      </c>
    </row>
    <row r="4534" spans="1:7" x14ac:dyDescent="0.3">
      <c r="A4534" s="524" t="s">
        <v>522</v>
      </c>
      <c r="B4534" s="524" t="s">
        <v>1367</v>
      </c>
      <c r="C4534" s="525" t="s">
        <v>1368</v>
      </c>
      <c r="D4534" s="524" t="s">
        <v>32</v>
      </c>
      <c r="E4534" s="524" t="s">
        <v>1730</v>
      </c>
      <c r="F4534" s="526" t="s">
        <v>1370</v>
      </c>
      <c r="G4534" s="252">
        <f t="shared" si="97"/>
        <v>7.98</v>
      </c>
    </row>
    <row r="4535" spans="1:7" x14ac:dyDescent="0.3">
      <c r="A4535" s="680" t="s">
        <v>1152</v>
      </c>
      <c r="B4535" s="681"/>
      <c r="C4535" s="681"/>
      <c r="D4535" s="681"/>
      <c r="E4535" s="681"/>
      <c r="F4535" s="682"/>
      <c r="G4535" s="527">
        <f>SUM(G4531:G4534)</f>
        <v>8.9500000000000011</v>
      </c>
    </row>
    <row r="4536" spans="1:7" x14ac:dyDescent="0.3">
      <c r="A4536" s="683">
        <f>TRUNC(E4536*F4536,2)</f>
        <v>0</v>
      </c>
      <c r="B4536" s="684"/>
      <c r="C4536" s="684"/>
      <c r="D4536" s="684"/>
      <c r="E4536" s="684"/>
      <c r="F4536" s="684"/>
      <c r="G4536" s="685"/>
    </row>
    <row r="4537" spans="1:7" ht="28.8" x14ac:dyDescent="0.3">
      <c r="A4537" s="529" t="s">
        <v>689</v>
      </c>
      <c r="B4537" s="529">
        <v>86895</v>
      </c>
      <c r="C4537" s="530" t="s">
        <v>191</v>
      </c>
      <c r="D4537" s="529" t="s">
        <v>44</v>
      </c>
      <c r="E4537" s="252"/>
      <c r="F4537" s="531">
        <v>269.19</v>
      </c>
      <c r="G4537" s="252">
        <f t="shared" si="97"/>
        <v>0</v>
      </c>
    </row>
    <row r="4538" spans="1:7" x14ac:dyDescent="0.3">
      <c r="A4538" s="524" t="s">
        <v>508</v>
      </c>
      <c r="B4538" s="524" t="s">
        <v>1731</v>
      </c>
      <c r="C4538" s="525" t="s">
        <v>1732</v>
      </c>
      <c r="D4538" s="524" t="s">
        <v>426</v>
      </c>
      <c r="E4538" s="524" t="s">
        <v>1733</v>
      </c>
      <c r="F4538" s="526" t="s">
        <v>1734</v>
      </c>
      <c r="G4538" s="252">
        <f t="shared" si="97"/>
        <v>14.23</v>
      </c>
    </row>
    <row r="4539" spans="1:7" ht="28.8" x14ac:dyDescent="0.3">
      <c r="A4539" s="524" t="s">
        <v>508</v>
      </c>
      <c r="B4539" s="524" t="s">
        <v>1425</v>
      </c>
      <c r="C4539" s="525" t="s">
        <v>1426</v>
      </c>
      <c r="D4539" s="524" t="s">
        <v>397</v>
      </c>
      <c r="E4539" s="524" t="s">
        <v>1397</v>
      </c>
      <c r="F4539" s="526" t="s">
        <v>1428</v>
      </c>
      <c r="G4539" s="252">
        <f t="shared" si="97"/>
        <v>3.3</v>
      </c>
    </row>
    <row r="4540" spans="1:7" ht="28.8" x14ac:dyDescent="0.3">
      <c r="A4540" s="524" t="s">
        <v>508</v>
      </c>
      <c r="B4540" s="524" t="s">
        <v>1735</v>
      </c>
      <c r="C4540" s="525" t="s">
        <v>1736</v>
      </c>
      <c r="D4540" s="524" t="s">
        <v>24</v>
      </c>
      <c r="E4540" s="524" t="s">
        <v>1737</v>
      </c>
      <c r="F4540" s="526" t="s">
        <v>1738</v>
      </c>
      <c r="G4540" s="252">
        <f t="shared" si="97"/>
        <v>182.09</v>
      </c>
    </row>
    <row r="4541" spans="1:7" x14ac:dyDescent="0.3">
      <c r="A4541" s="524" t="s">
        <v>508</v>
      </c>
      <c r="B4541" s="524" t="s">
        <v>1739</v>
      </c>
      <c r="C4541" s="525" t="s">
        <v>1740</v>
      </c>
      <c r="D4541" s="524" t="s">
        <v>426</v>
      </c>
      <c r="E4541" s="524" t="s">
        <v>1741</v>
      </c>
      <c r="F4541" s="526" t="s">
        <v>1742</v>
      </c>
      <c r="G4541" s="252">
        <f t="shared" si="97"/>
        <v>1.23</v>
      </c>
    </row>
    <row r="4542" spans="1:7" ht="28.8" x14ac:dyDescent="0.3">
      <c r="A4542" s="524" t="s">
        <v>508</v>
      </c>
      <c r="B4542" s="524" t="s">
        <v>1743</v>
      </c>
      <c r="C4542" s="525" t="s">
        <v>1744</v>
      </c>
      <c r="D4542" s="524" t="s">
        <v>397</v>
      </c>
      <c r="E4542" s="524" t="s">
        <v>1523</v>
      </c>
      <c r="F4542" s="526" t="s">
        <v>1745</v>
      </c>
      <c r="G4542" s="252">
        <f t="shared" si="97"/>
        <v>19.72</v>
      </c>
    </row>
    <row r="4543" spans="1:7" x14ac:dyDescent="0.3">
      <c r="A4543" s="524" t="s">
        <v>522</v>
      </c>
      <c r="B4543" s="524" t="s">
        <v>1746</v>
      </c>
      <c r="C4543" s="525" t="s">
        <v>1747</v>
      </c>
      <c r="D4543" s="524" t="s">
        <v>32</v>
      </c>
      <c r="E4543" s="524" t="s">
        <v>1748</v>
      </c>
      <c r="F4543" s="526" t="s">
        <v>1749</v>
      </c>
      <c r="G4543" s="252">
        <f t="shared" si="97"/>
        <v>34.53</v>
      </c>
    </row>
    <row r="4544" spans="1:7" x14ac:dyDescent="0.3">
      <c r="A4544" s="524" t="s">
        <v>522</v>
      </c>
      <c r="B4544" s="524" t="s">
        <v>1359</v>
      </c>
      <c r="C4544" s="525" t="s">
        <v>801</v>
      </c>
      <c r="D4544" s="524" t="s">
        <v>32</v>
      </c>
      <c r="E4544" s="524" t="s">
        <v>1750</v>
      </c>
      <c r="F4544" s="526" t="s">
        <v>1361</v>
      </c>
      <c r="G4544" s="252">
        <f t="shared" si="97"/>
        <v>14.09</v>
      </c>
    </row>
    <row r="4545" spans="1:7" x14ac:dyDescent="0.3">
      <c r="A4545" s="680" t="s">
        <v>1152</v>
      </c>
      <c r="B4545" s="681"/>
      <c r="C4545" s="681"/>
      <c r="D4545" s="681"/>
      <c r="E4545" s="681"/>
      <c r="F4545" s="682"/>
      <c r="G4545" s="527">
        <f>SUM(G4537:G4544)</f>
        <v>269.19</v>
      </c>
    </row>
    <row r="4546" spans="1:7" x14ac:dyDescent="0.3">
      <c r="A4546" s="683">
        <f>TRUNC(E4546*F4546,2)</f>
        <v>0</v>
      </c>
      <c r="B4546" s="684"/>
      <c r="C4546" s="684"/>
      <c r="D4546" s="684"/>
      <c r="E4546" s="684"/>
      <c r="F4546" s="684"/>
      <c r="G4546" s="685"/>
    </row>
    <row r="4547" spans="1:7" ht="28.8" x14ac:dyDescent="0.3">
      <c r="A4547" s="529" t="s">
        <v>690</v>
      </c>
      <c r="B4547" s="529">
        <v>86901</v>
      </c>
      <c r="C4547" s="530" t="s">
        <v>192</v>
      </c>
      <c r="D4547" s="529" t="s">
        <v>44</v>
      </c>
      <c r="E4547" s="252"/>
      <c r="F4547" s="531">
        <v>108.45</v>
      </c>
      <c r="G4547" s="252">
        <f t="shared" si="97"/>
        <v>0</v>
      </c>
    </row>
    <row r="4548" spans="1:7" x14ac:dyDescent="0.3">
      <c r="A4548" s="524" t="s">
        <v>508</v>
      </c>
      <c r="B4548" s="524" t="s">
        <v>1731</v>
      </c>
      <c r="C4548" s="525" t="s">
        <v>1732</v>
      </c>
      <c r="D4548" s="524" t="s">
        <v>426</v>
      </c>
      <c r="E4548" s="524" t="s">
        <v>1751</v>
      </c>
      <c r="F4548" s="526" t="s">
        <v>1734</v>
      </c>
      <c r="G4548" s="252">
        <f t="shared" si="97"/>
        <v>19.510000000000002</v>
      </c>
    </row>
    <row r="4549" spans="1:7" x14ac:dyDescent="0.3">
      <c r="A4549" s="524" t="s">
        <v>508</v>
      </c>
      <c r="B4549" s="524" t="s">
        <v>1752</v>
      </c>
      <c r="C4549" s="525" t="s">
        <v>1753</v>
      </c>
      <c r="D4549" s="524" t="s">
        <v>397</v>
      </c>
      <c r="E4549" s="524" t="s">
        <v>1122</v>
      </c>
      <c r="F4549" s="526" t="s">
        <v>1754</v>
      </c>
      <c r="G4549" s="252">
        <f t="shared" si="97"/>
        <v>69.92</v>
      </c>
    </row>
    <row r="4550" spans="1:7" x14ac:dyDescent="0.3">
      <c r="A4550" s="524" t="s">
        <v>522</v>
      </c>
      <c r="B4550" s="524" t="s">
        <v>1746</v>
      </c>
      <c r="C4550" s="525" t="s">
        <v>1747</v>
      </c>
      <c r="D4550" s="524" t="s">
        <v>32</v>
      </c>
      <c r="E4550" s="524" t="s">
        <v>1755</v>
      </c>
      <c r="F4550" s="526" t="s">
        <v>1749</v>
      </c>
      <c r="G4550" s="252">
        <f t="shared" si="97"/>
        <v>15.2</v>
      </c>
    </row>
    <row r="4551" spans="1:7" x14ac:dyDescent="0.3">
      <c r="A4551" s="524" t="s">
        <v>522</v>
      </c>
      <c r="B4551" s="524" t="s">
        <v>1359</v>
      </c>
      <c r="C4551" s="525" t="s">
        <v>801</v>
      </c>
      <c r="D4551" s="524" t="s">
        <v>32</v>
      </c>
      <c r="E4551" s="524" t="s">
        <v>1756</v>
      </c>
      <c r="F4551" s="526" t="s">
        <v>1361</v>
      </c>
      <c r="G4551" s="252">
        <f t="shared" si="97"/>
        <v>3.82</v>
      </c>
    </row>
    <row r="4552" spans="1:7" x14ac:dyDescent="0.3">
      <c r="A4552" s="680" t="s">
        <v>1152</v>
      </c>
      <c r="B4552" s="681"/>
      <c r="C4552" s="681"/>
      <c r="D4552" s="681"/>
      <c r="E4552" s="681"/>
      <c r="F4552" s="682"/>
      <c r="G4552" s="527">
        <f>SUM(G4547:G4551)</f>
        <v>108.45</v>
      </c>
    </row>
    <row r="4553" spans="1:7" x14ac:dyDescent="0.3">
      <c r="A4553" s="683">
        <f>TRUNC(E4553*F4553,2)</f>
        <v>0</v>
      </c>
      <c r="B4553" s="684"/>
      <c r="C4553" s="684"/>
      <c r="D4553" s="684"/>
      <c r="E4553" s="684"/>
      <c r="F4553" s="684"/>
      <c r="G4553" s="685"/>
    </row>
    <row r="4554" spans="1:7" ht="28.8" x14ac:dyDescent="0.3">
      <c r="A4554" s="529" t="s">
        <v>691</v>
      </c>
      <c r="B4554" s="529">
        <v>86915</v>
      </c>
      <c r="C4554" s="530" t="s">
        <v>193</v>
      </c>
      <c r="D4554" s="529" t="s">
        <v>44</v>
      </c>
      <c r="E4554" s="252"/>
      <c r="F4554" s="531">
        <v>84.78</v>
      </c>
      <c r="G4554" s="252">
        <f t="shared" si="97"/>
        <v>0</v>
      </c>
    </row>
    <row r="4555" spans="1:7" x14ac:dyDescent="0.3">
      <c r="A4555" s="524" t="s">
        <v>508</v>
      </c>
      <c r="B4555" s="524" t="s">
        <v>1757</v>
      </c>
      <c r="C4555" s="525" t="s">
        <v>1758</v>
      </c>
      <c r="D4555" s="524" t="s">
        <v>397</v>
      </c>
      <c r="E4555" s="524" t="s">
        <v>1759</v>
      </c>
      <c r="F4555" s="526" t="s">
        <v>1760</v>
      </c>
      <c r="G4555" s="252">
        <f t="shared" si="97"/>
        <v>0.08</v>
      </c>
    </row>
    <row r="4556" spans="1:7" x14ac:dyDescent="0.3">
      <c r="A4556" s="524" t="s">
        <v>508</v>
      </c>
      <c r="B4556" s="524" t="s">
        <v>1761</v>
      </c>
      <c r="C4556" s="525" t="s">
        <v>1762</v>
      </c>
      <c r="D4556" s="524" t="s">
        <v>397</v>
      </c>
      <c r="E4556" s="524" t="s">
        <v>1122</v>
      </c>
      <c r="F4556" s="526" t="s">
        <v>1763</v>
      </c>
      <c r="G4556" s="252">
        <f t="shared" si="97"/>
        <v>82.57</v>
      </c>
    </row>
    <row r="4557" spans="1:7" x14ac:dyDescent="0.3">
      <c r="A4557" s="524" t="s">
        <v>522</v>
      </c>
      <c r="B4557" s="524" t="s">
        <v>1367</v>
      </c>
      <c r="C4557" s="525" t="s">
        <v>1368</v>
      </c>
      <c r="D4557" s="524" t="s">
        <v>32</v>
      </c>
      <c r="E4557" s="524" t="s">
        <v>1764</v>
      </c>
      <c r="F4557" s="526" t="s">
        <v>1370</v>
      </c>
      <c r="G4557" s="252">
        <f t="shared" si="97"/>
        <v>1.7</v>
      </c>
    </row>
    <row r="4558" spans="1:7" x14ac:dyDescent="0.3">
      <c r="A4558" s="524" t="s">
        <v>522</v>
      </c>
      <c r="B4558" s="524" t="s">
        <v>1359</v>
      </c>
      <c r="C4558" s="525" t="s">
        <v>801</v>
      </c>
      <c r="D4558" s="524" t="s">
        <v>32</v>
      </c>
      <c r="E4558" s="524" t="s">
        <v>1765</v>
      </c>
      <c r="F4558" s="526" t="s">
        <v>1361</v>
      </c>
      <c r="G4558" s="252">
        <f t="shared" si="97"/>
        <v>0.43</v>
      </c>
    </row>
    <row r="4559" spans="1:7" x14ac:dyDescent="0.3">
      <c r="A4559" s="680" t="s">
        <v>1152</v>
      </c>
      <c r="B4559" s="681"/>
      <c r="C4559" s="681"/>
      <c r="D4559" s="681"/>
      <c r="E4559" s="681"/>
      <c r="F4559" s="682"/>
      <c r="G4559" s="527">
        <f>SUM(G4554:G4558)</f>
        <v>84.78</v>
      </c>
    </row>
    <row r="4560" spans="1:7" x14ac:dyDescent="0.3">
      <c r="A4560" s="683">
        <f>TRUNC(E4560*F4560,2)</f>
        <v>0</v>
      </c>
      <c r="B4560" s="684"/>
      <c r="C4560" s="684"/>
      <c r="D4560" s="684"/>
      <c r="E4560" s="684"/>
      <c r="F4560" s="684"/>
      <c r="G4560" s="685"/>
    </row>
    <row r="4561" spans="1:7" ht="28.8" x14ac:dyDescent="0.3">
      <c r="A4561" s="529" t="s">
        <v>692</v>
      </c>
      <c r="B4561" s="529">
        <v>99635</v>
      </c>
      <c r="C4561" s="530" t="s">
        <v>194</v>
      </c>
      <c r="D4561" s="529" t="s">
        <v>44</v>
      </c>
      <c r="E4561" s="252"/>
      <c r="F4561" s="531">
        <v>184.35</v>
      </c>
      <c r="G4561" s="252">
        <f t="shared" si="97"/>
        <v>0</v>
      </c>
    </row>
    <row r="4562" spans="1:7" x14ac:dyDescent="0.3">
      <c r="A4562" s="524" t="s">
        <v>508</v>
      </c>
      <c r="B4562" s="524" t="s">
        <v>1766</v>
      </c>
      <c r="C4562" s="525" t="s">
        <v>1767</v>
      </c>
      <c r="D4562" s="524" t="s">
        <v>397</v>
      </c>
      <c r="E4562" s="524" t="s">
        <v>1768</v>
      </c>
      <c r="F4562" s="526" t="s">
        <v>1769</v>
      </c>
      <c r="G4562" s="252">
        <f t="shared" si="97"/>
        <v>0.28999999999999998</v>
      </c>
    </row>
    <row r="4563" spans="1:7" ht="28.8" x14ac:dyDescent="0.3">
      <c r="A4563" s="524" t="s">
        <v>508</v>
      </c>
      <c r="B4563" s="524" t="s">
        <v>1770</v>
      </c>
      <c r="C4563" s="525" t="s">
        <v>1771</v>
      </c>
      <c r="D4563" s="524" t="s">
        <v>397</v>
      </c>
      <c r="E4563" s="524" t="s">
        <v>1122</v>
      </c>
      <c r="F4563" s="526" t="s">
        <v>1772</v>
      </c>
      <c r="G4563" s="252">
        <f t="shared" si="97"/>
        <v>159.09</v>
      </c>
    </row>
    <row r="4564" spans="1:7" ht="28.8" x14ac:dyDescent="0.3">
      <c r="A4564" s="524" t="s">
        <v>522</v>
      </c>
      <c r="B4564" s="524" t="s">
        <v>1726</v>
      </c>
      <c r="C4564" s="525" t="s">
        <v>1727</v>
      </c>
      <c r="D4564" s="524" t="s">
        <v>32</v>
      </c>
      <c r="E4564" s="524" t="s">
        <v>1773</v>
      </c>
      <c r="F4564" s="526" t="s">
        <v>1729</v>
      </c>
      <c r="G4564" s="252">
        <f t="shared" si="97"/>
        <v>10.94</v>
      </c>
    </row>
    <row r="4565" spans="1:7" x14ac:dyDescent="0.3">
      <c r="A4565" s="524" t="s">
        <v>522</v>
      </c>
      <c r="B4565" s="524" t="s">
        <v>1367</v>
      </c>
      <c r="C4565" s="525" t="s">
        <v>1368</v>
      </c>
      <c r="D4565" s="524" t="s">
        <v>32</v>
      </c>
      <c r="E4565" s="524" t="s">
        <v>1773</v>
      </c>
      <c r="F4565" s="526" t="s">
        <v>1370</v>
      </c>
      <c r="G4565" s="252">
        <f t="shared" si="97"/>
        <v>14.03</v>
      </c>
    </row>
    <row r="4566" spans="1:7" x14ac:dyDescent="0.3">
      <c r="A4566" s="680" t="s">
        <v>1152</v>
      </c>
      <c r="B4566" s="681"/>
      <c r="C4566" s="681"/>
      <c r="D4566" s="681"/>
      <c r="E4566" s="681"/>
      <c r="F4566" s="682"/>
      <c r="G4566" s="527">
        <f>SUM(G4561:G4565)</f>
        <v>184.35</v>
      </c>
    </row>
    <row r="4567" spans="1:7" x14ac:dyDescent="0.3">
      <c r="A4567" s="683">
        <f>TRUNC(E4567*F4567,2)</f>
        <v>0</v>
      </c>
      <c r="B4567" s="684"/>
      <c r="C4567" s="684"/>
      <c r="D4567" s="684"/>
      <c r="E4567" s="684"/>
      <c r="F4567" s="684"/>
      <c r="G4567" s="685"/>
    </row>
    <row r="4568" spans="1:7" x14ac:dyDescent="0.3">
      <c r="A4568" s="529" t="s">
        <v>252</v>
      </c>
      <c r="B4568" s="529"/>
      <c r="C4568" s="530" t="s">
        <v>201</v>
      </c>
      <c r="D4568" s="529"/>
      <c r="E4568" s="252"/>
      <c r="F4568" s="531"/>
      <c r="G4568" s="252">
        <f t="shared" si="97"/>
        <v>0</v>
      </c>
    </row>
    <row r="4569" spans="1:7" ht="28.8" x14ac:dyDescent="0.3">
      <c r="A4569" s="529" t="s">
        <v>698</v>
      </c>
      <c r="B4569" s="529">
        <v>95544</v>
      </c>
      <c r="C4569" s="530" t="s">
        <v>202</v>
      </c>
      <c r="D4569" s="529" t="s">
        <v>44</v>
      </c>
      <c r="E4569" s="252"/>
      <c r="F4569" s="531">
        <v>30.21</v>
      </c>
      <c r="G4569" s="252">
        <f t="shared" si="97"/>
        <v>0</v>
      </c>
    </row>
    <row r="4570" spans="1:7" x14ac:dyDescent="0.3">
      <c r="A4570" s="524" t="s">
        <v>508</v>
      </c>
      <c r="B4570" s="524" t="s">
        <v>1816</v>
      </c>
      <c r="C4570" s="525" t="s">
        <v>1817</v>
      </c>
      <c r="D4570" s="524" t="s">
        <v>397</v>
      </c>
      <c r="E4570" s="524" t="s">
        <v>1122</v>
      </c>
      <c r="F4570" s="526" t="s">
        <v>1818</v>
      </c>
      <c r="G4570" s="252">
        <f t="shared" si="97"/>
        <v>23.16</v>
      </c>
    </row>
    <row r="4571" spans="1:7" x14ac:dyDescent="0.3">
      <c r="A4571" s="524" t="s">
        <v>522</v>
      </c>
      <c r="B4571" s="524" t="s">
        <v>1367</v>
      </c>
      <c r="C4571" s="525" t="s">
        <v>1368</v>
      </c>
      <c r="D4571" s="524" t="s">
        <v>32</v>
      </c>
      <c r="E4571" s="524" t="s">
        <v>1819</v>
      </c>
      <c r="F4571" s="526" t="s">
        <v>1370</v>
      </c>
      <c r="G4571" s="252">
        <f t="shared" si="97"/>
        <v>5.62</v>
      </c>
    </row>
    <row r="4572" spans="1:7" x14ac:dyDescent="0.3">
      <c r="A4572" s="524" t="s">
        <v>522</v>
      </c>
      <c r="B4572" s="524" t="s">
        <v>1359</v>
      </c>
      <c r="C4572" s="525" t="s">
        <v>801</v>
      </c>
      <c r="D4572" s="524" t="s">
        <v>32</v>
      </c>
      <c r="E4572" s="524" t="s">
        <v>1820</v>
      </c>
      <c r="F4572" s="526" t="s">
        <v>1361</v>
      </c>
      <c r="G4572" s="252">
        <f t="shared" si="97"/>
        <v>1.43</v>
      </c>
    </row>
    <row r="4573" spans="1:7" x14ac:dyDescent="0.3">
      <c r="A4573" s="680" t="s">
        <v>1152</v>
      </c>
      <c r="B4573" s="681"/>
      <c r="C4573" s="681"/>
      <c r="D4573" s="681"/>
      <c r="E4573" s="681"/>
      <c r="F4573" s="682"/>
      <c r="G4573" s="527">
        <f>SUM(G4568:G4572)</f>
        <v>30.21</v>
      </c>
    </row>
    <row r="4574" spans="1:7" x14ac:dyDescent="0.3">
      <c r="A4574" s="683">
        <f>TRUNC(E4574*F4574,2)</f>
        <v>0</v>
      </c>
      <c r="B4574" s="684"/>
      <c r="C4574" s="684"/>
      <c r="D4574" s="684"/>
      <c r="E4574" s="684"/>
      <c r="F4574" s="684"/>
      <c r="G4574" s="685"/>
    </row>
    <row r="4575" spans="1:7" ht="28.8" x14ac:dyDescent="0.3">
      <c r="A4575" s="529" t="s">
        <v>699</v>
      </c>
      <c r="B4575" s="529">
        <v>95545</v>
      </c>
      <c r="C4575" s="530" t="s">
        <v>357</v>
      </c>
      <c r="D4575" s="529" t="s">
        <v>44</v>
      </c>
      <c r="E4575" s="252"/>
      <c r="F4575" s="531">
        <v>29.63</v>
      </c>
      <c r="G4575" s="252">
        <f t="shared" si="97"/>
        <v>0</v>
      </c>
    </row>
    <row r="4576" spans="1:7" x14ac:dyDescent="0.3">
      <c r="A4576" s="524" t="s">
        <v>508</v>
      </c>
      <c r="B4576" s="524" t="s">
        <v>1821</v>
      </c>
      <c r="C4576" s="525" t="s">
        <v>1822</v>
      </c>
      <c r="D4576" s="524" t="s">
        <v>397</v>
      </c>
      <c r="E4576" s="524" t="s">
        <v>1122</v>
      </c>
      <c r="F4576" s="526" t="s">
        <v>1823</v>
      </c>
      <c r="G4576" s="252">
        <f t="shared" si="97"/>
        <v>22.58</v>
      </c>
    </row>
    <row r="4577" spans="1:7" x14ac:dyDescent="0.3">
      <c r="A4577" s="524" t="s">
        <v>522</v>
      </c>
      <c r="B4577" s="524" t="s">
        <v>1367</v>
      </c>
      <c r="C4577" s="525" t="s">
        <v>1368</v>
      </c>
      <c r="D4577" s="524" t="s">
        <v>32</v>
      </c>
      <c r="E4577" s="524" t="s">
        <v>1819</v>
      </c>
      <c r="F4577" s="526" t="s">
        <v>1370</v>
      </c>
      <c r="G4577" s="252">
        <f t="shared" si="97"/>
        <v>5.62</v>
      </c>
    </row>
    <row r="4578" spans="1:7" x14ac:dyDescent="0.3">
      <c r="A4578" s="524" t="s">
        <v>522</v>
      </c>
      <c r="B4578" s="524" t="s">
        <v>1359</v>
      </c>
      <c r="C4578" s="525" t="s">
        <v>801</v>
      </c>
      <c r="D4578" s="524" t="s">
        <v>32</v>
      </c>
      <c r="E4578" s="524" t="s">
        <v>1820</v>
      </c>
      <c r="F4578" s="526" t="s">
        <v>1361</v>
      </c>
      <c r="G4578" s="252">
        <f t="shared" si="97"/>
        <v>1.43</v>
      </c>
    </row>
    <row r="4579" spans="1:7" x14ac:dyDescent="0.3">
      <c r="A4579" s="680" t="s">
        <v>1152</v>
      </c>
      <c r="B4579" s="681"/>
      <c r="C4579" s="681"/>
      <c r="D4579" s="681"/>
      <c r="E4579" s="681"/>
      <c r="F4579" s="682"/>
      <c r="G4579" s="527">
        <f>SUM(G4574:G4578)</f>
        <v>29.63</v>
      </c>
    </row>
    <row r="4580" spans="1:7" x14ac:dyDescent="0.3">
      <c r="A4580" s="683">
        <f>TRUNC(E4580*F4580,2)</f>
        <v>0</v>
      </c>
      <c r="B4580" s="684"/>
      <c r="C4580" s="684"/>
      <c r="D4580" s="684"/>
      <c r="E4580" s="684"/>
      <c r="F4580" s="684"/>
      <c r="G4580" s="685"/>
    </row>
    <row r="4581" spans="1:7" ht="28.8" x14ac:dyDescent="0.3">
      <c r="A4581" s="529" t="s">
        <v>700</v>
      </c>
      <c r="B4581" s="529" t="s">
        <v>810</v>
      </c>
      <c r="C4581" s="530" t="s">
        <v>808</v>
      </c>
      <c r="D4581" s="529" t="s">
        <v>397</v>
      </c>
      <c r="E4581" s="252"/>
      <c r="F4581" s="531">
        <v>234.28</v>
      </c>
      <c r="G4581" s="252">
        <f t="shared" si="97"/>
        <v>0</v>
      </c>
    </row>
    <row r="4582" spans="1:7" x14ac:dyDescent="0.3">
      <c r="A4582" s="529"/>
      <c r="B4582" s="529">
        <v>88316</v>
      </c>
      <c r="C4582" s="525" t="s">
        <v>801</v>
      </c>
      <c r="D4582" s="529" t="s">
        <v>32</v>
      </c>
      <c r="E4582" s="609">
        <v>0.1</v>
      </c>
      <c r="F4582" s="526" t="s">
        <v>1361</v>
      </c>
      <c r="G4582" s="252">
        <f t="shared" si="97"/>
        <v>1.43</v>
      </c>
    </row>
    <row r="4583" spans="1:7" x14ac:dyDescent="0.3">
      <c r="A4583" s="529"/>
      <c r="B4583" s="529">
        <v>88309</v>
      </c>
      <c r="C4583" s="610" t="s">
        <v>1363</v>
      </c>
      <c r="D4583" s="529" t="s">
        <v>32</v>
      </c>
      <c r="E4583" s="609">
        <v>0.24560000000000001</v>
      </c>
      <c r="F4583" s="531">
        <v>17.760000000000002</v>
      </c>
      <c r="G4583" s="252">
        <f t="shared" si="97"/>
        <v>4.3600000000000003</v>
      </c>
    </row>
    <row r="4584" spans="1:7" ht="28.8" x14ac:dyDescent="0.3">
      <c r="A4584" s="529"/>
      <c r="B4584" s="529" t="s">
        <v>807</v>
      </c>
      <c r="C4584" s="530" t="s">
        <v>808</v>
      </c>
      <c r="D4584" s="529" t="s">
        <v>397</v>
      </c>
      <c r="E4584" s="609">
        <v>1</v>
      </c>
      <c r="F4584" s="531">
        <v>228.49</v>
      </c>
      <c r="G4584" s="252">
        <f t="shared" si="97"/>
        <v>228.49</v>
      </c>
    </row>
    <row r="4585" spans="1:7" x14ac:dyDescent="0.3">
      <c r="A4585" s="680" t="s">
        <v>1152</v>
      </c>
      <c r="B4585" s="681"/>
      <c r="C4585" s="681"/>
      <c r="D4585" s="681"/>
      <c r="E4585" s="681"/>
      <c r="F4585" s="682"/>
      <c r="G4585" s="527">
        <f>SUM(G4581:G4584)</f>
        <v>234.28</v>
      </c>
    </row>
    <row r="4586" spans="1:7" x14ac:dyDescent="0.3">
      <c r="A4586" s="683">
        <f>TRUNC(E4586*F4586,2)</f>
        <v>0</v>
      </c>
      <c r="B4586" s="684"/>
      <c r="C4586" s="684"/>
      <c r="D4586" s="684"/>
      <c r="E4586" s="684"/>
      <c r="F4586" s="684"/>
      <c r="G4586" s="685"/>
    </row>
    <row r="4587" spans="1:7" ht="28.8" x14ac:dyDescent="0.3">
      <c r="A4587" s="529" t="s">
        <v>701</v>
      </c>
      <c r="B4587" s="529" t="s">
        <v>811</v>
      </c>
      <c r="C4587" s="530" t="s">
        <v>809</v>
      </c>
      <c r="D4587" s="529" t="s">
        <v>1836</v>
      </c>
      <c r="E4587" s="252"/>
      <c r="F4587" s="531">
        <v>198.74</v>
      </c>
      <c r="G4587" s="252">
        <f t="shared" si="97"/>
        <v>0</v>
      </c>
    </row>
    <row r="4588" spans="1:7" x14ac:dyDescent="0.3">
      <c r="A4588" s="529"/>
      <c r="B4588" s="200">
        <v>88316</v>
      </c>
      <c r="C4588" s="202" t="s">
        <v>801</v>
      </c>
      <c r="D4588" s="200" t="s">
        <v>32</v>
      </c>
      <c r="E4588" s="203">
        <v>0.1</v>
      </c>
      <c r="F4588" s="526" t="s">
        <v>1361</v>
      </c>
      <c r="G4588" s="252">
        <f t="shared" si="97"/>
        <v>1.43</v>
      </c>
    </row>
    <row r="4589" spans="1:7" x14ac:dyDescent="0.3">
      <c r="A4589" s="529"/>
      <c r="B4589" s="200">
        <v>88309</v>
      </c>
      <c r="C4589" s="525" t="s">
        <v>1363</v>
      </c>
      <c r="D4589" s="200" t="s">
        <v>32</v>
      </c>
      <c r="E4589" s="203">
        <v>0.24560000000000001</v>
      </c>
      <c r="F4589" s="531">
        <v>17.760000000000002</v>
      </c>
      <c r="G4589" s="252">
        <f t="shared" si="97"/>
        <v>4.3600000000000003</v>
      </c>
    </row>
    <row r="4590" spans="1:7" ht="28.8" x14ac:dyDescent="0.3">
      <c r="A4590" s="529"/>
      <c r="B4590" s="201" t="s">
        <v>807</v>
      </c>
      <c r="C4590" s="202" t="s">
        <v>808</v>
      </c>
      <c r="D4590" s="201" t="s">
        <v>397</v>
      </c>
      <c r="E4590" s="204">
        <v>1</v>
      </c>
      <c r="F4590" s="205">
        <v>192.95</v>
      </c>
      <c r="G4590" s="252">
        <f t="shared" si="97"/>
        <v>192.95</v>
      </c>
    </row>
    <row r="4591" spans="1:7" x14ac:dyDescent="0.3">
      <c r="A4591" s="680" t="s">
        <v>1152</v>
      </c>
      <c r="B4591" s="681"/>
      <c r="C4591" s="681"/>
      <c r="D4591" s="681"/>
      <c r="E4591" s="681"/>
      <c r="F4591" s="682"/>
      <c r="G4591" s="527">
        <f>SUM(G4587:G4590)</f>
        <v>198.73999999999998</v>
      </c>
    </row>
    <row r="4592" spans="1:7" x14ac:dyDescent="0.3">
      <c r="A4592" s="683">
        <f>TRUNC(E4592*F4592,2)</f>
        <v>0</v>
      </c>
      <c r="B4592" s="684"/>
      <c r="C4592" s="684"/>
      <c r="D4592" s="684"/>
      <c r="E4592" s="684"/>
      <c r="F4592" s="684"/>
      <c r="G4592" s="685"/>
    </row>
    <row r="4593" spans="1:7" ht="43.2" x14ac:dyDescent="0.3">
      <c r="A4593" s="529" t="s">
        <v>816</v>
      </c>
      <c r="B4593" s="529">
        <v>95470</v>
      </c>
      <c r="C4593" s="530" t="s">
        <v>205</v>
      </c>
      <c r="D4593" s="529" t="s">
        <v>44</v>
      </c>
      <c r="E4593" s="252"/>
      <c r="F4593" s="531">
        <v>169.53</v>
      </c>
      <c r="G4593" s="252">
        <f t="shared" si="97"/>
        <v>0</v>
      </c>
    </row>
    <row r="4594" spans="1:7" ht="28.8" x14ac:dyDescent="0.3">
      <c r="A4594" s="524" t="s">
        <v>508</v>
      </c>
      <c r="B4594" s="524" t="s">
        <v>1837</v>
      </c>
      <c r="C4594" s="525" t="s">
        <v>1838</v>
      </c>
      <c r="D4594" s="524" t="s">
        <v>397</v>
      </c>
      <c r="E4594" s="524" t="s">
        <v>1122</v>
      </c>
      <c r="F4594" s="526" t="s">
        <v>1839</v>
      </c>
      <c r="G4594" s="252">
        <f t="shared" si="97"/>
        <v>6.61</v>
      </c>
    </row>
    <row r="4595" spans="1:7" ht="28.8" x14ac:dyDescent="0.3">
      <c r="A4595" s="524" t="s">
        <v>522</v>
      </c>
      <c r="B4595" s="524" t="s">
        <v>1840</v>
      </c>
      <c r="C4595" s="525" t="s">
        <v>1841</v>
      </c>
      <c r="D4595" s="524" t="s">
        <v>397</v>
      </c>
      <c r="E4595" s="524" t="s">
        <v>1122</v>
      </c>
      <c r="F4595" s="526" t="s">
        <v>1842</v>
      </c>
      <c r="G4595" s="252">
        <f t="shared" si="97"/>
        <v>162.91999999999999</v>
      </c>
    </row>
    <row r="4596" spans="1:7" x14ac:dyDescent="0.3">
      <c r="A4596" s="680" t="s">
        <v>1152</v>
      </c>
      <c r="B4596" s="681"/>
      <c r="C4596" s="681"/>
      <c r="D4596" s="681"/>
      <c r="E4596" s="681"/>
      <c r="F4596" s="682"/>
      <c r="G4596" s="527">
        <f>SUM(G4592:G4595)</f>
        <v>169.53</v>
      </c>
    </row>
    <row r="4597" spans="1:7" x14ac:dyDescent="0.3">
      <c r="A4597" s="683">
        <f>TRUNC(E4597*F4597,2)</f>
        <v>0</v>
      </c>
      <c r="B4597" s="684"/>
      <c r="C4597" s="684"/>
      <c r="D4597" s="684"/>
      <c r="E4597" s="684"/>
      <c r="F4597" s="684"/>
      <c r="G4597" s="685"/>
    </row>
    <row r="4598" spans="1:7" x14ac:dyDescent="0.3">
      <c r="A4598" s="529" t="s">
        <v>211</v>
      </c>
      <c r="B4598" s="529"/>
      <c r="C4598" s="530" t="s">
        <v>207</v>
      </c>
      <c r="D4598" s="529"/>
      <c r="E4598" s="252"/>
      <c r="F4598" s="531"/>
      <c r="G4598" s="252">
        <f t="shared" si="97"/>
        <v>0</v>
      </c>
    </row>
    <row r="4599" spans="1:7" ht="43.2" x14ac:dyDescent="0.3">
      <c r="A4599" s="529" t="s">
        <v>213</v>
      </c>
      <c r="B4599" s="529">
        <v>72181</v>
      </c>
      <c r="C4599" s="530" t="s">
        <v>210</v>
      </c>
      <c r="D4599" s="529" t="s">
        <v>24</v>
      </c>
      <c r="E4599" s="252"/>
      <c r="F4599" s="531">
        <v>28.84</v>
      </c>
      <c r="G4599" s="252">
        <f t="shared" si="97"/>
        <v>0</v>
      </c>
    </row>
    <row r="4600" spans="1:7" x14ac:dyDescent="0.3">
      <c r="A4600" s="524" t="s">
        <v>508</v>
      </c>
      <c r="B4600" s="524" t="s">
        <v>518</v>
      </c>
      <c r="C4600" s="525" t="s">
        <v>519</v>
      </c>
      <c r="D4600" s="524" t="s">
        <v>426</v>
      </c>
      <c r="E4600" s="524" t="s">
        <v>1528</v>
      </c>
      <c r="F4600" s="526" t="s">
        <v>521</v>
      </c>
      <c r="G4600" s="252">
        <f t="shared" si="97"/>
        <v>2.2799999999999998</v>
      </c>
    </row>
    <row r="4601" spans="1:7" x14ac:dyDescent="0.3">
      <c r="A4601" s="524" t="s">
        <v>522</v>
      </c>
      <c r="B4601" s="524" t="s">
        <v>1376</v>
      </c>
      <c r="C4601" s="525" t="s">
        <v>1377</v>
      </c>
      <c r="D4601" s="524" t="s">
        <v>32</v>
      </c>
      <c r="E4601" s="524" t="s">
        <v>1452</v>
      </c>
      <c r="F4601" s="526" t="s">
        <v>1379</v>
      </c>
      <c r="G4601" s="252">
        <f t="shared" si="97"/>
        <v>15.07</v>
      </c>
    </row>
    <row r="4602" spans="1:7" x14ac:dyDescent="0.3">
      <c r="A4602" s="524" t="s">
        <v>522</v>
      </c>
      <c r="B4602" s="524" t="s">
        <v>1359</v>
      </c>
      <c r="C4602" s="525" t="s">
        <v>801</v>
      </c>
      <c r="D4602" s="524" t="s">
        <v>32</v>
      </c>
      <c r="E4602" s="524" t="s">
        <v>1452</v>
      </c>
      <c r="F4602" s="526" t="s">
        <v>1361</v>
      </c>
      <c r="G4602" s="252">
        <f t="shared" si="97"/>
        <v>11.49</v>
      </c>
    </row>
    <row r="4603" spans="1:7" x14ac:dyDescent="0.3">
      <c r="A4603" s="680" t="s">
        <v>1152</v>
      </c>
      <c r="B4603" s="681"/>
      <c r="C4603" s="681"/>
      <c r="D4603" s="681"/>
      <c r="E4603" s="681"/>
      <c r="F4603" s="682"/>
      <c r="G4603" s="527">
        <f>SUM(G4600:G4602)</f>
        <v>28.840000000000003</v>
      </c>
    </row>
    <row r="4604" spans="1:7" x14ac:dyDescent="0.3">
      <c r="A4604" s="683">
        <f>TRUNC(E4604*F4604,2)</f>
        <v>0</v>
      </c>
      <c r="B4604" s="684"/>
      <c r="C4604" s="684"/>
      <c r="D4604" s="684"/>
      <c r="E4604" s="684"/>
      <c r="F4604" s="684"/>
      <c r="G4604" s="685"/>
    </row>
    <row r="4605" spans="1:7" x14ac:dyDescent="0.3">
      <c r="A4605" s="529" t="s">
        <v>299</v>
      </c>
      <c r="B4605" s="529"/>
      <c r="C4605" s="530" t="s">
        <v>212</v>
      </c>
      <c r="D4605" s="529"/>
      <c r="E4605" s="252"/>
      <c r="F4605" s="531"/>
      <c r="G4605" s="252">
        <f t="shared" si="97"/>
        <v>0</v>
      </c>
    </row>
    <row r="4606" spans="1:7" ht="28.8" x14ac:dyDescent="0.3">
      <c r="A4606" s="529" t="s">
        <v>300</v>
      </c>
      <c r="B4606" s="529">
        <v>96114</v>
      </c>
      <c r="C4606" s="530" t="s">
        <v>639</v>
      </c>
      <c r="D4606" s="529" t="s">
        <v>24</v>
      </c>
      <c r="E4606" s="252"/>
      <c r="F4606" s="531">
        <v>49.24</v>
      </c>
      <c r="G4606" s="252">
        <f t="shared" si="97"/>
        <v>0</v>
      </c>
    </row>
    <row r="4607" spans="1:7" ht="28.8" x14ac:dyDescent="0.3">
      <c r="A4607" s="524" t="s">
        <v>508</v>
      </c>
      <c r="B4607" s="524" t="s">
        <v>1843</v>
      </c>
      <c r="C4607" s="525" t="s">
        <v>1844</v>
      </c>
      <c r="D4607" s="524" t="s">
        <v>24</v>
      </c>
      <c r="E4607" s="606">
        <v>1</v>
      </c>
      <c r="F4607" s="526" t="s">
        <v>1845</v>
      </c>
      <c r="G4607" s="252">
        <f t="shared" si="97"/>
        <v>19.97</v>
      </c>
    </row>
    <row r="4608" spans="1:7" ht="28.8" x14ac:dyDescent="0.3">
      <c r="A4608" s="524" t="s">
        <v>508</v>
      </c>
      <c r="B4608" s="524" t="s">
        <v>1846</v>
      </c>
      <c r="C4608" s="525" t="s">
        <v>1847</v>
      </c>
      <c r="D4608" s="524" t="s">
        <v>55</v>
      </c>
      <c r="E4608" s="606">
        <v>3</v>
      </c>
      <c r="F4608" s="526" t="s">
        <v>1848</v>
      </c>
      <c r="G4608" s="252">
        <f t="shared" si="97"/>
        <v>11.79</v>
      </c>
    </row>
    <row r="4609" spans="1:7" ht="28.8" x14ac:dyDescent="0.3">
      <c r="A4609" s="524" t="s">
        <v>508</v>
      </c>
      <c r="B4609" s="524" t="s">
        <v>1849</v>
      </c>
      <c r="C4609" s="525" t="s">
        <v>1850</v>
      </c>
      <c r="D4609" s="524" t="s">
        <v>397</v>
      </c>
      <c r="E4609" s="606">
        <v>1</v>
      </c>
      <c r="F4609" s="526" t="s">
        <v>1851</v>
      </c>
      <c r="G4609" s="252">
        <f t="shared" si="97"/>
        <v>1.48</v>
      </c>
    </row>
    <row r="4610" spans="1:7" ht="28.8" x14ac:dyDescent="0.3">
      <c r="A4610" s="524" t="s">
        <v>508</v>
      </c>
      <c r="B4610" s="524" t="s">
        <v>1852</v>
      </c>
      <c r="C4610" s="525" t="s">
        <v>1853</v>
      </c>
      <c r="D4610" s="524" t="s">
        <v>55</v>
      </c>
      <c r="E4610" s="606">
        <v>1.4</v>
      </c>
      <c r="F4610" s="526" t="s">
        <v>1854</v>
      </c>
      <c r="G4610" s="252">
        <f t="shared" si="97"/>
        <v>4.1399999999999997</v>
      </c>
    </row>
    <row r="4611" spans="1:7" ht="28.8" x14ac:dyDescent="0.3">
      <c r="A4611" s="524" t="s">
        <v>508</v>
      </c>
      <c r="B4611" s="524" t="s">
        <v>1855</v>
      </c>
      <c r="C4611" s="525" t="s">
        <v>1856</v>
      </c>
      <c r="D4611" s="524" t="s">
        <v>426</v>
      </c>
      <c r="E4611" s="606">
        <v>0.5</v>
      </c>
      <c r="F4611" s="526" t="s">
        <v>1501</v>
      </c>
      <c r="G4611" s="252">
        <f t="shared" si="97"/>
        <v>1.98</v>
      </c>
    </row>
    <row r="4612" spans="1:7" ht="28.8" x14ac:dyDescent="0.3">
      <c r="A4612" s="524" t="s">
        <v>508</v>
      </c>
      <c r="B4612" s="524" t="s">
        <v>1857</v>
      </c>
      <c r="C4612" s="525" t="s">
        <v>1858</v>
      </c>
      <c r="D4612" s="524" t="s">
        <v>397</v>
      </c>
      <c r="E4612" s="606">
        <v>7</v>
      </c>
      <c r="F4612" s="526" t="s">
        <v>1327</v>
      </c>
      <c r="G4612" s="252">
        <f t="shared" si="97"/>
        <v>0.49</v>
      </c>
    </row>
    <row r="4613" spans="1:7" ht="28.8" x14ac:dyDescent="0.3">
      <c r="A4613" s="524" t="s">
        <v>508</v>
      </c>
      <c r="B4613" s="524" t="s">
        <v>1859</v>
      </c>
      <c r="C4613" s="525" t="s">
        <v>1860</v>
      </c>
      <c r="D4613" s="524" t="s">
        <v>397</v>
      </c>
      <c r="E4613" s="606">
        <v>2</v>
      </c>
      <c r="F4613" s="526" t="s">
        <v>1861</v>
      </c>
      <c r="G4613" s="252">
        <f t="shared" si="97"/>
        <v>0.32</v>
      </c>
    </row>
    <row r="4614" spans="1:7" x14ac:dyDescent="0.3">
      <c r="A4614" s="524" t="s">
        <v>508</v>
      </c>
      <c r="B4614" s="524" t="s">
        <v>1862</v>
      </c>
      <c r="C4614" s="525" t="s">
        <v>1863</v>
      </c>
      <c r="D4614" s="524" t="s">
        <v>1458</v>
      </c>
      <c r="E4614" s="524" t="s">
        <v>1864</v>
      </c>
      <c r="F4614" s="526" t="s">
        <v>1865</v>
      </c>
      <c r="G4614" s="252">
        <f t="shared" ref="G4614:G4617" si="98">TRUNC(E4614*F4614,2)</f>
        <v>0.24</v>
      </c>
    </row>
    <row r="4615" spans="1:7" ht="28.8" x14ac:dyDescent="0.3">
      <c r="A4615" s="524" t="s">
        <v>508</v>
      </c>
      <c r="B4615" s="524" t="s">
        <v>1866</v>
      </c>
      <c r="C4615" s="525" t="s">
        <v>1867</v>
      </c>
      <c r="D4615" s="524" t="s">
        <v>426</v>
      </c>
      <c r="E4615" s="524" t="s">
        <v>1868</v>
      </c>
      <c r="F4615" s="526" t="s">
        <v>1869</v>
      </c>
      <c r="G4615" s="252">
        <f t="shared" si="98"/>
        <v>0.68</v>
      </c>
    </row>
    <row r="4616" spans="1:7" x14ac:dyDescent="0.3">
      <c r="A4616" s="524" t="s">
        <v>522</v>
      </c>
      <c r="B4616" s="524" t="s">
        <v>1870</v>
      </c>
      <c r="C4616" s="525" t="s">
        <v>1871</v>
      </c>
      <c r="D4616" s="524" t="s">
        <v>32</v>
      </c>
      <c r="E4616" s="607">
        <v>0.3</v>
      </c>
      <c r="F4616" s="526" t="s">
        <v>1872</v>
      </c>
      <c r="G4616" s="252">
        <f t="shared" si="98"/>
        <v>3.84</v>
      </c>
    </row>
    <row r="4617" spans="1:7" x14ac:dyDescent="0.3">
      <c r="A4617" s="524" t="s">
        <v>522</v>
      </c>
      <c r="B4617" s="524" t="s">
        <v>1359</v>
      </c>
      <c r="C4617" s="525" t="s">
        <v>801</v>
      </c>
      <c r="D4617" s="524" t="s">
        <v>32</v>
      </c>
      <c r="E4617" s="607">
        <v>0.3</v>
      </c>
      <c r="F4617" s="526" t="s">
        <v>1361</v>
      </c>
      <c r="G4617" s="252">
        <f t="shared" si="98"/>
        <v>4.3099999999999996</v>
      </c>
    </row>
    <row r="4618" spans="1:7" x14ac:dyDescent="0.3">
      <c r="A4618" s="680" t="s">
        <v>1152</v>
      </c>
      <c r="B4618" s="681"/>
      <c r="C4618" s="681"/>
      <c r="D4618" s="681"/>
      <c r="E4618" s="681"/>
      <c r="F4618" s="682"/>
      <c r="G4618" s="527">
        <f>SUM(G4605:G4617)</f>
        <v>49.239999999999995</v>
      </c>
    </row>
    <row r="4619" spans="1:7" x14ac:dyDescent="0.3">
      <c r="A4619" s="683">
        <f>TRUNC(E4619*F4619,2)</f>
        <v>0</v>
      </c>
      <c r="B4619" s="684"/>
      <c r="C4619" s="684"/>
      <c r="D4619" s="684"/>
      <c r="E4619" s="684"/>
      <c r="F4619" s="684"/>
      <c r="G4619" s="685"/>
    </row>
    <row r="4620" spans="1:7" x14ac:dyDescent="0.3">
      <c r="A4620" s="529" t="s">
        <v>20</v>
      </c>
      <c r="B4620" s="529"/>
      <c r="C4620" s="530" t="s">
        <v>21</v>
      </c>
      <c r="D4620" s="529"/>
      <c r="E4620" s="252"/>
      <c r="F4620" s="531"/>
      <c r="G4620" s="252">
        <f t="shared" si="97"/>
        <v>0</v>
      </c>
    </row>
    <row r="4621" spans="1:7" x14ac:dyDescent="0.3">
      <c r="A4621" s="529" t="s">
        <v>22</v>
      </c>
      <c r="B4621" s="529" t="s">
        <v>39</v>
      </c>
      <c r="C4621" s="530" t="s">
        <v>40</v>
      </c>
      <c r="D4621" s="529" t="s">
        <v>41</v>
      </c>
      <c r="E4621" s="252"/>
      <c r="F4621" s="531">
        <v>209.74</v>
      </c>
      <c r="G4621" s="252">
        <f t="shared" si="97"/>
        <v>0</v>
      </c>
    </row>
    <row r="4622" spans="1:7" x14ac:dyDescent="0.3">
      <c r="A4622" s="524" t="s">
        <v>522</v>
      </c>
      <c r="B4622" s="524" t="s">
        <v>1362</v>
      </c>
      <c r="C4622" s="525" t="s">
        <v>1363</v>
      </c>
      <c r="D4622" s="524" t="s">
        <v>32</v>
      </c>
      <c r="E4622" s="603">
        <v>1.3</v>
      </c>
      <c r="F4622" s="528">
        <v>17.64</v>
      </c>
      <c r="G4622" s="252">
        <f t="shared" si="97"/>
        <v>22.93</v>
      </c>
    </row>
    <row r="4623" spans="1:7" x14ac:dyDescent="0.3">
      <c r="A4623" s="524" t="s">
        <v>522</v>
      </c>
      <c r="B4623" s="524" t="s">
        <v>1359</v>
      </c>
      <c r="C4623" s="525" t="s">
        <v>801</v>
      </c>
      <c r="D4623" s="524" t="s">
        <v>32</v>
      </c>
      <c r="E4623" s="603">
        <v>13</v>
      </c>
      <c r="F4623" s="528">
        <v>14.37</v>
      </c>
      <c r="G4623" s="252">
        <f t="shared" si="97"/>
        <v>186.81</v>
      </c>
    </row>
    <row r="4624" spans="1:7" x14ac:dyDescent="0.3">
      <c r="A4624" s="680" t="s">
        <v>1152</v>
      </c>
      <c r="B4624" s="681"/>
      <c r="C4624" s="681"/>
      <c r="D4624" s="681"/>
      <c r="E4624" s="681"/>
      <c r="F4624" s="682"/>
      <c r="G4624" s="527">
        <f>SUM(G4620:G4623)</f>
        <v>209.74</v>
      </c>
    </row>
    <row r="4625" spans="1:7" x14ac:dyDescent="0.3">
      <c r="A4625" s="683">
        <f>TRUNC(E4625*F4625,2)</f>
        <v>0</v>
      </c>
      <c r="B4625" s="684"/>
      <c r="C4625" s="684"/>
      <c r="D4625" s="684"/>
      <c r="E4625" s="684"/>
      <c r="F4625" s="684"/>
      <c r="G4625" s="685"/>
    </row>
    <row r="4626" spans="1:7" x14ac:dyDescent="0.3">
      <c r="A4626" s="529" t="s">
        <v>60</v>
      </c>
      <c r="B4626" s="529"/>
      <c r="C4626" s="530" t="s">
        <v>411</v>
      </c>
      <c r="D4626" s="529"/>
      <c r="E4626" s="252"/>
      <c r="F4626" s="531"/>
      <c r="G4626" s="252">
        <f t="shared" si="97"/>
        <v>0</v>
      </c>
    </row>
    <row r="4627" spans="1:7" ht="28.8" x14ac:dyDescent="0.3">
      <c r="A4627" s="529" t="s">
        <v>64</v>
      </c>
      <c r="B4627" s="529">
        <v>96526</v>
      </c>
      <c r="C4627" s="530" t="s">
        <v>412</v>
      </c>
      <c r="D4627" s="529" t="s">
        <v>41</v>
      </c>
      <c r="E4627" s="252"/>
      <c r="F4627" s="531">
        <v>204.77</v>
      </c>
      <c r="G4627" s="252">
        <f t="shared" si="97"/>
        <v>0</v>
      </c>
    </row>
    <row r="4628" spans="1:7" x14ac:dyDescent="0.3">
      <c r="A4628" s="524" t="s">
        <v>522</v>
      </c>
      <c r="B4628" s="524" t="s">
        <v>1362</v>
      </c>
      <c r="C4628" s="525" t="s">
        <v>1363</v>
      </c>
      <c r="D4628" s="524" t="s">
        <v>32</v>
      </c>
      <c r="E4628" s="524" t="s">
        <v>2446</v>
      </c>
      <c r="F4628" s="528" t="s">
        <v>1365</v>
      </c>
      <c r="G4628" s="252">
        <f t="shared" si="97"/>
        <v>90.78</v>
      </c>
    </row>
    <row r="4629" spans="1:7" x14ac:dyDescent="0.3">
      <c r="A4629" s="524" t="s">
        <v>522</v>
      </c>
      <c r="B4629" s="524" t="s">
        <v>1359</v>
      </c>
      <c r="C4629" s="525" t="s">
        <v>801</v>
      </c>
      <c r="D4629" s="524" t="s">
        <v>32</v>
      </c>
      <c r="E4629" s="524" t="s">
        <v>2447</v>
      </c>
      <c r="F4629" s="528" t="s">
        <v>1361</v>
      </c>
      <c r="G4629" s="252">
        <f t="shared" si="97"/>
        <v>113.99</v>
      </c>
    </row>
    <row r="4630" spans="1:7" x14ac:dyDescent="0.3">
      <c r="A4630" s="680" t="s">
        <v>1152</v>
      </c>
      <c r="B4630" s="681"/>
      <c r="C4630" s="681"/>
      <c r="D4630" s="681"/>
      <c r="E4630" s="681"/>
      <c r="F4630" s="682"/>
      <c r="G4630" s="527">
        <f>SUM(G4626:G4629)</f>
        <v>204.76999999999998</v>
      </c>
    </row>
    <row r="4631" spans="1:7" x14ac:dyDescent="0.3">
      <c r="A4631" s="683">
        <f>TRUNC(E4631*F4631,2)</f>
        <v>0</v>
      </c>
      <c r="B4631" s="684"/>
      <c r="C4631" s="684"/>
      <c r="D4631" s="684"/>
      <c r="E4631" s="684"/>
      <c r="F4631" s="684"/>
      <c r="G4631" s="685"/>
    </row>
    <row r="4632" spans="1:7" ht="43.2" x14ac:dyDescent="0.3">
      <c r="A4632" s="529" t="s">
        <v>69</v>
      </c>
      <c r="B4632" s="529">
        <v>101096</v>
      </c>
      <c r="C4632" s="530" t="s">
        <v>413</v>
      </c>
      <c r="D4632" s="529" t="s">
        <v>41</v>
      </c>
      <c r="E4632" s="252"/>
      <c r="F4632" s="531">
        <v>818.16</v>
      </c>
      <c r="G4632" s="252">
        <f t="shared" si="97"/>
        <v>0</v>
      </c>
    </row>
    <row r="4633" spans="1:7" x14ac:dyDescent="0.3">
      <c r="A4633" s="524" t="s">
        <v>522</v>
      </c>
      <c r="B4633" s="524" t="s">
        <v>1362</v>
      </c>
      <c r="C4633" s="525" t="s">
        <v>1363</v>
      </c>
      <c r="D4633" s="524" t="s">
        <v>32</v>
      </c>
      <c r="E4633" s="524" t="s">
        <v>2448</v>
      </c>
      <c r="F4633" s="528" t="s">
        <v>1365</v>
      </c>
      <c r="G4633" s="252">
        <f t="shared" si="97"/>
        <v>11.52</v>
      </c>
    </row>
    <row r="4634" spans="1:7" x14ac:dyDescent="0.3">
      <c r="A4634" s="524" t="s">
        <v>522</v>
      </c>
      <c r="B4634" s="524" t="s">
        <v>2449</v>
      </c>
      <c r="C4634" s="525" t="s">
        <v>2450</v>
      </c>
      <c r="D4634" s="524" t="s">
        <v>32</v>
      </c>
      <c r="E4634" s="524" t="s">
        <v>2451</v>
      </c>
      <c r="F4634" s="528" t="s">
        <v>2452</v>
      </c>
      <c r="G4634" s="252">
        <f t="shared" si="97"/>
        <v>130.34</v>
      </c>
    </row>
    <row r="4635" spans="1:7" x14ac:dyDescent="0.3">
      <c r="A4635" s="524" t="s">
        <v>522</v>
      </c>
      <c r="B4635" s="524" t="s">
        <v>1359</v>
      </c>
      <c r="C4635" s="525" t="s">
        <v>801</v>
      </c>
      <c r="D4635" s="524" t="s">
        <v>32</v>
      </c>
      <c r="E4635" s="524" t="s">
        <v>2453</v>
      </c>
      <c r="F4635" s="528" t="s">
        <v>1361</v>
      </c>
      <c r="G4635" s="252">
        <f t="shared" si="97"/>
        <v>22.93</v>
      </c>
    </row>
    <row r="4636" spans="1:7" x14ac:dyDescent="0.3">
      <c r="A4636" s="524" t="s">
        <v>522</v>
      </c>
      <c r="B4636" s="524" t="s">
        <v>2454</v>
      </c>
      <c r="C4636" s="525" t="s">
        <v>35</v>
      </c>
      <c r="D4636" s="524" t="s">
        <v>32</v>
      </c>
      <c r="E4636" s="524" t="s">
        <v>2455</v>
      </c>
      <c r="F4636" s="528" t="s">
        <v>2456</v>
      </c>
      <c r="G4636" s="252">
        <f t="shared" si="97"/>
        <v>47.16</v>
      </c>
    </row>
    <row r="4637" spans="1:7" x14ac:dyDescent="0.3">
      <c r="A4637" s="524" t="s">
        <v>522</v>
      </c>
      <c r="B4637" s="524" t="s">
        <v>2457</v>
      </c>
      <c r="C4637" s="525" t="s">
        <v>34</v>
      </c>
      <c r="D4637" s="524" t="s">
        <v>32</v>
      </c>
      <c r="E4637" s="524" t="s">
        <v>2458</v>
      </c>
      <c r="F4637" s="528" t="s">
        <v>2459</v>
      </c>
      <c r="G4637" s="252">
        <f t="shared" si="97"/>
        <v>75.13</v>
      </c>
    </row>
    <row r="4638" spans="1:7" ht="28.8" x14ac:dyDescent="0.3">
      <c r="A4638" s="524" t="s">
        <v>522</v>
      </c>
      <c r="B4638" s="524" t="s">
        <v>2460</v>
      </c>
      <c r="C4638" s="525" t="s">
        <v>2461</v>
      </c>
      <c r="D4638" s="524" t="s">
        <v>41</v>
      </c>
      <c r="E4638" s="524" t="s">
        <v>2462</v>
      </c>
      <c r="F4638" s="528" t="s">
        <v>2463</v>
      </c>
      <c r="G4638" s="252">
        <f t="shared" si="97"/>
        <v>390.13</v>
      </c>
    </row>
    <row r="4639" spans="1:7" ht="28.8" x14ac:dyDescent="0.3">
      <c r="A4639" s="524" t="s">
        <v>522</v>
      </c>
      <c r="B4639" s="524" t="s">
        <v>2464</v>
      </c>
      <c r="C4639" s="525" t="s">
        <v>2465</v>
      </c>
      <c r="D4639" s="524" t="s">
        <v>426</v>
      </c>
      <c r="E4639" s="524" t="s">
        <v>2466</v>
      </c>
      <c r="F4639" s="528" t="s">
        <v>2467</v>
      </c>
      <c r="G4639" s="252">
        <f t="shared" si="97"/>
        <v>23.98</v>
      </c>
    </row>
    <row r="4640" spans="1:7" ht="28.8" x14ac:dyDescent="0.3">
      <c r="A4640" s="524" t="s">
        <v>522</v>
      </c>
      <c r="B4640" s="524" t="s">
        <v>2468</v>
      </c>
      <c r="C4640" s="525" t="s">
        <v>2469</v>
      </c>
      <c r="D4640" s="524" t="s">
        <v>426</v>
      </c>
      <c r="E4640" s="524" t="s">
        <v>2470</v>
      </c>
      <c r="F4640" s="528" t="s">
        <v>2471</v>
      </c>
      <c r="G4640" s="252">
        <f t="shared" si="97"/>
        <v>83.89</v>
      </c>
    </row>
    <row r="4641" spans="1:7" ht="28.8" x14ac:dyDescent="0.3">
      <c r="A4641" s="524" t="s">
        <v>522</v>
      </c>
      <c r="B4641" s="524" t="s">
        <v>2472</v>
      </c>
      <c r="C4641" s="525" t="s">
        <v>2473</v>
      </c>
      <c r="D4641" s="524" t="s">
        <v>2474</v>
      </c>
      <c r="E4641" s="524" t="s">
        <v>2475</v>
      </c>
      <c r="F4641" s="528" t="s">
        <v>2476</v>
      </c>
      <c r="G4641" s="252">
        <f t="shared" si="97"/>
        <v>0.63</v>
      </c>
    </row>
    <row r="4642" spans="1:7" ht="28.8" x14ac:dyDescent="0.3">
      <c r="A4642" s="524" t="s">
        <v>522</v>
      </c>
      <c r="B4642" s="524" t="s">
        <v>2477</v>
      </c>
      <c r="C4642" s="525" t="s">
        <v>2478</v>
      </c>
      <c r="D4642" s="524" t="s">
        <v>2474</v>
      </c>
      <c r="E4642" s="524" t="s">
        <v>2479</v>
      </c>
      <c r="F4642" s="528" t="s">
        <v>2480</v>
      </c>
      <c r="G4642" s="252">
        <f t="shared" si="97"/>
        <v>26.6</v>
      </c>
    </row>
    <row r="4643" spans="1:7" ht="43.2" x14ac:dyDescent="0.3">
      <c r="A4643" s="524" t="s">
        <v>522</v>
      </c>
      <c r="B4643" s="524" t="s">
        <v>2481</v>
      </c>
      <c r="C4643" s="525" t="s">
        <v>2482</v>
      </c>
      <c r="D4643" s="524" t="s">
        <v>41</v>
      </c>
      <c r="E4643" s="524" t="s">
        <v>2483</v>
      </c>
      <c r="F4643" s="528" t="s">
        <v>2484</v>
      </c>
      <c r="G4643" s="252">
        <f t="shared" si="97"/>
        <v>5.85</v>
      </c>
    </row>
    <row r="4644" spans="1:7" x14ac:dyDescent="0.3">
      <c r="A4644" s="680" t="s">
        <v>1152</v>
      </c>
      <c r="B4644" s="681"/>
      <c r="C4644" s="681"/>
      <c r="D4644" s="681"/>
      <c r="E4644" s="681"/>
      <c r="F4644" s="682"/>
      <c r="G4644" s="527">
        <f>SUM(G4632:G4643)</f>
        <v>818.16000000000008</v>
      </c>
    </row>
    <row r="4645" spans="1:7" x14ac:dyDescent="0.3">
      <c r="A4645" s="683">
        <f>TRUNC(E4645*F4645,2)</f>
        <v>0</v>
      </c>
      <c r="B4645" s="684"/>
      <c r="C4645" s="684"/>
      <c r="D4645" s="684"/>
      <c r="E4645" s="684"/>
      <c r="F4645" s="684"/>
      <c r="G4645" s="685"/>
    </row>
    <row r="4646" spans="1:7" ht="28.8" x14ac:dyDescent="0.3">
      <c r="A4646" s="529" t="s">
        <v>72</v>
      </c>
      <c r="B4646" s="529" t="s">
        <v>654</v>
      </c>
      <c r="C4646" s="530" t="s">
        <v>414</v>
      </c>
      <c r="D4646" s="529" t="s">
        <v>41</v>
      </c>
      <c r="E4646" s="252"/>
      <c r="F4646" s="531">
        <v>2.46</v>
      </c>
      <c r="G4646" s="252">
        <f t="shared" si="97"/>
        <v>0</v>
      </c>
    </row>
    <row r="4647" spans="1:7" ht="28.8" x14ac:dyDescent="0.3">
      <c r="A4647" s="524" t="s">
        <v>522</v>
      </c>
      <c r="B4647" s="524" t="s">
        <v>2485</v>
      </c>
      <c r="C4647" s="525" t="s">
        <v>2486</v>
      </c>
      <c r="D4647" s="524" t="s">
        <v>410</v>
      </c>
      <c r="E4647" s="524" t="s">
        <v>2487</v>
      </c>
      <c r="F4647" s="528" t="s">
        <v>2488</v>
      </c>
      <c r="G4647" s="252">
        <f t="shared" si="97"/>
        <v>1.35</v>
      </c>
    </row>
    <row r="4648" spans="1:7" ht="28.8" x14ac:dyDescent="0.3">
      <c r="A4648" s="524" t="s">
        <v>522</v>
      </c>
      <c r="B4648" s="524" t="s">
        <v>2489</v>
      </c>
      <c r="C4648" s="525" t="s">
        <v>2490</v>
      </c>
      <c r="D4648" s="524" t="s">
        <v>410</v>
      </c>
      <c r="E4648" s="524" t="s">
        <v>2491</v>
      </c>
      <c r="F4648" s="528" t="s">
        <v>2492</v>
      </c>
      <c r="G4648" s="252">
        <f t="shared" si="97"/>
        <v>0.67</v>
      </c>
    </row>
    <row r="4649" spans="1:7" ht="28.8" x14ac:dyDescent="0.3">
      <c r="A4649" s="524" t="s">
        <v>522</v>
      </c>
      <c r="B4649" s="524" t="s">
        <v>2493</v>
      </c>
      <c r="C4649" s="525" t="s">
        <v>2494</v>
      </c>
      <c r="D4649" s="524" t="s">
        <v>1437</v>
      </c>
      <c r="E4649" s="524" t="s">
        <v>2495</v>
      </c>
      <c r="F4649" s="528" t="s">
        <v>2496</v>
      </c>
      <c r="G4649" s="252">
        <f t="shared" si="97"/>
        <v>0.18</v>
      </c>
    </row>
    <row r="4650" spans="1:7" x14ac:dyDescent="0.3">
      <c r="A4650" s="524" t="s">
        <v>522</v>
      </c>
      <c r="B4650" s="524" t="s">
        <v>1359</v>
      </c>
      <c r="C4650" s="525" t="s">
        <v>801</v>
      </c>
      <c r="D4650" s="524" t="s">
        <v>32</v>
      </c>
      <c r="E4650" s="524" t="s">
        <v>2497</v>
      </c>
      <c r="F4650" s="528" t="s">
        <v>1361</v>
      </c>
      <c r="G4650" s="252">
        <f t="shared" si="97"/>
        <v>0.26</v>
      </c>
    </row>
    <row r="4651" spans="1:7" x14ac:dyDescent="0.3">
      <c r="A4651" s="680" t="s">
        <v>1152</v>
      </c>
      <c r="B4651" s="681"/>
      <c r="C4651" s="681"/>
      <c r="D4651" s="681"/>
      <c r="E4651" s="681"/>
      <c r="F4651" s="682"/>
      <c r="G4651" s="527">
        <f>SUM(G4646:G4650)</f>
        <v>2.46</v>
      </c>
    </row>
    <row r="4652" spans="1:7" x14ac:dyDescent="0.3">
      <c r="A4652" s="683">
        <f>TRUNC(E4652*F4652,2)</f>
        <v>0</v>
      </c>
      <c r="B4652" s="684"/>
      <c r="C4652" s="684"/>
      <c r="D4652" s="684"/>
      <c r="E4652" s="684"/>
      <c r="F4652" s="684"/>
      <c r="G4652" s="685"/>
    </row>
    <row r="4653" spans="1:7" x14ac:dyDescent="0.3">
      <c r="A4653" s="529" t="s">
        <v>671</v>
      </c>
      <c r="B4653" s="529">
        <v>100574</v>
      </c>
      <c r="C4653" s="530" t="s">
        <v>415</v>
      </c>
      <c r="D4653" s="529" t="s">
        <v>41</v>
      </c>
      <c r="E4653" s="252"/>
      <c r="F4653" s="531">
        <v>0.81</v>
      </c>
      <c r="G4653" s="252">
        <f t="shared" si="97"/>
        <v>0</v>
      </c>
    </row>
    <row r="4654" spans="1:7" ht="28.8" x14ac:dyDescent="0.3">
      <c r="A4654" s="524" t="s">
        <v>522</v>
      </c>
      <c r="B4654" s="524" t="s">
        <v>2485</v>
      </c>
      <c r="C4654" s="525" t="s">
        <v>2486</v>
      </c>
      <c r="D4654" s="524" t="s">
        <v>410</v>
      </c>
      <c r="E4654" s="524" t="s">
        <v>2498</v>
      </c>
      <c r="F4654" s="528" t="s">
        <v>2488</v>
      </c>
      <c r="G4654" s="252">
        <f t="shared" si="97"/>
        <v>0.43</v>
      </c>
    </row>
    <row r="4655" spans="1:7" ht="28.8" x14ac:dyDescent="0.3">
      <c r="A4655" s="524" t="s">
        <v>522</v>
      </c>
      <c r="B4655" s="524" t="s">
        <v>2499</v>
      </c>
      <c r="C4655" s="525" t="s">
        <v>2500</v>
      </c>
      <c r="D4655" s="524" t="s">
        <v>1437</v>
      </c>
      <c r="E4655" s="524" t="s">
        <v>1043</v>
      </c>
      <c r="F4655" s="528" t="s">
        <v>2501</v>
      </c>
      <c r="G4655" s="252">
        <f t="shared" si="97"/>
        <v>0.26</v>
      </c>
    </row>
    <row r="4656" spans="1:7" x14ac:dyDescent="0.3">
      <c r="A4656" s="524" t="s">
        <v>522</v>
      </c>
      <c r="B4656" s="524" t="s">
        <v>1359</v>
      </c>
      <c r="C4656" s="525" t="s">
        <v>801</v>
      </c>
      <c r="D4656" s="524" t="s">
        <v>32</v>
      </c>
      <c r="E4656" s="524" t="s">
        <v>1643</v>
      </c>
      <c r="F4656" s="528" t="s">
        <v>1361</v>
      </c>
      <c r="G4656" s="252">
        <f t="shared" si="97"/>
        <v>0.12</v>
      </c>
    </row>
    <row r="4657" spans="1:7" x14ac:dyDescent="0.3">
      <c r="A4657" s="680" t="s">
        <v>1152</v>
      </c>
      <c r="B4657" s="681"/>
      <c r="C4657" s="681"/>
      <c r="D4657" s="681"/>
      <c r="E4657" s="681"/>
      <c r="F4657" s="682"/>
      <c r="G4657" s="527">
        <f>SUM(G4652:G4656)</f>
        <v>0.80999999999999994</v>
      </c>
    </row>
    <row r="4658" spans="1:7" x14ac:dyDescent="0.3">
      <c r="A4658" s="683">
        <f>TRUNC(E4658*F4658,2)</f>
        <v>0</v>
      </c>
      <c r="B4658" s="684"/>
      <c r="C4658" s="684"/>
      <c r="D4658" s="684"/>
      <c r="E4658" s="684"/>
      <c r="F4658" s="684"/>
      <c r="G4658" s="685"/>
    </row>
    <row r="4659" spans="1:7" x14ac:dyDescent="0.3">
      <c r="A4659" s="529" t="s">
        <v>672</v>
      </c>
      <c r="B4659" s="529" t="s">
        <v>416</v>
      </c>
      <c r="C4659" s="530" t="s">
        <v>417</v>
      </c>
      <c r="D4659" s="529" t="s">
        <v>41</v>
      </c>
      <c r="E4659" s="252"/>
      <c r="F4659" s="531">
        <v>4.55</v>
      </c>
      <c r="G4659" s="252">
        <f t="shared" si="97"/>
        <v>0</v>
      </c>
    </row>
    <row r="4660" spans="1:7" x14ac:dyDescent="0.3">
      <c r="A4660" s="524" t="s">
        <v>522</v>
      </c>
      <c r="B4660" s="524" t="s">
        <v>1362</v>
      </c>
      <c r="C4660" s="525" t="s">
        <v>1363</v>
      </c>
      <c r="D4660" s="524" t="s">
        <v>32</v>
      </c>
      <c r="E4660" s="607">
        <v>0.127</v>
      </c>
      <c r="F4660" s="528" t="s">
        <v>1365</v>
      </c>
      <c r="G4660" s="252">
        <f t="shared" si="97"/>
        <v>2.25</v>
      </c>
    </row>
    <row r="4661" spans="1:7" x14ac:dyDescent="0.3">
      <c r="A4661" s="524" t="s">
        <v>522</v>
      </c>
      <c r="B4661" s="524" t="s">
        <v>1359</v>
      </c>
      <c r="C4661" s="525" t="s">
        <v>801</v>
      </c>
      <c r="D4661" s="524" t="s">
        <v>32</v>
      </c>
      <c r="E4661" s="607">
        <v>0.15</v>
      </c>
      <c r="F4661" s="528" t="s">
        <v>1361</v>
      </c>
      <c r="G4661" s="252">
        <f t="shared" si="97"/>
        <v>2.15</v>
      </c>
    </row>
    <row r="4662" spans="1:7" ht="28.8" x14ac:dyDescent="0.3">
      <c r="A4662" s="524" t="s">
        <v>522</v>
      </c>
      <c r="B4662" s="524" t="s">
        <v>2503</v>
      </c>
      <c r="C4662" s="525" t="s">
        <v>2504</v>
      </c>
      <c r="D4662" s="524" t="s">
        <v>410</v>
      </c>
      <c r="E4662" s="524" t="s">
        <v>2063</v>
      </c>
      <c r="F4662" s="528" t="s">
        <v>2505</v>
      </c>
      <c r="G4662" s="252">
        <f t="shared" si="97"/>
        <v>0.13</v>
      </c>
    </row>
    <row r="4663" spans="1:7" ht="28.8" x14ac:dyDescent="0.3">
      <c r="A4663" s="524" t="s">
        <v>522</v>
      </c>
      <c r="B4663" s="524" t="s">
        <v>2506</v>
      </c>
      <c r="C4663" s="525" t="s">
        <v>2507</v>
      </c>
      <c r="D4663" s="524" t="s">
        <v>1437</v>
      </c>
      <c r="E4663" s="524" t="s">
        <v>2289</v>
      </c>
      <c r="F4663" s="528" t="s">
        <v>2508</v>
      </c>
      <c r="G4663" s="252">
        <f t="shared" si="97"/>
        <v>0.02</v>
      </c>
    </row>
    <row r="4664" spans="1:7" x14ac:dyDescent="0.3">
      <c r="A4664" s="680" t="s">
        <v>1152</v>
      </c>
      <c r="B4664" s="681"/>
      <c r="C4664" s="681"/>
      <c r="D4664" s="681"/>
      <c r="E4664" s="681"/>
      <c r="F4664" s="682"/>
      <c r="G4664" s="527">
        <f>SUM(G4659:G4663)</f>
        <v>4.55</v>
      </c>
    </row>
    <row r="4665" spans="1:7" x14ac:dyDescent="0.3">
      <c r="A4665" s="683">
        <f>TRUNC(E4665*F4665,2)</f>
        <v>0</v>
      </c>
      <c r="B4665" s="684"/>
      <c r="C4665" s="684"/>
      <c r="D4665" s="684"/>
      <c r="E4665" s="684"/>
      <c r="F4665" s="684"/>
      <c r="G4665" s="685"/>
    </row>
    <row r="4666" spans="1:7" x14ac:dyDescent="0.3">
      <c r="A4666" s="529" t="s">
        <v>673</v>
      </c>
      <c r="B4666" s="529">
        <v>96995</v>
      </c>
      <c r="C4666" s="530" t="s">
        <v>418</v>
      </c>
      <c r="D4666" s="529" t="s">
        <v>41</v>
      </c>
      <c r="E4666" s="252"/>
      <c r="F4666" s="531">
        <v>34.46</v>
      </c>
      <c r="G4666" s="252">
        <f t="shared" si="97"/>
        <v>0</v>
      </c>
    </row>
    <row r="4667" spans="1:7" x14ac:dyDescent="0.3">
      <c r="A4667" s="524" t="s">
        <v>522</v>
      </c>
      <c r="B4667" s="524" t="s">
        <v>1359</v>
      </c>
      <c r="C4667" s="525" t="s">
        <v>801</v>
      </c>
      <c r="D4667" s="524" t="s">
        <v>32</v>
      </c>
      <c r="E4667" s="524" t="s">
        <v>2509</v>
      </c>
      <c r="F4667" s="528" t="s">
        <v>1361</v>
      </c>
      <c r="G4667" s="252">
        <f t="shared" si="97"/>
        <v>34.46</v>
      </c>
    </row>
    <row r="4668" spans="1:7" x14ac:dyDescent="0.3">
      <c r="A4668" s="680" t="s">
        <v>1152</v>
      </c>
      <c r="B4668" s="681"/>
      <c r="C4668" s="681"/>
      <c r="D4668" s="681"/>
      <c r="E4668" s="681"/>
      <c r="F4668" s="682"/>
      <c r="G4668" s="527">
        <f>SUM(G4666:G4667)</f>
        <v>34.46</v>
      </c>
    </row>
    <row r="4669" spans="1:7" x14ac:dyDescent="0.3">
      <c r="A4669" s="683">
        <f>TRUNC(E4669*F4669,2)</f>
        <v>0</v>
      </c>
      <c r="B4669" s="684"/>
      <c r="C4669" s="684"/>
      <c r="D4669" s="684"/>
      <c r="E4669" s="684"/>
      <c r="F4669" s="684"/>
      <c r="G4669" s="685"/>
    </row>
    <row r="4670" spans="1:7" ht="28.8" x14ac:dyDescent="0.3">
      <c r="A4670" s="529" t="s">
        <v>709</v>
      </c>
      <c r="B4670" s="529">
        <v>94097</v>
      </c>
      <c r="C4670" s="530" t="s">
        <v>419</v>
      </c>
      <c r="D4670" s="529" t="s">
        <v>24</v>
      </c>
      <c r="E4670" s="252"/>
      <c r="F4670" s="531">
        <v>4.17</v>
      </c>
      <c r="G4670" s="252">
        <f t="shared" si="97"/>
        <v>0</v>
      </c>
    </row>
    <row r="4671" spans="1:7" x14ac:dyDescent="0.3">
      <c r="A4671" s="524" t="s">
        <v>522</v>
      </c>
      <c r="B4671" s="524" t="s">
        <v>1362</v>
      </c>
      <c r="C4671" s="525" t="s">
        <v>1363</v>
      </c>
      <c r="D4671" s="524" t="s">
        <v>32</v>
      </c>
      <c r="E4671" s="524" t="s">
        <v>2510</v>
      </c>
      <c r="F4671" s="528" t="s">
        <v>1365</v>
      </c>
      <c r="G4671" s="252">
        <f t="shared" si="97"/>
        <v>1.84</v>
      </c>
    </row>
    <row r="4672" spans="1:7" x14ac:dyDescent="0.3">
      <c r="A4672" s="524" t="s">
        <v>522</v>
      </c>
      <c r="B4672" s="524" t="s">
        <v>1359</v>
      </c>
      <c r="C4672" s="525" t="s">
        <v>801</v>
      </c>
      <c r="D4672" s="524" t="s">
        <v>32</v>
      </c>
      <c r="E4672" s="524" t="s">
        <v>2511</v>
      </c>
      <c r="F4672" s="528" t="s">
        <v>1361</v>
      </c>
      <c r="G4672" s="252">
        <f t="shared" si="97"/>
        <v>2.2400000000000002</v>
      </c>
    </row>
    <row r="4673" spans="1:7" ht="28.8" x14ac:dyDescent="0.3">
      <c r="A4673" s="524" t="s">
        <v>522</v>
      </c>
      <c r="B4673" s="524" t="s">
        <v>2512</v>
      </c>
      <c r="C4673" s="525" t="s">
        <v>2513</v>
      </c>
      <c r="D4673" s="524" t="s">
        <v>410</v>
      </c>
      <c r="E4673" s="524" t="s">
        <v>2498</v>
      </c>
      <c r="F4673" s="528" t="s">
        <v>2514</v>
      </c>
      <c r="G4673" s="252">
        <f t="shared" si="97"/>
        <v>0.05</v>
      </c>
    </row>
    <row r="4674" spans="1:7" ht="28.8" x14ac:dyDescent="0.3">
      <c r="A4674" s="524" t="s">
        <v>522</v>
      </c>
      <c r="B4674" s="524" t="s">
        <v>2515</v>
      </c>
      <c r="C4674" s="525" t="s">
        <v>2516</v>
      </c>
      <c r="D4674" s="524" t="s">
        <v>1437</v>
      </c>
      <c r="E4674" s="524" t="s">
        <v>2498</v>
      </c>
      <c r="F4674" s="528" t="s">
        <v>2517</v>
      </c>
      <c r="G4674" s="252">
        <f t="shared" si="97"/>
        <v>0.04</v>
      </c>
    </row>
    <row r="4675" spans="1:7" x14ac:dyDescent="0.3">
      <c r="A4675" s="680" t="s">
        <v>1152</v>
      </c>
      <c r="B4675" s="681"/>
      <c r="C4675" s="681"/>
      <c r="D4675" s="681"/>
      <c r="E4675" s="681"/>
      <c r="F4675" s="682"/>
      <c r="G4675" s="527">
        <f>SUM(G4670:G4674)</f>
        <v>4.17</v>
      </c>
    </row>
    <row r="4676" spans="1:7" x14ac:dyDescent="0.3">
      <c r="A4676" s="683">
        <f>TRUNC(E4676*F4676,2)</f>
        <v>0</v>
      </c>
      <c r="B4676" s="684"/>
      <c r="C4676" s="684"/>
      <c r="D4676" s="684"/>
      <c r="E4676" s="684"/>
      <c r="F4676" s="684"/>
      <c r="G4676" s="685"/>
    </row>
    <row r="4677" spans="1:7" x14ac:dyDescent="0.3">
      <c r="A4677" s="529" t="s">
        <v>74</v>
      </c>
      <c r="B4677" s="529"/>
      <c r="C4677" s="530" t="s">
        <v>420</v>
      </c>
      <c r="D4677" s="529"/>
      <c r="E4677" s="252"/>
      <c r="F4677" s="531"/>
      <c r="G4677" s="252">
        <f t="shared" si="97"/>
        <v>0</v>
      </c>
    </row>
    <row r="4678" spans="1:7" ht="28.8" x14ac:dyDescent="0.3">
      <c r="A4678" s="529" t="s">
        <v>77</v>
      </c>
      <c r="B4678" s="529">
        <v>94962</v>
      </c>
      <c r="C4678" s="530" t="s">
        <v>421</v>
      </c>
      <c r="D4678" s="529" t="s">
        <v>41</v>
      </c>
      <c r="E4678" s="252"/>
      <c r="F4678" s="531">
        <v>255.79</v>
      </c>
      <c r="G4678" s="252">
        <f t="shared" si="97"/>
        <v>0</v>
      </c>
    </row>
    <row r="4679" spans="1:7" ht="28.8" x14ac:dyDescent="0.3">
      <c r="A4679" s="524" t="s">
        <v>508</v>
      </c>
      <c r="B4679" s="524" t="s">
        <v>1536</v>
      </c>
      <c r="C4679" s="525" t="s">
        <v>1537</v>
      </c>
      <c r="D4679" s="524" t="s">
        <v>41</v>
      </c>
      <c r="E4679" s="524" t="s">
        <v>2518</v>
      </c>
      <c r="F4679" s="528" t="s">
        <v>1539</v>
      </c>
      <c r="G4679" s="252">
        <f t="shared" si="97"/>
        <v>51.68</v>
      </c>
    </row>
    <row r="4680" spans="1:7" x14ac:dyDescent="0.3">
      <c r="A4680" s="524" t="s">
        <v>508</v>
      </c>
      <c r="B4680" s="524" t="s">
        <v>1540</v>
      </c>
      <c r="C4680" s="525" t="s">
        <v>1541</v>
      </c>
      <c r="D4680" s="524" t="s">
        <v>426</v>
      </c>
      <c r="E4680" s="524" t="s">
        <v>2519</v>
      </c>
      <c r="F4680" s="528" t="s">
        <v>1543</v>
      </c>
      <c r="G4680" s="252">
        <f t="shared" si="97"/>
        <v>103.88</v>
      </c>
    </row>
    <row r="4681" spans="1:7" x14ac:dyDescent="0.3">
      <c r="A4681" s="524" t="s">
        <v>508</v>
      </c>
      <c r="B4681" s="524" t="s">
        <v>2335</v>
      </c>
      <c r="C4681" s="525" t="s">
        <v>2336</v>
      </c>
      <c r="D4681" s="524" t="s">
        <v>41</v>
      </c>
      <c r="E4681" s="524" t="s">
        <v>2520</v>
      </c>
      <c r="F4681" s="528" t="s">
        <v>2337</v>
      </c>
      <c r="G4681" s="252">
        <f t="shared" si="97"/>
        <v>46.24</v>
      </c>
    </row>
    <row r="4682" spans="1:7" x14ac:dyDescent="0.3">
      <c r="A4682" s="524" t="s">
        <v>522</v>
      </c>
      <c r="B4682" s="524" t="s">
        <v>1359</v>
      </c>
      <c r="C4682" s="525" t="s">
        <v>801</v>
      </c>
      <c r="D4682" s="524" t="s">
        <v>32</v>
      </c>
      <c r="E4682" s="524" t="s">
        <v>2521</v>
      </c>
      <c r="F4682" s="528" t="s">
        <v>1361</v>
      </c>
      <c r="G4682" s="252">
        <f t="shared" si="97"/>
        <v>33.619999999999997</v>
      </c>
    </row>
    <row r="4683" spans="1:7" ht="28.8" x14ac:dyDescent="0.3">
      <c r="A4683" s="524" t="s">
        <v>522</v>
      </c>
      <c r="B4683" s="524" t="s">
        <v>2522</v>
      </c>
      <c r="C4683" s="525" t="s">
        <v>2523</v>
      </c>
      <c r="D4683" s="524" t="s">
        <v>32</v>
      </c>
      <c r="E4683" s="524" t="s">
        <v>2524</v>
      </c>
      <c r="F4683" s="528" t="s">
        <v>2525</v>
      </c>
      <c r="G4683" s="252">
        <f t="shared" si="97"/>
        <v>19.059999999999999</v>
      </c>
    </row>
    <row r="4684" spans="1:7" ht="43.2" x14ac:dyDescent="0.3">
      <c r="A4684" s="524" t="s">
        <v>522</v>
      </c>
      <c r="B4684" s="524" t="s">
        <v>2526</v>
      </c>
      <c r="C4684" s="525" t="s">
        <v>2527</v>
      </c>
      <c r="D4684" s="524" t="s">
        <v>410</v>
      </c>
      <c r="E4684" s="524" t="s">
        <v>2528</v>
      </c>
      <c r="F4684" s="528" t="s">
        <v>2529</v>
      </c>
      <c r="G4684" s="252">
        <f t="shared" si="97"/>
        <v>1.1299999999999999</v>
      </c>
    </row>
    <row r="4685" spans="1:7" ht="43.2" x14ac:dyDescent="0.3">
      <c r="A4685" s="524" t="s">
        <v>522</v>
      </c>
      <c r="B4685" s="524" t="s">
        <v>2530</v>
      </c>
      <c r="C4685" s="525" t="s">
        <v>2531</v>
      </c>
      <c r="D4685" s="524" t="s">
        <v>1437</v>
      </c>
      <c r="E4685" s="524" t="s">
        <v>2532</v>
      </c>
      <c r="F4685" s="528" t="s">
        <v>1354</v>
      </c>
      <c r="G4685" s="252">
        <f t="shared" si="97"/>
        <v>0.18</v>
      </c>
    </row>
    <row r="4686" spans="1:7" x14ac:dyDescent="0.3">
      <c r="A4686" s="680" t="s">
        <v>1152</v>
      </c>
      <c r="B4686" s="681"/>
      <c r="C4686" s="681"/>
      <c r="D4686" s="681"/>
      <c r="E4686" s="681"/>
      <c r="F4686" s="682"/>
      <c r="G4686" s="527">
        <f>SUM(G4677:G4685)</f>
        <v>255.79000000000002</v>
      </c>
    </row>
    <row r="4687" spans="1:7" x14ac:dyDescent="0.3">
      <c r="A4687" s="683">
        <f>TRUNC(E4687*F4687,2)</f>
        <v>0</v>
      </c>
      <c r="B4687" s="684"/>
      <c r="C4687" s="684"/>
      <c r="D4687" s="684"/>
      <c r="E4687" s="684"/>
      <c r="F4687" s="684"/>
      <c r="G4687" s="685"/>
    </row>
    <row r="4688" spans="1:7" x14ac:dyDescent="0.3">
      <c r="A4688" s="529" t="s">
        <v>83</v>
      </c>
      <c r="B4688" s="529">
        <v>96533</v>
      </c>
      <c r="C4688" s="530" t="s">
        <v>422</v>
      </c>
      <c r="D4688" s="529" t="s">
        <v>24</v>
      </c>
      <c r="E4688" s="252"/>
      <c r="F4688" s="531">
        <v>57.82</v>
      </c>
      <c r="G4688" s="252">
        <f t="shared" si="97"/>
        <v>0</v>
      </c>
    </row>
    <row r="4689" spans="1:7" ht="28.8" x14ac:dyDescent="0.3">
      <c r="A4689" s="524" t="s">
        <v>508</v>
      </c>
      <c r="B4689" s="524" t="s">
        <v>1390</v>
      </c>
      <c r="C4689" s="525" t="s">
        <v>1391</v>
      </c>
      <c r="D4689" s="524" t="s">
        <v>1392</v>
      </c>
      <c r="E4689" s="524" t="s">
        <v>2533</v>
      </c>
      <c r="F4689" s="528" t="s">
        <v>1394</v>
      </c>
      <c r="G4689" s="252">
        <f t="shared" si="97"/>
        <v>0.08</v>
      </c>
    </row>
    <row r="4690" spans="1:7" ht="28.8" x14ac:dyDescent="0.3">
      <c r="A4690" s="524" t="s">
        <v>508</v>
      </c>
      <c r="B4690" s="524" t="s">
        <v>2534</v>
      </c>
      <c r="C4690" s="525" t="s">
        <v>2535</v>
      </c>
      <c r="D4690" s="524" t="s">
        <v>55</v>
      </c>
      <c r="E4690" s="524" t="s">
        <v>2536</v>
      </c>
      <c r="F4690" s="528" t="s">
        <v>2537</v>
      </c>
      <c r="G4690" s="252">
        <f t="shared" si="97"/>
        <v>6.56</v>
      </c>
    </row>
    <row r="4691" spans="1:7" ht="28.8" x14ac:dyDescent="0.3">
      <c r="A4691" s="524" t="s">
        <v>508</v>
      </c>
      <c r="B4691" s="524" t="s">
        <v>1479</v>
      </c>
      <c r="C4691" s="525" t="s">
        <v>1480</v>
      </c>
      <c r="D4691" s="524" t="s">
        <v>55</v>
      </c>
      <c r="E4691" s="524" t="s">
        <v>2538</v>
      </c>
      <c r="F4691" s="528" t="s">
        <v>1482</v>
      </c>
      <c r="G4691" s="252">
        <f t="shared" si="97"/>
        <v>2.2000000000000002</v>
      </c>
    </row>
    <row r="4692" spans="1:7" x14ac:dyDescent="0.3">
      <c r="A4692" s="524" t="s">
        <v>508</v>
      </c>
      <c r="B4692" s="524" t="s">
        <v>2539</v>
      </c>
      <c r="C4692" s="525" t="s">
        <v>2540</v>
      </c>
      <c r="D4692" s="524" t="s">
        <v>426</v>
      </c>
      <c r="E4692" s="524" t="s">
        <v>2541</v>
      </c>
      <c r="F4692" s="528" t="s">
        <v>2542</v>
      </c>
      <c r="G4692" s="252">
        <f t="shared" si="97"/>
        <v>0.56999999999999995</v>
      </c>
    </row>
    <row r="4693" spans="1:7" ht="28.8" x14ac:dyDescent="0.3">
      <c r="A4693" s="524" t="s">
        <v>508</v>
      </c>
      <c r="B4693" s="524" t="s">
        <v>2543</v>
      </c>
      <c r="C4693" s="525" t="s">
        <v>2544</v>
      </c>
      <c r="D4693" s="524" t="s">
        <v>55</v>
      </c>
      <c r="E4693" s="524" t="s">
        <v>2545</v>
      </c>
      <c r="F4693" s="528" t="s">
        <v>2546</v>
      </c>
      <c r="G4693" s="252">
        <f t="shared" si="97"/>
        <v>16.86</v>
      </c>
    </row>
    <row r="4694" spans="1:7" x14ac:dyDescent="0.3">
      <c r="A4694" s="524" t="s">
        <v>508</v>
      </c>
      <c r="B4694" s="524" t="s">
        <v>2547</v>
      </c>
      <c r="C4694" s="525" t="s">
        <v>2548</v>
      </c>
      <c r="D4694" s="524" t="s">
        <v>426</v>
      </c>
      <c r="E4694" s="524" t="s">
        <v>1658</v>
      </c>
      <c r="F4694" s="528" t="s">
        <v>2549</v>
      </c>
      <c r="G4694" s="252">
        <f t="shared" si="97"/>
        <v>0.48</v>
      </c>
    </row>
    <row r="4695" spans="1:7" x14ac:dyDescent="0.3">
      <c r="A4695" s="524" t="s">
        <v>522</v>
      </c>
      <c r="B4695" s="524" t="s">
        <v>523</v>
      </c>
      <c r="C4695" s="525" t="s">
        <v>524</v>
      </c>
      <c r="D4695" s="524" t="s">
        <v>32</v>
      </c>
      <c r="E4695" s="524" t="s">
        <v>1636</v>
      </c>
      <c r="F4695" s="528" t="s">
        <v>526</v>
      </c>
      <c r="G4695" s="252">
        <f t="shared" si="97"/>
        <v>7.45</v>
      </c>
    </row>
    <row r="4696" spans="1:7" x14ac:dyDescent="0.3">
      <c r="A4696" s="524" t="s">
        <v>522</v>
      </c>
      <c r="B4696" s="524" t="s">
        <v>527</v>
      </c>
      <c r="C4696" s="525" t="s">
        <v>528</v>
      </c>
      <c r="D4696" s="524" t="s">
        <v>32</v>
      </c>
      <c r="E4696" s="524" t="s">
        <v>2550</v>
      </c>
      <c r="F4696" s="528" t="s">
        <v>530</v>
      </c>
      <c r="G4696" s="252">
        <f t="shared" si="97"/>
        <v>22.73</v>
      </c>
    </row>
    <row r="4697" spans="1:7" ht="28.8" x14ac:dyDescent="0.3">
      <c r="A4697" s="524" t="s">
        <v>522</v>
      </c>
      <c r="B4697" s="524" t="s">
        <v>531</v>
      </c>
      <c r="C4697" s="525" t="s">
        <v>532</v>
      </c>
      <c r="D4697" s="524" t="s">
        <v>410</v>
      </c>
      <c r="E4697" s="524" t="s">
        <v>2551</v>
      </c>
      <c r="F4697" s="528" t="s">
        <v>534</v>
      </c>
      <c r="G4697" s="252">
        <f t="shared" si="97"/>
        <v>0.51</v>
      </c>
    </row>
    <row r="4698" spans="1:7" ht="28.8" x14ac:dyDescent="0.3">
      <c r="A4698" s="524" t="s">
        <v>522</v>
      </c>
      <c r="B4698" s="524" t="s">
        <v>2552</v>
      </c>
      <c r="C4698" s="525" t="s">
        <v>2553</v>
      </c>
      <c r="D4698" s="524" t="s">
        <v>1437</v>
      </c>
      <c r="E4698" s="524" t="s">
        <v>2554</v>
      </c>
      <c r="F4698" s="528" t="s">
        <v>2555</v>
      </c>
      <c r="G4698" s="252">
        <f t="shared" si="97"/>
        <v>0.38</v>
      </c>
    </row>
    <row r="4699" spans="1:7" x14ac:dyDescent="0.3">
      <c r="A4699" s="680" t="s">
        <v>1152</v>
      </c>
      <c r="B4699" s="681"/>
      <c r="C4699" s="681"/>
      <c r="D4699" s="681"/>
      <c r="E4699" s="681"/>
      <c r="F4699" s="682"/>
      <c r="G4699" s="527">
        <f>SUM(G4688:G4698)</f>
        <v>57.820000000000007</v>
      </c>
    </row>
    <row r="4700" spans="1:7" x14ac:dyDescent="0.3">
      <c r="A4700" s="683">
        <f>TRUNC(E4700*F4700,2)</f>
        <v>0</v>
      </c>
      <c r="B4700" s="684"/>
      <c r="C4700" s="684"/>
      <c r="D4700" s="684"/>
      <c r="E4700" s="684"/>
      <c r="F4700" s="684"/>
      <c r="G4700" s="685"/>
    </row>
    <row r="4701" spans="1:7" ht="28.8" x14ac:dyDescent="0.3">
      <c r="A4701" s="529" t="s">
        <v>322</v>
      </c>
      <c r="B4701" s="529">
        <v>94965</v>
      </c>
      <c r="C4701" s="530" t="s">
        <v>423</v>
      </c>
      <c r="D4701" s="529" t="s">
        <v>41</v>
      </c>
      <c r="E4701" s="252"/>
      <c r="F4701" s="531">
        <v>323.58999999999997</v>
      </c>
      <c r="G4701" s="252">
        <f t="shared" si="97"/>
        <v>0</v>
      </c>
    </row>
    <row r="4702" spans="1:7" ht="28.8" x14ac:dyDescent="0.3">
      <c r="A4702" s="524" t="s">
        <v>508</v>
      </c>
      <c r="B4702" s="524" t="s">
        <v>1536</v>
      </c>
      <c r="C4702" s="525" t="s">
        <v>1537</v>
      </c>
      <c r="D4702" s="524" t="s">
        <v>41</v>
      </c>
      <c r="E4702" s="524" t="s">
        <v>2556</v>
      </c>
      <c r="F4702" s="528" t="s">
        <v>1539</v>
      </c>
      <c r="G4702" s="252">
        <f t="shared" si="97"/>
        <v>45.18</v>
      </c>
    </row>
    <row r="4703" spans="1:7" x14ac:dyDescent="0.3">
      <c r="A4703" s="524" t="s">
        <v>508</v>
      </c>
      <c r="B4703" s="524" t="s">
        <v>1540</v>
      </c>
      <c r="C4703" s="525" t="s">
        <v>1541</v>
      </c>
      <c r="D4703" s="524" t="s">
        <v>426</v>
      </c>
      <c r="E4703" s="524" t="s">
        <v>2557</v>
      </c>
      <c r="F4703" s="528" t="s">
        <v>1543</v>
      </c>
      <c r="G4703" s="252">
        <f t="shared" si="97"/>
        <v>177.7</v>
      </c>
    </row>
    <row r="4704" spans="1:7" x14ac:dyDescent="0.3">
      <c r="A4704" s="524" t="s">
        <v>508</v>
      </c>
      <c r="B4704" s="524" t="s">
        <v>2335</v>
      </c>
      <c r="C4704" s="525" t="s">
        <v>2336</v>
      </c>
      <c r="D4704" s="524" t="s">
        <v>41</v>
      </c>
      <c r="E4704" s="524" t="s">
        <v>2558</v>
      </c>
      <c r="F4704" s="528" t="s">
        <v>2337</v>
      </c>
      <c r="G4704" s="252">
        <f t="shared" si="97"/>
        <v>47.44</v>
      </c>
    </row>
    <row r="4705" spans="1:7" x14ac:dyDescent="0.3">
      <c r="A4705" s="524" t="s">
        <v>522</v>
      </c>
      <c r="B4705" s="524" t="s">
        <v>1359</v>
      </c>
      <c r="C4705" s="525" t="s">
        <v>801</v>
      </c>
      <c r="D4705" s="524" t="s">
        <v>32</v>
      </c>
      <c r="E4705" s="524" t="s">
        <v>2559</v>
      </c>
      <c r="F4705" s="528" t="s">
        <v>1361</v>
      </c>
      <c r="G4705" s="252">
        <f t="shared" si="97"/>
        <v>33.19</v>
      </c>
    </row>
    <row r="4706" spans="1:7" ht="28.8" x14ac:dyDescent="0.3">
      <c r="A4706" s="524" t="s">
        <v>522</v>
      </c>
      <c r="B4706" s="524" t="s">
        <v>2522</v>
      </c>
      <c r="C4706" s="525" t="s">
        <v>2523</v>
      </c>
      <c r="D4706" s="524" t="s">
        <v>32</v>
      </c>
      <c r="E4706" s="524" t="s">
        <v>2560</v>
      </c>
      <c r="F4706" s="528" t="s">
        <v>2525</v>
      </c>
      <c r="G4706" s="252">
        <f t="shared" si="97"/>
        <v>18.8</v>
      </c>
    </row>
    <row r="4707" spans="1:7" ht="43.2" x14ac:dyDescent="0.3">
      <c r="A4707" s="524" t="s">
        <v>522</v>
      </c>
      <c r="B4707" s="524" t="s">
        <v>2526</v>
      </c>
      <c r="C4707" s="525" t="s">
        <v>2527</v>
      </c>
      <c r="D4707" s="524" t="s">
        <v>410</v>
      </c>
      <c r="E4707" s="524" t="s">
        <v>1570</v>
      </c>
      <c r="F4707" s="528" t="s">
        <v>2529</v>
      </c>
      <c r="G4707" s="252">
        <f t="shared" si="97"/>
        <v>1.1100000000000001</v>
      </c>
    </row>
    <row r="4708" spans="1:7" ht="43.2" x14ac:dyDescent="0.3">
      <c r="A4708" s="524" t="s">
        <v>522</v>
      </c>
      <c r="B4708" s="524" t="s">
        <v>2530</v>
      </c>
      <c r="C4708" s="525" t="s">
        <v>2531</v>
      </c>
      <c r="D4708" s="524" t="s">
        <v>1437</v>
      </c>
      <c r="E4708" s="524" t="s">
        <v>2561</v>
      </c>
      <c r="F4708" s="528" t="s">
        <v>1354</v>
      </c>
      <c r="G4708" s="252">
        <f t="shared" si="97"/>
        <v>0.17</v>
      </c>
    </row>
    <row r="4709" spans="1:7" x14ac:dyDescent="0.3">
      <c r="A4709" s="680" t="s">
        <v>1152</v>
      </c>
      <c r="B4709" s="681"/>
      <c r="C4709" s="681"/>
      <c r="D4709" s="681"/>
      <c r="E4709" s="681"/>
      <c r="F4709" s="682"/>
      <c r="G4709" s="527">
        <f>SUM(G4701:G4708)</f>
        <v>323.59000000000003</v>
      </c>
    </row>
    <row r="4710" spans="1:7" x14ac:dyDescent="0.3">
      <c r="A4710" s="683">
        <f>TRUNC(E4710*F4710,2)</f>
        <v>0</v>
      </c>
      <c r="B4710" s="684"/>
      <c r="C4710" s="684"/>
      <c r="D4710" s="684"/>
      <c r="E4710" s="684"/>
      <c r="F4710" s="684"/>
      <c r="G4710" s="685"/>
    </row>
    <row r="4711" spans="1:7" x14ac:dyDescent="0.3">
      <c r="A4711" s="529" t="s">
        <v>323</v>
      </c>
      <c r="B4711" s="529">
        <v>92873</v>
      </c>
      <c r="C4711" s="530" t="s">
        <v>424</v>
      </c>
      <c r="D4711" s="529" t="s">
        <v>41</v>
      </c>
      <c r="E4711" s="252"/>
      <c r="F4711" s="531">
        <v>146.29</v>
      </c>
      <c r="G4711" s="252">
        <f t="shared" si="97"/>
        <v>0</v>
      </c>
    </row>
    <row r="4712" spans="1:7" x14ac:dyDescent="0.3">
      <c r="A4712" s="524" t="s">
        <v>522</v>
      </c>
      <c r="B4712" s="524" t="s">
        <v>527</v>
      </c>
      <c r="C4712" s="525" t="s">
        <v>528</v>
      </c>
      <c r="D4712" s="524" t="s">
        <v>32</v>
      </c>
      <c r="E4712" s="524" t="s">
        <v>2562</v>
      </c>
      <c r="F4712" s="528" t="s">
        <v>530</v>
      </c>
      <c r="G4712" s="252">
        <f t="shared" si="97"/>
        <v>32.56</v>
      </c>
    </row>
    <row r="4713" spans="1:7" x14ac:dyDescent="0.3">
      <c r="A4713" s="524" t="s">
        <v>522</v>
      </c>
      <c r="B4713" s="524" t="s">
        <v>1362</v>
      </c>
      <c r="C4713" s="525" t="s">
        <v>1363</v>
      </c>
      <c r="D4713" s="524" t="s">
        <v>32</v>
      </c>
      <c r="E4713" s="524" t="s">
        <v>2562</v>
      </c>
      <c r="F4713" s="528" t="s">
        <v>1365</v>
      </c>
      <c r="G4713" s="252">
        <f t="shared" si="97"/>
        <v>32.78</v>
      </c>
    </row>
    <row r="4714" spans="1:7" x14ac:dyDescent="0.3">
      <c r="A4714" s="524" t="s">
        <v>522</v>
      </c>
      <c r="B4714" s="524" t="s">
        <v>1359</v>
      </c>
      <c r="C4714" s="525" t="s">
        <v>801</v>
      </c>
      <c r="D4714" s="524" t="s">
        <v>32</v>
      </c>
      <c r="E4714" s="524" t="s">
        <v>2563</v>
      </c>
      <c r="F4714" s="528" t="s">
        <v>1361</v>
      </c>
      <c r="G4714" s="252">
        <f t="shared" si="97"/>
        <v>79.58</v>
      </c>
    </row>
    <row r="4715" spans="1:7" ht="28.8" x14ac:dyDescent="0.3">
      <c r="A4715" s="524" t="s">
        <v>522</v>
      </c>
      <c r="B4715" s="524" t="s">
        <v>2564</v>
      </c>
      <c r="C4715" s="525" t="s">
        <v>2565</v>
      </c>
      <c r="D4715" s="524" t="s">
        <v>410</v>
      </c>
      <c r="E4715" s="524" t="s">
        <v>1591</v>
      </c>
      <c r="F4715" s="528" t="s">
        <v>2566</v>
      </c>
      <c r="G4715" s="252">
        <f t="shared" si="97"/>
        <v>1.02</v>
      </c>
    </row>
    <row r="4716" spans="1:7" ht="28.8" x14ac:dyDescent="0.3">
      <c r="A4716" s="524" t="s">
        <v>522</v>
      </c>
      <c r="B4716" s="524" t="s">
        <v>2567</v>
      </c>
      <c r="C4716" s="525" t="s">
        <v>2568</v>
      </c>
      <c r="D4716" s="524" t="s">
        <v>1437</v>
      </c>
      <c r="E4716" s="524" t="s">
        <v>2569</v>
      </c>
      <c r="F4716" s="528" t="s">
        <v>2570</v>
      </c>
      <c r="G4716" s="252">
        <f t="shared" si="97"/>
        <v>0.35</v>
      </c>
    </row>
    <row r="4717" spans="1:7" x14ac:dyDescent="0.3">
      <c r="A4717" s="680" t="s">
        <v>1152</v>
      </c>
      <c r="B4717" s="681"/>
      <c r="C4717" s="681"/>
      <c r="D4717" s="681"/>
      <c r="E4717" s="681"/>
      <c r="F4717" s="682"/>
      <c r="G4717" s="527">
        <f>SUM(G4711:G4716)</f>
        <v>146.29000000000002</v>
      </c>
    </row>
    <row r="4718" spans="1:7" x14ac:dyDescent="0.3">
      <c r="A4718" s="683">
        <f>TRUNC(E4718*F4718,2)</f>
        <v>0</v>
      </c>
      <c r="B4718" s="684"/>
      <c r="C4718" s="684"/>
      <c r="D4718" s="684"/>
      <c r="E4718" s="684"/>
      <c r="F4718" s="684"/>
      <c r="G4718" s="685"/>
    </row>
    <row r="4719" spans="1:7" ht="43.2" x14ac:dyDescent="0.3">
      <c r="A4719" s="529" t="s">
        <v>674</v>
      </c>
      <c r="B4719" s="529">
        <v>92919</v>
      </c>
      <c r="C4719" s="530" t="s">
        <v>425</v>
      </c>
      <c r="D4719" s="529" t="s">
        <v>426</v>
      </c>
      <c r="E4719" s="252"/>
      <c r="F4719" s="531">
        <v>8.65</v>
      </c>
      <c r="G4719" s="252">
        <f t="shared" si="97"/>
        <v>0</v>
      </c>
    </row>
    <row r="4720" spans="1:7" ht="28.8" x14ac:dyDescent="0.3">
      <c r="A4720" s="524" t="s">
        <v>508</v>
      </c>
      <c r="B4720" s="524" t="s">
        <v>1395</v>
      </c>
      <c r="C4720" s="525" t="s">
        <v>1396</v>
      </c>
      <c r="D4720" s="524" t="s">
        <v>397</v>
      </c>
      <c r="E4720" s="524" t="s">
        <v>2571</v>
      </c>
      <c r="F4720" s="528" t="s">
        <v>1398</v>
      </c>
      <c r="G4720" s="252">
        <f t="shared" si="97"/>
        <v>7.0000000000000007E-2</v>
      </c>
    </row>
    <row r="4721" spans="1:7" ht="28.8" x14ac:dyDescent="0.3">
      <c r="A4721" s="524" t="s">
        <v>508</v>
      </c>
      <c r="B4721" s="524" t="s">
        <v>1669</v>
      </c>
      <c r="C4721" s="525" t="s">
        <v>1670</v>
      </c>
      <c r="D4721" s="524" t="s">
        <v>426</v>
      </c>
      <c r="E4721" s="524" t="s">
        <v>2063</v>
      </c>
      <c r="F4721" s="528" t="s">
        <v>1672</v>
      </c>
      <c r="G4721" s="252">
        <f t="shared" si="97"/>
        <v>0.34</v>
      </c>
    </row>
    <row r="4722" spans="1:7" x14ac:dyDescent="0.3">
      <c r="A4722" s="524" t="s">
        <v>522</v>
      </c>
      <c r="B4722" s="524" t="s">
        <v>2572</v>
      </c>
      <c r="C4722" s="525" t="s">
        <v>2573</v>
      </c>
      <c r="D4722" s="524" t="s">
        <v>32</v>
      </c>
      <c r="E4722" s="524" t="s">
        <v>2574</v>
      </c>
      <c r="F4722" s="528" t="s">
        <v>2575</v>
      </c>
      <c r="G4722" s="252">
        <f t="shared" si="97"/>
        <v>0.16</v>
      </c>
    </row>
    <row r="4723" spans="1:7" x14ac:dyDescent="0.3">
      <c r="A4723" s="524" t="s">
        <v>522</v>
      </c>
      <c r="B4723" s="524" t="s">
        <v>2251</v>
      </c>
      <c r="C4723" s="525" t="s">
        <v>2252</v>
      </c>
      <c r="D4723" s="524" t="s">
        <v>32</v>
      </c>
      <c r="E4723" s="524" t="s">
        <v>2576</v>
      </c>
      <c r="F4723" s="528" t="s">
        <v>2253</v>
      </c>
      <c r="G4723" s="252">
        <f t="shared" si="97"/>
        <v>1.31</v>
      </c>
    </row>
    <row r="4724" spans="1:7" ht="28.8" x14ac:dyDescent="0.3">
      <c r="A4724" s="524" t="s">
        <v>522</v>
      </c>
      <c r="B4724" s="524" t="s">
        <v>2577</v>
      </c>
      <c r="C4724" s="525" t="s">
        <v>2578</v>
      </c>
      <c r="D4724" s="524" t="s">
        <v>426</v>
      </c>
      <c r="E4724" s="524" t="s">
        <v>1122</v>
      </c>
      <c r="F4724" s="528" t="s">
        <v>2579</v>
      </c>
      <c r="G4724" s="252">
        <f t="shared" si="97"/>
        <v>6.77</v>
      </c>
    </row>
    <row r="4725" spans="1:7" x14ac:dyDescent="0.3">
      <c r="A4725" s="680" t="s">
        <v>1152</v>
      </c>
      <c r="B4725" s="681"/>
      <c r="C4725" s="681"/>
      <c r="D4725" s="681"/>
      <c r="E4725" s="681"/>
      <c r="F4725" s="682"/>
      <c r="G4725" s="527">
        <f>SUM(G4719:G4724)</f>
        <v>8.65</v>
      </c>
    </row>
    <row r="4726" spans="1:7" x14ac:dyDescent="0.3">
      <c r="A4726" s="683">
        <f>TRUNC(E4726*F4726,2)</f>
        <v>0</v>
      </c>
      <c r="B4726" s="684"/>
      <c r="C4726" s="684"/>
      <c r="D4726" s="684"/>
      <c r="E4726" s="684"/>
      <c r="F4726" s="684"/>
      <c r="G4726" s="685"/>
    </row>
    <row r="4727" spans="1:7" ht="43.2" x14ac:dyDescent="0.3">
      <c r="A4727" s="529" t="s">
        <v>711</v>
      </c>
      <c r="B4727" s="529">
        <v>92916</v>
      </c>
      <c r="C4727" s="530" t="s">
        <v>427</v>
      </c>
      <c r="D4727" s="529" t="s">
        <v>426</v>
      </c>
      <c r="E4727" s="252"/>
      <c r="F4727" s="531">
        <v>10.56</v>
      </c>
      <c r="G4727" s="252">
        <f t="shared" si="97"/>
        <v>0</v>
      </c>
    </row>
    <row r="4728" spans="1:7" ht="28.8" x14ac:dyDescent="0.3">
      <c r="A4728" s="524" t="s">
        <v>508</v>
      </c>
      <c r="B4728" s="524" t="s">
        <v>1395</v>
      </c>
      <c r="C4728" s="525" t="s">
        <v>1396</v>
      </c>
      <c r="D4728" s="524" t="s">
        <v>397</v>
      </c>
      <c r="E4728" s="524" t="s">
        <v>2580</v>
      </c>
      <c r="F4728" s="528" t="s">
        <v>1398</v>
      </c>
      <c r="G4728" s="252">
        <f t="shared" si="97"/>
        <v>0.12</v>
      </c>
    </row>
    <row r="4729" spans="1:7" ht="28.8" x14ac:dyDescent="0.3">
      <c r="A4729" s="524" t="s">
        <v>508</v>
      </c>
      <c r="B4729" s="524" t="s">
        <v>1669</v>
      </c>
      <c r="C4729" s="525" t="s">
        <v>1670</v>
      </c>
      <c r="D4729" s="524" t="s">
        <v>426</v>
      </c>
      <c r="E4729" s="524" t="s">
        <v>2063</v>
      </c>
      <c r="F4729" s="528" t="s">
        <v>1672</v>
      </c>
      <c r="G4729" s="252">
        <f t="shared" si="97"/>
        <v>0.34</v>
      </c>
    </row>
    <row r="4730" spans="1:7" x14ac:dyDescent="0.3">
      <c r="A4730" s="524" t="s">
        <v>522</v>
      </c>
      <c r="B4730" s="524" t="s">
        <v>2572</v>
      </c>
      <c r="C4730" s="525" t="s">
        <v>2573</v>
      </c>
      <c r="D4730" s="524" t="s">
        <v>32</v>
      </c>
      <c r="E4730" s="524" t="s">
        <v>2581</v>
      </c>
      <c r="F4730" s="528" t="s">
        <v>2575</v>
      </c>
      <c r="G4730" s="252">
        <f t="shared" si="97"/>
        <v>0.28999999999999998</v>
      </c>
    </row>
    <row r="4731" spans="1:7" x14ac:dyDescent="0.3">
      <c r="A4731" s="524" t="s">
        <v>522</v>
      </c>
      <c r="B4731" s="524" t="s">
        <v>2251</v>
      </c>
      <c r="C4731" s="525" t="s">
        <v>2252</v>
      </c>
      <c r="D4731" s="524" t="s">
        <v>32</v>
      </c>
      <c r="E4731" s="524" t="s">
        <v>1912</v>
      </c>
      <c r="F4731" s="528" t="s">
        <v>2253</v>
      </c>
      <c r="G4731" s="252">
        <f t="shared" si="97"/>
        <v>2.35</v>
      </c>
    </row>
    <row r="4732" spans="1:7" ht="28.8" x14ac:dyDescent="0.3">
      <c r="A4732" s="524" t="s">
        <v>522</v>
      </c>
      <c r="B4732" s="524" t="s">
        <v>2582</v>
      </c>
      <c r="C4732" s="525" t="s">
        <v>2583</v>
      </c>
      <c r="D4732" s="524" t="s">
        <v>426</v>
      </c>
      <c r="E4732" s="524" t="s">
        <v>1122</v>
      </c>
      <c r="F4732" s="528" t="s">
        <v>2584</v>
      </c>
      <c r="G4732" s="252">
        <f t="shared" si="97"/>
        <v>7.46</v>
      </c>
    </row>
    <row r="4733" spans="1:7" x14ac:dyDescent="0.3">
      <c r="A4733" s="680" t="s">
        <v>1152</v>
      </c>
      <c r="B4733" s="681"/>
      <c r="C4733" s="681"/>
      <c r="D4733" s="681"/>
      <c r="E4733" s="681"/>
      <c r="F4733" s="682"/>
      <c r="G4733" s="527">
        <f>SUM(G4727:G4732)</f>
        <v>10.56</v>
      </c>
    </row>
    <row r="4734" spans="1:7" x14ac:dyDescent="0.3">
      <c r="A4734" s="683">
        <f>TRUNC(E4734*F4734,2)</f>
        <v>0</v>
      </c>
      <c r="B4734" s="684"/>
      <c r="C4734" s="684"/>
      <c r="D4734" s="684"/>
      <c r="E4734" s="684"/>
      <c r="F4734" s="684"/>
      <c r="G4734" s="685"/>
    </row>
    <row r="4735" spans="1:7" ht="28.8" x14ac:dyDescent="0.3">
      <c r="A4735" s="529" t="s">
        <v>712</v>
      </c>
      <c r="B4735" s="529">
        <v>98561</v>
      </c>
      <c r="C4735" s="530" t="s">
        <v>428</v>
      </c>
      <c r="D4735" s="529" t="s">
        <v>24</v>
      </c>
      <c r="E4735" s="252"/>
      <c r="F4735" s="531">
        <v>28.67</v>
      </c>
      <c r="G4735" s="252">
        <f t="shared" si="97"/>
        <v>0</v>
      </c>
    </row>
    <row r="4736" spans="1:7" ht="28.8" x14ac:dyDescent="0.3">
      <c r="A4736" s="524" t="s">
        <v>508</v>
      </c>
      <c r="B4736" s="524" t="s">
        <v>2585</v>
      </c>
      <c r="C4736" s="525" t="s">
        <v>2586</v>
      </c>
      <c r="D4736" s="524" t="s">
        <v>1392</v>
      </c>
      <c r="E4736" s="524" t="s">
        <v>2587</v>
      </c>
      <c r="F4736" s="528" t="s">
        <v>2588</v>
      </c>
      <c r="G4736" s="252">
        <f t="shared" si="97"/>
        <v>1.95</v>
      </c>
    </row>
    <row r="4737" spans="1:7" ht="43.2" x14ac:dyDescent="0.3">
      <c r="A4737" s="524" t="s">
        <v>522</v>
      </c>
      <c r="B4737" s="524" t="s">
        <v>2589</v>
      </c>
      <c r="C4737" s="525" t="s">
        <v>2590</v>
      </c>
      <c r="D4737" s="524" t="s">
        <v>41</v>
      </c>
      <c r="E4737" s="524" t="s">
        <v>2063</v>
      </c>
      <c r="F4737" s="528" t="s">
        <v>2591</v>
      </c>
      <c r="G4737" s="252">
        <f t="shared" si="97"/>
        <v>8.81</v>
      </c>
    </row>
    <row r="4738" spans="1:7" x14ac:dyDescent="0.3">
      <c r="A4738" s="524" t="s">
        <v>522</v>
      </c>
      <c r="B4738" s="524" t="s">
        <v>1362</v>
      </c>
      <c r="C4738" s="525" t="s">
        <v>1363</v>
      </c>
      <c r="D4738" s="524" t="s">
        <v>32</v>
      </c>
      <c r="E4738" s="524" t="s">
        <v>2592</v>
      </c>
      <c r="F4738" s="528" t="s">
        <v>1365</v>
      </c>
      <c r="G4738" s="252">
        <f t="shared" si="97"/>
        <v>15.39</v>
      </c>
    </row>
    <row r="4739" spans="1:7" x14ac:dyDescent="0.3">
      <c r="A4739" s="524" t="s">
        <v>522</v>
      </c>
      <c r="B4739" s="524" t="s">
        <v>1359</v>
      </c>
      <c r="C4739" s="525" t="s">
        <v>801</v>
      </c>
      <c r="D4739" s="524" t="s">
        <v>32</v>
      </c>
      <c r="E4739" s="524" t="s">
        <v>1581</v>
      </c>
      <c r="F4739" s="528" t="s">
        <v>1361</v>
      </c>
      <c r="G4739" s="252">
        <f t="shared" si="97"/>
        <v>2.52</v>
      </c>
    </row>
    <row r="4740" spans="1:7" x14ac:dyDescent="0.3">
      <c r="A4740" s="680" t="s">
        <v>1152</v>
      </c>
      <c r="B4740" s="681"/>
      <c r="C4740" s="681"/>
      <c r="D4740" s="681"/>
      <c r="E4740" s="681"/>
      <c r="F4740" s="682"/>
      <c r="G4740" s="527">
        <f>SUM(G4734:G4739)</f>
        <v>28.669999999999998</v>
      </c>
    </row>
    <row r="4741" spans="1:7" x14ac:dyDescent="0.3">
      <c r="A4741" s="683">
        <f>TRUNC(E4741*F4741,2)</f>
        <v>0</v>
      </c>
      <c r="B4741" s="684"/>
      <c r="C4741" s="684"/>
      <c r="D4741" s="684"/>
      <c r="E4741" s="684"/>
      <c r="F4741" s="684"/>
      <c r="G4741" s="685"/>
    </row>
    <row r="4742" spans="1:7" ht="43.2" x14ac:dyDescent="0.3">
      <c r="A4742" s="529" t="s">
        <v>713</v>
      </c>
      <c r="B4742" s="529">
        <v>87517</v>
      </c>
      <c r="C4742" s="530" t="s">
        <v>655</v>
      </c>
      <c r="D4742" s="529" t="s">
        <v>24</v>
      </c>
      <c r="E4742" s="252"/>
      <c r="F4742" s="531">
        <v>137.63</v>
      </c>
      <c r="G4742" s="252">
        <f t="shared" si="97"/>
        <v>0</v>
      </c>
    </row>
    <row r="4743" spans="1:7" ht="28.8" x14ac:dyDescent="0.3">
      <c r="A4743" s="524" t="s">
        <v>508</v>
      </c>
      <c r="B4743" s="524" t="s">
        <v>2593</v>
      </c>
      <c r="C4743" s="525" t="s">
        <v>2594</v>
      </c>
      <c r="D4743" s="524" t="s">
        <v>397</v>
      </c>
      <c r="E4743" s="524" t="s">
        <v>2595</v>
      </c>
      <c r="F4743" s="528" t="s">
        <v>2596</v>
      </c>
      <c r="G4743" s="252">
        <f t="shared" si="97"/>
        <v>36.229999999999997</v>
      </c>
    </row>
    <row r="4744" spans="1:7" ht="28.8" x14ac:dyDescent="0.3">
      <c r="A4744" s="524" t="s">
        <v>508</v>
      </c>
      <c r="B4744" s="524" t="s">
        <v>2597</v>
      </c>
      <c r="C4744" s="525" t="s">
        <v>2598</v>
      </c>
      <c r="D4744" s="524" t="s">
        <v>55</v>
      </c>
      <c r="E4744" s="524" t="s">
        <v>2599</v>
      </c>
      <c r="F4744" s="528" t="s">
        <v>2600</v>
      </c>
      <c r="G4744" s="252">
        <f t="shared" si="97"/>
        <v>4.8899999999999997</v>
      </c>
    </row>
    <row r="4745" spans="1:7" x14ac:dyDescent="0.3">
      <c r="A4745" s="524" t="s">
        <v>508</v>
      </c>
      <c r="B4745" s="524" t="s">
        <v>1456</v>
      </c>
      <c r="C4745" s="525" t="s">
        <v>1457</v>
      </c>
      <c r="D4745" s="524" t="s">
        <v>1458</v>
      </c>
      <c r="E4745" s="524" t="s">
        <v>1776</v>
      </c>
      <c r="F4745" s="528" t="s">
        <v>1459</v>
      </c>
      <c r="G4745" s="252">
        <f t="shared" si="97"/>
        <v>1.23</v>
      </c>
    </row>
    <row r="4746" spans="1:7" ht="43.2" x14ac:dyDescent="0.3">
      <c r="A4746" s="524" t="s">
        <v>522</v>
      </c>
      <c r="B4746" s="524" t="s">
        <v>1464</v>
      </c>
      <c r="C4746" s="525" t="s">
        <v>1465</v>
      </c>
      <c r="D4746" s="524" t="s">
        <v>41</v>
      </c>
      <c r="E4746" s="524" t="s">
        <v>2183</v>
      </c>
      <c r="F4746" s="528" t="s">
        <v>1467</v>
      </c>
      <c r="G4746" s="252">
        <f t="shared" si="97"/>
        <v>4.71</v>
      </c>
    </row>
    <row r="4747" spans="1:7" x14ac:dyDescent="0.3">
      <c r="A4747" s="524" t="s">
        <v>522</v>
      </c>
      <c r="B4747" s="524" t="s">
        <v>1362</v>
      </c>
      <c r="C4747" s="525" t="s">
        <v>1363</v>
      </c>
      <c r="D4747" s="524" t="s">
        <v>32</v>
      </c>
      <c r="E4747" s="524" t="s">
        <v>2601</v>
      </c>
      <c r="F4747" s="528" t="s">
        <v>1365</v>
      </c>
      <c r="G4747" s="252">
        <f t="shared" si="97"/>
        <v>64.48</v>
      </c>
    </row>
    <row r="4748" spans="1:7" x14ac:dyDescent="0.3">
      <c r="A4748" s="524" t="s">
        <v>522</v>
      </c>
      <c r="B4748" s="524" t="s">
        <v>1359</v>
      </c>
      <c r="C4748" s="525" t="s">
        <v>801</v>
      </c>
      <c r="D4748" s="524" t="s">
        <v>32</v>
      </c>
      <c r="E4748" s="524" t="s">
        <v>2602</v>
      </c>
      <c r="F4748" s="528" t="s">
        <v>1361</v>
      </c>
      <c r="G4748" s="252">
        <f t="shared" si="97"/>
        <v>26.09</v>
      </c>
    </row>
    <row r="4749" spans="1:7" x14ac:dyDescent="0.3">
      <c r="A4749" s="680" t="s">
        <v>1152</v>
      </c>
      <c r="B4749" s="681"/>
      <c r="C4749" s="681"/>
      <c r="D4749" s="681"/>
      <c r="E4749" s="681"/>
      <c r="F4749" s="682"/>
      <c r="G4749" s="527">
        <f>SUM(G4743:G4748)</f>
        <v>137.63</v>
      </c>
    </row>
    <row r="4750" spans="1:7" x14ac:dyDescent="0.3">
      <c r="A4750" s="683">
        <f>TRUNC(E4750*F4750,2)</f>
        <v>0</v>
      </c>
      <c r="B4750" s="684"/>
      <c r="C4750" s="684"/>
      <c r="D4750" s="684"/>
      <c r="E4750" s="684"/>
      <c r="F4750" s="684"/>
      <c r="G4750" s="685"/>
    </row>
    <row r="4751" spans="1:7" x14ac:dyDescent="0.3">
      <c r="A4751" s="529" t="s">
        <v>85</v>
      </c>
      <c r="B4751" s="529"/>
      <c r="C4751" s="530" t="s">
        <v>429</v>
      </c>
      <c r="D4751" s="529"/>
      <c r="E4751" s="252"/>
      <c r="F4751" s="531"/>
      <c r="G4751" s="252">
        <f t="shared" si="97"/>
        <v>0</v>
      </c>
    </row>
    <row r="4752" spans="1:7" ht="28.8" x14ac:dyDescent="0.3">
      <c r="A4752" s="529" t="s">
        <v>87</v>
      </c>
      <c r="B4752" s="529">
        <v>94965</v>
      </c>
      <c r="C4752" s="530" t="s">
        <v>423</v>
      </c>
      <c r="D4752" s="529" t="s">
        <v>41</v>
      </c>
      <c r="E4752" s="252"/>
      <c r="F4752" s="531">
        <v>323.58999999999997</v>
      </c>
      <c r="G4752" s="252">
        <f t="shared" si="97"/>
        <v>0</v>
      </c>
    </row>
    <row r="4753" spans="1:7" ht="28.8" x14ac:dyDescent="0.3">
      <c r="A4753" s="524" t="s">
        <v>508</v>
      </c>
      <c r="B4753" s="524" t="s">
        <v>1536</v>
      </c>
      <c r="C4753" s="525" t="s">
        <v>1537</v>
      </c>
      <c r="D4753" s="524" t="s">
        <v>41</v>
      </c>
      <c r="E4753" s="524" t="s">
        <v>2556</v>
      </c>
      <c r="F4753" s="528" t="s">
        <v>1539</v>
      </c>
      <c r="G4753" s="252">
        <f t="shared" ref="G4753:G4759" si="99">TRUNC(E4753*F4753,2)</f>
        <v>45.18</v>
      </c>
    </row>
    <row r="4754" spans="1:7" x14ac:dyDescent="0.3">
      <c r="A4754" s="524" t="s">
        <v>508</v>
      </c>
      <c r="B4754" s="524" t="s">
        <v>1540</v>
      </c>
      <c r="C4754" s="525" t="s">
        <v>1541</v>
      </c>
      <c r="D4754" s="524" t="s">
        <v>426</v>
      </c>
      <c r="E4754" s="524" t="s">
        <v>2557</v>
      </c>
      <c r="F4754" s="528" t="s">
        <v>1543</v>
      </c>
      <c r="G4754" s="252">
        <f t="shared" si="99"/>
        <v>177.7</v>
      </c>
    </row>
    <row r="4755" spans="1:7" x14ac:dyDescent="0.3">
      <c r="A4755" s="524" t="s">
        <v>508</v>
      </c>
      <c r="B4755" s="524" t="s">
        <v>2335</v>
      </c>
      <c r="C4755" s="525" t="s">
        <v>2336</v>
      </c>
      <c r="D4755" s="524" t="s">
        <v>41</v>
      </c>
      <c r="E4755" s="524" t="s">
        <v>2558</v>
      </c>
      <c r="F4755" s="528" t="s">
        <v>2337</v>
      </c>
      <c r="G4755" s="252">
        <f t="shared" si="99"/>
        <v>47.44</v>
      </c>
    </row>
    <row r="4756" spans="1:7" x14ac:dyDescent="0.3">
      <c r="A4756" s="524" t="s">
        <v>522</v>
      </c>
      <c r="B4756" s="524" t="s">
        <v>1359</v>
      </c>
      <c r="C4756" s="525" t="s">
        <v>801</v>
      </c>
      <c r="D4756" s="524" t="s">
        <v>32</v>
      </c>
      <c r="E4756" s="524" t="s">
        <v>2559</v>
      </c>
      <c r="F4756" s="528" t="s">
        <v>1361</v>
      </c>
      <c r="G4756" s="252">
        <f t="shared" si="99"/>
        <v>33.19</v>
      </c>
    </row>
    <row r="4757" spans="1:7" ht="28.8" x14ac:dyDescent="0.3">
      <c r="A4757" s="524" t="s">
        <v>522</v>
      </c>
      <c r="B4757" s="524" t="s">
        <v>2522</v>
      </c>
      <c r="C4757" s="525" t="s">
        <v>2523</v>
      </c>
      <c r="D4757" s="524" t="s">
        <v>32</v>
      </c>
      <c r="E4757" s="524" t="s">
        <v>2560</v>
      </c>
      <c r="F4757" s="528" t="s">
        <v>2525</v>
      </c>
      <c r="G4757" s="252">
        <f t="shared" si="99"/>
        <v>18.8</v>
      </c>
    </row>
    <row r="4758" spans="1:7" ht="43.2" x14ac:dyDescent="0.3">
      <c r="A4758" s="524" t="s">
        <v>522</v>
      </c>
      <c r="B4758" s="524" t="s">
        <v>2526</v>
      </c>
      <c r="C4758" s="525" t="s">
        <v>2527</v>
      </c>
      <c r="D4758" s="524" t="s">
        <v>410</v>
      </c>
      <c r="E4758" s="524" t="s">
        <v>1570</v>
      </c>
      <c r="F4758" s="528" t="s">
        <v>2529</v>
      </c>
      <c r="G4758" s="252">
        <f t="shared" si="99"/>
        <v>1.1100000000000001</v>
      </c>
    </row>
    <row r="4759" spans="1:7" ht="43.2" x14ac:dyDescent="0.3">
      <c r="A4759" s="524" t="s">
        <v>522</v>
      </c>
      <c r="B4759" s="524" t="s">
        <v>2530</v>
      </c>
      <c r="C4759" s="525" t="s">
        <v>2531</v>
      </c>
      <c r="D4759" s="524" t="s">
        <v>1437</v>
      </c>
      <c r="E4759" s="524" t="s">
        <v>2561</v>
      </c>
      <c r="F4759" s="528" t="s">
        <v>1354</v>
      </c>
      <c r="G4759" s="252">
        <f t="shared" si="99"/>
        <v>0.17</v>
      </c>
    </row>
    <row r="4760" spans="1:7" x14ac:dyDescent="0.3">
      <c r="A4760" s="680" t="s">
        <v>1152</v>
      </c>
      <c r="B4760" s="681"/>
      <c r="C4760" s="681"/>
      <c r="D4760" s="681"/>
      <c r="E4760" s="681"/>
      <c r="F4760" s="682"/>
      <c r="G4760" s="527">
        <f>SUM(G4752:G4759)</f>
        <v>323.59000000000003</v>
      </c>
    </row>
    <row r="4761" spans="1:7" x14ac:dyDescent="0.3">
      <c r="A4761" s="683">
        <f>TRUNC(E4761*F4761,2)</f>
        <v>0</v>
      </c>
      <c r="B4761" s="684"/>
      <c r="C4761" s="684"/>
      <c r="D4761" s="684"/>
      <c r="E4761" s="684"/>
      <c r="F4761" s="684"/>
      <c r="G4761" s="685"/>
    </row>
    <row r="4762" spans="1:7" ht="28.8" x14ac:dyDescent="0.3">
      <c r="A4762" s="529" t="s">
        <v>90</v>
      </c>
      <c r="B4762" s="529">
        <v>92873</v>
      </c>
      <c r="C4762" s="530" t="s">
        <v>430</v>
      </c>
      <c r="D4762" s="529" t="s">
        <v>41</v>
      </c>
      <c r="E4762" s="252"/>
      <c r="F4762" s="531">
        <v>146.29</v>
      </c>
      <c r="G4762" s="252">
        <f t="shared" si="97"/>
        <v>0</v>
      </c>
    </row>
    <row r="4763" spans="1:7" x14ac:dyDescent="0.3">
      <c r="A4763" s="524" t="s">
        <v>522</v>
      </c>
      <c r="B4763" s="524" t="s">
        <v>527</v>
      </c>
      <c r="C4763" s="525" t="s">
        <v>528</v>
      </c>
      <c r="D4763" s="524" t="s">
        <v>32</v>
      </c>
      <c r="E4763" s="524" t="s">
        <v>2562</v>
      </c>
      <c r="F4763" s="528" t="s">
        <v>530</v>
      </c>
      <c r="G4763" s="252">
        <f t="shared" ref="G4763:G4767" si="100">TRUNC(E4763*F4763,2)</f>
        <v>32.56</v>
      </c>
    </row>
    <row r="4764" spans="1:7" x14ac:dyDescent="0.3">
      <c r="A4764" s="524" t="s">
        <v>522</v>
      </c>
      <c r="B4764" s="524" t="s">
        <v>1362</v>
      </c>
      <c r="C4764" s="525" t="s">
        <v>1363</v>
      </c>
      <c r="D4764" s="524" t="s">
        <v>32</v>
      </c>
      <c r="E4764" s="524" t="s">
        <v>2562</v>
      </c>
      <c r="F4764" s="528" t="s">
        <v>1365</v>
      </c>
      <c r="G4764" s="252">
        <f t="shared" si="100"/>
        <v>32.78</v>
      </c>
    </row>
    <row r="4765" spans="1:7" x14ac:dyDescent="0.3">
      <c r="A4765" s="524" t="s">
        <v>522</v>
      </c>
      <c r="B4765" s="524" t="s">
        <v>1359</v>
      </c>
      <c r="C4765" s="525" t="s">
        <v>801</v>
      </c>
      <c r="D4765" s="524" t="s">
        <v>32</v>
      </c>
      <c r="E4765" s="524" t="s">
        <v>2563</v>
      </c>
      <c r="F4765" s="528" t="s">
        <v>1361</v>
      </c>
      <c r="G4765" s="252">
        <f t="shared" si="100"/>
        <v>79.58</v>
      </c>
    </row>
    <row r="4766" spans="1:7" ht="28.8" x14ac:dyDescent="0.3">
      <c r="A4766" s="524" t="s">
        <v>522</v>
      </c>
      <c r="B4766" s="524" t="s">
        <v>2564</v>
      </c>
      <c r="C4766" s="525" t="s">
        <v>2565</v>
      </c>
      <c r="D4766" s="524" t="s">
        <v>410</v>
      </c>
      <c r="E4766" s="524" t="s">
        <v>1591</v>
      </c>
      <c r="F4766" s="528" t="s">
        <v>2566</v>
      </c>
      <c r="G4766" s="252">
        <f t="shared" si="100"/>
        <v>1.02</v>
      </c>
    </row>
    <row r="4767" spans="1:7" ht="28.8" x14ac:dyDescent="0.3">
      <c r="A4767" s="524" t="s">
        <v>522</v>
      </c>
      <c r="B4767" s="524" t="s">
        <v>2567</v>
      </c>
      <c r="C4767" s="525" t="s">
        <v>2568</v>
      </c>
      <c r="D4767" s="524" t="s">
        <v>1437</v>
      </c>
      <c r="E4767" s="524" t="s">
        <v>2569</v>
      </c>
      <c r="F4767" s="528" t="s">
        <v>2570</v>
      </c>
      <c r="G4767" s="252">
        <f t="shared" si="100"/>
        <v>0.35</v>
      </c>
    </row>
    <row r="4768" spans="1:7" x14ac:dyDescent="0.3">
      <c r="A4768" s="680" t="s">
        <v>1152</v>
      </c>
      <c r="B4768" s="681"/>
      <c r="C4768" s="681"/>
      <c r="D4768" s="681"/>
      <c r="E4768" s="681"/>
      <c r="F4768" s="682"/>
      <c r="G4768" s="527">
        <f>SUM(G4762:G4767)</f>
        <v>146.29000000000002</v>
      </c>
    </row>
    <row r="4769" spans="1:7" x14ac:dyDescent="0.3">
      <c r="A4769" s="683">
        <f>TRUNC(E4769*F4769,2)</f>
        <v>0</v>
      </c>
      <c r="B4769" s="684"/>
      <c r="C4769" s="684"/>
      <c r="D4769" s="684"/>
      <c r="E4769" s="684"/>
      <c r="F4769" s="684"/>
      <c r="G4769" s="685"/>
    </row>
    <row r="4770" spans="1:7" ht="28.8" x14ac:dyDescent="0.3">
      <c r="A4770" s="529" t="s">
        <v>93</v>
      </c>
      <c r="B4770" s="529">
        <v>92263</v>
      </c>
      <c r="C4770" s="530" t="s">
        <v>431</v>
      </c>
      <c r="D4770" s="529" t="s">
        <v>24</v>
      </c>
      <c r="E4770" s="252"/>
      <c r="F4770" s="531">
        <v>100.55</v>
      </c>
      <c r="G4770" s="252">
        <f t="shared" si="97"/>
        <v>0</v>
      </c>
    </row>
    <row r="4771" spans="1:7" ht="28.8" x14ac:dyDescent="0.3">
      <c r="A4771" s="524" t="s">
        <v>508</v>
      </c>
      <c r="B4771" s="524" t="s">
        <v>2330</v>
      </c>
      <c r="C4771" s="525" t="s">
        <v>2331</v>
      </c>
      <c r="D4771" s="524" t="s">
        <v>24</v>
      </c>
      <c r="E4771" s="524" t="s">
        <v>2603</v>
      </c>
      <c r="F4771" s="528" t="s">
        <v>2333</v>
      </c>
      <c r="G4771" s="252">
        <f t="shared" si="97"/>
        <v>35.99</v>
      </c>
    </row>
    <row r="4772" spans="1:7" ht="28.8" x14ac:dyDescent="0.3">
      <c r="A4772" s="524" t="s">
        <v>508</v>
      </c>
      <c r="B4772" s="524" t="s">
        <v>2534</v>
      </c>
      <c r="C4772" s="525" t="s">
        <v>2535</v>
      </c>
      <c r="D4772" s="524" t="s">
        <v>55</v>
      </c>
      <c r="E4772" s="524" t="s">
        <v>2604</v>
      </c>
      <c r="F4772" s="528" t="s">
        <v>2537</v>
      </c>
      <c r="G4772" s="252">
        <f t="shared" si="97"/>
        <v>12.98</v>
      </c>
    </row>
    <row r="4773" spans="1:7" ht="28.8" x14ac:dyDescent="0.3">
      <c r="A4773" s="524" t="s">
        <v>508</v>
      </c>
      <c r="B4773" s="524" t="s">
        <v>1479</v>
      </c>
      <c r="C4773" s="525" t="s">
        <v>1480</v>
      </c>
      <c r="D4773" s="524" t="s">
        <v>55</v>
      </c>
      <c r="E4773" s="524" t="s">
        <v>2605</v>
      </c>
      <c r="F4773" s="528" t="s">
        <v>1482</v>
      </c>
      <c r="G4773" s="252">
        <f t="shared" si="97"/>
        <v>16.739999999999998</v>
      </c>
    </row>
    <row r="4774" spans="1:7" x14ac:dyDescent="0.3">
      <c r="A4774" s="524" t="s">
        <v>508</v>
      </c>
      <c r="B4774" s="524" t="s">
        <v>2606</v>
      </c>
      <c r="C4774" s="525" t="s">
        <v>2607</v>
      </c>
      <c r="D4774" s="524" t="s">
        <v>426</v>
      </c>
      <c r="E4774" s="524" t="s">
        <v>2608</v>
      </c>
      <c r="F4774" s="528" t="s">
        <v>2020</v>
      </c>
      <c r="G4774" s="252">
        <f t="shared" si="97"/>
        <v>2.4900000000000002</v>
      </c>
    </row>
    <row r="4775" spans="1:7" x14ac:dyDescent="0.3">
      <c r="A4775" s="524" t="s">
        <v>522</v>
      </c>
      <c r="B4775" s="524" t="s">
        <v>523</v>
      </c>
      <c r="C4775" s="525" t="s">
        <v>524</v>
      </c>
      <c r="D4775" s="524" t="s">
        <v>32</v>
      </c>
      <c r="E4775" s="524" t="s">
        <v>2609</v>
      </c>
      <c r="F4775" s="528" t="s">
        <v>526</v>
      </c>
      <c r="G4775" s="252">
        <f t="shared" si="97"/>
        <v>4.1100000000000003</v>
      </c>
    </row>
    <row r="4776" spans="1:7" x14ac:dyDescent="0.3">
      <c r="A4776" s="524" t="s">
        <v>522</v>
      </c>
      <c r="B4776" s="524" t="s">
        <v>527</v>
      </c>
      <c r="C4776" s="525" t="s">
        <v>528</v>
      </c>
      <c r="D4776" s="524" t="s">
        <v>32</v>
      </c>
      <c r="E4776" s="524" t="s">
        <v>2610</v>
      </c>
      <c r="F4776" s="528" t="s">
        <v>530</v>
      </c>
      <c r="G4776" s="252">
        <f t="shared" si="97"/>
        <v>24.34</v>
      </c>
    </row>
    <row r="4777" spans="1:7" ht="28.8" x14ac:dyDescent="0.3">
      <c r="A4777" s="524" t="s">
        <v>522</v>
      </c>
      <c r="B4777" s="524" t="s">
        <v>531</v>
      </c>
      <c r="C4777" s="525" t="s">
        <v>532</v>
      </c>
      <c r="D4777" s="524" t="s">
        <v>410</v>
      </c>
      <c r="E4777" s="524" t="s">
        <v>1968</v>
      </c>
      <c r="F4777" s="528" t="s">
        <v>534</v>
      </c>
      <c r="G4777" s="252">
        <f t="shared" si="97"/>
        <v>1</v>
      </c>
    </row>
    <row r="4778" spans="1:7" ht="28.8" x14ac:dyDescent="0.3">
      <c r="A4778" s="524" t="s">
        <v>522</v>
      </c>
      <c r="B4778" s="524" t="s">
        <v>2552</v>
      </c>
      <c r="C4778" s="525" t="s">
        <v>2553</v>
      </c>
      <c r="D4778" s="524" t="s">
        <v>1437</v>
      </c>
      <c r="E4778" s="524" t="s">
        <v>2611</v>
      </c>
      <c r="F4778" s="528" t="s">
        <v>2555</v>
      </c>
      <c r="G4778" s="252">
        <f t="shared" si="97"/>
        <v>2.9</v>
      </c>
    </row>
    <row r="4779" spans="1:7" x14ac:dyDescent="0.3">
      <c r="A4779" s="680" t="s">
        <v>1152</v>
      </c>
      <c r="B4779" s="681"/>
      <c r="C4779" s="681"/>
      <c r="D4779" s="681"/>
      <c r="E4779" s="681"/>
      <c r="F4779" s="682"/>
      <c r="G4779" s="527">
        <f>SUM(G4770:G4778)</f>
        <v>100.55</v>
      </c>
    </row>
    <row r="4780" spans="1:7" x14ac:dyDescent="0.3">
      <c r="A4780" s="683">
        <f>TRUNC(E4780*F4780,2)</f>
        <v>0</v>
      </c>
      <c r="B4780" s="684"/>
      <c r="C4780" s="684"/>
      <c r="D4780" s="684"/>
      <c r="E4780" s="684"/>
      <c r="F4780" s="684"/>
      <c r="G4780" s="685"/>
    </row>
    <row r="4781" spans="1:7" ht="43.2" x14ac:dyDescent="0.3">
      <c r="A4781" s="529" t="s">
        <v>226</v>
      </c>
      <c r="B4781" s="529">
        <v>92919</v>
      </c>
      <c r="C4781" s="530" t="s">
        <v>432</v>
      </c>
      <c r="D4781" s="529" t="s">
        <v>426</v>
      </c>
      <c r="E4781" s="252"/>
      <c r="F4781" s="531">
        <v>8.65</v>
      </c>
      <c r="G4781" s="252">
        <f t="shared" si="97"/>
        <v>0</v>
      </c>
    </row>
    <row r="4782" spans="1:7" ht="28.8" x14ac:dyDescent="0.3">
      <c r="A4782" s="524" t="s">
        <v>508</v>
      </c>
      <c r="B4782" s="524" t="s">
        <v>1395</v>
      </c>
      <c r="C4782" s="525" t="s">
        <v>1396</v>
      </c>
      <c r="D4782" s="524" t="s">
        <v>397</v>
      </c>
      <c r="E4782" s="524" t="s">
        <v>2571</v>
      </c>
      <c r="F4782" s="528" t="s">
        <v>1398</v>
      </c>
      <c r="G4782" s="252">
        <f t="shared" ref="G4782:G4786" si="101">TRUNC(E4782*F4782,2)</f>
        <v>7.0000000000000007E-2</v>
      </c>
    </row>
    <row r="4783" spans="1:7" ht="28.8" x14ac:dyDescent="0.3">
      <c r="A4783" s="524" t="s">
        <v>508</v>
      </c>
      <c r="B4783" s="524" t="s">
        <v>1669</v>
      </c>
      <c r="C4783" s="525" t="s">
        <v>1670</v>
      </c>
      <c r="D4783" s="524" t="s">
        <v>426</v>
      </c>
      <c r="E4783" s="524" t="s">
        <v>2063</v>
      </c>
      <c r="F4783" s="528" t="s">
        <v>1672</v>
      </c>
      <c r="G4783" s="252">
        <f t="shared" si="101"/>
        <v>0.34</v>
      </c>
    </row>
    <row r="4784" spans="1:7" x14ac:dyDescent="0.3">
      <c r="A4784" s="524" t="s">
        <v>522</v>
      </c>
      <c r="B4784" s="524" t="s">
        <v>2572</v>
      </c>
      <c r="C4784" s="525" t="s">
        <v>2573</v>
      </c>
      <c r="D4784" s="524" t="s">
        <v>32</v>
      </c>
      <c r="E4784" s="524" t="s">
        <v>2574</v>
      </c>
      <c r="F4784" s="528" t="s">
        <v>2575</v>
      </c>
      <c r="G4784" s="252">
        <f t="shared" si="101"/>
        <v>0.16</v>
      </c>
    </row>
    <row r="4785" spans="1:7" x14ac:dyDescent="0.3">
      <c r="A4785" s="524" t="s">
        <v>522</v>
      </c>
      <c r="B4785" s="524" t="s">
        <v>2251</v>
      </c>
      <c r="C4785" s="525" t="s">
        <v>2252</v>
      </c>
      <c r="D4785" s="524" t="s">
        <v>32</v>
      </c>
      <c r="E4785" s="524" t="s">
        <v>2576</v>
      </c>
      <c r="F4785" s="528" t="s">
        <v>2253</v>
      </c>
      <c r="G4785" s="252">
        <f t="shared" si="101"/>
        <v>1.31</v>
      </c>
    </row>
    <row r="4786" spans="1:7" ht="28.8" x14ac:dyDescent="0.3">
      <c r="A4786" s="524" t="s">
        <v>522</v>
      </c>
      <c r="B4786" s="524" t="s">
        <v>2577</v>
      </c>
      <c r="C4786" s="525" t="s">
        <v>2578</v>
      </c>
      <c r="D4786" s="524" t="s">
        <v>426</v>
      </c>
      <c r="E4786" s="524" t="s">
        <v>1122</v>
      </c>
      <c r="F4786" s="528" t="s">
        <v>2579</v>
      </c>
      <c r="G4786" s="252">
        <f t="shared" si="101"/>
        <v>6.77</v>
      </c>
    </row>
    <row r="4787" spans="1:7" x14ac:dyDescent="0.3">
      <c r="A4787" s="680" t="s">
        <v>1152</v>
      </c>
      <c r="B4787" s="681"/>
      <c r="C4787" s="681"/>
      <c r="D4787" s="681"/>
      <c r="E4787" s="681"/>
      <c r="F4787" s="682"/>
      <c r="G4787" s="527">
        <f>SUM(G4781:G4786)</f>
        <v>8.65</v>
      </c>
    </row>
    <row r="4788" spans="1:7" x14ac:dyDescent="0.3">
      <c r="A4788" s="683">
        <f>TRUNC(E4788*F4788,2)</f>
        <v>0</v>
      </c>
      <c r="B4788" s="684"/>
      <c r="C4788" s="684"/>
      <c r="D4788" s="684"/>
      <c r="E4788" s="684"/>
      <c r="F4788" s="684"/>
      <c r="G4788" s="685"/>
    </row>
    <row r="4789" spans="1:7" ht="43.2" x14ac:dyDescent="0.3">
      <c r="A4789" s="529" t="s">
        <v>394</v>
      </c>
      <c r="B4789" s="529">
        <v>92916</v>
      </c>
      <c r="C4789" s="530" t="s">
        <v>427</v>
      </c>
      <c r="D4789" s="529" t="s">
        <v>426</v>
      </c>
      <c r="E4789" s="252"/>
      <c r="F4789" s="531">
        <v>10.56</v>
      </c>
      <c r="G4789" s="252">
        <f t="shared" si="97"/>
        <v>0</v>
      </c>
    </row>
    <row r="4790" spans="1:7" ht="28.8" x14ac:dyDescent="0.3">
      <c r="A4790" s="524" t="s">
        <v>508</v>
      </c>
      <c r="B4790" s="524" t="s">
        <v>1395</v>
      </c>
      <c r="C4790" s="525" t="s">
        <v>1396</v>
      </c>
      <c r="D4790" s="524" t="s">
        <v>397</v>
      </c>
      <c r="E4790" s="524" t="s">
        <v>2580</v>
      </c>
      <c r="F4790" s="528" t="s">
        <v>1398</v>
      </c>
      <c r="G4790" s="252">
        <f t="shared" ref="G4790:G4794" si="102">TRUNC(E4790*F4790,2)</f>
        <v>0.12</v>
      </c>
    </row>
    <row r="4791" spans="1:7" ht="28.8" x14ac:dyDescent="0.3">
      <c r="A4791" s="524" t="s">
        <v>508</v>
      </c>
      <c r="B4791" s="524" t="s">
        <v>1669</v>
      </c>
      <c r="C4791" s="525" t="s">
        <v>1670</v>
      </c>
      <c r="D4791" s="524" t="s">
        <v>426</v>
      </c>
      <c r="E4791" s="524" t="s">
        <v>2063</v>
      </c>
      <c r="F4791" s="528" t="s">
        <v>1672</v>
      </c>
      <c r="G4791" s="252">
        <f t="shared" si="102"/>
        <v>0.34</v>
      </c>
    </row>
    <row r="4792" spans="1:7" x14ac:dyDescent="0.3">
      <c r="A4792" s="524" t="s">
        <v>522</v>
      </c>
      <c r="B4792" s="524" t="s">
        <v>2572</v>
      </c>
      <c r="C4792" s="525" t="s">
        <v>2573</v>
      </c>
      <c r="D4792" s="524" t="s">
        <v>32</v>
      </c>
      <c r="E4792" s="524" t="s">
        <v>2581</v>
      </c>
      <c r="F4792" s="528" t="s">
        <v>2575</v>
      </c>
      <c r="G4792" s="252">
        <f t="shared" si="102"/>
        <v>0.28999999999999998</v>
      </c>
    </row>
    <row r="4793" spans="1:7" x14ac:dyDescent="0.3">
      <c r="A4793" s="524" t="s">
        <v>522</v>
      </c>
      <c r="B4793" s="524" t="s">
        <v>2251</v>
      </c>
      <c r="C4793" s="525" t="s">
        <v>2252</v>
      </c>
      <c r="D4793" s="524" t="s">
        <v>32</v>
      </c>
      <c r="E4793" s="524" t="s">
        <v>1912</v>
      </c>
      <c r="F4793" s="528" t="s">
        <v>2253</v>
      </c>
      <c r="G4793" s="252">
        <f t="shared" si="102"/>
        <v>2.35</v>
      </c>
    </row>
    <row r="4794" spans="1:7" ht="28.8" x14ac:dyDescent="0.3">
      <c r="A4794" s="524" t="s">
        <v>522</v>
      </c>
      <c r="B4794" s="524" t="s">
        <v>2582</v>
      </c>
      <c r="C4794" s="525" t="s">
        <v>2583</v>
      </c>
      <c r="D4794" s="524" t="s">
        <v>426</v>
      </c>
      <c r="E4794" s="524" t="s">
        <v>1122</v>
      </c>
      <c r="F4794" s="528" t="s">
        <v>2584</v>
      </c>
      <c r="G4794" s="252">
        <f t="shared" si="102"/>
        <v>7.46</v>
      </c>
    </row>
    <row r="4795" spans="1:7" x14ac:dyDescent="0.3">
      <c r="A4795" s="680" t="s">
        <v>1152</v>
      </c>
      <c r="B4795" s="681"/>
      <c r="C4795" s="681"/>
      <c r="D4795" s="681"/>
      <c r="E4795" s="681"/>
      <c r="F4795" s="682"/>
      <c r="G4795" s="527">
        <f>SUM(G4789:G4794)</f>
        <v>10.56</v>
      </c>
    </row>
    <row r="4796" spans="1:7" x14ac:dyDescent="0.3">
      <c r="A4796" s="683">
        <f>TRUNC(E4796*F4796,2)</f>
        <v>0</v>
      </c>
      <c r="B4796" s="684"/>
      <c r="C4796" s="684"/>
      <c r="D4796" s="684"/>
      <c r="E4796" s="684"/>
      <c r="F4796" s="684"/>
      <c r="G4796" s="685"/>
    </row>
    <row r="4797" spans="1:7" ht="43.2" x14ac:dyDescent="0.3">
      <c r="A4797" s="529" t="s">
        <v>714</v>
      </c>
      <c r="B4797" s="529" t="s">
        <v>433</v>
      </c>
      <c r="C4797" s="530" t="s">
        <v>434</v>
      </c>
      <c r="D4797" s="529" t="s">
        <v>24</v>
      </c>
      <c r="E4797" s="252"/>
      <c r="F4797" s="531">
        <v>81.27</v>
      </c>
      <c r="G4797" s="252">
        <f t="shared" si="97"/>
        <v>0</v>
      </c>
    </row>
    <row r="4798" spans="1:7" ht="28.8" x14ac:dyDescent="0.3">
      <c r="A4798" s="524" t="s">
        <v>508</v>
      </c>
      <c r="B4798" s="524" t="s">
        <v>2612</v>
      </c>
      <c r="C4798" s="525" t="s">
        <v>2613</v>
      </c>
      <c r="D4798" s="524" t="s">
        <v>24</v>
      </c>
      <c r="E4798" s="524" t="s">
        <v>1122</v>
      </c>
      <c r="F4798" s="528" t="s">
        <v>2614</v>
      </c>
      <c r="G4798" s="252">
        <f t="shared" si="97"/>
        <v>41.17</v>
      </c>
    </row>
    <row r="4799" spans="1:7" ht="28.8" x14ac:dyDescent="0.3">
      <c r="A4799" s="524" t="s">
        <v>508</v>
      </c>
      <c r="B4799" s="524" t="s">
        <v>2534</v>
      </c>
      <c r="C4799" s="525" t="s">
        <v>2535</v>
      </c>
      <c r="D4799" s="524" t="s">
        <v>55</v>
      </c>
      <c r="E4799" s="524" t="s">
        <v>1662</v>
      </c>
      <c r="F4799" s="528" t="s">
        <v>2537</v>
      </c>
      <c r="G4799" s="252">
        <f t="shared" si="97"/>
        <v>6.19</v>
      </c>
    </row>
    <row r="4800" spans="1:7" x14ac:dyDescent="0.3">
      <c r="A4800" s="524" t="s">
        <v>508</v>
      </c>
      <c r="B4800" s="524" t="s">
        <v>2615</v>
      </c>
      <c r="C4800" s="525" t="s">
        <v>2616</v>
      </c>
      <c r="D4800" s="524" t="s">
        <v>426</v>
      </c>
      <c r="E4800" s="524" t="s">
        <v>1515</v>
      </c>
      <c r="F4800" s="528" t="s">
        <v>2020</v>
      </c>
      <c r="G4800" s="252">
        <f t="shared" si="97"/>
        <v>0.23</v>
      </c>
    </row>
    <row r="4801" spans="1:7" ht="28.8" x14ac:dyDescent="0.3">
      <c r="A4801" s="524" t="s">
        <v>508</v>
      </c>
      <c r="B4801" s="524" t="s">
        <v>2543</v>
      </c>
      <c r="C4801" s="525" t="s">
        <v>2544</v>
      </c>
      <c r="D4801" s="524" t="s">
        <v>55</v>
      </c>
      <c r="E4801" s="524" t="s">
        <v>1518</v>
      </c>
      <c r="F4801" s="528" t="s">
        <v>2546</v>
      </c>
      <c r="G4801" s="252">
        <f t="shared" si="97"/>
        <v>2.6</v>
      </c>
    </row>
    <row r="4802" spans="1:7" x14ac:dyDescent="0.3">
      <c r="A4802" s="524" t="s">
        <v>522</v>
      </c>
      <c r="B4802" s="524" t="s">
        <v>527</v>
      </c>
      <c r="C4802" s="525" t="s">
        <v>528</v>
      </c>
      <c r="D4802" s="524" t="s">
        <v>32</v>
      </c>
      <c r="E4802" s="524" t="s">
        <v>1603</v>
      </c>
      <c r="F4802" s="528" t="s">
        <v>530</v>
      </c>
      <c r="G4802" s="252">
        <f t="shared" si="97"/>
        <v>2.82</v>
      </c>
    </row>
    <row r="4803" spans="1:7" x14ac:dyDescent="0.3">
      <c r="A4803" s="524" t="s">
        <v>522</v>
      </c>
      <c r="B4803" s="524" t="s">
        <v>1362</v>
      </c>
      <c r="C4803" s="525" t="s">
        <v>1363</v>
      </c>
      <c r="D4803" s="524" t="s">
        <v>32</v>
      </c>
      <c r="E4803" s="524" t="s">
        <v>1518</v>
      </c>
      <c r="F4803" s="528" t="s">
        <v>1365</v>
      </c>
      <c r="G4803" s="252">
        <f t="shared" si="97"/>
        <v>5.32</v>
      </c>
    </row>
    <row r="4804" spans="1:7" x14ac:dyDescent="0.3">
      <c r="A4804" s="524" t="s">
        <v>522</v>
      </c>
      <c r="B4804" s="524" t="s">
        <v>1359</v>
      </c>
      <c r="C4804" s="525" t="s">
        <v>801</v>
      </c>
      <c r="D4804" s="524" t="s">
        <v>32</v>
      </c>
      <c r="E4804" s="524" t="s">
        <v>1452</v>
      </c>
      <c r="F4804" s="528" t="s">
        <v>1361</v>
      </c>
      <c r="G4804" s="252">
        <f t="shared" si="97"/>
        <v>11.49</v>
      </c>
    </row>
    <row r="4805" spans="1:7" ht="28.8" x14ac:dyDescent="0.3">
      <c r="A4805" s="524" t="s">
        <v>522</v>
      </c>
      <c r="B4805" s="524" t="s">
        <v>2617</v>
      </c>
      <c r="C4805" s="525" t="s">
        <v>2618</v>
      </c>
      <c r="D4805" s="524" t="s">
        <v>41</v>
      </c>
      <c r="E4805" s="524" t="s">
        <v>1900</v>
      </c>
      <c r="F4805" s="528" t="s">
        <v>2619</v>
      </c>
      <c r="G4805" s="252">
        <f t="shared" si="97"/>
        <v>0.85</v>
      </c>
    </row>
    <row r="4806" spans="1:7" ht="28.8" x14ac:dyDescent="0.3">
      <c r="A4806" s="524" t="s">
        <v>522</v>
      </c>
      <c r="B4806" s="524" t="s">
        <v>1413</v>
      </c>
      <c r="C4806" s="525" t="s">
        <v>1414</v>
      </c>
      <c r="D4806" s="524" t="s">
        <v>41</v>
      </c>
      <c r="E4806" s="524" t="s">
        <v>1900</v>
      </c>
      <c r="F4806" s="528" t="s">
        <v>1416</v>
      </c>
      <c r="G4806" s="252">
        <f t="shared" si="97"/>
        <v>10.6</v>
      </c>
    </row>
    <row r="4807" spans="1:7" x14ac:dyDescent="0.3">
      <c r="A4807" s="680" t="s">
        <v>1152</v>
      </c>
      <c r="B4807" s="681"/>
      <c r="C4807" s="681"/>
      <c r="D4807" s="681"/>
      <c r="E4807" s="681"/>
      <c r="F4807" s="682"/>
      <c r="G4807" s="527">
        <f>SUM(G4797:G4806)</f>
        <v>81.269999999999982</v>
      </c>
    </row>
    <row r="4808" spans="1:7" x14ac:dyDescent="0.3">
      <c r="A4808" s="683">
        <f>TRUNC(E4808*F4808,2)</f>
        <v>0</v>
      </c>
      <c r="B4808" s="684"/>
      <c r="C4808" s="684"/>
      <c r="D4808" s="684"/>
      <c r="E4808" s="684"/>
      <c r="F4808" s="684"/>
      <c r="G4808" s="685"/>
    </row>
    <row r="4809" spans="1:7" x14ac:dyDescent="0.3">
      <c r="A4809" s="529" t="s">
        <v>95</v>
      </c>
      <c r="B4809" s="529"/>
      <c r="C4809" s="530" t="s">
        <v>221</v>
      </c>
      <c r="D4809" s="529"/>
      <c r="E4809" s="252"/>
      <c r="F4809" s="531"/>
      <c r="G4809" s="252">
        <f t="shared" si="97"/>
        <v>0</v>
      </c>
    </row>
    <row r="4810" spans="1:7" ht="43.2" x14ac:dyDescent="0.3">
      <c r="A4810" s="529" t="s">
        <v>97</v>
      </c>
      <c r="B4810" s="529">
        <v>87496</v>
      </c>
      <c r="C4810" s="530" t="s">
        <v>435</v>
      </c>
      <c r="D4810" s="529" t="s">
        <v>24</v>
      </c>
      <c r="E4810" s="252"/>
      <c r="F4810" s="531">
        <v>68.099999999999994</v>
      </c>
      <c r="G4810" s="252">
        <f t="shared" si="97"/>
        <v>0</v>
      </c>
    </row>
    <row r="4811" spans="1:7" ht="28.8" x14ac:dyDescent="0.3">
      <c r="A4811" s="524" t="s">
        <v>508</v>
      </c>
      <c r="B4811" s="524" t="s">
        <v>2620</v>
      </c>
      <c r="C4811" s="525" t="s">
        <v>2621</v>
      </c>
      <c r="D4811" s="524" t="s">
        <v>2622</v>
      </c>
      <c r="E4811" s="524" t="s">
        <v>2623</v>
      </c>
      <c r="F4811" s="528" t="s">
        <v>2624</v>
      </c>
      <c r="G4811" s="252">
        <f t="shared" si="97"/>
        <v>19.690000000000001</v>
      </c>
    </row>
    <row r="4812" spans="1:7" ht="28.8" x14ac:dyDescent="0.3">
      <c r="A4812" s="524" t="s">
        <v>508</v>
      </c>
      <c r="B4812" s="524" t="s">
        <v>1453</v>
      </c>
      <c r="C4812" s="525" t="s">
        <v>1454</v>
      </c>
      <c r="D4812" s="524" t="s">
        <v>55</v>
      </c>
      <c r="E4812" s="524" t="s">
        <v>2023</v>
      </c>
      <c r="F4812" s="528" t="s">
        <v>1455</v>
      </c>
      <c r="G4812" s="252">
        <f t="shared" si="97"/>
        <v>1.6</v>
      </c>
    </row>
    <row r="4813" spans="1:7" x14ac:dyDescent="0.3">
      <c r="A4813" s="524" t="s">
        <v>508</v>
      </c>
      <c r="B4813" s="524" t="s">
        <v>1456</v>
      </c>
      <c r="C4813" s="525" t="s">
        <v>1457</v>
      </c>
      <c r="D4813" s="524" t="s">
        <v>1458</v>
      </c>
      <c r="E4813" s="524" t="s">
        <v>2024</v>
      </c>
      <c r="F4813" s="528" t="s">
        <v>1459</v>
      </c>
      <c r="G4813" s="252">
        <f t="shared" si="97"/>
        <v>0.32</v>
      </c>
    </row>
    <row r="4814" spans="1:7" ht="43.2" x14ac:dyDescent="0.3">
      <c r="A4814" s="524" t="s">
        <v>522</v>
      </c>
      <c r="B4814" s="524" t="s">
        <v>2290</v>
      </c>
      <c r="C4814" s="525" t="s">
        <v>2291</v>
      </c>
      <c r="D4814" s="524" t="s">
        <v>41</v>
      </c>
      <c r="E4814" s="524" t="s">
        <v>2625</v>
      </c>
      <c r="F4814" s="528" t="s">
        <v>2292</v>
      </c>
      <c r="G4814" s="252">
        <f t="shared" si="97"/>
        <v>4.34</v>
      </c>
    </row>
    <row r="4815" spans="1:7" x14ac:dyDescent="0.3">
      <c r="A4815" s="524" t="s">
        <v>522</v>
      </c>
      <c r="B4815" s="524" t="s">
        <v>1362</v>
      </c>
      <c r="C4815" s="525" t="s">
        <v>1363</v>
      </c>
      <c r="D4815" s="524" t="s">
        <v>32</v>
      </c>
      <c r="E4815" s="524" t="s">
        <v>2626</v>
      </c>
      <c r="F4815" s="528" t="s">
        <v>1365</v>
      </c>
      <c r="G4815" s="252">
        <f t="shared" si="97"/>
        <v>30.01</v>
      </c>
    </row>
    <row r="4816" spans="1:7" x14ac:dyDescent="0.3">
      <c r="A4816" s="524" t="s">
        <v>522</v>
      </c>
      <c r="B4816" s="524" t="s">
        <v>1359</v>
      </c>
      <c r="C4816" s="525" t="s">
        <v>801</v>
      </c>
      <c r="D4816" s="524" t="s">
        <v>32</v>
      </c>
      <c r="E4816" s="524" t="s">
        <v>2627</v>
      </c>
      <c r="F4816" s="528" t="s">
        <v>1361</v>
      </c>
      <c r="G4816" s="252">
        <f t="shared" si="97"/>
        <v>12.14</v>
      </c>
    </row>
    <row r="4817" spans="1:7" x14ac:dyDescent="0.3">
      <c r="A4817" s="680" t="s">
        <v>1152</v>
      </c>
      <c r="B4817" s="681"/>
      <c r="C4817" s="681"/>
      <c r="D4817" s="681"/>
      <c r="E4817" s="681"/>
      <c r="F4817" s="682"/>
      <c r="G4817" s="527">
        <f>SUM(G4809:G4816)</f>
        <v>68.100000000000009</v>
      </c>
    </row>
    <row r="4818" spans="1:7" x14ac:dyDescent="0.3">
      <c r="A4818" s="683">
        <f>TRUNC(E4818*F4818,2)</f>
        <v>0</v>
      </c>
      <c r="B4818" s="684"/>
      <c r="C4818" s="684"/>
      <c r="D4818" s="684"/>
      <c r="E4818" s="684"/>
      <c r="F4818" s="684"/>
      <c r="G4818" s="685"/>
    </row>
    <row r="4819" spans="1:7" x14ac:dyDescent="0.3">
      <c r="A4819" s="529" t="s">
        <v>100</v>
      </c>
      <c r="B4819" s="529">
        <v>93182</v>
      </c>
      <c r="C4819" s="530" t="s">
        <v>436</v>
      </c>
      <c r="D4819" s="529" t="s">
        <v>55</v>
      </c>
      <c r="E4819" s="252"/>
      <c r="F4819" s="531">
        <v>22.18</v>
      </c>
      <c r="G4819" s="252">
        <f t="shared" si="97"/>
        <v>0</v>
      </c>
    </row>
    <row r="4820" spans="1:7" ht="28.8" x14ac:dyDescent="0.3">
      <c r="A4820" s="524" t="s">
        <v>508</v>
      </c>
      <c r="B4820" s="524" t="s">
        <v>1390</v>
      </c>
      <c r="C4820" s="525" t="s">
        <v>1391</v>
      </c>
      <c r="D4820" s="524" t="s">
        <v>1392</v>
      </c>
      <c r="E4820" s="524" t="s">
        <v>1043</v>
      </c>
      <c r="F4820" s="528" t="s">
        <v>1394</v>
      </c>
      <c r="G4820" s="252">
        <f t="shared" si="97"/>
        <v>0.02</v>
      </c>
    </row>
    <row r="4821" spans="1:7" ht="28.8" x14ac:dyDescent="0.3">
      <c r="A4821" s="524" t="s">
        <v>508</v>
      </c>
      <c r="B4821" s="524" t="s">
        <v>1395</v>
      </c>
      <c r="C4821" s="525" t="s">
        <v>1396</v>
      </c>
      <c r="D4821" s="524" t="s">
        <v>397</v>
      </c>
      <c r="E4821" s="524" t="s">
        <v>1397</v>
      </c>
      <c r="F4821" s="528" t="s">
        <v>1398</v>
      </c>
      <c r="G4821" s="252">
        <f t="shared" ref="G4821:G4827" si="103">TRUNC(E4821*F4821,2)</f>
        <v>0.78</v>
      </c>
    </row>
    <row r="4822" spans="1:7" ht="43.2" x14ac:dyDescent="0.3">
      <c r="A4822" s="524" t="s">
        <v>522</v>
      </c>
      <c r="B4822" s="524" t="s">
        <v>1399</v>
      </c>
      <c r="C4822" s="525" t="s">
        <v>1400</v>
      </c>
      <c r="D4822" s="524" t="s">
        <v>41</v>
      </c>
      <c r="E4822" s="524" t="s">
        <v>1401</v>
      </c>
      <c r="F4822" s="528" t="s">
        <v>1402</v>
      </c>
      <c r="G4822" s="252">
        <f t="shared" si="103"/>
        <v>0.63</v>
      </c>
    </row>
    <row r="4823" spans="1:7" x14ac:dyDescent="0.3">
      <c r="A4823" s="524" t="s">
        <v>522</v>
      </c>
      <c r="B4823" s="524" t="s">
        <v>1362</v>
      </c>
      <c r="C4823" s="525" t="s">
        <v>1363</v>
      </c>
      <c r="D4823" s="524" t="s">
        <v>32</v>
      </c>
      <c r="E4823" s="524" t="s">
        <v>2628</v>
      </c>
      <c r="F4823" s="528" t="s">
        <v>1365</v>
      </c>
      <c r="G4823" s="252">
        <f t="shared" si="103"/>
        <v>1.49</v>
      </c>
    </row>
    <row r="4824" spans="1:7" x14ac:dyDescent="0.3">
      <c r="A4824" s="524" t="s">
        <v>522</v>
      </c>
      <c r="B4824" s="524" t="s">
        <v>1359</v>
      </c>
      <c r="C4824" s="525" t="s">
        <v>801</v>
      </c>
      <c r="D4824" s="524" t="s">
        <v>32</v>
      </c>
      <c r="E4824" s="524" t="s">
        <v>1267</v>
      </c>
      <c r="F4824" s="528" t="s">
        <v>1361</v>
      </c>
      <c r="G4824" s="252">
        <f t="shared" si="103"/>
        <v>1.46</v>
      </c>
    </row>
    <row r="4825" spans="1:7" ht="28.8" x14ac:dyDescent="0.3">
      <c r="A4825" s="524" t="s">
        <v>522</v>
      </c>
      <c r="B4825" s="524" t="s">
        <v>1405</v>
      </c>
      <c r="C4825" s="525" t="s">
        <v>1406</v>
      </c>
      <c r="D4825" s="524" t="s">
        <v>24</v>
      </c>
      <c r="E4825" s="524" t="s">
        <v>1967</v>
      </c>
      <c r="F4825" s="528" t="s">
        <v>1408</v>
      </c>
      <c r="G4825" s="252">
        <f t="shared" si="103"/>
        <v>8.6999999999999993</v>
      </c>
    </row>
    <row r="4826" spans="1:7" ht="28.8" x14ac:dyDescent="0.3">
      <c r="A4826" s="524" t="s">
        <v>522</v>
      </c>
      <c r="B4826" s="524" t="s">
        <v>2582</v>
      </c>
      <c r="C4826" s="525" t="s">
        <v>2583</v>
      </c>
      <c r="D4826" s="524" t="s">
        <v>426</v>
      </c>
      <c r="E4826" s="524" t="s">
        <v>2052</v>
      </c>
      <c r="F4826" s="528" t="s">
        <v>2584</v>
      </c>
      <c r="G4826" s="252">
        <f t="shared" si="103"/>
        <v>3.65</v>
      </c>
    </row>
    <row r="4827" spans="1:7" ht="28.8" x14ac:dyDescent="0.3">
      <c r="A4827" s="524" t="s">
        <v>522</v>
      </c>
      <c r="B4827" s="524" t="s">
        <v>1413</v>
      </c>
      <c r="C4827" s="525" t="s">
        <v>1414</v>
      </c>
      <c r="D4827" s="524" t="s">
        <v>41</v>
      </c>
      <c r="E4827" s="524" t="s">
        <v>2629</v>
      </c>
      <c r="F4827" s="528" t="s">
        <v>1416</v>
      </c>
      <c r="G4827" s="252">
        <f t="shared" si="103"/>
        <v>5.45</v>
      </c>
    </row>
    <row r="4828" spans="1:7" x14ac:dyDescent="0.3">
      <c r="A4828" s="680" t="s">
        <v>1152</v>
      </c>
      <c r="B4828" s="681"/>
      <c r="C4828" s="681"/>
      <c r="D4828" s="681"/>
      <c r="E4828" s="681"/>
      <c r="F4828" s="682"/>
      <c r="G4828" s="527">
        <f>SUM(G4820:G4827)</f>
        <v>22.179999999999996</v>
      </c>
    </row>
    <row r="4829" spans="1:7" x14ac:dyDescent="0.3">
      <c r="A4829" s="683">
        <f>TRUNC(E4829*F4829,2)</f>
        <v>0</v>
      </c>
      <c r="B4829" s="684"/>
      <c r="C4829" s="684"/>
      <c r="D4829" s="684"/>
      <c r="E4829" s="684"/>
      <c r="F4829" s="684"/>
      <c r="G4829" s="685"/>
    </row>
    <row r="4830" spans="1:7" x14ac:dyDescent="0.3">
      <c r="A4830" s="529" t="s">
        <v>116</v>
      </c>
      <c r="B4830" s="529"/>
      <c r="C4830" s="530" t="s">
        <v>437</v>
      </c>
      <c r="D4830" s="529"/>
      <c r="E4830" s="252"/>
      <c r="F4830" s="531"/>
      <c r="G4830" s="252">
        <f t="shared" si="97"/>
        <v>0</v>
      </c>
    </row>
    <row r="4831" spans="1:7" ht="43.2" x14ac:dyDescent="0.3">
      <c r="A4831" s="529" t="s">
        <v>118</v>
      </c>
      <c r="B4831" s="529">
        <v>92580</v>
      </c>
      <c r="C4831" s="530" t="s">
        <v>438</v>
      </c>
      <c r="D4831" s="529" t="s">
        <v>24</v>
      </c>
      <c r="E4831" s="252"/>
      <c r="F4831" s="531">
        <v>27.27</v>
      </c>
      <c r="G4831" s="252">
        <f t="shared" si="97"/>
        <v>0</v>
      </c>
    </row>
    <row r="4832" spans="1:7" ht="28.8" x14ac:dyDescent="0.3">
      <c r="A4832" s="524" t="s">
        <v>508</v>
      </c>
      <c r="B4832" s="524" t="s">
        <v>2630</v>
      </c>
      <c r="C4832" s="525" t="s">
        <v>2631</v>
      </c>
      <c r="D4832" s="524" t="s">
        <v>1458</v>
      </c>
      <c r="E4832" s="524" t="s">
        <v>1961</v>
      </c>
      <c r="F4832" s="528" t="s">
        <v>2632</v>
      </c>
      <c r="G4832" s="252">
        <f t="shared" ref="G4832:G4837" si="104">TRUNC(E4832*F4832,2)</f>
        <v>0.89</v>
      </c>
    </row>
    <row r="4833" spans="1:7" ht="28.8" x14ac:dyDescent="0.3">
      <c r="A4833" s="524" t="s">
        <v>508</v>
      </c>
      <c r="B4833" s="524" t="s">
        <v>2633</v>
      </c>
      <c r="C4833" s="525" t="s">
        <v>2634</v>
      </c>
      <c r="D4833" s="524" t="s">
        <v>426</v>
      </c>
      <c r="E4833" s="524" t="s">
        <v>2635</v>
      </c>
      <c r="F4833" s="528" t="s">
        <v>2636</v>
      </c>
      <c r="G4833" s="252">
        <f t="shared" si="104"/>
        <v>21.92</v>
      </c>
    </row>
    <row r="4834" spans="1:7" x14ac:dyDescent="0.3">
      <c r="A4834" s="524" t="s">
        <v>522</v>
      </c>
      <c r="B4834" s="524" t="s">
        <v>1870</v>
      </c>
      <c r="C4834" s="525" t="s">
        <v>1871</v>
      </c>
      <c r="D4834" s="524" t="s">
        <v>32</v>
      </c>
      <c r="E4834" s="524" t="s">
        <v>1937</v>
      </c>
      <c r="F4834" s="528" t="s">
        <v>1872</v>
      </c>
      <c r="G4834" s="252">
        <f t="shared" si="104"/>
        <v>2.73</v>
      </c>
    </row>
    <row r="4835" spans="1:7" x14ac:dyDescent="0.3">
      <c r="A4835" s="524" t="s">
        <v>522</v>
      </c>
      <c r="B4835" s="524" t="s">
        <v>1359</v>
      </c>
      <c r="C4835" s="525" t="s">
        <v>801</v>
      </c>
      <c r="D4835" s="524" t="s">
        <v>32</v>
      </c>
      <c r="E4835" s="524" t="s">
        <v>2637</v>
      </c>
      <c r="F4835" s="528" t="s">
        <v>1361</v>
      </c>
      <c r="G4835" s="252">
        <f t="shared" si="104"/>
        <v>1.52</v>
      </c>
    </row>
    <row r="4836" spans="1:7" ht="28.8" x14ac:dyDescent="0.3">
      <c r="A4836" s="524" t="s">
        <v>522</v>
      </c>
      <c r="B4836" s="524" t="s">
        <v>2638</v>
      </c>
      <c r="C4836" s="525" t="s">
        <v>2639</v>
      </c>
      <c r="D4836" s="524" t="s">
        <v>410</v>
      </c>
      <c r="E4836" s="524" t="s">
        <v>2640</v>
      </c>
      <c r="F4836" s="528" t="s">
        <v>2641</v>
      </c>
      <c r="G4836" s="252">
        <f t="shared" si="104"/>
        <v>0.09</v>
      </c>
    </row>
    <row r="4837" spans="1:7" ht="28.8" x14ac:dyDescent="0.3">
      <c r="A4837" s="524" t="s">
        <v>522</v>
      </c>
      <c r="B4837" s="524" t="s">
        <v>2642</v>
      </c>
      <c r="C4837" s="525" t="s">
        <v>2643</v>
      </c>
      <c r="D4837" s="524" t="s">
        <v>1437</v>
      </c>
      <c r="E4837" s="524" t="s">
        <v>2024</v>
      </c>
      <c r="F4837" s="528" t="s">
        <v>2644</v>
      </c>
      <c r="G4837" s="252">
        <f t="shared" si="104"/>
        <v>0.12</v>
      </c>
    </row>
    <row r="4838" spans="1:7" x14ac:dyDescent="0.3">
      <c r="A4838" s="680" t="s">
        <v>1152</v>
      </c>
      <c r="B4838" s="681"/>
      <c r="C4838" s="681"/>
      <c r="D4838" s="681"/>
      <c r="E4838" s="681"/>
      <c r="F4838" s="682"/>
      <c r="G4838" s="527">
        <f>SUM(G4830:G4837)</f>
        <v>27.270000000000003</v>
      </c>
    </row>
    <row r="4839" spans="1:7" x14ac:dyDescent="0.3">
      <c r="A4839" s="683">
        <f>TRUNC(E4839*F4839,2)</f>
        <v>0</v>
      </c>
      <c r="B4839" s="684"/>
      <c r="C4839" s="684"/>
      <c r="D4839" s="684"/>
      <c r="E4839" s="684"/>
      <c r="F4839" s="684"/>
      <c r="G4839" s="685"/>
    </row>
    <row r="4840" spans="1:7" ht="28.8" x14ac:dyDescent="0.3">
      <c r="A4840" s="529" t="s">
        <v>120</v>
      </c>
      <c r="B4840" s="529">
        <v>94216</v>
      </c>
      <c r="C4840" s="530" t="s">
        <v>439</v>
      </c>
      <c r="D4840" s="529" t="s">
        <v>24</v>
      </c>
      <c r="E4840" s="252"/>
      <c r="F4840" s="531">
        <v>130.59</v>
      </c>
      <c r="G4840" s="252">
        <f t="shared" si="97"/>
        <v>0</v>
      </c>
    </row>
    <row r="4841" spans="1:7" ht="28.8" x14ac:dyDescent="0.3">
      <c r="A4841" s="524" t="s">
        <v>508</v>
      </c>
      <c r="B4841" s="524" t="s">
        <v>2645</v>
      </c>
      <c r="C4841" s="525" t="s">
        <v>2646</v>
      </c>
      <c r="D4841" s="524" t="s">
        <v>92</v>
      </c>
      <c r="E4841" s="524" t="s">
        <v>2647</v>
      </c>
      <c r="F4841" s="528" t="s">
        <v>2648</v>
      </c>
      <c r="G4841" s="252">
        <f t="shared" ref="G4841:G4846" si="105">TRUNC(E4841*F4841,2)</f>
        <v>4.68</v>
      </c>
    </row>
    <row r="4842" spans="1:7" ht="57.6" x14ac:dyDescent="0.3">
      <c r="A4842" s="524" t="s">
        <v>508</v>
      </c>
      <c r="B4842" s="524" t="s">
        <v>2649</v>
      </c>
      <c r="C4842" s="525" t="s">
        <v>2650</v>
      </c>
      <c r="D4842" s="524" t="s">
        <v>24</v>
      </c>
      <c r="E4842" s="524" t="s">
        <v>2651</v>
      </c>
      <c r="F4842" s="528" t="s">
        <v>2652</v>
      </c>
      <c r="G4842" s="252">
        <f t="shared" si="105"/>
        <v>123.95</v>
      </c>
    </row>
    <row r="4843" spans="1:7" x14ac:dyDescent="0.3">
      <c r="A4843" s="524" t="s">
        <v>522</v>
      </c>
      <c r="B4843" s="524" t="s">
        <v>1359</v>
      </c>
      <c r="C4843" s="525" t="s">
        <v>801</v>
      </c>
      <c r="D4843" s="524" t="s">
        <v>32</v>
      </c>
      <c r="E4843" s="524" t="s">
        <v>1968</v>
      </c>
      <c r="F4843" s="528" t="s">
        <v>1361</v>
      </c>
      <c r="G4843" s="252">
        <f t="shared" si="105"/>
        <v>0.89</v>
      </c>
    </row>
    <row r="4844" spans="1:7" x14ac:dyDescent="0.3">
      <c r="A4844" s="524" t="s">
        <v>522</v>
      </c>
      <c r="B4844" s="524" t="s">
        <v>2653</v>
      </c>
      <c r="C4844" s="525" t="s">
        <v>2654</v>
      </c>
      <c r="D4844" s="524" t="s">
        <v>32</v>
      </c>
      <c r="E4844" s="524" t="s">
        <v>2655</v>
      </c>
      <c r="F4844" s="528" t="s">
        <v>2656</v>
      </c>
      <c r="G4844" s="252">
        <f t="shared" si="105"/>
        <v>1.05</v>
      </c>
    </row>
    <row r="4845" spans="1:7" ht="28.8" x14ac:dyDescent="0.3">
      <c r="A4845" s="524" t="s">
        <v>522</v>
      </c>
      <c r="B4845" s="524" t="s">
        <v>2638</v>
      </c>
      <c r="C4845" s="525" t="s">
        <v>2639</v>
      </c>
      <c r="D4845" s="524" t="s">
        <v>410</v>
      </c>
      <c r="E4845" s="524" t="s">
        <v>1687</v>
      </c>
      <c r="F4845" s="528" t="s">
        <v>2641</v>
      </c>
      <c r="G4845" s="252">
        <f t="shared" si="105"/>
        <v>0.01</v>
      </c>
    </row>
    <row r="4846" spans="1:7" ht="28.8" x14ac:dyDescent="0.3">
      <c r="A4846" s="524" t="s">
        <v>522</v>
      </c>
      <c r="B4846" s="524" t="s">
        <v>2642</v>
      </c>
      <c r="C4846" s="525" t="s">
        <v>2643</v>
      </c>
      <c r="D4846" s="524" t="s">
        <v>1437</v>
      </c>
      <c r="E4846" s="524" t="s">
        <v>1926</v>
      </c>
      <c r="F4846" s="528" t="s">
        <v>2644</v>
      </c>
      <c r="G4846" s="252">
        <f t="shared" si="105"/>
        <v>0.01</v>
      </c>
    </row>
    <row r="4847" spans="1:7" x14ac:dyDescent="0.3">
      <c r="A4847" s="680" t="s">
        <v>1152</v>
      </c>
      <c r="B4847" s="681"/>
      <c r="C4847" s="681"/>
      <c r="D4847" s="681"/>
      <c r="E4847" s="681"/>
      <c r="F4847" s="682"/>
      <c r="G4847" s="527">
        <f>SUM(G4839:G4846)</f>
        <v>130.58999999999997</v>
      </c>
    </row>
    <row r="4848" spans="1:7" x14ac:dyDescent="0.3">
      <c r="A4848" s="683">
        <f>TRUNC(E4848*F4848,2)</f>
        <v>0</v>
      </c>
      <c r="B4848" s="684"/>
      <c r="C4848" s="684"/>
      <c r="D4848" s="684"/>
      <c r="E4848" s="684"/>
      <c r="F4848" s="684"/>
      <c r="G4848" s="685"/>
    </row>
    <row r="4849" spans="1:7" ht="28.8" x14ac:dyDescent="0.3">
      <c r="A4849" s="529" t="s">
        <v>122</v>
      </c>
      <c r="B4849" s="529">
        <v>94231</v>
      </c>
      <c r="C4849" s="530" t="s">
        <v>440</v>
      </c>
      <c r="D4849" s="529" t="s">
        <v>55</v>
      </c>
      <c r="E4849" s="252"/>
      <c r="F4849" s="531">
        <v>36.200000000000003</v>
      </c>
      <c r="G4849" s="252">
        <f t="shared" ref="G4849:G5258" si="106">TRUNC(E4849*F4849,2)</f>
        <v>0</v>
      </c>
    </row>
    <row r="4850" spans="1:7" ht="28.8" x14ac:dyDescent="0.3">
      <c r="A4850" s="524" t="s">
        <v>508</v>
      </c>
      <c r="B4850" s="524" t="s">
        <v>1417</v>
      </c>
      <c r="C4850" s="525" t="s">
        <v>1418</v>
      </c>
      <c r="D4850" s="524" t="s">
        <v>1419</v>
      </c>
      <c r="E4850" s="524" t="s">
        <v>2657</v>
      </c>
      <c r="F4850" s="528" t="s">
        <v>1421</v>
      </c>
      <c r="G4850" s="252">
        <f t="shared" si="106"/>
        <v>4.78</v>
      </c>
    </row>
    <row r="4851" spans="1:7" x14ac:dyDescent="0.3">
      <c r="A4851" s="524" t="s">
        <v>508</v>
      </c>
      <c r="B4851" s="524" t="s">
        <v>518</v>
      </c>
      <c r="C4851" s="525" t="s">
        <v>519</v>
      </c>
      <c r="D4851" s="524" t="s">
        <v>426</v>
      </c>
      <c r="E4851" s="524" t="s">
        <v>1043</v>
      </c>
      <c r="F4851" s="528" t="s">
        <v>521</v>
      </c>
      <c r="G4851" s="252">
        <f t="shared" ref="G4851:G4858" si="107">TRUNC(E4851*F4851,2)</f>
        <v>0.06</v>
      </c>
    </row>
    <row r="4852" spans="1:7" x14ac:dyDescent="0.3">
      <c r="A4852" s="524" t="s">
        <v>508</v>
      </c>
      <c r="B4852" s="524" t="s">
        <v>2658</v>
      </c>
      <c r="C4852" s="525" t="s">
        <v>2659</v>
      </c>
      <c r="D4852" s="524" t="s">
        <v>426</v>
      </c>
      <c r="E4852" s="524" t="s">
        <v>1926</v>
      </c>
      <c r="F4852" s="528" t="s">
        <v>2660</v>
      </c>
      <c r="G4852" s="252">
        <f t="shared" si="107"/>
        <v>0.05</v>
      </c>
    </row>
    <row r="4853" spans="1:7" x14ac:dyDescent="0.3">
      <c r="A4853" s="524" t="s">
        <v>508</v>
      </c>
      <c r="B4853" s="524" t="s">
        <v>2661</v>
      </c>
      <c r="C4853" s="525" t="s">
        <v>2662</v>
      </c>
      <c r="D4853" s="524" t="s">
        <v>426</v>
      </c>
      <c r="E4853" s="524" t="s">
        <v>2502</v>
      </c>
      <c r="F4853" s="528" t="s">
        <v>2663</v>
      </c>
      <c r="G4853" s="252">
        <f t="shared" si="107"/>
        <v>2.89</v>
      </c>
    </row>
    <row r="4854" spans="1:7" x14ac:dyDescent="0.3">
      <c r="A4854" s="524" t="s">
        <v>508</v>
      </c>
      <c r="B4854" s="524" t="s">
        <v>2664</v>
      </c>
      <c r="C4854" s="525" t="s">
        <v>2665</v>
      </c>
      <c r="D4854" s="524" t="s">
        <v>55</v>
      </c>
      <c r="E4854" s="524" t="s">
        <v>1697</v>
      </c>
      <c r="F4854" s="528" t="s">
        <v>2666</v>
      </c>
      <c r="G4854" s="252">
        <f t="shared" si="107"/>
        <v>22.93</v>
      </c>
    </row>
    <row r="4855" spans="1:7" x14ac:dyDescent="0.3">
      <c r="A4855" s="524" t="s">
        <v>522</v>
      </c>
      <c r="B4855" s="524" t="s">
        <v>1359</v>
      </c>
      <c r="C4855" s="525" t="s">
        <v>801</v>
      </c>
      <c r="D4855" s="524" t="s">
        <v>32</v>
      </c>
      <c r="E4855" s="524" t="s">
        <v>2667</v>
      </c>
      <c r="F4855" s="528" t="s">
        <v>1361</v>
      </c>
      <c r="G4855" s="252">
        <f t="shared" si="107"/>
        <v>2.97</v>
      </c>
    </row>
    <row r="4856" spans="1:7" x14ac:dyDescent="0.3">
      <c r="A4856" s="524" t="s">
        <v>522</v>
      </c>
      <c r="B4856" s="524" t="s">
        <v>2653</v>
      </c>
      <c r="C4856" s="525" t="s">
        <v>2654</v>
      </c>
      <c r="D4856" s="524" t="s">
        <v>32</v>
      </c>
      <c r="E4856" s="524" t="s">
        <v>2098</v>
      </c>
      <c r="F4856" s="528" t="s">
        <v>2656</v>
      </c>
      <c r="G4856" s="252">
        <f t="shared" si="107"/>
        <v>2.1</v>
      </c>
    </row>
    <row r="4857" spans="1:7" ht="28.8" x14ac:dyDescent="0.3">
      <c r="A4857" s="524" t="s">
        <v>522</v>
      </c>
      <c r="B4857" s="524" t="s">
        <v>2638</v>
      </c>
      <c r="C4857" s="525" t="s">
        <v>2639</v>
      </c>
      <c r="D4857" s="524" t="s">
        <v>410</v>
      </c>
      <c r="E4857" s="524" t="s">
        <v>1864</v>
      </c>
      <c r="F4857" s="528" t="s">
        <v>2641</v>
      </c>
      <c r="G4857" s="252">
        <f t="shared" si="107"/>
        <v>0.18</v>
      </c>
    </row>
    <row r="4858" spans="1:7" ht="28.8" x14ac:dyDescent="0.3">
      <c r="A4858" s="524" t="s">
        <v>522</v>
      </c>
      <c r="B4858" s="524" t="s">
        <v>2642</v>
      </c>
      <c r="C4858" s="525" t="s">
        <v>2643</v>
      </c>
      <c r="D4858" s="524" t="s">
        <v>1437</v>
      </c>
      <c r="E4858" s="524" t="s">
        <v>2668</v>
      </c>
      <c r="F4858" s="528" t="s">
        <v>2644</v>
      </c>
      <c r="G4858" s="252">
        <f t="shared" si="107"/>
        <v>0.24</v>
      </c>
    </row>
    <row r="4859" spans="1:7" x14ac:dyDescent="0.3">
      <c r="A4859" s="680" t="s">
        <v>1152</v>
      </c>
      <c r="B4859" s="681"/>
      <c r="C4859" s="681"/>
      <c r="D4859" s="681"/>
      <c r="E4859" s="681"/>
      <c r="F4859" s="682"/>
      <c r="G4859" s="527">
        <f>SUM(G4849:G4858)</f>
        <v>36.200000000000003</v>
      </c>
    </row>
    <row r="4860" spans="1:7" x14ac:dyDescent="0.3">
      <c r="A4860" s="683">
        <f>TRUNC(E4860*F4860,2)</f>
        <v>0</v>
      </c>
      <c r="B4860" s="684"/>
      <c r="C4860" s="684"/>
      <c r="D4860" s="684"/>
      <c r="E4860" s="684"/>
      <c r="F4860" s="684"/>
      <c r="G4860" s="685"/>
    </row>
    <row r="4861" spans="1:7" ht="28.8" x14ac:dyDescent="0.3">
      <c r="A4861" s="529" t="s">
        <v>124</v>
      </c>
      <c r="B4861" s="529">
        <v>94228</v>
      </c>
      <c r="C4861" s="530" t="s">
        <v>441</v>
      </c>
      <c r="D4861" s="529" t="s">
        <v>55</v>
      </c>
      <c r="E4861" s="252"/>
      <c r="F4861" s="531">
        <v>60.25</v>
      </c>
      <c r="G4861" s="252">
        <f t="shared" si="106"/>
        <v>0</v>
      </c>
    </row>
    <row r="4862" spans="1:7" ht="28.8" x14ac:dyDescent="0.3">
      <c r="A4862" s="524" t="s">
        <v>508</v>
      </c>
      <c r="B4862" s="524" t="s">
        <v>1417</v>
      </c>
      <c r="C4862" s="525" t="s">
        <v>1418</v>
      </c>
      <c r="D4862" s="524" t="s">
        <v>1419</v>
      </c>
      <c r="E4862" s="524" t="s">
        <v>2669</v>
      </c>
      <c r="F4862" s="528" t="s">
        <v>1421</v>
      </c>
      <c r="G4862" s="252">
        <f t="shared" ref="G4862:G4870" si="108">TRUNC(E4862*F4862,2)</f>
        <v>1.95</v>
      </c>
    </row>
    <row r="4863" spans="1:7" x14ac:dyDescent="0.3">
      <c r="A4863" s="524" t="s">
        <v>508</v>
      </c>
      <c r="B4863" s="524" t="s">
        <v>518</v>
      </c>
      <c r="C4863" s="525" t="s">
        <v>519</v>
      </c>
      <c r="D4863" s="524" t="s">
        <v>426</v>
      </c>
      <c r="E4863" s="524" t="s">
        <v>1994</v>
      </c>
      <c r="F4863" s="528" t="s">
        <v>521</v>
      </c>
      <c r="G4863" s="252">
        <f t="shared" si="108"/>
        <v>0.14000000000000001</v>
      </c>
    </row>
    <row r="4864" spans="1:7" x14ac:dyDescent="0.3">
      <c r="A4864" s="524" t="s">
        <v>508</v>
      </c>
      <c r="B4864" s="524" t="s">
        <v>2658</v>
      </c>
      <c r="C4864" s="525" t="s">
        <v>2659</v>
      </c>
      <c r="D4864" s="524" t="s">
        <v>426</v>
      </c>
      <c r="E4864" s="524" t="s">
        <v>2670</v>
      </c>
      <c r="F4864" s="528" t="s">
        <v>2660</v>
      </c>
      <c r="G4864" s="252">
        <f t="shared" si="108"/>
        <v>0.11</v>
      </c>
    </row>
    <row r="4865" spans="1:7" x14ac:dyDescent="0.3">
      <c r="A4865" s="524" t="s">
        <v>508</v>
      </c>
      <c r="B4865" s="524" t="s">
        <v>2661</v>
      </c>
      <c r="C4865" s="525" t="s">
        <v>2662</v>
      </c>
      <c r="D4865" s="524" t="s">
        <v>426</v>
      </c>
      <c r="E4865" s="524" t="s">
        <v>1664</v>
      </c>
      <c r="F4865" s="528" t="s">
        <v>2663</v>
      </c>
      <c r="G4865" s="252">
        <f t="shared" si="108"/>
        <v>5.78</v>
      </c>
    </row>
    <row r="4866" spans="1:7" x14ac:dyDescent="0.3">
      <c r="A4866" s="524" t="s">
        <v>508</v>
      </c>
      <c r="B4866" s="524" t="s">
        <v>2671</v>
      </c>
      <c r="C4866" s="525" t="s">
        <v>2672</v>
      </c>
      <c r="D4866" s="524" t="s">
        <v>55</v>
      </c>
      <c r="E4866" s="524" t="s">
        <v>1697</v>
      </c>
      <c r="F4866" s="528" t="s">
        <v>2673</v>
      </c>
      <c r="G4866" s="252">
        <f t="shared" si="108"/>
        <v>41.31</v>
      </c>
    </row>
    <row r="4867" spans="1:7" x14ac:dyDescent="0.3">
      <c r="A4867" s="524" t="s">
        <v>522</v>
      </c>
      <c r="B4867" s="524" t="s">
        <v>1359</v>
      </c>
      <c r="C4867" s="525" t="s">
        <v>801</v>
      </c>
      <c r="D4867" s="524" t="s">
        <v>32</v>
      </c>
      <c r="E4867" s="524" t="s">
        <v>2674</v>
      </c>
      <c r="F4867" s="528" t="s">
        <v>1361</v>
      </c>
      <c r="G4867" s="252">
        <f t="shared" si="108"/>
        <v>5.33</v>
      </c>
    </row>
    <row r="4868" spans="1:7" x14ac:dyDescent="0.3">
      <c r="A4868" s="524" t="s">
        <v>522</v>
      </c>
      <c r="B4868" s="524" t="s">
        <v>2653</v>
      </c>
      <c r="C4868" s="525" t="s">
        <v>2654</v>
      </c>
      <c r="D4868" s="524" t="s">
        <v>32</v>
      </c>
      <c r="E4868" s="524" t="s">
        <v>2675</v>
      </c>
      <c r="F4868" s="528" t="s">
        <v>2656</v>
      </c>
      <c r="G4868" s="252">
        <f t="shared" si="108"/>
        <v>5.21</v>
      </c>
    </row>
    <row r="4869" spans="1:7" ht="28.8" x14ac:dyDescent="0.3">
      <c r="A4869" s="524" t="s">
        <v>522</v>
      </c>
      <c r="B4869" s="524" t="s">
        <v>2638</v>
      </c>
      <c r="C4869" s="525" t="s">
        <v>2639</v>
      </c>
      <c r="D4869" s="524" t="s">
        <v>410</v>
      </c>
      <c r="E4869" s="524" t="s">
        <v>1864</v>
      </c>
      <c r="F4869" s="528" t="s">
        <v>2641</v>
      </c>
      <c r="G4869" s="252">
        <f t="shared" si="108"/>
        <v>0.18</v>
      </c>
    </row>
    <row r="4870" spans="1:7" ht="28.8" x14ac:dyDescent="0.3">
      <c r="A4870" s="524" t="s">
        <v>522</v>
      </c>
      <c r="B4870" s="524" t="s">
        <v>2642</v>
      </c>
      <c r="C4870" s="525" t="s">
        <v>2643</v>
      </c>
      <c r="D4870" s="524" t="s">
        <v>1437</v>
      </c>
      <c r="E4870" s="524" t="s">
        <v>2668</v>
      </c>
      <c r="F4870" s="528" t="s">
        <v>2644</v>
      </c>
      <c r="G4870" s="252">
        <f t="shared" si="108"/>
        <v>0.24</v>
      </c>
    </row>
    <row r="4871" spans="1:7" x14ac:dyDescent="0.3">
      <c r="A4871" s="680" t="s">
        <v>1152</v>
      </c>
      <c r="B4871" s="681"/>
      <c r="C4871" s="681"/>
      <c r="D4871" s="681"/>
      <c r="E4871" s="681"/>
      <c r="F4871" s="682"/>
      <c r="G4871" s="527">
        <f>SUM(G4861:G4870)</f>
        <v>60.250000000000007</v>
      </c>
    </row>
    <row r="4872" spans="1:7" x14ac:dyDescent="0.3">
      <c r="A4872" s="683">
        <f>TRUNC(E4872*F4872,2)</f>
        <v>0</v>
      </c>
      <c r="B4872" s="684"/>
      <c r="C4872" s="684"/>
      <c r="D4872" s="684"/>
      <c r="E4872" s="684"/>
      <c r="F4872" s="684"/>
      <c r="G4872" s="685"/>
    </row>
    <row r="4873" spans="1:7" ht="28.8" x14ac:dyDescent="0.3">
      <c r="A4873" s="529" t="s">
        <v>126</v>
      </c>
      <c r="B4873" s="529">
        <v>94231</v>
      </c>
      <c r="C4873" s="530" t="s">
        <v>442</v>
      </c>
      <c r="D4873" s="529" t="s">
        <v>55</v>
      </c>
      <c r="E4873" s="252"/>
      <c r="F4873" s="531">
        <v>36.200000000000003</v>
      </c>
      <c r="G4873" s="252">
        <f t="shared" si="106"/>
        <v>0</v>
      </c>
    </row>
    <row r="4874" spans="1:7" ht="28.8" x14ac:dyDescent="0.3">
      <c r="A4874" s="524" t="s">
        <v>508</v>
      </c>
      <c r="B4874" s="524" t="s">
        <v>1417</v>
      </c>
      <c r="C4874" s="525" t="s">
        <v>1418</v>
      </c>
      <c r="D4874" s="524" t="s">
        <v>1419</v>
      </c>
      <c r="E4874" s="524" t="s">
        <v>2657</v>
      </c>
      <c r="F4874" s="528" t="s">
        <v>1421</v>
      </c>
      <c r="G4874" s="252">
        <f t="shared" ref="G4874:G4877" si="109">TRUNC(E4874*F4874,2)</f>
        <v>4.78</v>
      </c>
    </row>
    <row r="4875" spans="1:7" x14ac:dyDescent="0.3">
      <c r="A4875" s="524" t="s">
        <v>508</v>
      </c>
      <c r="B4875" s="524" t="s">
        <v>518</v>
      </c>
      <c r="C4875" s="525" t="s">
        <v>519</v>
      </c>
      <c r="D4875" s="524" t="s">
        <v>426</v>
      </c>
      <c r="E4875" s="524" t="s">
        <v>1043</v>
      </c>
      <c r="F4875" s="528" t="s">
        <v>521</v>
      </c>
      <c r="G4875" s="252">
        <f t="shared" si="109"/>
        <v>0.06</v>
      </c>
    </row>
    <row r="4876" spans="1:7" x14ac:dyDescent="0.3">
      <c r="A4876" s="524" t="s">
        <v>508</v>
      </c>
      <c r="B4876" s="524" t="s">
        <v>2658</v>
      </c>
      <c r="C4876" s="525" t="s">
        <v>2659</v>
      </c>
      <c r="D4876" s="524" t="s">
        <v>426</v>
      </c>
      <c r="E4876" s="524" t="s">
        <v>1926</v>
      </c>
      <c r="F4876" s="528" t="s">
        <v>2660</v>
      </c>
      <c r="G4876" s="252">
        <f t="shared" si="109"/>
        <v>0.05</v>
      </c>
    </row>
    <row r="4877" spans="1:7" x14ac:dyDescent="0.3">
      <c r="A4877" s="524" t="s">
        <v>508</v>
      </c>
      <c r="B4877" s="524" t="s">
        <v>2661</v>
      </c>
      <c r="C4877" s="525" t="s">
        <v>2662</v>
      </c>
      <c r="D4877" s="524" t="s">
        <v>426</v>
      </c>
      <c r="E4877" s="524" t="s">
        <v>2502</v>
      </c>
      <c r="F4877" s="528" t="s">
        <v>2663</v>
      </c>
      <c r="G4877" s="252">
        <f t="shared" si="109"/>
        <v>2.89</v>
      </c>
    </row>
    <row r="4878" spans="1:7" x14ac:dyDescent="0.3">
      <c r="A4878" s="524" t="s">
        <v>508</v>
      </c>
      <c r="B4878" s="524" t="s">
        <v>2664</v>
      </c>
      <c r="C4878" s="525" t="s">
        <v>2665</v>
      </c>
      <c r="D4878" s="524" t="s">
        <v>55</v>
      </c>
      <c r="E4878" s="524" t="s">
        <v>1697</v>
      </c>
      <c r="F4878" s="528" t="s">
        <v>2666</v>
      </c>
      <c r="G4878" s="252">
        <f t="shared" ref="G4878:G4882" si="110">TRUNC(E4878*F4878,2)</f>
        <v>22.93</v>
      </c>
    </row>
    <row r="4879" spans="1:7" x14ac:dyDescent="0.3">
      <c r="A4879" s="524" t="s">
        <v>522</v>
      </c>
      <c r="B4879" s="524" t="s">
        <v>1359</v>
      </c>
      <c r="C4879" s="525" t="s">
        <v>801</v>
      </c>
      <c r="D4879" s="524" t="s">
        <v>32</v>
      </c>
      <c r="E4879" s="524" t="s">
        <v>2667</v>
      </c>
      <c r="F4879" s="528" t="s">
        <v>1361</v>
      </c>
      <c r="G4879" s="252">
        <f t="shared" si="110"/>
        <v>2.97</v>
      </c>
    </row>
    <row r="4880" spans="1:7" x14ac:dyDescent="0.3">
      <c r="A4880" s="524" t="s">
        <v>522</v>
      </c>
      <c r="B4880" s="524" t="s">
        <v>2653</v>
      </c>
      <c r="C4880" s="525" t="s">
        <v>2654</v>
      </c>
      <c r="D4880" s="524" t="s">
        <v>32</v>
      </c>
      <c r="E4880" s="524" t="s">
        <v>2098</v>
      </c>
      <c r="F4880" s="528" t="s">
        <v>2656</v>
      </c>
      <c r="G4880" s="252">
        <f t="shared" si="110"/>
        <v>2.1</v>
      </c>
    </row>
    <row r="4881" spans="1:7" ht="28.8" x14ac:dyDescent="0.3">
      <c r="A4881" s="524" t="s">
        <v>522</v>
      </c>
      <c r="B4881" s="524" t="s">
        <v>2638</v>
      </c>
      <c r="C4881" s="525" t="s">
        <v>2639</v>
      </c>
      <c r="D4881" s="524" t="s">
        <v>410</v>
      </c>
      <c r="E4881" s="524" t="s">
        <v>1864</v>
      </c>
      <c r="F4881" s="528" t="s">
        <v>2641</v>
      </c>
      <c r="G4881" s="252">
        <f t="shared" si="110"/>
        <v>0.18</v>
      </c>
    </row>
    <row r="4882" spans="1:7" ht="28.8" x14ac:dyDescent="0.3">
      <c r="A4882" s="524" t="s">
        <v>522</v>
      </c>
      <c r="B4882" s="524" t="s">
        <v>2642</v>
      </c>
      <c r="C4882" s="525" t="s">
        <v>2643</v>
      </c>
      <c r="D4882" s="524" t="s">
        <v>1437</v>
      </c>
      <c r="E4882" s="524" t="s">
        <v>2668</v>
      </c>
      <c r="F4882" s="528" t="s">
        <v>2644</v>
      </c>
      <c r="G4882" s="252">
        <f t="shared" si="110"/>
        <v>0.24</v>
      </c>
    </row>
    <row r="4883" spans="1:7" x14ac:dyDescent="0.3">
      <c r="A4883" s="680" t="s">
        <v>1152</v>
      </c>
      <c r="B4883" s="681"/>
      <c r="C4883" s="681"/>
      <c r="D4883" s="681"/>
      <c r="E4883" s="681"/>
      <c r="F4883" s="682"/>
      <c r="G4883" s="527">
        <f>SUM(G4873:G4882)</f>
        <v>36.200000000000003</v>
      </c>
    </row>
    <row r="4884" spans="1:7" x14ac:dyDescent="0.3">
      <c r="A4884" s="683">
        <f>TRUNC(E4884*F4884,2)</f>
        <v>0</v>
      </c>
      <c r="B4884" s="684"/>
      <c r="C4884" s="684"/>
      <c r="D4884" s="684"/>
      <c r="E4884" s="684"/>
      <c r="F4884" s="684"/>
      <c r="G4884" s="685"/>
    </row>
    <row r="4885" spans="1:7" x14ac:dyDescent="0.3">
      <c r="A4885" s="529" t="s">
        <v>160</v>
      </c>
      <c r="B4885" s="529"/>
      <c r="C4885" s="530" t="s">
        <v>51</v>
      </c>
      <c r="D4885" s="529"/>
      <c r="E4885" s="252"/>
      <c r="F4885" s="531"/>
      <c r="G4885" s="252">
        <f t="shared" si="106"/>
        <v>0</v>
      </c>
    </row>
    <row r="4886" spans="1:7" ht="57.6" x14ac:dyDescent="0.3">
      <c r="A4886" s="529" t="s">
        <v>162</v>
      </c>
      <c r="B4886" s="529">
        <v>90843</v>
      </c>
      <c r="C4886" s="530" t="s">
        <v>53</v>
      </c>
      <c r="D4886" s="529" t="s">
        <v>44</v>
      </c>
      <c r="E4886" s="252"/>
      <c r="F4886" s="531">
        <v>640</v>
      </c>
      <c r="G4886" s="252">
        <f t="shared" si="106"/>
        <v>0</v>
      </c>
    </row>
    <row r="4887" spans="1:7" ht="28.8" x14ac:dyDescent="0.3">
      <c r="A4887" s="524" t="s">
        <v>522</v>
      </c>
      <c r="B4887" s="524" t="s">
        <v>1380</v>
      </c>
      <c r="C4887" s="525" t="s">
        <v>1381</v>
      </c>
      <c r="D4887" s="524" t="s">
        <v>397</v>
      </c>
      <c r="E4887" s="524" t="s">
        <v>1122</v>
      </c>
      <c r="F4887" s="526">
        <v>200</v>
      </c>
      <c r="G4887" s="252">
        <f t="shared" si="106"/>
        <v>200</v>
      </c>
    </row>
    <row r="4888" spans="1:7" ht="43.2" x14ac:dyDescent="0.3">
      <c r="A4888" s="524" t="s">
        <v>522</v>
      </c>
      <c r="B4888" s="524" t="s">
        <v>956</v>
      </c>
      <c r="C4888" s="525" t="s">
        <v>957</v>
      </c>
      <c r="D4888" s="524" t="s">
        <v>397</v>
      </c>
      <c r="E4888" s="524" t="s">
        <v>1122</v>
      </c>
      <c r="F4888" s="526">
        <v>300</v>
      </c>
      <c r="G4888" s="252">
        <f t="shared" si="106"/>
        <v>300</v>
      </c>
    </row>
    <row r="4889" spans="1:7" ht="43.2" x14ac:dyDescent="0.3">
      <c r="A4889" s="524" t="s">
        <v>522</v>
      </c>
      <c r="B4889" s="524" t="s">
        <v>1383</v>
      </c>
      <c r="C4889" s="525" t="s">
        <v>1384</v>
      </c>
      <c r="D4889" s="524" t="s">
        <v>397</v>
      </c>
      <c r="E4889" s="524" t="s">
        <v>1122</v>
      </c>
      <c r="F4889" s="526">
        <v>90</v>
      </c>
      <c r="G4889" s="252">
        <f t="shared" si="106"/>
        <v>90</v>
      </c>
    </row>
    <row r="4890" spans="1:7" ht="28.8" x14ac:dyDescent="0.3">
      <c r="A4890" s="524" t="s">
        <v>522</v>
      </c>
      <c r="B4890" s="524" t="s">
        <v>1386</v>
      </c>
      <c r="C4890" s="525" t="s">
        <v>1387</v>
      </c>
      <c r="D4890" s="524" t="s">
        <v>55</v>
      </c>
      <c r="E4890" s="524" t="s">
        <v>1388</v>
      </c>
      <c r="F4890" s="526">
        <v>5</v>
      </c>
      <c r="G4890" s="252">
        <f t="shared" si="106"/>
        <v>50</v>
      </c>
    </row>
    <row r="4891" spans="1:7" x14ac:dyDescent="0.3">
      <c r="A4891" s="680" t="s">
        <v>1152</v>
      </c>
      <c r="B4891" s="681"/>
      <c r="C4891" s="681"/>
      <c r="D4891" s="681"/>
      <c r="E4891" s="681"/>
      <c r="F4891" s="682"/>
      <c r="G4891" s="527">
        <f>SUM(G4884:G4890)</f>
        <v>640</v>
      </c>
    </row>
    <row r="4892" spans="1:7" x14ac:dyDescent="0.3">
      <c r="A4892" s="683">
        <f>TRUNC(E4892*F4892,2)</f>
        <v>0</v>
      </c>
      <c r="B4892" s="684"/>
      <c r="C4892" s="684"/>
      <c r="D4892" s="684"/>
      <c r="E4892" s="684"/>
      <c r="F4892" s="684"/>
      <c r="G4892" s="685"/>
    </row>
    <row r="4893" spans="1:7" ht="28.8" x14ac:dyDescent="0.3">
      <c r="A4893" s="529" t="s">
        <v>163</v>
      </c>
      <c r="B4893" s="529">
        <v>100701</v>
      </c>
      <c r="C4893" s="530" t="s">
        <v>391</v>
      </c>
      <c r="D4893" s="529" t="s">
        <v>24</v>
      </c>
      <c r="E4893" s="252"/>
      <c r="F4893" s="531">
        <v>479.56</v>
      </c>
      <c r="G4893" s="252">
        <f t="shared" si="106"/>
        <v>0</v>
      </c>
    </row>
    <row r="4894" spans="1:7" ht="28.8" x14ac:dyDescent="0.3">
      <c r="A4894" s="524" t="s">
        <v>508</v>
      </c>
      <c r="B4894" s="524" t="s">
        <v>2041</v>
      </c>
      <c r="C4894" s="525" t="s">
        <v>2042</v>
      </c>
      <c r="D4894" s="524" t="s">
        <v>24</v>
      </c>
      <c r="E4894" s="524" t="s">
        <v>1122</v>
      </c>
      <c r="F4894" s="526" t="s">
        <v>2043</v>
      </c>
      <c r="G4894" s="252">
        <f t="shared" si="106"/>
        <v>463.18</v>
      </c>
    </row>
    <row r="4895" spans="1:7" x14ac:dyDescent="0.3">
      <c r="A4895" s="524" t="s">
        <v>522</v>
      </c>
      <c r="B4895" s="524" t="s">
        <v>1362</v>
      </c>
      <c r="C4895" s="525" t="s">
        <v>1363</v>
      </c>
      <c r="D4895" s="524" t="s">
        <v>32</v>
      </c>
      <c r="E4895" s="524" t="s">
        <v>2044</v>
      </c>
      <c r="F4895" s="526" t="s">
        <v>1365</v>
      </c>
      <c r="G4895" s="252">
        <f t="shared" si="106"/>
        <v>8.11</v>
      </c>
    </row>
    <row r="4896" spans="1:7" x14ac:dyDescent="0.3">
      <c r="A4896" s="524" t="s">
        <v>522</v>
      </c>
      <c r="B4896" s="524" t="s">
        <v>1359</v>
      </c>
      <c r="C4896" s="525" t="s">
        <v>801</v>
      </c>
      <c r="D4896" s="524" t="s">
        <v>32</v>
      </c>
      <c r="E4896" s="524" t="s">
        <v>2045</v>
      </c>
      <c r="F4896" s="526" t="s">
        <v>1361</v>
      </c>
      <c r="G4896" s="252">
        <f t="shared" si="106"/>
        <v>3.29</v>
      </c>
    </row>
    <row r="4897" spans="1:7" ht="28.8" x14ac:dyDescent="0.3">
      <c r="A4897" s="524" t="s">
        <v>522</v>
      </c>
      <c r="B4897" s="524" t="s">
        <v>2046</v>
      </c>
      <c r="C4897" s="525" t="s">
        <v>2047</v>
      </c>
      <c r="D4897" s="524" t="s">
        <v>41</v>
      </c>
      <c r="E4897" s="524" t="s">
        <v>1415</v>
      </c>
      <c r="F4897" s="526" t="s">
        <v>2048</v>
      </c>
      <c r="G4897" s="252">
        <f t="shared" si="106"/>
        <v>4.9800000000000004</v>
      </c>
    </row>
    <row r="4898" spans="1:7" x14ac:dyDescent="0.3">
      <c r="A4898" s="680" t="s">
        <v>1152</v>
      </c>
      <c r="B4898" s="681"/>
      <c r="C4898" s="681"/>
      <c r="D4898" s="681"/>
      <c r="E4898" s="681"/>
      <c r="F4898" s="682"/>
      <c r="G4898" s="527">
        <f>SUM(G4894:G4897)</f>
        <v>479.56000000000006</v>
      </c>
    </row>
    <row r="4899" spans="1:7" x14ac:dyDescent="0.3">
      <c r="A4899" s="683">
        <f>TRUNC(E4899*F4899,2)</f>
        <v>0</v>
      </c>
      <c r="B4899" s="684"/>
      <c r="C4899" s="684"/>
      <c r="D4899" s="684"/>
      <c r="E4899" s="684"/>
      <c r="F4899" s="684"/>
      <c r="G4899" s="685"/>
    </row>
    <row r="4900" spans="1:7" ht="28.8" x14ac:dyDescent="0.3">
      <c r="A4900" s="529" t="s">
        <v>164</v>
      </c>
      <c r="B4900" s="529">
        <v>94559</v>
      </c>
      <c r="C4900" s="530" t="s">
        <v>443</v>
      </c>
      <c r="D4900" s="529" t="s">
        <v>24</v>
      </c>
      <c r="E4900" s="252"/>
      <c r="F4900" s="531">
        <v>566.87</v>
      </c>
      <c r="G4900" s="252">
        <f t="shared" si="106"/>
        <v>0</v>
      </c>
    </row>
    <row r="4901" spans="1:7" x14ac:dyDescent="0.3">
      <c r="A4901" s="524" t="s">
        <v>508</v>
      </c>
      <c r="B4901" s="524" t="s">
        <v>2273</v>
      </c>
      <c r="C4901" s="525" t="s">
        <v>2274</v>
      </c>
      <c r="D4901" s="524" t="s">
        <v>397</v>
      </c>
      <c r="E4901" s="524" t="s">
        <v>2275</v>
      </c>
      <c r="F4901" s="528" t="s">
        <v>2276</v>
      </c>
      <c r="G4901" s="252">
        <f t="shared" si="106"/>
        <v>443.64</v>
      </c>
    </row>
    <row r="4902" spans="1:7" x14ac:dyDescent="0.3">
      <c r="A4902" s="524" t="s">
        <v>522</v>
      </c>
      <c r="B4902" s="524" t="s">
        <v>1362</v>
      </c>
      <c r="C4902" s="525" t="s">
        <v>1363</v>
      </c>
      <c r="D4902" s="524" t="s">
        <v>32</v>
      </c>
      <c r="E4902" s="524" t="s">
        <v>2277</v>
      </c>
      <c r="F4902" s="528" t="s">
        <v>1365</v>
      </c>
      <c r="G4902" s="252">
        <f t="shared" si="106"/>
        <v>81.349999999999994</v>
      </c>
    </row>
    <row r="4903" spans="1:7" x14ac:dyDescent="0.3">
      <c r="A4903" s="524" t="s">
        <v>522</v>
      </c>
      <c r="B4903" s="524" t="s">
        <v>1359</v>
      </c>
      <c r="C4903" s="525" t="s">
        <v>801</v>
      </c>
      <c r="D4903" s="524" t="s">
        <v>32</v>
      </c>
      <c r="E4903" s="524" t="s">
        <v>2278</v>
      </c>
      <c r="F4903" s="528" t="s">
        <v>1361</v>
      </c>
      <c r="G4903" s="252">
        <f t="shared" si="106"/>
        <v>32.92</v>
      </c>
    </row>
    <row r="4904" spans="1:7" ht="28.8" x14ac:dyDescent="0.3">
      <c r="A4904" s="524" t="s">
        <v>522</v>
      </c>
      <c r="B4904" s="524" t="s">
        <v>1685</v>
      </c>
      <c r="C4904" s="525" t="s">
        <v>1686</v>
      </c>
      <c r="D4904" s="524" t="s">
        <v>41</v>
      </c>
      <c r="E4904" s="524" t="s">
        <v>1759</v>
      </c>
      <c r="F4904" s="528" t="s">
        <v>1688</v>
      </c>
      <c r="G4904" s="252">
        <f t="shared" si="106"/>
        <v>8.9600000000000009</v>
      </c>
    </row>
    <row r="4905" spans="1:7" x14ac:dyDescent="0.3">
      <c r="A4905" s="680" t="s">
        <v>1152</v>
      </c>
      <c r="B4905" s="681"/>
      <c r="C4905" s="681"/>
      <c r="D4905" s="681"/>
      <c r="E4905" s="681"/>
      <c r="F4905" s="682"/>
      <c r="G4905" s="527">
        <f>SUM(G4901:G4904)</f>
        <v>566.87</v>
      </c>
    </row>
    <row r="4906" spans="1:7" x14ac:dyDescent="0.3">
      <c r="A4906" s="683">
        <f>TRUNC(E4906*F4906,2)</f>
        <v>0</v>
      </c>
      <c r="B4906" s="684"/>
      <c r="C4906" s="684"/>
      <c r="D4906" s="684"/>
      <c r="E4906" s="684"/>
      <c r="F4906" s="684"/>
      <c r="G4906" s="685"/>
    </row>
    <row r="4907" spans="1:7" ht="28.8" x14ac:dyDescent="0.3">
      <c r="A4907" s="529" t="s">
        <v>165</v>
      </c>
      <c r="B4907" s="529">
        <v>94560</v>
      </c>
      <c r="C4907" s="530" t="s">
        <v>444</v>
      </c>
      <c r="D4907" s="529" t="s">
        <v>24</v>
      </c>
      <c r="E4907" s="252"/>
      <c r="F4907" s="531">
        <v>520.51</v>
      </c>
      <c r="G4907" s="252">
        <f t="shared" si="106"/>
        <v>0</v>
      </c>
    </row>
    <row r="4908" spans="1:7" ht="43.2" x14ac:dyDescent="0.3">
      <c r="A4908" s="524" t="s">
        <v>508</v>
      </c>
      <c r="B4908" s="524" t="s">
        <v>2279</v>
      </c>
      <c r="C4908" s="525" t="s">
        <v>2280</v>
      </c>
      <c r="D4908" s="524" t="s">
        <v>397</v>
      </c>
      <c r="E4908" s="524" t="s">
        <v>2281</v>
      </c>
      <c r="F4908" s="528" t="s">
        <v>2282</v>
      </c>
      <c r="G4908" s="252">
        <f t="shared" si="106"/>
        <v>473.94</v>
      </c>
    </row>
    <row r="4909" spans="1:7" x14ac:dyDescent="0.3">
      <c r="A4909" s="524" t="s">
        <v>522</v>
      </c>
      <c r="B4909" s="524" t="s">
        <v>1362</v>
      </c>
      <c r="C4909" s="525" t="s">
        <v>1363</v>
      </c>
      <c r="D4909" s="524" t="s">
        <v>32</v>
      </c>
      <c r="E4909" s="524" t="s">
        <v>2283</v>
      </c>
      <c r="F4909" s="528" t="s">
        <v>1365</v>
      </c>
      <c r="G4909" s="252">
        <f t="shared" si="106"/>
        <v>30.13</v>
      </c>
    </row>
    <row r="4910" spans="1:7" x14ac:dyDescent="0.3">
      <c r="A4910" s="524" t="s">
        <v>522</v>
      </c>
      <c r="B4910" s="524" t="s">
        <v>1359</v>
      </c>
      <c r="C4910" s="525" t="s">
        <v>801</v>
      </c>
      <c r="D4910" s="524" t="s">
        <v>32</v>
      </c>
      <c r="E4910" s="524" t="s">
        <v>2284</v>
      </c>
      <c r="F4910" s="528" t="s">
        <v>1361</v>
      </c>
      <c r="G4910" s="252">
        <f t="shared" si="106"/>
        <v>12.18</v>
      </c>
    </row>
    <row r="4911" spans="1:7" ht="28.8" x14ac:dyDescent="0.3">
      <c r="A4911" s="524" t="s">
        <v>522</v>
      </c>
      <c r="B4911" s="524" t="s">
        <v>1685</v>
      </c>
      <c r="C4911" s="525" t="s">
        <v>1686</v>
      </c>
      <c r="D4911" s="524" t="s">
        <v>41</v>
      </c>
      <c r="E4911" s="524" t="s">
        <v>1538</v>
      </c>
      <c r="F4911" s="528" t="s">
        <v>1688</v>
      </c>
      <c r="G4911" s="252">
        <f t="shared" si="106"/>
        <v>4.26</v>
      </c>
    </row>
    <row r="4912" spans="1:7" x14ac:dyDescent="0.3">
      <c r="A4912" s="680" t="s">
        <v>1152</v>
      </c>
      <c r="B4912" s="681"/>
      <c r="C4912" s="681"/>
      <c r="D4912" s="681"/>
      <c r="E4912" s="681"/>
      <c r="F4912" s="682"/>
      <c r="G4912" s="527">
        <f>SUM(G4908:G4911)</f>
        <v>520.51</v>
      </c>
    </row>
    <row r="4913" spans="1:7" x14ac:dyDescent="0.3">
      <c r="A4913" s="683">
        <f>TRUNC(E4913*F4913,2)</f>
        <v>0</v>
      </c>
      <c r="B4913" s="684"/>
      <c r="C4913" s="684"/>
      <c r="D4913" s="684"/>
      <c r="E4913" s="684"/>
      <c r="F4913" s="684"/>
      <c r="G4913" s="685"/>
    </row>
    <row r="4914" spans="1:7" x14ac:dyDescent="0.3">
      <c r="A4914" s="529" t="s">
        <v>186</v>
      </c>
      <c r="B4914" s="529"/>
      <c r="C4914" s="530" t="s">
        <v>61</v>
      </c>
      <c r="D4914" s="529"/>
      <c r="E4914" s="252"/>
      <c r="F4914" s="531"/>
      <c r="G4914" s="252">
        <f t="shared" si="106"/>
        <v>0</v>
      </c>
    </row>
    <row r="4915" spans="1:7" ht="57.6" x14ac:dyDescent="0.3">
      <c r="A4915" s="529" t="s">
        <v>188</v>
      </c>
      <c r="B4915" s="529">
        <v>87874</v>
      </c>
      <c r="C4915" s="530" t="s">
        <v>445</v>
      </c>
      <c r="D4915" s="529" t="s">
        <v>24</v>
      </c>
      <c r="E4915" s="252"/>
      <c r="F4915" s="531">
        <v>3.99</v>
      </c>
      <c r="G4915" s="252">
        <f t="shared" si="106"/>
        <v>0</v>
      </c>
    </row>
    <row r="4916" spans="1:7" ht="43.2" x14ac:dyDescent="0.3">
      <c r="A4916" s="524" t="s">
        <v>522</v>
      </c>
      <c r="B4916" s="524" t="s">
        <v>2285</v>
      </c>
      <c r="C4916" s="525" t="s">
        <v>2286</v>
      </c>
      <c r="D4916" s="524" t="s">
        <v>41</v>
      </c>
      <c r="E4916" s="524" t="s">
        <v>2287</v>
      </c>
      <c r="F4916" s="528" t="s">
        <v>2288</v>
      </c>
      <c r="G4916" s="252">
        <f t="shared" si="106"/>
        <v>3.19</v>
      </c>
    </row>
    <row r="4917" spans="1:7" x14ac:dyDescent="0.3">
      <c r="A4917" s="524" t="s">
        <v>522</v>
      </c>
      <c r="B4917" s="524" t="s">
        <v>1362</v>
      </c>
      <c r="C4917" s="525" t="s">
        <v>1363</v>
      </c>
      <c r="D4917" s="524" t="s">
        <v>32</v>
      </c>
      <c r="E4917" s="524" t="s">
        <v>2289</v>
      </c>
      <c r="F4917" s="528" t="s">
        <v>1365</v>
      </c>
      <c r="G4917" s="252">
        <f t="shared" si="106"/>
        <v>0.74</v>
      </c>
    </row>
    <row r="4918" spans="1:7" x14ac:dyDescent="0.3">
      <c r="A4918" s="524" t="s">
        <v>522</v>
      </c>
      <c r="B4918" s="524" t="s">
        <v>1359</v>
      </c>
      <c r="C4918" s="525" t="s">
        <v>801</v>
      </c>
      <c r="D4918" s="524" t="s">
        <v>32</v>
      </c>
      <c r="E4918" s="524" t="s">
        <v>1959</v>
      </c>
      <c r="F4918" s="528" t="s">
        <v>1361</v>
      </c>
      <c r="G4918" s="252">
        <f t="shared" si="106"/>
        <v>0.06</v>
      </c>
    </row>
    <row r="4919" spans="1:7" x14ac:dyDescent="0.3">
      <c r="A4919" s="680" t="s">
        <v>1152</v>
      </c>
      <c r="B4919" s="681"/>
      <c r="C4919" s="681"/>
      <c r="D4919" s="681"/>
      <c r="E4919" s="681"/>
      <c r="F4919" s="682"/>
      <c r="G4919" s="527">
        <f>SUM(G4915:G4918)</f>
        <v>3.9899999999999998</v>
      </c>
    </row>
    <row r="4920" spans="1:7" x14ac:dyDescent="0.3">
      <c r="A4920" s="683">
        <f>TRUNC(E4920*F4920,2)</f>
        <v>0</v>
      </c>
      <c r="B4920" s="684"/>
      <c r="C4920" s="684"/>
      <c r="D4920" s="684"/>
      <c r="E4920" s="684"/>
      <c r="F4920" s="684"/>
      <c r="G4920" s="685"/>
    </row>
    <row r="4921" spans="1:7" ht="57.6" x14ac:dyDescent="0.3">
      <c r="A4921" s="529" t="s">
        <v>200</v>
      </c>
      <c r="B4921" s="529">
        <v>87530</v>
      </c>
      <c r="C4921" s="530" t="s">
        <v>446</v>
      </c>
      <c r="D4921" s="529" t="s">
        <v>24</v>
      </c>
      <c r="E4921" s="252"/>
      <c r="F4921" s="531">
        <v>27.45</v>
      </c>
      <c r="G4921" s="252">
        <f t="shared" si="106"/>
        <v>0</v>
      </c>
    </row>
    <row r="4922" spans="1:7" ht="43.2" x14ac:dyDescent="0.3">
      <c r="A4922" s="524" t="s">
        <v>522</v>
      </c>
      <c r="B4922" s="524" t="s">
        <v>2290</v>
      </c>
      <c r="C4922" s="525" t="s">
        <v>2291</v>
      </c>
      <c r="D4922" s="524" t="s">
        <v>41</v>
      </c>
      <c r="E4922" s="524" t="s">
        <v>2049</v>
      </c>
      <c r="F4922" s="528" t="s">
        <v>2292</v>
      </c>
      <c r="G4922" s="252">
        <f t="shared" si="106"/>
        <v>16.66</v>
      </c>
    </row>
    <row r="4923" spans="1:7" x14ac:dyDescent="0.3">
      <c r="A4923" s="524" t="s">
        <v>522</v>
      </c>
      <c r="B4923" s="524" t="s">
        <v>1362</v>
      </c>
      <c r="C4923" s="525" t="s">
        <v>1363</v>
      </c>
      <c r="D4923" s="524" t="s">
        <v>32</v>
      </c>
      <c r="E4923" s="524" t="s">
        <v>2050</v>
      </c>
      <c r="F4923" s="528" t="s">
        <v>1365</v>
      </c>
      <c r="G4923" s="252">
        <f t="shared" si="106"/>
        <v>8.34</v>
      </c>
    </row>
    <row r="4924" spans="1:7" x14ac:dyDescent="0.3">
      <c r="A4924" s="524" t="s">
        <v>522</v>
      </c>
      <c r="B4924" s="524" t="s">
        <v>1359</v>
      </c>
      <c r="C4924" s="525" t="s">
        <v>801</v>
      </c>
      <c r="D4924" s="524" t="s">
        <v>32</v>
      </c>
      <c r="E4924" s="524" t="s">
        <v>2051</v>
      </c>
      <c r="F4924" s="528" t="s">
        <v>1361</v>
      </c>
      <c r="G4924" s="252">
        <f t="shared" si="106"/>
        <v>2.4500000000000002</v>
      </c>
    </row>
    <row r="4925" spans="1:7" x14ac:dyDescent="0.3">
      <c r="A4925" s="680" t="s">
        <v>1152</v>
      </c>
      <c r="B4925" s="681"/>
      <c r="C4925" s="681"/>
      <c r="D4925" s="681"/>
      <c r="E4925" s="681"/>
      <c r="F4925" s="682"/>
      <c r="G4925" s="527">
        <f>SUM(G4921:G4924)</f>
        <v>27.45</v>
      </c>
    </row>
    <row r="4926" spans="1:7" x14ac:dyDescent="0.3">
      <c r="A4926" s="683">
        <f>TRUNC(E4926*F4926,2)</f>
        <v>0</v>
      </c>
      <c r="B4926" s="684"/>
      <c r="C4926" s="684"/>
      <c r="D4926" s="684"/>
      <c r="E4926" s="684"/>
      <c r="F4926" s="684"/>
      <c r="G4926" s="685"/>
    </row>
    <row r="4927" spans="1:7" ht="43.2" x14ac:dyDescent="0.3">
      <c r="A4927" s="529" t="s">
        <v>236</v>
      </c>
      <c r="B4927" s="529">
        <v>87266</v>
      </c>
      <c r="C4927" s="530" t="s">
        <v>65</v>
      </c>
      <c r="D4927" s="529" t="s">
        <v>24</v>
      </c>
      <c r="E4927" s="252"/>
      <c r="F4927" s="531">
        <v>32.79</v>
      </c>
      <c r="G4927" s="252">
        <f t="shared" si="106"/>
        <v>0</v>
      </c>
    </row>
    <row r="4928" spans="1:7" ht="28.8" x14ac:dyDescent="0.3">
      <c r="A4928" s="524" t="s">
        <v>508</v>
      </c>
      <c r="B4928" s="524" t="s">
        <v>1441</v>
      </c>
      <c r="C4928" s="525" t="s">
        <v>1442</v>
      </c>
      <c r="D4928" s="524" t="s">
        <v>24</v>
      </c>
      <c r="E4928" s="606">
        <v>1</v>
      </c>
      <c r="F4928" s="526">
        <v>14</v>
      </c>
      <c r="G4928" s="252">
        <f t="shared" si="106"/>
        <v>14</v>
      </c>
    </row>
    <row r="4929" spans="1:7" x14ac:dyDescent="0.3">
      <c r="A4929" s="524" t="s">
        <v>508</v>
      </c>
      <c r="B4929" s="524" t="s">
        <v>1444</v>
      </c>
      <c r="C4929" s="525" t="s">
        <v>1445</v>
      </c>
      <c r="D4929" s="524" t="s">
        <v>426</v>
      </c>
      <c r="E4929" s="606">
        <v>4</v>
      </c>
      <c r="F4929" s="526" t="s">
        <v>1447</v>
      </c>
      <c r="G4929" s="252">
        <f t="shared" si="106"/>
        <v>2.6</v>
      </c>
    </row>
    <row r="4930" spans="1:7" x14ac:dyDescent="0.3">
      <c r="A4930" s="524" t="s">
        <v>508</v>
      </c>
      <c r="B4930" s="524" t="s">
        <v>1448</v>
      </c>
      <c r="C4930" s="525" t="s">
        <v>1449</v>
      </c>
      <c r="D4930" s="524" t="s">
        <v>426</v>
      </c>
      <c r="E4930" s="524" t="s">
        <v>1450</v>
      </c>
      <c r="F4930" s="526" t="s">
        <v>1451</v>
      </c>
      <c r="G4930" s="252">
        <f t="shared" si="106"/>
        <v>1.6</v>
      </c>
    </row>
    <row r="4931" spans="1:7" x14ac:dyDescent="0.3">
      <c r="A4931" s="524" t="s">
        <v>522</v>
      </c>
      <c r="B4931" s="524" t="s">
        <v>1355</v>
      </c>
      <c r="C4931" s="525" t="s">
        <v>1356</v>
      </c>
      <c r="D4931" s="524" t="s">
        <v>32</v>
      </c>
      <c r="E4931" s="606">
        <v>0.5</v>
      </c>
      <c r="F4931" s="526" t="s">
        <v>1358</v>
      </c>
      <c r="G4931" s="252">
        <f t="shared" si="106"/>
        <v>8.85</v>
      </c>
    </row>
    <row r="4932" spans="1:7" x14ac:dyDescent="0.3">
      <c r="A4932" s="524" t="s">
        <v>522</v>
      </c>
      <c r="B4932" s="524" t="s">
        <v>1359</v>
      </c>
      <c r="C4932" s="525" t="s">
        <v>801</v>
      </c>
      <c r="D4932" s="524" t="s">
        <v>32</v>
      </c>
      <c r="E4932" s="606">
        <v>0.4</v>
      </c>
      <c r="F4932" s="526" t="s">
        <v>1361</v>
      </c>
      <c r="G4932" s="252">
        <f t="shared" si="106"/>
        <v>5.74</v>
      </c>
    </row>
    <row r="4933" spans="1:7" x14ac:dyDescent="0.3">
      <c r="A4933" s="680" t="s">
        <v>1152</v>
      </c>
      <c r="B4933" s="681"/>
      <c r="C4933" s="681"/>
      <c r="D4933" s="681"/>
      <c r="E4933" s="681"/>
      <c r="F4933" s="682"/>
      <c r="G4933" s="527">
        <f>SUM(G4927:G4932)</f>
        <v>32.790000000000006</v>
      </c>
    </row>
    <row r="4934" spans="1:7" x14ac:dyDescent="0.3">
      <c r="A4934" s="683">
        <f>TRUNC(E4934*F4934,2)</f>
        <v>0</v>
      </c>
      <c r="B4934" s="684"/>
      <c r="C4934" s="684"/>
      <c r="D4934" s="684"/>
      <c r="E4934" s="684"/>
      <c r="F4934" s="684"/>
      <c r="G4934" s="685"/>
    </row>
    <row r="4935" spans="1:7" x14ac:dyDescent="0.3">
      <c r="A4935" s="529" t="s">
        <v>206</v>
      </c>
      <c r="B4935" s="529"/>
      <c r="C4935" s="530" t="s">
        <v>75</v>
      </c>
      <c r="D4935" s="529"/>
      <c r="E4935" s="252"/>
      <c r="F4935" s="531"/>
      <c r="G4935" s="252">
        <f t="shared" si="106"/>
        <v>0</v>
      </c>
    </row>
    <row r="4936" spans="1:7" ht="28.8" x14ac:dyDescent="0.3">
      <c r="A4936" s="529" t="s">
        <v>208</v>
      </c>
      <c r="B4936" s="529">
        <v>84191</v>
      </c>
      <c r="C4936" s="530" t="s">
        <v>82</v>
      </c>
      <c r="D4936" s="529" t="s">
        <v>24</v>
      </c>
      <c r="E4936" s="252"/>
      <c r="F4936" s="531">
        <v>91.93</v>
      </c>
      <c r="G4936" s="252">
        <f t="shared" si="106"/>
        <v>0</v>
      </c>
    </row>
    <row r="4937" spans="1:7" ht="28.8" x14ac:dyDescent="0.3">
      <c r="A4937" s="524" t="s">
        <v>508</v>
      </c>
      <c r="B4937" s="524" t="s">
        <v>1508</v>
      </c>
      <c r="C4937" s="525" t="s">
        <v>1509</v>
      </c>
      <c r="D4937" s="524" t="s">
        <v>55</v>
      </c>
      <c r="E4937" s="524" t="s">
        <v>1122</v>
      </c>
      <c r="F4937" s="526" t="s">
        <v>1510</v>
      </c>
      <c r="G4937" s="252">
        <f t="shared" si="106"/>
        <v>0.88</v>
      </c>
    </row>
    <row r="4938" spans="1:7" ht="28.8" x14ac:dyDescent="0.3">
      <c r="A4938" s="524" t="s">
        <v>508</v>
      </c>
      <c r="B4938" s="524" t="s">
        <v>1511</v>
      </c>
      <c r="C4938" s="525" t="s">
        <v>1512</v>
      </c>
      <c r="D4938" s="524" t="s">
        <v>24</v>
      </c>
      <c r="E4938" s="524" t="s">
        <v>1122</v>
      </c>
      <c r="F4938" s="526">
        <v>70</v>
      </c>
      <c r="G4938" s="252">
        <f t="shared" si="106"/>
        <v>70</v>
      </c>
    </row>
    <row r="4939" spans="1:7" ht="28.8" x14ac:dyDescent="0.3">
      <c r="A4939" s="524" t="s">
        <v>522</v>
      </c>
      <c r="B4939" s="524" t="s">
        <v>1513</v>
      </c>
      <c r="C4939" s="525" t="s">
        <v>1514</v>
      </c>
      <c r="D4939" s="524" t="s">
        <v>41</v>
      </c>
      <c r="E4939" s="524" t="s">
        <v>1515</v>
      </c>
      <c r="F4939" s="526" t="s">
        <v>1516</v>
      </c>
      <c r="G4939" s="252">
        <f t="shared" si="106"/>
        <v>9.3000000000000007</v>
      </c>
    </row>
    <row r="4940" spans="1:7" x14ac:dyDescent="0.3">
      <c r="A4940" s="524" t="s">
        <v>522</v>
      </c>
      <c r="B4940" s="524" t="s">
        <v>1362</v>
      </c>
      <c r="C4940" s="525" t="s">
        <v>1363</v>
      </c>
      <c r="D4940" s="524" t="s">
        <v>32</v>
      </c>
      <c r="E4940" s="606">
        <v>0.5</v>
      </c>
      <c r="F4940" s="526" t="s">
        <v>1365</v>
      </c>
      <c r="G4940" s="252">
        <f t="shared" si="106"/>
        <v>8.8800000000000008</v>
      </c>
    </row>
    <row r="4941" spans="1:7" x14ac:dyDescent="0.3">
      <c r="A4941" s="524" t="s">
        <v>522</v>
      </c>
      <c r="B4941" s="524" t="s">
        <v>1359</v>
      </c>
      <c r="C4941" s="525" t="s">
        <v>801</v>
      </c>
      <c r="D4941" s="524" t="s">
        <v>32</v>
      </c>
      <c r="E4941" s="606">
        <v>0.2</v>
      </c>
      <c r="F4941" s="526" t="s">
        <v>1361</v>
      </c>
      <c r="G4941" s="252">
        <f t="shared" si="106"/>
        <v>2.87</v>
      </c>
    </row>
    <row r="4942" spans="1:7" x14ac:dyDescent="0.3">
      <c r="A4942" s="680" t="s">
        <v>1152</v>
      </c>
      <c r="B4942" s="681"/>
      <c r="C4942" s="681"/>
      <c r="D4942" s="681"/>
      <c r="E4942" s="681"/>
      <c r="F4942" s="682"/>
      <c r="G4942" s="527">
        <f>SUM(G4936:G4941)</f>
        <v>91.929999999999993</v>
      </c>
    </row>
    <row r="4943" spans="1:7" x14ac:dyDescent="0.3">
      <c r="A4943" s="683">
        <f>TRUNC(E4943*F4943,2)</f>
        <v>0</v>
      </c>
      <c r="B4943" s="684"/>
      <c r="C4943" s="684"/>
      <c r="D4943" s="684"/>
      <c r="E4943" s="684"/>
      <c r="F4943" s="684"/>
      <c r="G4943" s="685"/>
    </row>
    <row r="4944" spans="1:7" ht="43.2" x14ac:dyDescent="0.3">
      <c r="A4944" s="529" t="s">
        <v>200</v>
      </c>
      <c r="B4944" s="529">
        <v>94991</v>
      </c>
      <c r="C4944" s="530" t="s">
        <v>447</v>
      </c>
      <c r="D4944" s="529" t="s">
        <v>41</v>
      </c>
      <c r="E4944" s="252"/>
      <c r="F4944" s="531">
        <v>545.37</v>
      </c>
      <c r="G4944" s="252">
        <f t="shared" si="106"/>
        <v>0</v>
      </c>
    </row>
    <row r="4945" spans="1:7" ht="28.8" x14ac:dyDescent="0.3">
      <c r="A4945" s="524" t="s">
        <v>508</v>
      </c>
      <c r="B4945" s="524" t="s">
        <v>1519</v>
      </c>
      <c r="C4945" s="525" t="s">
        <v>1520</v>
      </c>
      <c r="D4945" s="524" t="s">
        <v>55</v>
      </c>
      <c r="E4945" s="524" t="s">
        <v>1521</v>
      </c>
      <c r="F4945" s="526" t="s">
        <v>1522</v>
      </c>
      <c r="G4945" s="252">
        <f t="shared" si="106"/>
        <v>13.05</v>
      </c>
    </row>
    <row r="4946" spans="1:7" ht="28.8" x14ac:dyDescent="0.3">
      <c r="A4946" s="524" t="s">
        <v>508</v>
      </c>
      <c r="B4946" s="524" t="s">
        <v>1479</v>
      </c>
      <c r="C4946" s="525" t="s">
        <v>1480</v>
      </c>
      <c r="D4946" s="524" t="s">
        <v>55</v>
      </c>
      <c r="E4946" s="524" t="s">
        <v>1523</v>
      </c>
      <c r="F4946" s="526" t="s">
        <v>1482</v>
      </c>
      <c r="G4946" s="252">
        <f t="shared" si="106"/>
        <v>4.04</v>
      </c>
    </row>
    <row r="4947" spans="1:7" ht="28.8" x14ac:dyDescent="0.3">
      <c r="A4947" s="524" t="s">
        <v>508</v>
      </c>
      <c r="B4947" s="524" t="s">
        <v>1487</v>
      </c>
      <c r="C4947" s="525" t="s">
        <v>1488</v>
      </c>
      <c r="D4947" s="524" t="s">
        <v>41</v>
      </c>
      <c r="E4947" s="524" t="s">
        <v>1524</v>
      </c>
      <c r="F4947" s="526" t="s">
        <v>1490</v>
      </c>
      <c r="G4947" s="252">
        <f t="shared" si="106"/>
        <v>447.73</v>
      </c>
    </row>
    <row r="4948" spans="1:7" x14ac:dyDescent="0.3">
      <c r="A4948" s="524" t="s">
        <v>522</v>
      </c>
      <c r="B4948" s="524" t="s">
        <v>527</v>
      </c>
      <c r="C4948" s="525" t="s">
        <v>528</v>
      </c>
      <c r="D4948" s="524" t="s">
        <v>32</v>
      </c>
      <c r="E4948" s="524" t="s">
        <v>1525</v>
      </c>
      <c r="F4948" s="526" t="s">
        <v>530</v>
      </c>
      <c r="G4948" s="252">
        <f t="shared" si="106"/>
        <v>39.79</v>
      </c>
    </row>
    <row r="4949" spans="1:7" x14ac:dyDescent="0.3">
      <c r="A4949" s="524" t="s">
        <v>522</v>
      </c>
      <c r="B4949" s="524" t="s">
        <v>1362</v>
      </c>
      <c r="C4949" s="525" t="s">
        <v>1363</v>
      </c>
      <c r="D4949" s="524" t="s">
        <v>32</v>
      </c>
      <c r="E4949" s="524" t="s">
        <v>1526</v>
      </c>
      <c r="F4949" s="526" t="s">
        <v>1365</v>
      </c>
      <c r="G4949" s="252">
        <f t="shared" si="106"/>
        <v>4.6100000000000003</v>
      </c>
    </row>
    <row r="4950" spans="1:7" x14ac:dyDescent="0.3">
      <c r="A4950" s="524" t="s">
        <v>522</v>
      </c>
      <c r="B4950" s="524" t="s">
        <v>1359</v>
      </c>
      <c r="C4950" s="525" t="s">
        <v>801</v>
      </c>
      <c r="D4950" s="524" t="s">
        <v>32</v>
      </c>
      <c r="E4950" s="524" t="s">
        <v>1527</v>
      </c>
      <c r="F4950" s="526" t="s">
        <v>1361</v>
      </c>
      <c r="G4950" s="252">
        <f t="shared" si="106"/>
        <v>36.15</v>
      </c>
    </row>
    <row r="4951" spans="1:7" x14ac:dyDescent="0.3">
      <c r="A4951" s="680" t="s">
        <v>1152</v>
      </c>
      <c r="B4951" s="681"/>
      <c r="C4951" s="681"/>
      <c r="D4951" s="681"/>
      <c r="E4951" s="681"/>
      <c r="F4951" s="682"/>
      <c r="G4951" s="527">
        <f>SUM(G4945:G4950)</f>
        <v>545.37</v>
      </c>
    </row>
    <row r="4952" spans="1:7" x14ac:dyDescent="0.3">
      <c r="A4952" s="683">
        <f>TRUNC(E4952*F4952,2)</f>
        <v>0</v>
      </c>
      <c r="B4952" s="684"/>
      <c r="C4952" s="684"/>
      <c r="D4952" s="684"/>
      <c r="E4952" s="684"/>
      <c r="F4952" s="684"/>
      <c r="G4952" s="685"/>
    </row>
    <row r="4953" spans="1:7" ht="43.2" x14ac:dyDescent="0.3">
      <c r="A4953" s="529" t="s">
        <v>252</v>
      </c>
      <c r="B4953" s="529">
        <v>94994</v>
      </c>
      <c r="C4953" s="530" t="s">
        <v>448</v>
      </c>
      <c r="D4953" s="529" t="s">
        <v>24</v>
      </c>
      <c r="E4953" s="252"/>
      <c r="F4953" s="531">
        <v>73.540000000000006</v>
      </c>
      <c r="G4953" s="252">
        <f t="shared" si="106"/>
        <v>0</v>
      </c>
    </row>
    <row r="4954" spans="1:7" x14ac:dyDescent="0.3">
      <c r="A4954" s="524" t="s">
        <v>508</v>
      </c>
      <c r="B4954" s="524" t="s">
        <v>1475</v>
      </c>
      <c r="C4954" s="525" t="s">
        <v>1476</v>
      </c>
      <c r="D4954" s="524" t="s">
        <v>24</v>
      </c>
      <c r="E4954" s="524" t="s">
        <v>1477</v>
      </c>
      <c r="F4954" s="526" t="s">
        <v>1478</v>
      </c>
      <c r="G4954" s="252">
        <f t="shared" si="106"/>
        <v>1.03</v>
      </c>
    </row>
    <row r="4955" spans="1:7" ht="28.8" x14ac:dyDescent="0.3">
      <c r="A4955" s="524" t="s">
        <v>508</v>
      </c>
      <c r="B4955" s="524" t="s">
        <v>1519</v>
      </c>
      <c r="C4955" s="525" t="s">
        <v>1520</v>
      </c>
      <c r="D4955" s="524" t="s">
        <v>55</v>
      </c>
      <c r="E4955" s="524" t="s">
        <v>1438</v>
      </c>
      <c r="F4955" s="526" t="s">
        <v>1522</v>
      </c>
      <c r="G4955" s="252">
        <f t="shared" si="106"/>
        <v>1.3</v>
      </c>
    </row>
    <row r="4956" spans="1:7" ht="28.8" x14ac:dyDescent="0.3">
      <c r="A4956" s="524" t="s">
        <v>508</v>
      </c>
      <c r="B4956" s="524" t="s">
        <v>1479</v>
      </c>
      <c r="C4956" s="525" t="s">
        <v>1480</v>
      </c>
      <c r="D4956" s="524" t="s">
        <v>55</v>
      </c>
      <c r="E4956" s="524" t="s">
        <v>1528</v>
      </c>
      <c r="F4956" s="526" t="s">
        <v>1482</v>
      </c>
      <c r="G4956" s="252">
        <f t="shared" si="106"/>
        <v>0.4</v>
      </c>
    </row>
    <row r="4957" spans="1:7" ht="28.8" x14ac:dyDescent="0.3">
      <c r="A4957" s="524" t="s">
        <v>508</v>
      </c>
      <c r="B4957" s="524" t="s">
        <v>1483</v>
      </c>
      <c r="C4957" s="525" t="s">
        <v>1484</v>
      </c>
      <c r="D4957" s="524" t="s">
        <v>24</v>
      </c>
      <c r="E4957" s="524" t="s">
        <v>1485</v>
      </c>
      <c r="F4957" s="526" t="s">
        <v>1486</v>
      </c>
      <c r="G4957" s="252">
        <f t="shared" si="106"/>
        <v>26.02</v>
      </c>
    </row>
    <row r="4958" spans="1:7" x14ac:dyDescent="0.3">
      <c r="A4958" s="524" t="s">
        <v>522</v>
      </c>
      <c r="B4958" s="524" t="s">
        <v>527</v>
      </c>
      <c r="C4958" s="525" t="s">
        <v>528</v>
      </c>
      <c r="D4958" s="524" t="s">
        <v>32</v>
      </c>
      <c r="E4958" s="524" t="s">
        <v>1529</v>
      </c>
      <c r="F4958" s="526" t="s">
        <v>530</v>
      </c>
      <c r="G4958" s="252">
        <f t="shared" si="106"/>
        <v>3.18</v>
      </c>
    </row>
    <row r="4959" spans="1:7" x14ac:dyDescent="0.3">
      <c r="A4959" s="524" t="s">
        <v>522</v>
      </c>
      <c r="B4959" s="524" t="s">
        <v>1362</v>
      </c>
      <c r="C4959" s="525" t="s">
        <v>1363</v>
      </c>
      <c r="D4959" s="524" t="s">
        <v>32</v>
      </c>
      <c r="E4959" s="524" t="s">
        <v>1530</v>
      </c>
      <c r="F4959" s="526" t="s">
        <v>1365</v>
      </c>
      <c r="G4959" s="252">
        <f t="shared" si="106"/>
        <v>4.91</v>
      </c>
    </row>
    <row r="4960" spans="1:7" x14ac:dyDescent="0.3">
      <c r="A4960" s="524" t="s">
        <v>522</v>
      </c>
      <c r="B4960" s="524" t="s">
        <v>1359</v>
      </c>
      <c r="C4960" s="525" t="s">
        <v>801</v>
      </c>
      <c r="D4960" s="524" t="s">
        <v>32</v>
      </c>
      <c r="E4960" s="524" t="s">
        <v>1531</v>
      </c>
      <c r="F4960" s="526" t="s">
        <v>1361</v>
      </c>
      <c r="G4960" s="252">
        <f t="shared" si="106"/>
        <v>6.56</v>
      </c>
    </row>
    <row r="4961" spans="1:7" ht="28.8" x14ac:dyDescent="0.3">
      <c r="A4961" s="524" t="s">
        <v>522</v>
      </c>
      <c r="B4961" s="524" t="s">
        <v>1532</v>
      </c>
      <c r="C4961" s="525" t="s">
        <v>1533</v>
      </c>
      <c r="D4961" s="524" t="s">
        <v>41</v>
      </c>
      <c r="E4961" s="524" t="s">
        <v>1534</v>
      </c>
      <c r="F4961" s="526" t="s">
        <v>1535</v>
      </c>
      <c r="G4961" s="252">
        <f t="shared" si="106"/>
        <v>30.14</v>
      </c>
    </row>
    <row r="4962" spans="1:7" x14ac:dyDescent="0.3">
      <c r="A4962" s="680" t="s">
        <v>1152</v>
      </c>
      <c r="B4962" s="681"/>
      <c r="C4962" s="681"/>
      <c r="D4962" s="681"/>
      <c r="E4962" s="681"/>
      <c r="F4962" s="682"/>
      <c r="G4962" s="527">
        <f>SUM(G4953:G4961)</f>
        <v>73.540000000000006</v>
      </c>
    </row>
    <row r="4963" spans="1:7" x14ac:dyDescent="0.3">
      <c r="A4963" s="683">
        <f>TRUNC(E4963*F4963,2)</f>
        <v>0</v>
      </c>
      <c r="B4963" s="684"/>
      <c r="C4963" s="684"/>
      <c r="D4963" s="684"/>
      <c r="E4963" s="684"/>
      <c r="F4963" s="684"/>
      <c r="G4963" s="685"/>
    </row>
    <row r="4964" spans="1:7" ht="43.2" x14ac:dyDescent="0.3">
      <c r="A4964" s="529" t="s">
        <v>236</v>
      </c>
      <c r="B4964" s="529">
        <v>94991</v>
      </c>
      <c r="C4964" s="530" t="s">
        <v>449</v>
      </c>
      <c r="D4964" s="529" t="s">
        <v>41</v>
      </c>
      <c r="E4964" s="252"/>
      <c r="F4964" s="531">
        <v>545.37</v>
      </c>
      <c r="G4964" s="252">
        <f t="shared" si="106"/>
        <v>0</v>
      </c>
    </row>
    <row r="4965" spans="1:7" ht="28.8" x14ac:dyDescent="0.3">
      <c r="A4965" s="524" t="s">
        <v>508</v>
      </c>
      <c r="B4965" s="524" t="s">
        <v>1519</v>
      </c>
      <c r="C4965" s="525" t="s">
        <v>1520</v>
      </c>
      <c r="D4965" s="524" t="s">
        <v>55</v>
      </c>
      <c r="E4965" s="524" t="s">
        <v>1521</v>
      </c>
      <c r="F4965" s="526" t="s">
        <v>1522</v>
      </c>
      <c r="G4965" s="252">
        <f t="shared" ref="G4965:G4970" si="111">TRUNC(E4965*F4965,2)</f>
        <v>13.05</v>
      </c>
    </row>
    <row r="4966" spans="1:7" ht="28.8" x14ac:dyDescent="0.3">
      <c r="A4966" s="524" t="s">
        <v>508</v>
      </c>
      <c r="B4966" s="524" t="s">
        <v>1479</v>
      </c>
      <c r="C4966" s="525" t="s">
        <v>1480</v>
      </c>
      <c r="D4966" s="524" t="s">
        <v>55</v>
      </c>
      <c r="E4966" s="524" t="s">
        <v>1523</v>
      </c>
      <c r="F4966" s="526" t="s">
        <v>1482</v>
      </c>
      <c r="G4966" s="252">
        <f t="shared" si="111"/>
        <v>4.04</v>
      </c>
    </row>
    <row r="4967" spans="1:7" ht="28.8" x14ac:dyDescent="0.3">
      <c r="A4967" s="524" t="s">
        <v>508</v>
      </c>
      <c r="B4967" s="524" t="s">
        <v>1487</v>
      </c>
      <c r="C4967" s="525" t="s">
        <v>1488</v>
      </c>
      <c r="D4967" s="524" t="s">
        <v>41</v>
      </c>
      <c r="E4967" s="524" t="s">
        <v>1524</v>
      </c>
      <c r="F4967" s="526" t="s">
        <v>1490</v>
      </c>
      <c r="G4967" s="252">
        <f t="shared" si="111"/>
        <v>447.73</v>
      </c>
    </row>
    <row r="4968" spans="1:7" x14ac:dyDescent="0.3">
      <c r="A4968" s="524" t="s">
        <v>522</v>
      </c>
      <c r="B4968" s="524" t="s">
        <v>527</v>
      </c>
      <c r="C4968" s="525" t="s">
        <v>528</v>
      </c>
      <c r="D4968" s="524" t="s">
        <v>32</v>
      </c>
      <c r="E4968" s="524" t="s">
        <v>1525</v>
      </c>
      <c r="F4968" s="526" t="s">
        <v>530</v>
      </c>
      <c r="G4968" s="252">
        <f t="shared" si="111"/>
        <v>39.79</v>
      </c>
    </row>
    <row r="4969" spans="1:7" x14ac:dyDescent="0.3">
      <c r="A4969" s="524" t="s">
        <v>522</v>
      </c>
      <c r="B4969" s="524" t="s">
        <v>1362</v>
      </c>
      <c r="C4969" s="525" t="s">
        <v>1363</v>
      </c>
      <c r="D4969" s="524" t="s">
        <v>32</v>
      </c>
      <c r="E4969" s="524" t="s">
        <v>1526</v>
      </c>
      <c r="F4969" s="526" t="s">
        <v>1365</v>
      </c>
      <c r="G4969" s="252">
        <f t="shared" si="111"/>
        <v>4.6100000000000003</v>
      </c>
    </row>
    <row r="4970" spans="1:7" x14ac:dyDescent="0.3">
      <c r="A4970" s="524" t="s">
        <v>522</v>
      </c>
      <c r="B4970" s="524" t="s">
        <v>1359</v>
      </c>
      <c r="C4970" s="525" t="s">
        <v>801</v>
      </c>
      <c r="D4970" s="524" t="s">
        <v>32</v>
      </c>
      <c r="E4970" s="524" t="s">
        <v>1527</v>
      </c>
      <c r="F4970" s="526" t="s">
        <v>1361</v>
      </c>
      <c r="G4970" s="252">
        <f t="shared" si="111"/>
        <v>36.15</v>
      </c>
    </row>
    <row r="4971" spans="1:7" x14ac:dyDescent="0.3">
      <c r="A4971" s="680" t="s">
        <v>1152</v>
      </c>
      <c r="B4971" s="681"/>
      <c r="C4971" s="681"/>
      <c r="D4971" s="681"/>
      <c r="E4971" s="681"/>
      <c r="F4971" s="682"/>
      <c r="G4971" s="527">
        <f>SUM(G4965:G4970)</f>
        <v>545.37</v>
      </c>
    </row>
    <row r="4972" spans="1:7" x14ac:dyDescent="0.3">
      <c r="A4972" s="683">
        <f>TRUNC(E4972*F4972,2)</f>
        <v>0</v>
      </c>
      <c r="B4972" s="684"/>
      <c r="C4972" s="684"/>
      <c r="D4972" s="684"/>
      <c r="E4972" s="684"/>
      <c r="F4972" s="684"/>
      <c r="G4972" s="685"/>
    </row>
    <row r="4973" spans="1:7" x14ac:dyDescent="0.3">
      <c r="A4973" s="529" t="s">
        <v>209</v>
      </c>
      <c r="B4973" s="529" t="s">
        <v>450</v>
      </c>
      <c r="C4973" s="530" t="s">
        <v>451</v>
      </c>
      <c r="D4973" s="529" t="s">
        <v>55</v>
      </c>
      <c r="E4973" s="252"/>
      <c r="F4973" s="531">
        <v>22.28</v>
      </c>
      <c r="G4973" s="252">
        <f t="shared" si="106"/>
        <v>0</v>
      </c>
    </row>
    <row r="4974" spans="1:7" ht="28.8" x14ac:dyDescent="0.3">
      <c r="A4974" s="524" t="s">
        <v>508</v>
      </c>
      <c r="B4974" s="524" t="s">
        <v>1536</v>
      </c>
      <c r="C4974" s="525" t="s">
        <v>1537</v>
      </c>
      <c r="D4974" s="524" t="s">
        <v>41</v>
      </c>
      <c r="E4974" s="524" t="s">
        <v>1538</v>
      </c>
      <c r="F4974" s="526" t="s">
        <v>1539</v>
      </c>
      <c r="G4974" s="252">
        <f t="shared" si="106"/>
        <v>0.62</v>
      </c>
    </row>
    <row r="4975" spans="1:7" x14ac:dyDescent="0.3">
      <c r="A4975" s="524" t="s">
        <v>508</v>
      </c>
      <c r="B4975" s="524" t="s">
        <v>1540</v>
      </c>
      <c r="C4975" s="525" t="s">
        <v>1541</v>
      </c>
      <c r="D4975" s="524" t="s">
        <v>426</v>
      </c>
      <c r="E4975" s="524" t="s">
        <v>1542</v>
      </c>
      <c r="F4975" s="526" t="s">
        <v>1543</v>
      </c>
      <c r="G4975" s="252">
        <f t="shared" si="106"/>
        <v>2.0499999999999998</v>
      </c>
    </row>
    <row r="4976" spans="1:7" ht="28.8" x14ac:dyDescent="0.3">
      <c r="A4976" s="524" t="s">
        <v>508</v>
      </c>
      <c r="B4976" s="524" t="s">
        <v>1544</v>
      </c>
      <c r="C4976" s="525" t="s">
        <v>1545</v>
      </c>
      <c r="D4976" s="524" t="s">
        <v>426</v>
      </c>
      <c r="E4976" s="524" t="s">
        <v>1546</v>
      </c>
      <c r="F4976" s="526" t="s">
        <v>1547</v>
      </c>
      <c r="G4976" s="252">
        <f t="shared" si="106"/>
        <v>1.4</v>
      </c>
    </row>
    <row r="4977" spans="1:7" x14ac:dyDescent="0.3">
      <c r="A4977" s="524" t="s">
        <v>522</v>
      </c>
      <c r="B4977" s="524" t="s">
        <v>1362</v>
      </c>
      <c r="C4977" s="525" t="s">
        <v>1363</v>
      </c>
      <c r="D4977" s="524" t="s">
        <v>32</v>
      </c>
      <c r="E4977" s="524" t="s">
        <v>1548</v>
      </c>
      <c r="F4977" s="526" t="s">
        <v>1365</v>
      </c>
      <c r="G4977" s="252">
        <f t="shared" si="106"/>
        <v>9.59</v>
      </c>
    </row>
    <row r="4978" spans="1:7" x14ac:dyDescent="0.3">
      <c r="A4978" s="524" t="s">
        <v>522</v>
      </c>
      <c r="B4978" s="524" t="s">
        <v>1359</v>
      </c>
      <c r="C4978" s="525" t="s">
        <v>801</v>
      </c>
      <c r="D4978" s="524" t="s">
        <v>32</v>
      </c>
      <c r="E4978" s="524" t="s">
        <v>1517</v>
      </c>
      <c r="F4978" s="526" t="s">
        <v>1361</v>
      </c>
      <c r="G4978" s="252">
        <f t="shared" si="106"/>
        <v>8.6199999999999992</v>
      </c>
    </row>
    <row r="4979" spans="1:7" x14ac:dyDescent="0.3">
      <c r="A4979" s="680" t="s">
        <v>1152</v>
      </c>
      <c r="B4979" s="681"/>
      <c r="C4979" s="681"/>
      <c r="D4979" s="681"/>
      <c r="E4979" s="681"/>
      <c r="F4979" s="682"/>
      <c r="G4979" s="527">
        <f>SUM(G4973:G4978)</f>
        <v>22.28</v>
      </c>
    </row>
    <row r="4980" spans="1:7" x14ac:dyDescent="0.3">
      <c r="A4980" s="683">
        <f>TRUNC(E4980*F4980,2)</f>
        <v>0</v>
      </c>
      <c r="B4980" s="684"/>
      <c r="C4980" s="684"/>
      <c r="D4980" s="684"/>
      <c r="E4980" s="684"/>
      <c r="F4980" s="684"/>
      <c r="G4980" s="685"/>
    </row>
    <row r="4981" spans="1:7" x14ac:dyDescent="0.3">
      <c r="A4981" s="529" t="s">
        <v>715</v>
      </c>
      <c r="B4981" s="529"/>
      <c r="C4981" s="530" t="s">
        <v>86</v>
      </c>
      <c r="D4981" s="529"/>
      <c r="E4981" s="252"/>
      <c r="F4981" s="531"/>
      <c r="G4981" s="252">
        <f t="shared" si="106"/>
        <v>0</v>
      </c>
    </row>
    <row r="4982" spans="1:7" x14ac:dyDescent="0.3">
      <c r="A4982" s="529" t="s">
        <v>213</v>
      </c>
      <c r="B4982" s="529">
        <v>72117</v>
      </c>
      <c r="C4982" s="530" t="s">
        <v>88</v>
      </c>
      <c r="D4982" s="529" t="s">
        <v>24</v>
      </c>
      <c r="E4982" s="252"/>
      <c r="F4982" s="531">
        <v>159.13</v>
      </c>
      <c r="G4982" s="252">
        <f t="shared" si="106"/>
        <v>0</v>
      </c>
    </row>
    <row r="4983" spans="1:7" x14ac:dyDescent="0.3">
      <c r="A4983" s="524" t="s">
        <v>508</v>
      </c>
      <c r="B4983" s="524" t="s">
        <v>1549</v>
      </c>
      <c r="C4983" s="525" t="s">
        <v>1550</v>
      </c>
      <c r="D4983" s="524" t="s">
        <v>24</v>
      </c>
      <c r="E4983" s="524" t="s">
        <v>1122</v>
      </c>
      <c r="F4983" s="526" t="s">
        <v>1551</v>
      </c>
      <c r="G4983" s="252">
        <f t="shared" si="106"/>
        <v>131.59</v>
      </c>
    </row>
    <row r="4984" spans="1:7" x14ac:dyDescent="0.3">
      <c r="A4984" s="524" t="s">
        <v>508</v>
      </c>
      <c r="B4984" s="524" t="s">
        <v>1552</v>
      </c>
      <c r="C4984" s="525" t="s">
        <v>1553</v>
      </c>
      <c r="D4984" s="524" t="s">
        <v>426</v>
      </c>
      <c r="E4984" s="524" t="s">
        <v>1554</v>
      </c>
      <c r="F4984" s="526" t="s">
        <v>1555</v>
      </c>
      <c r="G4984" s="252">
        <f t="shared" si="106"/>
        <v>13.37</v>
      </c>
    </row>
    <row r="4985" spans="1:7" x14ac:dyDescent="0.3">
      <c r="A4985" s="524" t="s">
        <v>522</v>
      </c>
      <c r="B4985" s="524" t="s">
        <v>1359</v>
      </c>
      <c r="C4985" s="525" t="s">
        <v>801</v>
      </c>
      <c r="D4985" s="524" t="s">
        <v>32</v>
      </c>
      <c r="E4985" s="524" t="s">
        <v>1481</v>
      </c>
      <c r="F4985" s="526" t="s">
        <v>1361</v>
      </c>
      <c r="G4985" s="252">
        <f t="shared" si="106"/>
        <v>6.46</v>
      </c>
    </row>
    <row r="4986" spans="1:7" x14ac:dyDescent="0.3">
      <c r="A4986" s="524" t="s">
        <v>522</v>
      </c>
      <c r="B4986" s="524" t="s">
        <v>1556</v>
      </c>
      <c r="C4986" s="525" t="s">
        <v>1557</v>
      </c>
      <c r="D4986" s="524" t="s">
        <v>32</v>
      </c>
      <c r="E4986" s="524" t="s">
        <v>1481</v>
      </c>
      <c r="F4986" s="526" t="s">
        <v>1558</v>
      </c>
      <c r="G4986" s="252">
        <f t="shared" si="106"/>
        <v>7.71</v>
      </c>
    </row>
    <row r="4987" spans="1:7" x14ac:dyDescent="0.3">
      <c r="A4987" s="680" t="s">
        <v>1152</v>
      </c>
      <c r="B4987" s="681"/>
      <c r="C4987" s="681"/>
      <c r="D4987" s="681"/>
      <c r="E4987" s="681"/>
      <c r="F4987" s="682"/>
      <c r="G4987" s="527">
        <f>SUM(G4981:G4986)</f>
        <v>159.13000000000002</v>
      </c>
    </row>
    <row r="4988" spans="1:7" x14ac:dyDescent="0.3">
      <c r="A4988" s="683">
        <f>TRUNC(E4988*F4988,2)</f>
        <v>0</v>
      </c>
      <c r="B4988" s="684"/>
      <c r="C4988" s="684"/>
      <c r="D4988" s="684"/>
      <c r="E4988" s="684"/>
      <c r="F4988" s="684"/>
      <c r="G4988" s="685"/>
    </row>
    <row r="4989" spans="1:7" x14ac:dyDescent="0.3">
      <c r="A4989" s="529" t="s">
        <v>299</v>
      </c>
      <c r="B4989" s="529"/>
      <c r="C4989" s="530" t="s">
        <v>96</v>
      </c>
      <c r="D4989" s="529"/>
      <c r="E4989" s="252"/>
      <c r="F4989" s="531"/>
      <c r="G4989" s="252">
        <f t="shared" si="106"/>
        <v>0</v>
      </c>
    </row>
    <row r="4990" spans="1:7" ht="28.8" x14ac:dyDescent="0.3">
      <c r="A4990" s="529" t="s">
        <v>300</v>
      </c>
      <c r="B4990" s="529">
        <v>88415</v>
      </c>
      <c r="C4990" s="530" t="s">
        <v>452</v>
      </c>
      <c r="D4990" s="529" t="s">
        <v>24</v>
      </c>
      <c r="E4990" s="252"/>
      <c r="F4990" s="531">
        <v>1.83</v>
      </c>
      <c r="G4990" s="252">
        <f t="shared" si="106"/>
        <v>0</v>
      </c>
    </row>
    <row r="4991" spans="1:7" x14ac:dyDescent="0.3">
      <c r="A4991" s="524" t="s">
        <v>508</v>
      </c>
      <c r="B4991" s="524" t="s">
        <v>2293</v>
      </c>
      <c r="C4991" s="525" t="s">
        <v>2294</v>
      </c>
      <c r="D4991" s="524" t="s">
        <v>1392</v>
      </c>
      <c r="E4991" s="524" t="s">
        <v>1603</v>
      </c>
      <c r="F4991" s="528" t="s">
        <v>2295</v>
      </c>
      <c r="G4991" s="252">
        <f t="shared" si="106"/>
        <v>0.62</v>
      </c>
    </row>
    <row r="4992" spans="1:7" x14ac:dyDescent="0.3">
      <c r="A4992" s="524" t="s">
        <v>522</v>
      </c>
      <c r="B4992" s="524" t="s">
        <v>1579</v>
      </c>
      <c r="C4992" s="525" t="s">
        <v>1580</v>
      </c>
      <c r="D4992" s="524" t="s">
        <v>32</v>
      </c>
      <c r="E4992" s="524" t="s">
        <v>2296</v>
      </c>
      <c r="F4992" s="528" t="s">
        <v>1582</v>
      </c>
      <c r="G4992" s="252">
        <f t="shared" si="106"/>
        <v>1.01</v>
      </c>
    </row>
    <row r="4993" spans="1:7" x14ac:dyDescent="0.3">
      <c r="A4993" s="524" t="s">
        <v>522</v>
      </c>
      <c r="B4993" s="524" t="s">
        <v>1359</v>
      </c>
      <c r="C4993" s="525" t="s">
        <v>801</v>
      </c>
      <c r="D4993" s="524" t="s">
        <v>32</v>
      </c>
      <c r="E4993" s="524" t="s">
        <v>2297</v>
      </c>
      <c r="F4993" s="528" t="s">
        <v>1361</v>
      </c>
      <c r="G4993" s="252">
        <f t="shared" si="106"/>
        <v>0.2</v>
      </c>
    </row>
    <row r="4994" spans="1:7" x14ac:dyDescent="0.3">
      <c r="A4994" s="680" t="s">
        <v>1152</v>
      </c>
      <c r="B4994" s="681"/>
      <c r="C4994" s="681"/>
      <c r="D4994" s="681"/>
      <c r="E4994" s="681"/>
      <c r="F4994" s="682"/>
      <c r="G4994" s="527">
        <f>SUM(G4988:G4993)</f>
        <v>1.8299999999999998</v>
      </c>
    </row>
    <row r="4995" spans="1:7" x14ac:dyDescent="0.3">
      <c r="A4995" s="683">
        <f>TRUNC(E4995*F4995,2)</f>
        <v>0</v>
      </c>
      <c r="B4995" s="684"/>
      <c r="C4995" s="684"/>
      <c r="D4995" s="684"/>
      <c r="E4995" s="684"/>
      <c r="F4995" s="684"/>
      <c r="G4995" s="685"/>
    </row>
    <row r="4996" spans="1:7" ht="28.8" x14ac:dyDescent="0.3">
      <c r="A4996" s="529" t="s">
        <v>707</v>
      </c>
      <c r="B4996" s="529">
        <v>88423</v>
      </c>
      <c r="C4996" s="530" t="s">
        <v>98</v>
      </c>
      <c r="D4996" s="529" t="s">
        <v>24</v>
      </c>
      <c r="E4996" s="252"/>
      <c r="F4996" s="531">
        <v>13.45</v>
      </c>
      <c r="G4996" s="252">
        <f t="shared" si="106"/>
        <v>0</v>
      </c>
    </row>
    <row r="4997" spans="1:7" x14ac:dyDescent="0.3">
      <c r="A4997" s="524" t="s">
        <v>508</v>
      </c>
      <c r="B4997" s="524" t="s">
        <v>1577</v>
      </c>
      <c r="C4997" s="525" t="s">
        <v>1578</v>
      </c>
      <c r="D4997" s="524" t="s">
        <v>426</v>
      </c>
      <c r="E4997" s="606">
        <v>1.9</v>
      </c>
      <c r="F4997" s="526">
        <v>5</v>
      </c>
      <c r="G4997" s="252">
        <f t="shared" ref="G4997:G4999" si="112">TRUNC(E4997*F4997,2)</f>
        <v>9.5</v>
      </c>
    </row>
    <row r="4998" spans="1:7" x14ac:dyDescent="0.3">
      <c r="A4998" s="524" t="s">
        <v>522</v>
      </c>
      <c r="B4998" s="524" t="s">
        <v>1579</v>
      </c>
      <c r="C4998" s="525" t="s">
        <v>1580</v>
      </c>
      <c r="D4998" s="524" t="s">
        <v>32</v>
      </c>
      <c r="E4998" s="524" t="s">
        <v>1581</v>
      </c>
      <c r="F4998" s="526" t="s">
        <v>1582</v>
      </c>
      <c r="G4998" s="252">
        <f t="shared" si="112"/>
        <v>3.32</v>
      </c>
    </row>
    <row r="4999" spans="1:7" x14ac:dyDescent="0.3">
      <c r="A4999" s="524" t="s">
        <v>522</v>
      </c>
      <c r="B4999" s="524" t="s">
        <v>1359</v>
      </c>
      <c r="C4999" s="525" t="s">
        <v>801</v>
      </c>
      <c r="D4999" s="524" t="s">
        <v>32</v>
      </c>
      <c r="E4999" s="524" t="s">
        <v>1583</v>
      </c>
      <c r="F4999" s="526" t="s">
        <v>1361</v>
      </c>
      <c r="G4999" s="252">
        <f t="shared" si="112"/>
        <v>0.63</v>
      </c>
    </row>
    <row r="5000" spans="1:7" x14ac:dyDescent="0.3">
      <c r="A5000" s="680" t="s">
        <v>1152</v>
      </c>
      <c r="B5000" s="681"/>
      <c r="C5000" s="681"/>
      <c r="D5000" s="681"/>
      <c r="E5000" s="681"/>
      <c r="F5000" s="682"/>
      <c r="G5000" s="527">
        <f>SUM(G4996:G4999)</f>
        <v>13.450000000000001</v>
      </c>
    </row>
    <row r="5001" spans="1:7" x14ac:dyDescent="0.3">
      <c r="A5001" s="683">
        <f>TRUNC(E5001*F5001,2)</f>
        <v>0</v>
      </c>
      <c r="B5001" s="684"/>
      <c r="C5001" s="684"/>
      <c r="D5001" s="684"/>
      <c r="E5001" s="684"/>
      <c r="F5001" s="684"/>
      <c r="G5001" s="685"/>
    </row>
    <row r="5002" spans="1:7" x14ac:dyDescent="0.3">
      <c r="A5002" s="529" t="s">
        <v>301</v>
      </c>
      <c r="B5002" s="529">
        <v>88496</v>
      </c>
      <c r="C5002" s="530" t="s">
        <v>101</v>
      </c>
      <c r="D5002" s="529" t="s">
        <v>24</v>
      </c>
      <c r="E5002" s="252"/>
      <c r="F5002" s="531">
        <v>10.51</v>
      </c>
      <c r="G5002" s="252">
        <f t="shared" si="106"/>
        <v>0</v>
      </c>
    </row>
    <row r="5003" spans="1:7" x14ac:dyDescent="0.3">
      <c r="A5003" s="524" t="s">
        <v>508</v>
      </c>
      <c r="B5003" s="524" t="s">
        <v>1584</v>
      </c>
      <c r="C5003" s="525" t="s">
        <v>1585</v>
      </c>
      <c r="D5003" s="524" t="s">
        <v>397</v>
      </c>
      <c r="E5003" s="524" t="s">
        <v>1586</v>
      </c>
      <c r="F5003" s="526" t="s">
        <v>1447</v>
      </c>
      <c r="G5003" s="252">
        <f t="shared" si="106"/>
        <v>0.06</v>
      </c>
    </row>
    <row r="5004" spans="1:7" x14ac:dyDescent="0.3">
      <c r="A5004" s="524" t="s">
        <v>508</v>
      </c>
      <c r="B5004" s="524" t="s">
        <v>1587</v>
      </c>
      <c r="C5004" s="525" t="s">
        <v>1588</v>
      </c>
      <c r="D5004" s="524" t="s">
        <v>1589</v>
      </c>
      <c r="E5004" s="607">
        <v>4.8000000000000001E-2</v>
      </c>
      <c r="F5004" s="526">
        <v>40</v>
      </c>
      <c r="G5004" s="252">
        <f t="shared" si="106"/>
        <v>1.92</v>
      </c>
    </row>
    <row r="5005" spans="1:7" x14ac:dyDescent="0.3">
      <c r="A5005" s="524" t="s">
        <v>522</v>
      </c>
      <c r="B5005" s="524" t="s">
        <v>1579</v>
      </c>
      <c r="C5005" s="525" t="s">
        <v>1580</v>
      </c>
      <c r="D5005" s="524" t="s">
        <v>32</v>
      </c>
      <c r="E5005" s="607">
        <v>0.3</v>
      </c>
      <c r="F5005" s="526" t="s">
        <v>1582</v>
      </c>
      <c r="G5005" s="252">
        <f t="shared" si="106"/>
        <v>5.66</v>
      </c>
    </row>
    <row r="5006" spans="1:7" x14ac:dyDescent="0.3">
      <c r="A5006" s="524" t="s">
        <v>522</v>
      </c>
      <c r="B5006" s="524" t="s">
        <v>1359</v>
      </c>
      <c r="C5006" s="525" t="s">
        <v>801</v>
      </c>
      <c r="D5006" s="524" t="s">
        <v>32</v>
      </c>
      <c r="E5006" s="607">
        <v>0.2</v>
      </c>
      <c r="F5006" s="526" t="s">
        <v>1361</v>
      </c>
      <c r="G5006" s="252">
        <f t="shared" si="106"/>
        <v>2.87</v>
      </c>
    </row>
    <row r="5007" spans="1:7" x14ac:dyDescent="0.3">
      <c r="A5007" s="680" t="s">
        <v>1152</v>
      </c>
      <c r="B5007" s="681"/>
      <c r="C5007" s="681"/>
      <c r="D5007" s="681"/>
      <c r="E5007" s="681"/>
      <c r="F5007" s="682"/>
      <c r="G5007" s="527">
        <f>SUM(G5003:G5006)</f>
        <v>10.510000000000002</v>
      </c>
    </row>
    <row r="5008" spans="1:7" x14ac:dyDescent="0.3">
      <c r="A5008" s="683">
        <f>TRUNC(E5008*F5008,2)</f>
        <v>0</v>
      </c>
      <c r="B5008" s="684"/>
      <c r="C5008" s="684"/>
      <c r="D5008" s="684"/>
      <c r="E5008" s="684"/>
      <c r="F5008" s="684"/>
      <c r="G5008" s="685"/>
    </row>
    <row r="5009" spans="1:7" ht="28.8" x14ac:dyDescent="0.3">
      <c r="A5009" s="529" t="s">
        <v>716</v>
      </c>
      <c r="B5009" s="529">
        <v>88488</v>
      </c>
      <c r="C5009" s="530" t="s">
        <v>104</v>
      </c>
      <c r="D5009" s="529" t="s">
        <v>24</v>
      </c>
      <c r="E5009" s="252"/>
      <c r="F5009" s="531">
        <v>8.42</v>
      </c>
      <c r="G5009" s="252">
        <f t="shared" si="106"/>
        <v>0</v>
      </c>
    </row>
    <row r="5010" spans="1:7" x14ac:dyDescent="0.3">
      <c r="A5010" s="524" t="s">
        <v>508</v>
      </c>
      <c r="B5010" s="524" t="s">
        <v>1592</v>
      </c>
      <c r="C5010" s="525" t="s">
        <v>1593</v>
      </c>
      <c r="D5010" s="524" t="s">
        <v>1392</v>
      </c>
      <c r="E5010" s="606">
        <v>0.3</v>
      </c>
      <c r="F5010" s="526">
        <v>18</v>
      </c>
      <c r="G5010" s="252">
        <f t="shared" si="106"/>
        <v>5.4</v>
      </c>
    </row>
    <row r="5011" spans="1:7" x14ac:dyDescent="0.3">
      <c r="A5011" s="524" t="s">
        <v>522</v>
      </c>
      <c r="B5011" s="524" t="s">
        <v>1579</v>
      </c>
      <c r="C5011" s="525" t="s">
        <v>1580</v>
      </c>
      <c r="D5011" s="524" t="s">
        <v>32</v>
      </c>
      <c r="E5011" s="606">
        <v>0.1</v>
      </c>
      <c r="F5011" s="526" t="s">
        <v>1582</v>
      </c>
      <c r="G5011" s="252">
        <f t="shared" si="106"/>
        <v>1.88</v>
      </c>
    </row>
    <row r="5012" spans="1:7" x14ac:dyDescent="0.3">
      <c r="A5012" s="524" t="s">
        <v>522</v>
      </c>
      <c r="B5012" s="524" t="s">
        <v>1359</v>
      </c>
      <c r="C5012" s="525" t="s">
        <v>801</v>
      </c>
      <c r="D5012" s="524" t="s">
        <v>32</v>
      </c>
      <c r="E5012" s="607">
        <v>0.08</v>
      </c>
      <c r="F5012" s="526" t="s">
        <v>1361</v>
      </c>
      <c r="G5012" s="252">
        <f t="shared" si="106"/>
        <v>1.1399999999999999</v>
      </c>
    </row>
    <row r="5013" spans="1:7" x14ac:dyDescent="0.3">
      <c r="A5013" s="680" t="s">
        <v>1152</v>
      </c>
      <c r="B5013" s="681"/>
      <c r="C5013" s="681"/>
      <c r="D5013" s="681"/>
      <c r="E5013" s="681"/>
      <c r="F5013" s="682"/>
      <c r="G5013" s="527">
        <f>SUM(G5009:G5012)</f>
        <v>8.42</v>
      </c>
    </row>
    <row r="5014" spans="1:7" x14ac:dyDescent="0.3">
      <c r="A5014" s="683">
        <f>TRUNC(E5014*F5014,2)</f>
        <v>0</v>
      </c>
      <c r="B5014" s="684"/>
      <c r="C5014" s="684"/>
      <c r="D5014" s="684"/>
      <c r="E5014" s="684"/>
      <c r="F5014" s="684"/>
      <c r="G5014" s="685"/>
    </row>
    <row r="5015" spans="1:7" x14ac:dyDescent="0.3">
      <c r="A5015" s="529" t="s">
        <v>717</v>
      </c>
      <c r="B5015" s="529">
        <v>88497</v>
      </c>
      <c r="C5015" s="530" t="s">
        <v>232</v>
      </c>
      <c r="D5015" s="529" t="s">
        <v>24</v>
      </c>
      <c r="E5015" s="252"/>
      <c r="F5015" s="531">
        <v>9.74</v>
      </c>
      <c r="G5015" s="252">
        <f t="shared" si="106"/>
        <v>0</v>
      </c>
    </row>
    <row r="5016" spans="1:7" x14ac:dyDescent="0.3">
      <c r="A5016" s="524" t="s">
        <v>508</v>
      </c>
      <c r="B5016" s="524" t="s">
        <v>1584</v>
      </c>
      <c r="C5016" s="525" t="s">
        <v>1585</v>
      </c>
      <c r="D5016" s="524" t="s">
        <v>397</v>
      </c>
      <c r="E5016" s="524" t="s">
        <v>1586</v>
      </c>
      <c r="F5016" s="526" t="s">
        <v>1447</v>
      </c>
      <c r="G5016" s="252">
        <f t="shared" ref="G5016:G5019" si="113">TRUNC(E5016*F5016,2)</f>
        <v>0.06</v>
      </c>
    </row>
    <row r="5017" spans="1:7" x14ac:dyDescent="0.3">
      <c r="A5017" s="524" t="s">
        <v>508</v>
      </c>
      <c r="B5017" s="524" t="s">
        <v>1587</v>
      </c>
      <c r="C5017" s="525" t="s">
        <v>1588</v>
      </c>
      <c r="D5017" s="524" t="s">
        <v>1589</v>
      </c>
      <c r="E5017" s="524" t="s">
        <v>1590</v>
      </c>
      <c r="F5017" s="526">
        <v>50</v>
      </c>
      <c r="G5017" s="252">
        <f t="shared" si="113"/>
        <v>2.44</v>
      </c>
    </row>
    <row r="5018" spans="1:7" x14ac:dyDescent="0.3">
      <c r="A5018" s="524" t="s">
        <v>522</v>
      </c>
      <c r="B5018" s="524" t="s">
        <v>1579</v>
      </c>
      <c r="C5018" s="525" t="s">
        <v>1580</v>
      </c>
      <c r="D5018" s="524" t="s">
        <v>32</v>
      </c>
      <c r="E5018" s="607">
        <v>0.3</v>
      </c>
      <c r="F5018" s="526" t="s">
        <v>1582</v>
      </c>
      <c r="G5018" s="252">
        <f t="shared" si="113"/>
        <v>5.66</v>
      </c>
    </row>
    <row r="5019" spans="1:7" x14ac:dyDescent="0.3">
      <c r="A5019" s="524" t="s">
        <v>522</v>
      </c>
      <c r="B5019" s="524" t="s">
        <v>1359</v>
      </c>
      <c r="C5019" s="525" t="s">
        <v>801</v>
      </c>
      <c r="D5019" s="524" t="s">
        <v>32</v>
      </c>
      <c r="E5019" s="607">
        <v>0.11</v>
      </c>
      <c r="F5019" s="526" t="s">
        <v>1361</v>
      </c>
      <c r="G5019" s="252">
        <f t="shared" si="113"/>
        <v>1.58</v>
      </c>
    </row>
    <row r="5020" spans="1:7" x14ac:dyDescent="0.3">
      <c r="A5020" s="680" t="s">
        <v>1152</v>
      </c>
      <c r="B5020" s="681"/>
      <c r="C5020" s="681"/>
      <c r="D5020" s="681"/>
      <c r="E5020" s="681"/>
      <c r="F5020" s="682"/>
      <c r="G5020" s="527">
        <f>SUM(G5016:G5019)</f>
        <v>9.74</v>
      </c>
    </row>
    <row r="5021" spans="1:7" x14ac:dyDescent="0.3">
      <c r="A5021" s="683">
        <f>TRUNC(E5021*F5021,2)</f>
        <v>0</v>
      </c>
      <c r="B5021" s="684"/>
      <c r="C5021" s="684"/>
      <c r="D5021" s="684"/>
      <c r="E5021" s="684"/>
      <c r="F5021" s="684"/>
      <c r="G5021" s="685"/>
    </row>
    <row r="5022" spans="1:7" ht="28.8" x14ac:dyDescent="0.3">
      <c r="A5022" s="529" t="s">
        <v>718</v>
      </c>
      <c r="B5022" s="529">
        <v>88489</v>
      </c>
      <c r="C5022" s="530" t="s">
        <v>108</v>
      </c>
      <c r="D5022" s="529" t="s">
        <v>24</v>
      </c>
      <c r="E5022" s="252"/>
      <c r="F5022" s="531">
        <v>8.14</v>
      </c>
      <c r="G5022" s="252">
        <f t="shared" si="106"/>
        <v>0</v>
      </c>
    </row>
    <row r="5023" spans="1:7" x14ac:dyDescent="0.3">
      <c r="A5023" s="524" t="s">
        <v>508</v>
      </c>
      <c r="B5023" s="524" t="s">
        <v>1592</v>
      </c>
      <c r="C5023" s="525" t="s">
        <v>1593</v>
      </c>
      <c r="D5023" s="524" t="s">
        <v>1392</v>
      </c>
      <c r="E5023" s="606">
        <v>0.3</v>
      </c>
      <c r="F5023" s="526">
        <v>18</v>
      </c>
      <c r="G5023" s="252">
        <f t="shared" si="106"/>
        <v>5.4</v>
      </c>
    </row>
    <row r="5024" spans="1:7" x14ac:dyDescent="0.3">
      <c r="A5024" s="524" t="s">
        <v>522</v>
      </c>
      <c r="B5024" s="524" t="s">
        <v>1579</v>
      </c>
      <c r="C5024" s="525" t="s">
        <v>1580</v>
      </c>
      <c r="D5024" s="524" t="s">
        <v>32</v>
      </c>
      <c r="E5024" s="606">
        <v>0.1</v>
      </c>
      <c r="F5024" s="526" t="s">
        <v>1582</v>
      </c>
      <c r="G5024" s="252">
        <f t="shared" si="106"/>
        <v>1.88</v>
      </c>
    </row>
    <row r="5025" spans="1:7" x14ac:dyDescent="0.3">
      <c r="A5025" s="524" t="s">
        <v>522</v>
      </c>
      <c r="B5025" s="524" t="s">
        <v>1359</v>
      </c>
      <c r="C5025" s="525" t="s">
        <v>801</v>
      </c>
      <c r="D5025" s="524" t="s">
        <v>32</v>
      </c>
      <c r="E5025" s="524">
        <v>0.06</v>
      </c>
      <c r="F5025" s="526" t="s">
        <v>1361</v>
      </c>
      <c r="G5025" s="252">
        <f t="shared" si="106"/>
        <v>0.86</v>
      </c>
    </row>
    <row r="5026" spans="1:7" x14ac:dyDescent="0.3">
      <c r="A5026" s="680" t="s">
        <v>1152</v>
      </c>
      <c r="B5026" s="681"/>
      <c r="C5026" s="681"/>
      <c r="D5026" s="681"/>
      <c r="E5026" s="681"/>
      <c r="F5026" s="682"/>
      <c r="G5026" s="527">
        <f>SUM(G5022:G5025)</f>
        <v>8.14</v>
      </c>
    </row>
    <row r="5027" spans="1:7" x14ac:dyDescent="0.3">
      <c r="A5027" s="683">
        <f>TRUNC(E5027*F5027,2)</f>
        <v>0</v>
      </c>
      <c r="B5027" s="684"/>
      <c r="C5027" s="684"/>
      <c r="D5027" s="684"/>
      <c r="E5027" s="684"/>
      <c r="F5027" s="684"/>
      <c r="G5027" s="685"/>
    </row>
    <row r="5028" spans="1:7" ht="28.8" x14ac:dyDescent="0.3">
      <c r="A5028" s="529" t="s">
        <v>719</v>
      </c>
      <c r="B5028" s="529">
        <v>100725</v>
      </c>
      <c r="C5028" s="530" t="s">
        <v>804</v>
      </c>
      <c r="D5028" s="529" t="s">
        <v>24</v>
      </c>
      <c r="E5028" s="252"/>
      <c r="F5028" s="531">
        <v>16.12</v>
      </c>
      <c r="G5028" s="252">
        <f t="shared" si="106"/>
        <v>0</v>
      </c>
    </row>
    <row r="5029" spans="1:7" x14ac:dyDescent="0.3">
      <c r="A5029" s="524" t="s">
        <v>508</v>
      </c>
      <c r="B5029" s="524" t="s">
        <v>1597</v>
      </c>
      <c r="C5029" s="525" t="s">
        <v>1598</v>
      </c>
      <c r="D5029" s="524" t="s">
        <v>1392</v>
      </c>
      <c r="E5029" s="524" t="s">
        <v>1604</v>
      </c>
      <c r="F5029" s="528" t="s">
        <v>1600</v>
      </c>
      <c r="G5029" s="252">
        <f t="shared" si="106"/>
        <v>0.77</v>
      </c>
    </row>
    <row r="5030" spans="1:7" x14ac:dyDescent="0.3">
      <c r="A5030" s="524" t="s">
        <v>508</v>
      </c>
      <c r="B5030" s="524" t="s">
        <v>1605</v>
      </c>
      <c r="C5030" s="525" t="s">
        <v>1606</v>
      </c>
      <c r="D5030" s="524" t="s">
        <v>1392</v>
      </c>
      <c r="E5030" s="524" t="s">
        <v>1607</v>
      </c>
      <c r="F5030" s="528" t="s">
        <v>1615</v>
      </c>
      <c r="G5030" s="252">
        <f t="shared" si="106"/>
        <v>5.16</v>
      </c>
    </row>
    <row r="5031" spans="1:7" x14ac:dyDescent="0.3">
      <c r="A5031" s="524" t="s">
        <v>522</v>
      </c>
      <c r="B5031" s="524" t="s">
        <v>1579</v>
      </c>
      <c r="C5031" s="525" t="s">
        <v>1580</v>
      </c>
      <c r="D5031" s="524" t="s">
        <v>32</v>
      </c>
      <c r="E5031" s="524" t="s">
        <v>1608</v>
      </c>
      <c r="F5031" s="528" t="s">
        <v>1582</v>
      </c>
      <c r="G5031" s="252">
        <f t="shared" si="106"/>
        <v>9.94</v>
      </c>
    </row>
    <row r="5032" spans="1:7" ht="43.2" x14ac:dyDescent="0.3">
      <c r="A5032" s="524" t="s">
        <v>522</v>
      </c>
      <c r="B5032" s="524" t="s">
        <v>1609</v>
      </c>
      <c r="C5032" s="525" t="s">
        <v>1610</v>
      </c>
      <c r="D5032" s="524" t="s">
        <v>1437</v>
      </c>
      <c r="E5032" s="524" t="s">
        <v>1611</v>
      </c>
      <c r="F5032" s="528" t="s">
        <v>1616</v>
      </c>
      <c r="G5032" s="252">
        <f t="shared" si="106"/>
        <v>0.05</v>
      </c>
    </row>
    <row r="5033" spans="1:7" ht="43.2" x14ac:dyDescent="0.3">
      <c r="A5033" s="524" t="s">
        <v>522</v>
      </c>
      <c r="B5033" s="524" t="s">
        <v>1612</v>
      </c>
      <c r="C5033" s="525" t="s">
        <v>1613</v>
      </c>
      <c r="D5033" s="524" t="s">
        <v>410</v>
      </c>
      <c r="E5033" s="524" t="s">
        <v>1614</v>
      </c>
      <c r="F5033" s="528" t="s">
        <v>1617</v>
      </c>
      <c r="G5033" s="252">
        <f t="shared" si="106"/>
        <v>0.2</v>
      </c>
    </row>
    <row r="5034" spans="1:7" x14ac:dyDescent="0.3">
      <c r="A5034" s="680" t="s">
        <v>1152</v>
      </c>
      <c r="B5034" s="681"/>
      <c r="C5034" s="681"/>
      <c r="D5034" s="681"/>
      <c r="E5034" s="681"/>
      <c r="F5034" s="682"/>
      <c r="G5034" s="527">
        <f>SUM(G5028:G5033)</f>
        <v>16.12</v>
      </c>
    </row>
    <row r="5035" spans="1:7" x14ac:dyDescent="0.3">
      <c r="A5035" s="683">
        <f>TRUNC(E5035*F5035,2)</f>
        <v>0</v>
      </c>
      <c r="B5035" s="684"/>
      <c r="C5035" s="684"/>
      <c r="D5035" s="684"/>
      <c r="E5035" s="684"/>
      <c r="F5035" s="684"/>
      <c r="G5035" s="685"/>
    </row>
    <row r="5036" spans="1:7" x14ac:dyDescent="0.3">
      <c r="A5036" s="529" t="s">
        <v>720</v>
      </c>
      <c r="B5036" s="529" t="s">
        <v>109</v>
      </c>
      <c r="C5036" s="530" t="s">
        <v>110</v>
      </c>
      <c r="D5036" s="529" t="s">
        <v>24</v>
      </c>
      <c r="E5036" s="252"/>
      <c r="F5036" s="531">
        <v>12.4</v>
      </c>
      <c r="G5036" s="252">
        <f t="shared" si="106"/>
        <v>0</v>
      </c>
    </row>
    <row r="5037" spans="1:7" x14ac:dyDescent="0.3">
      <c r="A5037" s="524" t="s">
        <v>508</v>
      </c>
      <c r="B5037" s="524" t="s">
        <v>1584</v>
      </c>
      <c r="C5037" s="525" t="s">
        <v>1585</v>
      </c>
      <c r="D5037" s="524" t="s">
        <v>397</v>
      </c>
      <c r="E5037" s="524" t="s">
        <v>1596</v>
      </c>
      <c r="F5037" s="526" t="s">
        <v>1447</v>
      </c>
      <c r="G5037" s="252">
        <f t="shared" si="106"/>
        <v>0.26</v>
      </c>
    </row>
    <row r="5038" spans="1:7" x14ac:dyDescent="0.3">
      <c r="A5038" s="524" t="s">
        <v>508</v>
      </c>
      <c r="B5038" s="524" t="s">
        <v>1597</v>
      </c>
      <c r="C5038" s="525" t="s">
        <v>1598</v>
      </c>
      <c r="D5038" s="524" t="s">
        <v>1392</v>
      </c>
      <c r="E5038" s="524" t="s">
        <v>1599</v>
      </c>
      <c r="F5038" s="526" t="s">
        <v>1600</v>
      </c>
      <c r="G5038" s="252">
        <f t="shared" si="106"/>
        <v>0.49</v>
      </c>
    </row>
    <row r="5039" spans="1:7" x14ac:dyDescent="0.3">
      <c r="A5039" s="524" t="s">
        <v>508</v>
      </c>
      <c r="B5039" s="524" t="s">
        <v>1601</v>
      </c>
      <c r="C5039" s="525" t="s">
        <v>1602</v>
      </c>
      <c r="D5039" s="524" t="s">
        <v>1392</v>
      </c>
      <c r="E5039" s="524" t="s">
        <v>1603</v>
      </c>
      <c r="F5039" s="526" t="s">
        <v>911</v>
      </c>
      <c r="G5039" s="252">
        <f t="shared" si="106"/>
        <v>3.84</v>
      </c>
    </row>
    <row r="5040" spans="1:7" x14ac:dyDescent="0.3">
      <c r="A5040" s="524" t="s">
        <v>522</v>
      </c>
      <c r="B5040" s="524" t="s">
        <v>1579</v>
      </c>
      <c r="C5040" s="525" t="s">
        <v>1580</v>
      </c>
      <c r="D5040" s="524" t="s">
        <v>32</v>
      </c>
      <c r="E5040" s="607">
        <v>0.3</v>
      </c>
      <c r="F5040" s="526" t="s">
        <v>1582</v>
      </c>
      <c r="G5040" s="252">
        <f t="shared" si="106"/>
        <v>5.66</v>
      </c>
    </row>
    <row r="5041" spans="1:9" x14ac:dyDescent="0.3">
      <c r="A5041" s="524" t="s">
        <v>522</v>
      </c>
      <c r="B5041" s="524" t="s">
        <v>1359</v>
      </c>
      <c r="C5041" s="525" t="s">
        <v>801</v>
      </c>
      <c r="D5041" s="524" t="s">
        <v>32</v>
      </c>
      <c r="E5041" s="607">
        <v>0.15</v>
      </c>
      <c r="F5041" s="526" t="s">
        <v>1361</v>
      </c>
      <c r="G5041" s="252">
        <f t="shared" si="106"/>
        <v>2.15</v>
      </c>
    </row>
    <row r="5042" spans="1:9" x14ac:dyDescent="0.3">
      <c r="A5042" s="680" t="s">
        <v>1152</v>
      </c>
      <c r="B5042" s="681"/>
      <c r="C5042" s="681"/>
      <c r="D5042" s="681"/>
      <c r="E5042" s="681"/>
      <c r="F5042" s="682"/>
      <c r="G5042" s="527">
        <f>SUM(G5036:G5041)</f>
        <v>12.4</v>
      </c>
    </row>
    <row r="5043" spans="1:9" x14ac:dyDescent="0.3">
      <c r="A5043" s="683">
        <f>TRUNC(E5043*F5043,2)</f>
        <v>0</v>
      </c>
      <c r="B5043" s="684"/>
      <c r="C5043" s="684"/>
      <c r="D5043" s="684"/>
      <c r="E5043" s="684"/>
      <c r="F5043" s="684"/>
      <c r="G5043" s="685"/>
    </row>
    <row r="5044" spans="1:9" x14ac:dyDescent="0.3">
      <c r="A5044" s="529" t="s">
        <v>721</v>
      </c>
      <c r="B5044" s="529" t="s">
        <v>334</v>
      </c>
      <c r="C5044" s="530" t="s">
        <v>113</v>
      </c>
      <c r="D5044" s="529" t="s">
        <v>24</v>
      </c>
      <c r="E5044" s="252"/>
      <c r="F5044" s="531">
        <v>15.01</v>
      </c>
      <c r="G5044" s="252">
        <f t="shared" si="106"/>
        <v>0</v>
      </c>
    </row>
    <row r="5045" spans="1:9" x14ac:dyDescent="0.3">
      <c r="A5045" s="529" t="s">
        <v>177</v>
      </c>
      <c r="B5045" s="529" t="s">
        <v>334</v>
      </c>
      <c r="C5045" s="530" t="s">
        <v>113</v>
      </c>
      <c r="D5045" s="529" t="s">
        <v>24</v>
      </c>
      <c r="E5045" s="252"/>
      <c r="F5045" s="531">
        <v>15.01</v>
      </c>
      <c r="G5045" s="252">
        <f t="shared" si="106"/>
        <v>0</v>
      </c>
    </row>
    <row r="5046" spans="1:9" x14ac:dyDescent="0.3">
      <c r="A5046" s="524" t="s">
        <v>508</v>
      </c>
      <c r="B5046" s="529"/>
      <c r="C5046" s="530" t="s">
        <v>113</v>
      </c>
      <c r="D5046" s="529" t="s">
        <v>24</v>
      </c>
      <c r="E5046" s="607">
        <v>0.60699999999999998</v>
      </c>
      <c r="F5046" s="526">
        <v>13.8</v>
      </c>
      <c r="G5046" s="252">
        <f t="shared" si="106"/>
        <v>8.3699999999999992</v>
      </c>
    </row>
    <row r="5047" spans="1:9" x14ac:dyDescent="0.3">
      <c r="A5047" s="524" t="s">
        <v>522</v>
      </c>
      <c r="B5047" s="524" t="s">
        <v>1579</v>
      </c>
      <c r="C5047" s="525" t="s">
        <v>1580</v>
      </c>
      <c r="D5047" s="524" t="s">
        <v>32</v>
      </c>
      <c r="E5047" s="607">
        <v>0.2</v>
      </c>
      <c r="F5047" s="526" t="s">
        <v>1582</v>
      </c>
      <c r="G5047" s="252">
        <f t="shared" si="106"/>
        <v>3.77</v>
      </c>
    </row>
    <row r="5048" spans="1:9" x14ac:dyDescent="0.3">
      <c r="A5048" s="524" t="s">
        <v>522</v>
      </c>
      <c r="B5048" s="524" t="s">
        <v>1359</v>
      </c>
      <c r="C5048" s="525" t="s">
        <v>801</v>
      </c>
      <c r="D5048" s="524" t="s">
        <v>32</v>
      </c>
      <c r="E5048" s="607">
        <v>0.2</v>
      </c>
      <c r="F5048" s="526" t="s">
        <v>1361</v>
      </c>
      <c r="G5048" s="252">
        <f t="shared" si="106"/>
        <v>2.87</v>
      </c>
      <c r="I5048" s="211">
        <f>SUM(G5045:G5047)</f>
        <v>12.139999999999999</v>
      </c>
    </row>
    <row r="5049" spans="1:9" x14ac:dyDescent="0.3">
      <c r="A5049" s="680" t="s">
        <v>1152</v>
      </c>
      <c r="B5049" s="681"/>
      <c r="C5049" s="681"/>
      <c r="D5049" s="681"/>
      <c r="E5049" s="681"/>
      <c r="F5049" s="682"/>
      <c r="G5049" s="527">
        <f>SUM(G5045:G5048)</f>
        <v>15.009999999999998</v>
      </c>
    </row>
    <row r="5050" spans="1:9" x14ac:dyDescent="0.3">
      <c r="A5050" s="529" t="s">
        <v>721</v>
      </c>
      <c r="B5050" s="529" t="s">
        <v>453</v>
      </c>
      <c r="C5050" s="530" t="s">
        <v>454</v>
      </c>
      <c r="D5050" s="529" t="s">
        <v>24</v>
      </c>
      <c r="E5050" s="252"/>
      <c r="F5050" s="531">
        <v>15.52</v>
      </c>
      <c r="G5050" s="252">
        <f t="shared" si="106"/>
        <v>0</v>
      </c>
    </row>
    <row r="5051" spans="1:9" x14ac:dyDescent="0.3">
      <c r="A5051" s="524" t="s">
        <v>508</v>
      </c>
      <c r="B5051" s="524" t="s">
        <v>2298</v>
      </c>
      <c r="C5051" s="525" t="s">
        <v>2299</v>
      </c>
      <c r="D5051" s="524" t="s">
        <v>1392</v>
      </c>
      <c r="E5051" s="524" t="s">
        <v>1967</v>
      </c>
      <c r="F5051" s="528" t="s">
        <v>2300</v>
      </c>
      <c r="G5051" s="252">
        <f t="shared" si="106"/>
        <v>2.33</v>
      </c>
    </row>
    <row r="5052" spans="1:9" x14ac:dyDescent="0.3">
      <c r="A5052" s="524" t="s">
        <v>522</v>
      </c>
      <c r="B5052" s="524" t="s">
        <v>1579</v>
      </c>
      <c r="C5052" s="525" t="s">
        <v>1580</v>
      </c>
      <c r="D5052" s="524" t="s">
        <v>32</v>
      </c>
      <c r="E5052" s="524" t="s">
        <v>1634</v>
      </c>
      <c r="F5052" s="528" t="s">
        <v>1582</v>
      </c>
      <c r="G5052" s="252">
        <f t="shared" si="106"/>
        <v>6.6</v>
      </c>
    </row>
    <row r="5053" spans="1:9" x14ac:dyDescent="0.3">
      <c r="A5053" s="524" t="s">
        <v>522</v>
      </c>
      <c r="B5053" s="524" t="s">
        <v>1359</v>
      </c>
      <c r="C5053" s="525" t="s">
        <v>801</v>
      </c>
      <c r="D5053" s="524" t="s">
        <v>32</v>
      </c>
      <c r="E5053" s="524" t="s">
        <v>1438</v>
      </c>
      <c r="F5053" s="528" t="s">
        <v>1361</v>
      </c>
      <c r="G5053" s="252">
        <f t="shared" si="106"/>
        <v>3.59</v>
      </c>
    </row>
    <row r="5054" spans="1:9" x14ac:dyDescent="0.3">
      <c r="A5054" s="680" t="s">
        <v>1152</v>
      </c>
      <c r="B5054" s="681"/>
      <c r="C5054" s="681"/>
      <c r="D5054" s="681"/>
      <c r="E5054" s="681"/>
      <c r="F5054" s="682"/>
      <c r="G5054" s="527">
        <f>SUM(G5050:G5053)</f>
        <v>12.52</v>
      </c>
    </row>
    <row r="5055" spans="1:9" x14ac:dyDescent="0.3">
      <c r="A5055" s="683">
        <f>TRUNC(E5055*F5055,2)</f>
        <v>0</v>
      </c>
      <c r="B5055" s="684"/>
      <c r="C5055" s="684"/>
      <c r="D5055" s="684"/>
      <c r="E5055" s="684"/>
      <c r="F5055" s="684"/>
      <c r="G5055" s="685"/>
    </row>
    <row r="5056" spans="1:9" x14ac:dyDescent="0.3">
      <c r="A5056" s="529" t="s">
        <v>387</v>
      </c>
      <c r="B5056" s="529"/>
      <c r="C5056" s="530" t="s">
        <v>117</v>
      </c>
      <c r="D5056" s="529"/>
      <c r="E5056" s="252"/>
      <c r="F5056" s="531"/>
      <c r="G5056" s="252">
        <f t="shared" si="106"/>
        <v>0</v>
      </c>
    </row>
    <row r="5057" spans="1:7" x14ac:dyDescent="0.3">
      <c r="A5057" s="529" t="s">
        <v>388</v>
      </c>
      <c r="B5057" s="529">
        <v>96989</v>
      </c>
      <c r="C5057" s="530" t="s">
        <v>455</v>
      </c>
      <c r="D5057" s="529" t="s">
        <v>397</v>
      </c>
      <c r="E5057" s="252"/>
      <c r="F5057" s="531">
        <v>103.39</v>
      </c>
      <c r="G5057" s="252">
        <f t="shared" si="106"/>
        <v>0</v>
      </c>
    </row>
    <row r="5058" spans="1:7" ht="28.8" x14ac:dyDescent="0.3">
      <c r="A5058" s="524" t="s">
        <v>508</v>
      </c>
      <c r="B5058" s="524" t="s">
        <v>2301</v>
      </c>
      <c r="C5058" s="525" t="s">
        <v>2302</v>
      </c>
      <c r="D5058" s="524" t="s">
        <v>397</v>
      </c>
      <c r="E5058" s="524" t="s">
        <v>1122</v>
      </c>
      <c r="F5058" s="528" t="s">
        <v>2303</v>
      </c>
      <c r="G5058" s="252">
        <f t="shared" si="106"/>
        <v>99.26</v>
      </c>
    </row>
    <row r="5059" spans="1:7" x14ac:dyDescent="0.3">
      <c r="A5059" s="524" t="s">
        <v>522</v>
      </c>
      <c r="B5059" s="524" t="s">
        <v>611</v>
      </c>
      <c r="C5059" s="525" t="s">
        <v>546</v>
      </c>
      <c r="D5059" s="524" t="s">
        <v>32</v>
      </c>
      <c r="E5059" s="524" t="s">
        <v>2304</v>
      </c>
      <c r="F5059" s="528" t="s">
        <v>1646</v>
      </c>
      <c r="G5059" s="252">
        <f t="shared" si="106"/>
        <v>1.81</v>
      </c>
    </row>
    <row r="5060" spans="1:7" x14ac:dyDescent="0.3">
      <c r="A5060" s="524" t="s">
        <v>522</v>
      </c>
      <c r="B5060" s="524" t="s">
        <v>610</v>
      </c>
      <c r="C5060" s="525" t="s">
        <v>543</v>
      </c>
      <c r="D5060" s="524" t="s">
        <v>32</v>
      </c>
      <c r="E5060" s="524" t="s">
        <v>2304</v>
      </c>
      <c r="F5060" s="528" t="s">
        <v>1647</v>
      </c>
      <c r="G5060" s="252">
        <f t="shared" si="106"/>
        <v>2.3199999999999998</v>
      </c>
    </row>
    <row r="5061" spans="1:7" x14ac:dyDescent="0.3">
      <c r="A5061" s="680" t="s">
        <v>1152</v>
      </c>
      <c r="B5061" s="681"/>
      <c r="C5061" s="681"/>
      <c r="D5061" s="681"/>
      <c r="E5061" s="681"/>
      <c r="F5061" s="682"/>
      <c r="G5061" s="527">
        <f>SUM(G5055:G5060)</f>
        <v>103.39</v>
      </c>
    </row>
    <row r="5062" spans="1:7" x14ac:dyDescent="0.3">
      <c r="A5062" s="683">
        <f>TRUNC(E5062*F5062,2)</f>
        <v>0</v>
      </c>
      <c r="B5062" s="684"/>
      <c r="C5062" s="684"/>
      <c r="D5062" s="684"/>
      <c r="E5062" s="684"/>
      <c r="F5062" s="684"/>
      <c r="G5062" s="685"/>
    </row>
    <row r="5063" spans="1:7" x14ac:dyDescent="0.3">
      <c r="A5063" s="529" t="s">
        <v>722</v>
      </c>
      <c r="B5063" s="529">
        <v>72315</v>
      </c>
      <c r="C5063" s="530" t="s">
        <v>456</v>
      </c>
      <c r="D5063" s="529" t="s">
        <v>397</v>
      </c>
      <c r="E5063" s="252"/>
      <c r="F5063" s="531">
        <v>26.87</v>
      </c>
      <c r="G5063" s="252">
        <f t="shared" si="106"/>
        <v>0</v>
      </c>
    </row>
    <row r="5064" spans="1:7" x14ac:dyDescent="0.3">
      <c r="A5064" s="529"/>
      <c r="B5064" s="529">
        <v>72315</v>
      </c>
      <c r="C5064" s="530" t="s">
        <v>456</v>
      </c>
      <c r="D5064" s="529" t="s">
        <v>397</v>
      </c>
      <c r="E5064" s="524" t="s">
        <v>1122</v>
      </c>
      <c r="F5064" s="531">
        <v>26.87</v>
      </c>
      <c r="G5064" s="252">
        <f t="shared" ref="G5064" si="114">TRUNC(E5064*F5064,2)</f>
        <v>26.87</v>
      </c>
    </row>
    <row r="5065" spans="1:7" x14ac:dyDescent="0.3">
      <c r="A5065" s="680" t="s">
        <v>1152</v>
      </c>
      <c r="B5065" s="681"/>
      <c r="C5065" s="681"/>
      <c r="D5065" s="681"/>
      <c r="E5065" s="681"/>
      <c r="F5065" s="682"/>
      <c r="G5065" s="527">
        <f>SUM(G5063:G5064)</f>
        <v>26.87</v>
      </c>
    </row>
    <row r="5066" spans="1:7" x14ac:dyDescent="0.3">
      <c r="A5066" s="683">
        <f>TRUNC(E5066*F5066,2)</f>
        <v>0</v>
      </c>
      <c r="B5066" s="684"/>
      <c r="C5066" s="684"/>
      <c r="D5066" s="684"/>
      <c r="E5066" s="684"/>
      <c r="F5066" s="684"/>
      <c r="G5066" s="685"/>
    </row>
    <row r="5067" spans="1:7" ht="28.8" x14ac:dyDescent="0.3">
      <c r="A5067" s="529" t="s">
        <v>723</v>
      </c>
      <c r="B5067" s="529">
        <v>98463</v>
      </c>
      <c r="C5067" s="530" t="s">
        <v>457</v>
      </c>
      <c r="D5067" s="529" t="s">
        <v>397</v>
      </c>
      <c r="E5067" s="252"/>
      <c r="F5067" s="531">
        <v>19.27</v>
      </c>
      <c r="G5067" s="252">
        <f t="shared" si="106"/>
        <v>0</v>
      </c>
    </row>
    <row r="5068" spans="1:7" ht="28.8" x14ac:dyDescent="0.3">
      <c r="A5068" s="524" t="s">
        <v>508</v>
      </c>
      <c r="B5068" s="524" t="s">
        <v>2305</v>
      </c>
      <c r="C5068" s="525" t="s">
        <v>2306</v>
      </c>
      <c r="D5068" s="524" t="s">
        <v>397</v>
      </c>
      <c r="E5068" s="524" t="s">
        <v>1523</v>
      </c>
      <c r="F5068" s="528" t="s">
        <v>1694</v>
      </c>
      <c r="G5068" s="252">
        <f t="shared" si="106"/>
        <v>0.36</v>
      </c>
    </row>
    <row r="5069" spans="1:7" ht="28.8" x14ac:dyDescent="0.3">
      <c r="A5069" s="524" t="s">
        <v>508</v>
      </c>
      <c r="B5069" s="524" t="s">
        <v>2307</v>
      </c>
      <c r="C5069" s="525" t="s">
        <v>2308</v>
      </c>
      <c r="D5069" s="524" t="s">
        <v>397</v>
      </c>
      <c r="E5069" s="524" t="s">
        <v>1122</v>
      </c>
      <c r="F5069" s="528" t="s">
        <v>2309</v>
      </c>
      <c r="G5069" s="252">
        <f t="shared" si="106"/>
        <v>8.57</v>
      </c>
    </row>
    <row r="5070" spans="1:7" x14ac:dyDescent="0.3">
      <c r="A5070" s="524" t="s">
        <v>522</v>
      </c>
      <c r="B5070" s="524" t="s">
        <v>611</v>
      </c>
      <c r="C5070" s="525" t="s">
        <v>546</v>
      </c>
      <c r="D5070" s="524" t="s">
        <v>32</v>
      </c>
      <c r="E5070" s="524" t="s">
        <v>2310</v>
      </c>
      <c r="F5070" s="528" t="s">
        <v>1646</v>
      </c>
      <c r="G5070" s="252">
        <f t="shared" si="106"/>
        <v>4.53</v>
      </c>
    </row>
    <row r="5071" spans="1:7" x14ac:dyDescent="0.3">
      <c r="A5071" s="524" t="s">
        <v>522</v>
      </c>
      <c r="B5071" s="524" t="s">
        <v>610</v>
      </c>
      <c r="C5071" s="525" t="s">
        <v>543</v>
      </c>
      <c r="D5071" s="524" t="s">
        <v>32</v>
      </c>
      <c r="E5071" s="524" t="s">
        <v>2310</v>
      </c>
      <c r="F5071" s="528" t="s">
        <v>1647</v>
      </c>
      <c r="G5071" s="252">
        <f t="shared" si="106"/>
        <v>5.81</v>
      </c>
    </row>
    <row r="5072" spans="1:7" x14ac:dyDescent="0.3">
      <c r="A5072" s="680" t="s">
        <v>1152</v>
      </c>
      <c r="B5072" s="681"/>
      <c r="C5072" s="681"/>
      <c r="D5072" s="681"/>
      <c r="E5072" s="681"/>
      <c r="F5072" s="682"/>
      <c r="G5072" s="527">
        <f>SUM(G5067:G5071)</f>
        <v>19.27</v>
      </c>
    </row>
    <row r="5073" spans="1:7" x14ac:dyDescent="0.3">
      <c r="A5073" s="683">
        <f>TRUNC(E5073*F5073,2)</f>
        <v>0</v>
      </c>
      <c r="B5073" s="684"/>
      <c r="C5073" s="684"/>
      <c r="D5073" s="684"/>
      <c r="E5073" s="684"/>
      <c r="F5073" s="684"/>
      <c r="G5073" s="685"/>
    </row>
    <row r="5074" spans="1:7" ht="28.8" x14ac:dyDescent="0.3">
      <c r="A5074" s="529" t="s">
        <v>724</v>
      </c>
      <c r="B5074" s="529">
        <v>96973</v>
      </c>
      <c r="C5074" s="530" t="s">
        <v>458</v>
      </c>
      <c r="D5074" s="529" t="s">
        <v>55</v>
      </c>
      <c r="E5074" s="252"/>
      <c r="F5074" s="531">
        <v>39.159999999999997</v>
      </c>
      <c r="G5074" s="252">
        <f t="shared" si="106"/>
        <v>0</v>
      </c>
    </row>
    <row r="5075" spans="1:7" x14ac:dyDescent="0.3">
      <c r="A5075" s="524" t="s">
        <v>508</v>
      </c>
      <c r="B5075" s="524" t="s">
        <v>2311</v>
      </c>
      <c r="C5075" s="525" t="s">
        <v>2312</v>
      </c>
      <c r="D5075" s="524" t="s">
        <v>55</v>
      </c>
      <c r="E5075" s="524" t="s">
        <v>1697</v>
      </c>
      <c r="F5075" s="528" t="s">
        <v>2313</v>
      </c>
      <c r="G5075" s="252">
        <f t="shared" si="106"/>
        <v>21.26</v>
      </c>
    </row>
    <row r="5076" spans="1:7" x14ac:dyDescent="0.3">
      <c r="A5076" s="524" t="s">
        <v>522</v>
      </c>
      <c r="B5076" s="524" t="s">
        <v>611</v>
      </c>
      <c r="C5076" s="525" t="s">
        <v>546</v>
      </c>
      <c r="D5076" s="524" t="s">
        <v>32</v>
      </c>
      <c r="E5076" s="524" t="s">
        <v>2314</v>
      </c>
      <c r="F5076" s="528" t="s">
        <v>1646</v>
      </c>
      <c r="G5076" s="252">
        <f t="shared" si="106"/>
        <v>3.62</v>
      </c>
    </row>
    <row r="5077" spans="1:7" x14ac:dyDescent="0.3">
      <c r="A5077" s="524" t="s">
        <v>522</v>
      </c>
      <c r="B5077" s="524" t="s">
        <v>610</v>
      </c>
      <c r="C5077" s="525" t="s">
        <v>543</v>
      </c>
      <c r="D5077" s="524" t="s">
        <v>32</v>
      </c>
      <c r="E5077" s="524" t="s">
        <v>2314</v>
      </c>
      <c r="F5077" s="528" t="s">
        <v>1647</v>
      </c>
      <c r="G5077" s="252">
        <f t="shared" si="106"/>
        <v>4.6500000000000004</v>
      </c>
    </row>
    <row r="5078" spans="1:7" ht="28.8" x14ac:dyDescent="0.3">
      <c r="A5078" s="524" t="s">
        <v>522</v>
      </c>
      <c r="B5078" s="524" t="s">
        <v>2315</v>
      </c>
      <c r="C5078" s="525" t="s">
        <v>2316</v>
      </c>
      <c r="D5078" s="524" t="s">
        <v>397</v>
      </c>
      <c r="E5078" s="524" t="s">
        <v>1636</v>
      </c>
      <c r="F5078" s="528" t="s">
        <v>2317</v>
      </c>
      <c r="G5078" s="252">
        <f t="shared" si="106"/>
        <v>9.6300000000000008</v>
      </c>
    </row>
    <row r="5079" spans="1:7" x14ac:dyDescent="0.3">
      <c r="A5079" s="680" t="s">
        <v>1152</v>
      </c>
      <c r="B5079" s="681"/>
      <c r="C5079" s="681"/>
      <c r="D5079" s="681"/>
      <c r="E5079" s="681"/>
      <c r="F5079" s="682"/>
      <c r="G5079" s="527">
        <f>SUM(G5074:G5078)</f>
        <v>39.160000000000004</v>
      </c>
    </row>
    <row r="5080" spans="1:7" x14ac:dyDescent="0.3">
      <c r="A5080" s="683">
        <f>TRUNC(E5080*F5080,2)</f>
        <v>0</v>
      </c>
      <c r="B5080" s="684"/>
      <c r="C5080" s="684"/>
      <c r="D5080" s="684"/>
      <c r="E5080" s="684"/>
      <c r="F5080" s="684"/>
      <c r="G5080" s="685"/>
    </row>
    <row r="5081" spans="1:7" ht="28.8" x14ac:dyDescent="0.3">
      <c r="A5081" s="529" t="s">
        <v>725</v>
      </c>
      <c r="B5081" s="529">
        <v>96974</v>
      </c>
      <c r="C5081" s="530" t="s">
        <v>459</v>
      </c>
      <c r="D5081" s="529" t="s">
        <v>55</v>
      </c>
      <c r="E5081" s="252"/>
      <c r="F5081" s="531">
        <v>49.86</v>
      </c>
      <c r="G5081" s="252">
        <f t="shared" si="106"/>
        <v>0</v>
      </c>
    </row>
    <row r="5082" spans="1:7" x14ac:dyDescent="0.3">
      <c r="A5082" s="524" t="s">
        <v>508</v>
      </c>
      <c r="B5082" s="524" t="s">
        <v>2318</v>
      </c>
      <c r="C5082" s="525" t="s">
        <v>2319</v>
      </c>
      <c r="D5082" s="524" t="s">
        <v>55</v>
      </c>
      <c r="E5082" s="524" t="s">
        <v>1697</v>
      </c>
      <c r="F5082" s="528" t="s">
        <v>2320</v>
      </c>
      <c r="G5082" s="252">
        <f t="shared" si="106"/>
        <v>29.61</v>
      </c>
    </row>
    <row r="5083" spans="1:7" x14ac:dyDescent="0.3">
      <c r="A5083" s="524" t="s">
        <v>522</v>
      </c>
      <c r="B5083" s="524" t="s">
        <v>611</v>
      </c>
      <c r="C5083" s="525" t="s">
        <v>546</v>
      </c>
      <c r="D5083" s="524" t="s">
        <v>32</v>
      </c>
      <c r="E5083" s="524" t="s">
        <v>2321</v>
      </c>
      <c r="F5083" s="528" t="s">
        <v>1646</v>
      </c>
      <c r="G5083" s="252">
        <f t="shared" si="106"/>
        <v>4.6500000000000004</v>
      </c>
    </row>
    <row r="5084" spans="1:7" x14ac:dyDescent="0.3">
      <c r="A5084" s="524" t="s">
        <v>522</v>
      </c>
      <c r="B5084" s="524" t="s">
        <v>610</v>
      </c>
      <c r="C5084" s="525" t="s">
        <v>543</v>
      </c>
      <c r="D5084" s="524" t="s">
        <v>32</v>
      </c>
      <c r="E5084" s="524" t="s">
        <v>2321</v>
      </c>
      <c r="F5084" s="528" t="s">
        <v>1647</v>
      </c>
      <c r="G5084" s="252">
        <f t="shared" si="106"/>
        <v>5.97</v>
      </c>
    </row>
    <row r="5085" spans="1:7" ht="28.8" x14ac:dyDescent="0.3">
      <c r="A5085" s="524" t="s">
        <v>522</v>
      </c>
      <c r="B5085" s="524" t="s">
        <v>2315</v>
      </c>
      <c r="C5085" s="525" t="s">
        <v>2316</v>
      </c>
      <c r="D5085" s="524" t="s">
        <v>397</v>
      </c>
      <c r="E5085" s="524" t="s">
        <v>1636</v>
      </c>
      <c r="F5085" s="528" t="s">
        <v>2317</v>
      </c>
      <c r="G5085" s="252">
        <f t="shared" si="106"/>
        <v>9.6300000000000008</v>
      </c>
    </row>
    <row r="5086" spans="1:7" x14ac:dyDescent="0.3">
      <c r="A5086" s="680" t="s">
        <v>1152</v>
      </c>
      <c r="B5086" s="681"/>
      <c r="C5086" s="681"/>
      <c r="D5086" s="681"/>
      <c r="E5086" s="681"/>
      <c r="F5086" s="682"/>
      <c r="G5086" s="527">
        <f>SUM(G5081:G5085)</f>
        <v>49.86</v>
      </c>
    </row>
    <row r="5087" spans="1:7" x14ac:dyDescent="0.3">
      <c r="A5087" s="683">
        <f>TRUNC(E5087*F5087,2)</f>
        <v>0</v>
      </c>
      <c r="B5087" s="684"/>
      <c r="C5087" s="684"/>
      <c r="D5087" s="684"/>
      <c r="E5087" s="684"/>
      <c r="F5087" s="684"/>
      <c r="G5087" s="685"/>
    </row>
    <row r="5088" spans="1:7" ht="28.8" x14ac:dyDescent="0.3">
      <c r="A5088" s="529" t="s">
        <v>726</v>
      </c>
      <c r="B5088" s="529">
        <v>96985</v>
      </c>
      <c r="C5088" s="530" t="s">
        <v>460</v>
      </c>
      <c r="D5088" s="529" t="s">
        <v>397</v>
      </c>
      <c r="E5088" s="252"/>
      <c r="F5088" s="531">
        <v>44.95</v>
      </c>
      <c r="G5088" s="252">
        <f t="shared" si="106"/>
        <v>0</v>
      </c>
    </row>
    <row r="5089" spans="1:7" ht="43.2" x14ac:dyDescent="0.3">
      <c r="A5089" s="524" t="s">
        <v>508</v>
      </c>
      <c r="B5089" s="524" t="s">
        <v>2322</v>
      </c>
      <c r="C5089" s="525" t="s">
        <v>2323</v>
      </c>
      <c r="D5089" s="524" t="s">
        <v>397</v>
      </c>
      <c r="E5089" s="524" t="s">
        <v>1122</v>
      </c>
      <c r="F5089" s="528" t="s">
        <v>2324</v>
      </c>
      <c r="G5089" s="252">
        <f t="shared" si="106"/>
        <v>36.68</v>
      </c>
    </row>
    <row r="5090" spans="1:7" x14ac:dyDescent="0.3">
      <c r="A5090" s="524" t="s">
        <v>522</v>
      </c>
      <c r="B5090" s="524" t="s">
        <v>611</v>
      </c>
      <c r="C5090" s="525" t="s">
        <v>546</v>
      </c>
      <c r="D5090" s="524" t="s">
        <v>32</v>
      </c>
      <c r="E5090" s="524" t="s">
        <v>2325</v>
      </c>
      <c r="F5090" s="528" t="s">
        <v>1646</v>
      </c>
      <c r="G5090" s="252">
        <f t="shared" si="106"/>
        <v>3.62</v>
      </c>
    </row>
    <row r="5091" spans="1:7" x14ac:dyDescent="0.3">
      <c r="A5091" s="524" t="s">
        <v>522</v>
      </c>
      <c r="B5091" s="524" t="s">
        <v>610</v>
      </c>
      <c r="C5091" s="525" t="s">
        <v>543</v>
      </c>
      <c r="D5091" s="524" t="s">
        <v>32</v>
      </c>
      <c r="E5091" s="524" t="s">
        <v>2325</v>
      </c>
      <c r="F5091" s="528" t="s">
        <v>1647</v>
      </c>
      <c r="G5091" s="252">
        <f t="shared" si="106"/>
        <v>4.6500000000000004</v>
      </c>
    </row>
    <row r="5092" spans="1:7" x14ac:dyDescent="0.3">
      <c r="A5092" s="680" t="s">
        <v>1152</v>
      </c>
      <c r="B5092" s="681"/>
      <c r="C5092" s="681"/>
      <c r="D5092" s="681"/>
      <c r="E5092" s="681"/>
      <c r="F5092" s="682"/>
      <c r="G5092" s="527">
        <f>SUM(G5087:G5091)</f>
        <v>44.949999999999996</v>
      </c>
    </row>
    <row r="5093" spans="1:7" x14ac:dyDescent="0.3">
      <c r="A5093" s="683">
        <f>TRUNC(E5093*F5093,2)</f>
        <v>0</v>
      </c>
      <c r="B5093" s="684"/>
      <c r="C5093" s="684"/>
      <c r="D5093" s="684"/>
      <c r="E5093" s="684"/>
      <c r="F5093" s="684"/>
      <c r="G5093" s="685"/>
    </row>
    <row r="5094" spans="1:7" ht="28.8" x14ac:dyDescent="0.3">
      <c r="A5094" s="529" t="s">
        <v>727</v>
      </c>
      <c r="B5094" s="529">
        <v>72272</v>
      </c>
      <c r="C5094" s="530" t="s">
        <v>461</v>
      </c>
      <c r="D5094" s="529" t="s">
        <v>397</v>
      </c>
      <c r="E5094" s="252"/>
      <c r="F5094" s="531">
        <v>13.06</v>
      </c>
      <c r="G5094" s="252">
        <f t="shared" si="106"/>
        <v>0</v>
      </c>
    </row>
    <row r="5095" spans="1:7" ht="28.8" x14ac:dyDescent="0.3">
      <c r="A5095" s="529"/>
      <c r="B5095" s="529">
        <v>72272</v>
      </c>
      <c r="C5095" s="530" t="s">
        <v>461</v>
      </c>
      <c r="D5095" s="529" t="s">
        <v>397</v>
      </c>
      <c r="E5095" s="524" t="s">
        <v>1122</v>
      </c>
      <c r="F5095" s="531">
        <v>13.06</v>
      </c>
      <c r="G5095" s="252">
        <f t="shared" ref="G5095" si="115">TRUNC(E5095*F5095,2)</f>
        <v>13.06</v>
      </c>
    </row>
    <row r="5096" spans="1:7" x14ac:dyDescent="0.3">
      <c r="A5096" s="680" t="s">
        <v>1152</v>
      </c>
      <c r="B5096" s="681"/>
      <c r="C5096" s="681"/>
      <c r="D5096" s="681"/>
      <c r="E5096" s="681"/>
      <c r="F5096" s="682"/>
      <c r="G5096" s="527">
        <f>SUM(G5094:G5095)</f>
        <v>13.06</v>
      </c>
    </row>
    <row r="5097" spans="1:7" x14ac:dyDescent="0.3">
      <c r="A5097" s="683">
        <f>TRUNC(E5097*F5097,2)</f>
        <v>0</v>
      </c>
      <c r="B5097" s="684"/>
      <c r="C5097" s="684"/>
      <c r="D5097" s="684"/>
      <c r="E5097" s="684"/>
      <c r="F5097" s="684"/>
      <c r="G5097" s="685"/>
    </row>
    <row r="5098" spans="1:7" ht="28.8" x14ac:dyDescent="0.3">
      <c r="A5098" s="529" t="s">
        <v>728</v>
      </c>
      <c r="B5098" s="529">
        <v>72263</v>
      </c>
      <c r="C5098" s="530" t="s">
        <v>462</v>
      </c>
      <c r="D5098" s="529" t="s">
        <v>397</v>
      </c>
      <c r="E5098" s="252"/>
      <c r="F5098" s="531">
        <v>19.22</v>
      </c>
      <c r="G5098" s="252">
        <f t="shared" si="106"/>
        <v>0</v>
      </c>
    </row>
    <row r="5099" spans="1:7" ht="28.8" x14ac:dyDescent="0.3">
      <c r="A5099" s="529"/>
      <c r="B5099" s="529">
        <v>72263</v>
      </c>
      <c r="C5099" s="530" t="s">
        <v>462</v>
      </c>
      <c r="D5099" s="529" t="s">
        <v>397</v>
      </c>
      <c r="E5099" s="524" t="s">
        <v>1122</v>
      </c>
      <c r="F5099" s="531">
        <v>19.22</v>
      </c>
      <c r="G5099" s="252">
        <f t="shared" ref="G5099" si="116">TRUNC(E5099*F5099,2)</f>
        <v>19.22</v>
      </c>
    </row>
    <row r="5100" spans="1:7" x14ac:dyDescent="0.3">
      <c r="A5100" s="680" t="s">
        <v>1152</v>
      </c>
      <c r="B5100" s="681"/>
      <c r="C5100" s="681"/>
      <c r="D5100" s="681"/>
      <c r="E5100" s="681"/>
      <c r="F5100" s="682"/>
      <c r="G5100" s="527">
        <f>SUM(G5098:G5099)</f>
        <v>19.22</v>
      </c>
    </row>
    <row r="5101" spans="1:7" x14ac:dyDescent="0.3">
      <c r="A5101" s="683">
        <f>TRUNC(E5101*F5101,2)</f>
        <v>0</v>
      </c>
      <c r="B5101" s="684"/>
      <c r="C5101" s="684"/>
      <c r="D5101" s="684"/>
      <c r="E5101" s="684"/>
      <c r="F5101" s="684"/>
      <c r="G5101" s="685"/>
    </row>
    <row r="5102" spans="1:7" x14ac:dyDescent="0.3">
      <c r="A5102" s="529" t="s">
        <v>729</v>
      </c>
      <c r="B5102" s="529">
        <v>83446</v>
      </c>
      <c r="C5102" s="530" t="s">
        <v>463</v>
      </c>
      <c r="D5102" s="529" t="s">
        <v>397</v>
      </c>
      <c r="E5102" s="252"/>
      <c r="F5102" s="531">
        <v>162.57</v>
      </c>
      <c r="G5102" s="252">
        <f t="shared" si="106"/>
        <v>0</v>
      </c>
    </row>
    <row r="5103" spans="1:7" ht="28.8" x14ac:dyDescent="0.3">
      <c r="A5103" s="524" t="s">
        <v>508</v>
      </c>
      <c r="B5103" s="524" t="s">
        <v>1536</v>
      </c>
      <c r="C5103" s="525" t="s">
        <v>1537</v>
      </c>
      <c r="D5103" s="524" t="s">
        <v>41</v>
      </c>
      <c r="E5103" s="524" t="s">
        <v>2326</v>
      </c>
      <c r="F5103" s="528" t="s">
        <v>1539</v>
      </c>
      <c r="G5103" s="252">
        <f t="shared" si="106"/>
        <v>4.08</v>
      </c>
    </row>
    <row r="5104" spans="1:7" x14ac:dyDescent="0.3">
      <c r="A5104" s="524" t="s">
        <v>508</v>
      </c>
      <c r="B5104" s="524" t="s">
        <v>2327</v>
      </c>
      <c r="C5104" s="525" t="s">
        <v>2328</v>
      </c>
      <c r="D5104" s="524" t="s">
        <v>426</v>
      </c>
      <c r="E5104" s="524" t="s">
        <v>2329</v>
      </c>
      <c r="F5104" s="528" t="s">
        <v>1896</v>
      </c>
      <c r="G5104" s="252">
        <f t="shared" si="106"/>
        <v>2.0699999999999998</v>
      </c>
    </row>
    <row r="5105" spans="1:7" ht="28.8" x14ac:dyDescent="0.3">
      <c r="A5105" s="524" t="s">
        <v>508</v>
      </c>
      <c r="B5105" s="524" t="s">
        <v>2330</v>
      </c>
      <c r="C5105" s="525" t="s">
        <v>2331</v>
      </c>
      <c r="D5105" s="524" t="s">
        <v>24</v>
      </c>
      <c r="E5105" s="524" t="s">
        <v>2332</v>
      </c>
      <c r="F5105" s="528" t="s">
        <v>2333</v>
      </c>
      <c r="G5105" s="252">
        <f t="shared" si="106"/>
        <v>1.61</v>
      </c>
    </row>
    <row r="5106" spans="1:7" x14ac:dyDescent="0.3">
      <c r="A5106" s="524" t="s">
        <v>508</v>
      </c>
      <c r="B5106" s="524" t="s">
        <v>1540</v>
      </c>
      <c r="C5106" s="525" t="s">
        <v>1541</v>
      </c>
      <c r="D5106" s="524" t="s">
        <v>426</v>
      </c>
      <c r="E5106" s="524" t="s">
        <v>2334</v>
      </c>
      <c r="F5106" s="528" t="s">
        <v>1543</v>
      </c>
      <c r="G5106" s="252">
        <f t="shared" si="106"/>
        <v>9.06</v>
      </c>
    </row>
    <row r="5107" spans="1:7" x14ac:dyDescent="0.3">
      <c r="A5107" s="524" t="s">
        <v>508</v>
      </c>
      <c r="B5107" s="524" t="s">
        <v>2335</v>
      </c>
      <c r="C5107" s="525" t="s">
        <v>2336</v>
      </c>
      <c r="D5107" s="524" t="s">
        <v>41</v>
      </c>
      <c r="E5107" s="524" t="s">
        <v>2128</v>
      </c>
      <c r="F5107" s="528" t="s">
        <v>2337</v>
      </c>
      <c r="G5107" s="252">
        <f t="shared" si="106"/>
        <v>2.92</v>
      </c>
    </row>
    <row r="5108" spans="1:7" x14ac:dyDescent="0.3">
      <c r="A5108" s="524" t="s">
        <v>508</v>
      </c>
      <c r="B5108" s="524" t="s">
        <v>2338</v>
      </c>
      <c r="C5108" s="525" t="s">
        <v>2339</v>
      </c>
      <c r="D5108" s="524" t="s">
        <v>41</v>
      </c>
      <c r="E5108" s="524" t="s">
        <v>2340</v>
      </c>
      <c r="F5108" s="528" t="s">
        <v>2337</v>
      </c>
      <c r="G5108" s="252">
        <f t="shared" si="106"/>
        <v>0.32</v>
      </c>
    </row>
    <row r="5109" spans="1:7" x14ac:dyDescent="0.3">
      <c r="A5109" s="524" t="s">
        <v>508</v>
      </c>
      <c r="B5109" s="524" t="s">
        <v>2341</v>
      </c>
      <c r="C5109" s="525" t="s">
        <v>2342</v>
      </c>
      <c r="D5109" s="524" t="s">
        <v>397</v>
      </c>
      <c r="E5109" s="524" t="s">
        <v>2343</v>
      </c>
      <c r="F5109" s="528" t="s">
        <v>2344</v>
      </c>
      <c r="G5109" s="252">
        <f t="shared" si="106"/>
        <v>36.28</v>
      </c>
    </row>
    <row r="5110" spans="1:7" x14ac:dyDescent="0.3">
      <c r="A5110" s="524" t="s">
        <v>508</v>
      </c>
      <c r="B5110" s="524" t="s">
        <v>2345</v>
      </c>
      <c r="C5110" s="525" t="s">
        <v>2346</v>
      </c>
      <c r="D5110" s="524" t="s">
        <v>426</v>
      </c>
      <c r="E5110" s="524" t="s">
        <v>2347</v>
      </c>
      <c r="F5110" s="528" t="s">
        <v>2348</v>
      </c>
      <c r="G5110" s="252">
        <f t="shared" si="106"/>
        <v>12</v>
      </c>
    </row>
    <row r="5111" spans="1:7" x14ac:dyDescent="0.3">
      <c r="A5111" s="524" t="s">
        <v>522</v>
      </c>
      <c r="B5111" s="524" t="s">
        <v>1362</v>
      </c>
      <c r="C5111" s="525" t="s">
        <v>1363</v>
      </c>
      <c r="D5111" s="524" t="s">
        <v>32</v>
      </c>
      <c r="E5111" s="524" t="s">
        <v>2349</v>
      </c>
      <c r="F5111" s="528" t="s">
        <v>1365</v>
      </c>
      <c r="G5111" s="252">
        <f t="shared" si="106"/>
        <v>29.81</v>
      </c>
    </row>
    <row r="5112" spans="1:7" x14ac:dyDescent="0.3">
      <c r="A5112" s="524" t="s">
        <v>522</v>
      </c>
      <c r="B5112" s="524" t="s">
        <v>1359</v>
      </c>
      <c r="C5112" s="525" t="s">
        <v>801</v>
      </c>
      <c r="D5112" s="524" t="s">
        <v>32</v>
      </c>
      <c r="E5112" s="524" t="s">
        <v>2350</v>
      </c>
      <c r="F5112" s="528" t="s">
        <v>1361</v>
      </c>
      <c r="G5112" s="252">
        <f t="shared" si="106"/>
        <v>64.42</v>
      </c>
    </row>
    <row r="5113" spans="1:7" x14ac:dyDescent="0.3">
      <c r="A5113" s="680" t="s">
        <v>1152</v>
      </c>
      <c r="B5113" s="681"/>
      <c r="C5113" s="681"/>
      <c r="D5113" s="681"/>
      <c r="E5113" s="681"/>
      <c r="F5113" s="682"/>
      <c r="G5113" s="527">
        <f>SUM(G5102:G5112)</f>
        <v>162.57</v>
      </c>
    </row>
    <row r="5114" spans="1:7" x14ac:dyDescent="0.3">
      <c r="A5114" s="683">
        <f>TRUNC(E5114*F5114,2)</f>
        <v>0</v>
      </c>
      <c r="B5114" s="684"/>
      <c r="C5114" s="684"/>
      <c r="D5114" s="684"/>
      <c r="E5114" s="684"/>
      <c r="F5114" s="684"/>
      <c r="G5114" s="685"/>
    </row>
    <row r="5115" spans="1:7" ht="28.8" x14ac:dyDescent="0.3">
      <c r="A5115" s="529" t="s">
        <v>730</v>
      </c>
      <c r="B5115" s="529">
        <v>97902</v>
      </c>
      <c r="C5115" s="530" t="s">
        <v>464</v>
      </c>
      <c r="D5115" s="529" t="s">
        <v>397</v>
      </c>
      <c r="E5115" s="252"/>
      <c r="F5115" s="531">
        <v>449.1</v>
      </c>
      <c r="G5115" s="252">
        <f t="shared" si="106"/>
        <v>0</v>
      </c>
    </row>
    <row r="5116" spans="1:7" ht="57.6" x14ac:dyDescent="0.3">
      <c r="A5116" s="524" t="s">
        <v>522</v>
      </c>
      <c r="B5116" s="524" t="s">
        <v>2351</v>
      </c>
      <c r="C5116" s="525" t="s">
        <v>2352</v>
      </c>
      <c r="D5116" s="524" t="s">
        <v>410</v>
      </c>
      <c r="E5116" s="524" t="s">
        <v>2353</v>
      </c>
      <c r="F5116" s="528" t="s">
        <v>2354</v>
      </c>
      <c r="G5116" s="252">
        <f t="shared" si="106"/>
        <v>0.72</v>
      </c>
    </row>
    <row r="5117" spans="1:7" ht="57.6" x14ac:dyDescent="0.3">
      <c r="A5117" s="524" t="s">
        <v>522</v>
      </c>
      <c r="B5117" s="524" t="s">
        <v>2355</v>
      </c>
      <c r="C5117" s="525" t="s">
        <v>2356</v>
      </c>
      <c r="D5117" s="524" t="s">
        <v>1437</v>
      </c>
      <c r="E5117" s="524" t="s">
        <v>2357</v>
      </c>
      <c r="F5117" s="528" t="s">
        <v>2358</v>
      </c>
      <c r="G5117" s="252">
        <f t="shared" si="106"/>
        <v>0.96</v>
      </c>
    </row>
    <row r="5118" spans="1:7" x14ac:dyDescent="0.3">
      <c r="A5118" s="524" t="s">
        <v>508</v>
      </c>
      <c r="B5118" s="524" t="s">
        <v>2341</v>
      </c>
      <c r="C5118" s="525" t="s">
        <v>2342</v>
      </c>
      <c r="D5118" s="524" t="s">
        <v>397</v>
      </c>
      <c r="E5118" s="524" t="s">
        <v>2359</v>
      </c>
      <c r="F5118" s="528" t="s">
        <v>2344</v>
      </c>
      <c r="G5118" s="252">
        <f t="shared" si="106"/>
        <v>99.65</v>
      </c>
    </row>
    <row r="5119" spans="1:7" ht="28.8" x14ac:dyDescent="0.3">
      <c r="A5119" s="524" t="s">
        <v>522</v>
      </c>
      <c r="B5119" s="524" t="s">
        <v>2269</v>
      </c>
      <c r="C5119" s="525" t="s">
        <v>2270</v>
      </c>
      <c r="D5119" s="524" t="s">
        <v>41</v>
      </c>
      <c r="E5119" s="524" t="s">
        <v>2360</v>
      </c>
      <c r="F5119" s="528" t="s">
        <v>2272</v>
      </c>
      <c r="G5119" s="252">
        <f t="shared" si="106"/>
        <v>0.41</v>
      </c>
    </row>
    <row r="5120" spans="1:7" x14ac:dyDescent="0.3">
      <c r="A5120" s="524" t="s">
        <v>522</v>
      </c>
      <c r="B5120" s="524" t="s">
        <v>1362</v>
      </c>
      <c r="C5120" s="525" t="s">
        <v>1363</v>
      </c>
      <c r="D5120" s="524" t="s">
        <v>32</v>
      </c>
      <c r="E5120" s="524" t="s">
        <v>2361</v>
      </c>
      <c r="F5120" s="528" t="s">
        <v>1365</v>
      </c>
      <c r="G5120" s="252">
        <f t="shared" si="106"/>
        <v>108.14</v>
      </c>
    </row>
    <row r="5121" spans="1:7" x14ac:dyDescent="0.3">
      <c r="A5121" s="524" t="s">
        <v>522</v>
      </c>
      <c r="B5121" s="524" t="s">
        <v>1359</v>
      </c>
      <c r="C5121" s="525" t="s">
        <v>801</v>
      </c>
      <c r="D5121" s="524" t="s">
        <v>32</v>
      </c>
      <c r="E5121" s="524" t="s">
        <v>2361</v>
      </c>
      <c r="F5121" s="528" t="s">
        <v>1361</v>
      </c>
      <c r="G5121" s="252">
        <f t="shared" si="106"/>
        <v>87.5</v>
      </c>
    </row>
    <row r="5122" spans="1:7" ht="28.8" x14ac:dyDescent="0.3">
      <c r="A5122" s="524" t="s">
        <v>522</v>
      </c>
      <c r="B5122" s="524" t="s">
        <v>2362</v>
      </c>
      <c r="C5122" s="525" t="s">
        <v>419</v>
      </c>
      <c r="D5122" s="524" t="s">
        <v>24</v>
      </c>
      <c r="E5122" s="524" t="s">
        <v>2363</v>
      </c>
      <c r="F5122" s="528" t="s">
        <v>2364</v>
      </c>
      <c r="G5122" s="252">
        <f t="shared" si="106"/>
        <v>3.37</v>
      </c>
    </row>
    <row r="5123" spans="1:7" ht="28.8" x14ac:dyDescent="0.3">
      <c r="A5123" s="524" t="s">
        <v>522</v>
      </c>
      <c r="B5123" s="524" t="s">
        <v>1413</v>
      </c>
      <c r="C5123" s="525" t="s">
        <v>1414</v>
      </c>
      <c r="D5123" s="524" t="s">
        <v>41</v>
      </c>
      <c r="E5123" s="524" t="s">
        <v>2365</v>
      </c>
      <c r="F5123" s="528" t="s">
        <v>1416</v>
      </c>
      <c r="G5123" s="252">
        <f t="shared" si="106"/>
        <v>22.55</v>
      </c>
    </row>
    <row r="5124" spans="1:7" ht="28.8" x14ac:dyDescent="0.3">
      <c r="A5124" s="524" t="s">
        <v>522</v>
      </c>
      <c r="B5124" s="524" t="s">
        <v>2366</v>
      </c>
      <c r="C5124" s="525" t="s">
        <v>2367</v>
      </c>
      <c r="D5124" s="524" t="s">
        <v>41</v>
      </c>
      <c r="E5124" s="524" t="s">
        <v>2368</v>
      </c>
      <c r="F5124" s="528" t="s">
        <v>2369</v>
      </c>
      <c r="G5124" s="252">
        <f t="shared" si="106"/>
        <v>73.33</v>
      </c>
    </row>
    <row r="5125" spans="1:7" ht="43.2" x14ac:dyDescent="0.3">
      <c r="A5125" s="524" t="s">
        <v>522</v>
      </c>
      <c r="B5125" s="524" t="s">
        <v>2370</v>
      </c>
      <c r="C5125" s="525" t="s">
        <v>2371</v>
      </c>
      <c r="D5125" s="524" t="s">
        <v>41</v>
      </c>
      <c r="E5125" s="524" t="s">
        <v>1047</v>
      </c>
      <c r="F5125" s="528" t="s">
        <v>2372</v>
      </c>
      <c r="G5125" s="252">
        <f t="shared" si="106"/>
        <v>52.47</v>
      </c>
    </row>
    <row r="5126" spans="1:7" x14ac:dyDescent="0.3">
      <c r="A5126" s="680" t="s">
        <v>1152</v>
      </c>
      <c r="B5126" s="681"/>
      <c r="C5126" s="681"/>
      <c r="D5126" s="681"/>
      <c r="E5126" s="681"/>
      <c r="F5126" s="682"/>
      <c r="G5126" s="527">
        <f>SUM(G5115:G5125)</f>
        <v>449.1</v>
      </c>
    </row>
    <row r="5127" spans="1:7" x14ac:dyDescent="0.3">
      <c r="A5127" s="683">
        <f>TRUNC(E5127*F5127,2)</f>
        <v>0</v>
      </c>
      <c r="B5127" s="684"/>
      <c r="C5127" s="684"/>
      <c r="D5127" s="684"/>
      <c r="E5127" s="684"/>
      <c r="F5127" s="684"/>
      <c r="G5127" s="685"/>
    </row>
    <row r="5128" spans="1:7" ht="28.8" x14ac:dyDescent="0.3">
      <c r="A5128" s="529" t="s">
        <v>731</v>
      </c>
      <c r="B5128" s="529">
        <v>92986</v>
      </c>
      <c r="C5128" s="530" t="s">
        <v>465</v>
      </c>
      <c r="D5128" s="529" t="s">
        <v>55</v>
      </c>
      <c r="E5128" s="252"/>
      <c r="F5128" s="531">
        <v>24.61</v>
      </c>
      <c r="G5128" s="252">
        <f t="shared" si="106"/>
        <v>0</v>
      </c>
    </row>
    <row r="5129" spans="1:7" ht="43.2" x14ac:dyDescent="0.3">
      <c r="A5129" s="524" t="s">
        <v>508</v>
      </c>
      <c r="B5129" s="524" t="s">
        <v>2373</v>
      </c>
      <c r="C5129" s="525" t="s">
        <v>2374</v>
      </c>
      <c r="D5129" s="524" t="s">
        <v>55</v>
      </c>
      <c r="E5129" s="524" t="s">
        <v>2084</v>
      </c>
      <c r="F5129" s="528" t="s">
        <v>2375</v>
      </c>
      <c r="G5129" s="252">
        <f t="shared" si="106"/>
        <v>22.2</v>
      </c>
    </row>
    <row r="5130" spans="1:7" x14ac:dyDescent="0.3">
      <c r="A5130" s="524" t="s">
        <v>508</v>
      </c>
      <c r="B5130" s="524" t="s">
        <v>1641</v>
      </c>
      <c r="C5130" s="525" t="s">
        <v>1642</v>
      </c>
      <c r="D5130" s="524" t="s">
        <v>397</v>
      </c>
      <c r="E5130" s="524" t="s">
        <v>1643</v>
      </c>
      <c r="F5130" s="528" t="s">
        <v>1644</v>
      </c>
      <c r="G5130" s="252">
        <f t="shared" si="106"/>
        <v>0.03</v>
      </c>
    </row>
    <row r="5131" spans="1:7" x14ac:dyDescent="0.3">
      <c r="A5131" s="524" t="s">
        <v>522</v>
      </c>
      <c r="B5131" s="524" t="s">
        <v>611</v>
      </c>
      <c r="C5131" s="525" t="s">
        <v>546</v>
      </c>
      <c r="D5131" s="524" t="s">
        <v>32</v>
      </c>
      <c r="E5131" s="524" t="s">
        <v>2085</v>
      </c>
      <c r="F5131" s="528" t="s">
        <v>1646</v>
      </c>
      <c r="G5131" s="252">
        <f t="shared" si="106"/>
        <v>1.04</v>
      </c>
    </row>
    <row r="5132" spans="1:7" x14ac:dyDescent="0.3">
      <c r="A5132" s="524" t="s">
        <v>522</v>
      </c>
      <c r="B5132" s="524" t="s">
        <v>610</v>
      </c>
      <c r="C5132" s="525" t="s">
        <v>543</v>
      </c>
      <c r="D5132" s="524" t="s">
        <v>32</v>
      </c>
      <c r="E5132" s="524" t="s">
        <v>2085</v>
      </c>
      <c r="F5132" s="528" t="s">
        <v>1647</v>
      </c>
      <c r="G5132" s="252">
        <f t="shared" si="106"/>
        <v>1.34</v>
      </c>
    </row>
    <row r="5133" spans="1:7" x14ac:dyDescent="0.3">
      <c r="A5133" s="680" t="s">
        <v>1152</v>
      </c>
      <c r="B5133" s="681"/>
      <c r="C5133" s="681"/>
      <c r="D5133" s="681"/>
      <c r="E5133" s="681"/>
      <c r="F5133" s="682"/>
      <c r="G5133" s="527">
        <f>SUM(G5128:G5132)</f>
        <v>24.61</v>
      </c>
    </row>
    <row r="5134" spans="1:7" x14ac:dyDescent="0.3">
      <c r="A5134" s="683">
        <f>TRUNC(E5134*F5134,2)</f>
        <v>0</v>
      </c>
      <c r="B5134" s="684"/>
      <c r="C5134" s="684"/>
      <c r="D5134" s="684"/>
      <c r="E5134" s="684"/>
      <c r="F5134" s="684"/>
      <c r="G5134" s="685"/>
    </row>
    <row r="5135" spans="1:7" ht="28.8" x14ac:dyDescent="0.3">
      <c r="A5135" s="529" t="s">
        <v>732</v>
      </c>
      <c r="B5135" s="529">
        <v>91932</v>
      </c>
      <c r="C5135" s="530" t="s">
        <v>119</v>
      </c>
      <c r="D5135" s="529" t="s">
        <v>55</v>
      </c>
      <c r="E5135" s="252"/>
      <c r="F5135" s="531">
        <v>9.9499999999999993</v>
      </c>
      <c r="G5135" s="252">
        <f t="shared" si="106"/>
        <v>0</v>
      </c>
    </row>
    <row r="5136" spans="1:7" ht="28.8" x14ac:dyDescent="0.3">
      <c r="A5136" s="524" t="s">
        <v>508</v>
      </c>
      <c r="B5136" s="524" t="s">
        <v>1637</v>
      </c>
      <c r="C5136" s="525" t="s">
        <v>1638</v>
      </c>
      <c r="D5136" s="524" t="s">
        <v>55</v>
      </c>
      <c r="E5136" s="524" t="s">
        <v>1639</v>
      </c>
      <c r="F5136" s="528" t="s">
        <v>1640</v>
      </c>
      <c r="G5136" s="252">
        <f t="shared" si="106"/>
        <v>7.41</v>
      </c>
    </row>
    <row r="5137" spans="1:7" x14ac:dyDescent="0.3">
      <c r="A5137" s="524" t="s">
        <v>508</v>
      </c>
      <c r="B5137" s="524" t="s">
        <v>1641</v>
      </c>
      <c r="C5137" s="525" t="s">
        <v>1642</v>
      </c>
      <c r="D5137" s="524" t="s">
        <v>397</v>
      </c>
      <c r="E5137" s="524" t="s">
        <v>1643</v>
      </c>
      <c r="F5137" s="528" t="s">
        <v>1644</v>
      </c>
      <c r="G5137" s="252">
        <f t="shared" si="106"/>
        <v>0.03</v>
      </c>
    </row>
    <row r="5138" spans="1:7" x14ac:dyDescent="0.3">
      <c r="A5138" s="524" t="s">
        <v>522</v>
      </c>
      <c r="B5138" s="524" t="s">
        <v>611</v>
      </c>
      <c r="C5138" s="525" t="s">
        <v>546</v>
      </c>
      <c r="D5138" s="524" t="s">
        <v>32</v>
      </c>
      <c r="E5138" s="524" t="s">
        <v>1645</v>
      </c>
      <c r="F5138" s="528" t="s">
        <v>1646</v>
      </c>
      <c r="G5138" s="252">
        <f t="shared" si="106"/>
        <v>1.1000000000000001</v>
      </c>
    </row>
    <row r="5139" spans="1:7" x14ac:dyDescent="0.3">
      <c r="A5139" s="524" t="s">
        <v>522</v>
      </c>
      <c r="B5139" s="524" t="s">
        <v>610</v>
      </c>
      <c r="C5139" s="525" t="s">
        <v>543</v>
      </c>
      <c r="D5139" s="524" t="s">
        <v>32</v>
      </c>
      <c r="E5139" s="524" t="s">
        <v>1645</v>
      </c>
      <c r="F5139" s="528" t="s">
        <v>1647</v>
      </c>
      <c r="G5139" s="252">
        <f t="shared" si="106"/>
        <v>1.41</v>
      </c>
    </row>
    <row r="5140" spans="1:7" x14ac:dyDescent="0.3">
      <c r="A5140" s="680" t="s">
        <v>1152</v>
      </c>
      <c r="B5140" s="681"/>
      <c r="C5140" s="681"/>
      <c r="D5140" s="681"/>
      <c r="E5140" s="681"/>
      <c r="F5140" s="682"/>
      <c r="G5140" s="527">
        <f>SUM(G5136:G5139)</f>
        <v>9.9500000000000011</v>
      </c>
    </row>
    <row r="5141" spans="1:7" x14ac:dyDescent="0.3">
      <c r="A5141" s="683">
        <f>TRUNC(E5141*F5141,2)</f>
        <v>0</v>
      </c>
      <c r="B5141" s="684"/>
      <c r="C5141" s="684"/>
      <c r="D5141" s="684"/>
      <c r="E5141" s="684"/>
      <c r="F5141" s="684"/>
      <c r="G5141" s="685"/>
    </row>
    <row r="5142" spans="1:7" ht="28.8" x14ac:dyDescent="0.3">
      <c r="A5142" s="529" t="s">
        <v>733</v>
      </c>
      <c r="B5142" s="529">
        <v>91930</v>
      </c>
      <c r="C5142" s="530" t="s">
        <v>121</v>
      </c>
      <c r="D5142" s="529" t="s">
        <v>55</v>
      </c>
      <c r="E5142" s="252"/>
      <c r="F5142" s="531">
        <v>5.5</v>
      </c>
      <c r="G5142" s="252">
        <f t="shared" si="106"/>
        <v>0</v>
      </c>
    </row>
    <row r="5143" spans="1:7" ht="28.8" x14ac:dyDescent="0.3">
      <c r="A5143" s="524" t="s">
        <v>508</v>
      </c>
      <c r="B5143" s="524" t="s">
        <v>1648</v>
      </c>
      <c r="C5143" s="525" t="s">
        <v>1649</v>
      </c>
      <c r="D5143" s="524" t="s">
        <v>55</v>
      </c>
      <c r="E5143" s="606">
        <v>1.036</v>
      </c>
      <c r="F5143" s="528" t="s">
        <v>1650</v>
      </c>
      <c r="G5143" s="252">
        <f t="shared" si="106"/>
        <v>3.78</v>
      </c>
    </row>
    <row r="5144" spans="1:7" x14ac:dyDescent="0.3">
      <c r="A5144" s="524" t="s">
        <v>508</v>
      </c>
      <c r="B5144" s="524" t="s">
        <v>1641</v>
      </c>
      <c r="C5144" s="525" t="s">
        <v>1642</v>
      </c>
      <c r="D5144" s="524" t="s">
        <v>397</v>
      </c>
      <c r="E5144" s="524" t="s">
        <v>1643</v>
      </c>
      <c r="F5144" s="528" t="s">
        <v>1644</v>
      </c>
      <c r="G5144" s="252">
        <f t="shared" si="106"/>
        <v>0.03</v>
      </c>
    </row>
    <row r="5145" spans="1:7" x14ac:dyDescent="0.3">
      <c r="A5145" s="524" t="s">
        <v>522</v>
      </c>
      <c r="B5145" s="524" t="s">
        <v>611</v>
      </c>
      <c r="C5145" s="525" t="s">
        <v>546</v>
      </c>
      <c r="D5145" s="524" t="s">
        <v>32</v>
      </c>
      <c r="E5145" s="524" t="s">
        <v>1651</v>
      </c>
      <c r="F5145" s="528" t="s">
        <v>1646</v>
      </c>
      <c r="G5145" s="252">
        <f t="shared" si="106"/>
        <v>0.74</v>
      </c>
    </row>
    <row r="5146" spans="1:7" x14ac:dyDescent="0.3">
      <c r="A5146" s="524" t="s">
        <v>522</v>
      </c>
      <c r="B5146" s="524" t="s">
        <v>610</v>
      </c>
      <c r="C5146" s="525" t="s">
        <v>543</v>
      </c>
      <c r="D5146" s="524" t="s">
        <v>32</v>
      </c>
      <c r="E5146" s="524" t="s">
        <v>1651</v>
      </c>
      <c r="F5146" s="528" t="s">
        <v>1647</v>
      </c>
      <c r="G5146" s="252">
        <f t="shared" si="106"/>
        <v>0.95</v>
      </c>
    </row>
    <row r="5147" spans="1:7" x14ac:dyDescent="0.3">
      <c r="A5147" s="680" t="s">
        <v>1152</v>
      </c>
      <c r="B5147" s="681"/>
      <c r="C5147" s="681"/>
      <c r="D5147" s="681"/>
      <c r="E5147" s="681"/>
      <c r="F5147" s="682"/>
      <c r="G5147" s="527">
        <f>SUM(G5142:G5146)</f>
        <v>5.5</v>
      </c>
    </row>
    <row r="5148" spans="1:7" x14ac:dyDescent="0.3">
      <c r="A5148" s="683">
        <f>TRUNC(E5148*F5148,2)</f>
        <v>0</v>
      </c>
      <c r="B5148" s="684"/>
      <c r="C5148" s="684"/>
      <c r="D5148" s="684"/>
      <c r="E5148" s="684"/>
      <c r="F5148" s="684"/>
      <c r="G5148" s="685"/>
    </row>
    <row r="5149" spans="1:7" ht="28.8" x14ac:dyDescent="0.3">
      <c r="A5149" s="529" t="s">
        <v>734</v>
      </c>
      <c r="B5149" s="529">
        <v>91928</v>
      </c>
      <c r="C5149" s="530" t="s">
        <v>123</v>
      </c>
      <c r="D5149" s="529" t="s">
        <v>55</v>
      </c>
      <c r="E5149" s="252"/>
      <c r="F5149" s="531">
        <v>4.42</v>
      </c>
      <c r="G5149" s="252">
        <f t="shared" si="106"/>
        <v>0</v>
      </c>
    </row>
    <row r="5150" spans="1:7" ht="28.8" x14ac:dyDescent="0.3">
      <c r="A5150" s="524" t="s">
        <v>508</v>
      </c>
      <c r="B5150" s="524" t="s">
        <v>1652</v>
      </c>
      <c r="C5150" s="525" t="s">
        <v>1653</v>
      </c>
      <c r="D5150" s="524" t="s">
        <v>55</v>
      </c>
      <c r="E5150" s="524" t="s">
        <v>1639</v>
      </c>
      <c r="F5150" s="528" t="s">
        <v>1654</v>
      </c>
      <c r="G5150" s="252">
        <f t="shared" si="106"/>
        <v>3.09</v>
      </c>
    </row>
    <row r="5151" spans="1:7" x14ac:dyDescent="0.3">
      <c r="A5151" s="524" t="s">
        <v>508</v>
      </c>
      <c r="B5151" s="524" t="s">
        <v>1641</v>
      </c>
      <c r="C5151" s="525" t="s">
        <v>1642</v>
      </c>
      <c r="D5151" s="524" t="s">
        <v>397</v>
      </c>
      <c r="E5151" s="524" t="s">
        <v>1643</v>
      </c>
      <c r="F5151" s="528" t="s">
        <v>1644</v>
      </c>
      <c r="G5151" s="252">
        <f t="shared" si="106"/>
        <v>0.03</v>
      </c>
    </row>
    <row r="5152" spans="1:7" x14ac:dyDescent="0.3">
      <c r="A5152" s="524" t="s">
        <v>522</v>
      </c>
      <c r="B5152" s="524" t="s">
        <v>611</v>
      </c>
      <c r="C5152" s="525" t="s">
        <v>546</v>
      </c>
      <c r="D5152" s="524" t="s">
        <v>32</v>
      </c>
      <c r="E5152" s="524" t="s">
        <v>1599</v>
      </c>
      <c r="F5152" s="528" t="s">
        <v>1646</v>
      </c>
      <c r="G5152" s="252">
        <f t="shared" si="106"/>
        <v>0.56999999999999995</v>
      </c>
    </row>
    <row r="5153" spans="1:7" x14ac:dyDescent="0.3">
      <c r="A5153" s="524" t="s">
        <v>522</v>
      </c>
      <c r="B5153" s="524" t="s">
        <v>610</v>
      </c>
      <c r="C5153" s="525" t="s">
        <v>543</v>
      </c>
      <c r="D5153" s="524" t="s">
        <v>32</v>
      </c>
      <c r="E5153" s="524" t="s">
        <v>1599</v>
      </c>
      <c r="F5153" s="528" t="s">
        <v>1647</v>
      </c>
      <c r="G5153" s="252">
        <f t="shared" si="106"/>
        <v>0.73</v>
      </c>
    </row>
    <row r="5154" spans="1:7" x14ac:dyDescent="0.3">
      <c r="A5154" s="680" t="s">
        <v>1152</v>
      </c>
      <c r="B5154" s="681"/>
      <c r="C5154" s="681"/>
      <c r="D5154" s="681"/>
      <c r="E5154" s="681"/>
      <c r="F5154" s="682"/>
      <c r="G5154" s="527">
        <f>SUM(G5150:G5153)</f>
        <v>4.42</v>
      </c>
    </row>
    <row r="5155" spans="1:7" x14ac:dyDescent="0.3">
      <c r="A5155" s="683">
        <f>TRUNC(E5155*F5155,2)</f>
        <v>0</v>
      </c>
      <c r="B5155" s="684"/>
      <c r="C5155" s="684"/>
      <c r="D5155" s="684"/>
      <c r="E5155" s="684"/>
      <c r="F5155" s="684"/>
      <c r="G5155" s="685"/>
    </row>
    <row r="5156" spans="1:7" ht="28.8" x14ac:dyDescent="0.3">
      <c r="A5156" s="529" t="s">
        <v>735</v>
      </c>
      <c r="B5156" s="529">
        <v>91927</v>
      </c>
      <c r="C5156" s="530" t="s">
        <v>125</v>
      </c>
      <c r="D5156" s="529" t="s">
        <v>55</v>
      </c>
      <c r="E5156" s="252"/>
      <c r="F5156" s="531">
        <v>3</v>
      </c>
      <c r="G5156" s="252">
        <f t="shared" si="106"/>
        <v>0</v>
      </c>
    </row>
    <row r="5157" spans="1:7" ht="43.2" x14ac:dyDescent="0.3">
      <c r="A5157" s="524" t="s">
        <v>508</v>
      </c>
      <c r="B5157" s="524" t="s">
        <v>1655</v>
      </c>
      <c r="C5157" s="525" t="s">
        <v>1656</v>
      </c>
      <c r="D5157" s="524" t="s">
        <v>55</v>
      </c>
      <c r="E5157" s="606">
        <v>1</v>
      </c>
      <c r="F5157" s="528">
        <v>2</v>
      </c>
      <c r="G5157" s="252">
        <f t="shared" si="106"/>
        <v>2</v>
      </c>
    </row>
    <row r="5158" spans="1:7" x14ac:dyDescent="0.3">
      <c r="A5158" s="524" t="s">
        <v>508</v>
      </c>
      <c r="B5158" s="524" t="s">
        <v>1641</v>
      </c>
      <c r="C5158" s="525" t="s">
        <v>1642</v>
      </c>
      <c r="D5158" s="524" t="s">
        <v>397</v>
      </c>
      <c r="E5158" s="524" t="s">
        <v>1643</v>
      </c>
      <c r="F5158" s="528" t="s">
        <v>1644</v>
      </c>
      <c r="G5158" s="252">
        <f t="shared" si="106"/>
        <v>0.03</v>
      </c>
    </row>
    <row r="5159" spans="1:7" x14ac:dyDescent="0.3">
      <c r="A5159" s="524" t="s">
        <v>522</v>
      </c>
      <c r="B5159" s="524" t="s">
        <v>611</v>
      </c>
      <c r="C5159" s="525" t="s">
        <v>546</v>
      </c>
      <c r="D5159" s="524" t="s">
        <v>32</v>
      </c>
      <c r="E5159" s="524" t="s">
        <v>1657</v>
      </c>
      <c r="F5159" s="528" t="s">
        <v>1646</v>
      </c>
      <c r="G5159" s="252">
        <f t="shared" ref="G5159:G5160" si="117">TRUNC(E5159*F5159,2)</f>
        <v>0.42</v>
      </c>
    </row>
    <row r="5160" spans="1:7" x14ac:dyDescent="0.3">
      <c r="A5160" s="524" t="s">
        <v>522</v>
      </c>
      <c r="B5160" s="524" t="s">
        <v>610</v>
      </c>
      <c r="C5160" s="525" t="s">
        <v>543</v>
      </c>
      <c r="D5160" s="524" t="s">
        <v>32</v>
      </c>
      <c r="E5160" s="524" t="s">
        <v>1657</v>
      </c>
      <c r="F5160" s="528" t="s">
        <v>1647</v>
      </c>
      <c r="G5160" s="252">
        <f t="shared" si="117"/>
        <v>0.55000000000000004</v>
      </c>
    </row>
    <row r="5161" spans="1:7" x14ac:dyDescent="0.3">
      <c r="A5161" s="680" t="s">
        <v>1152</v>
      </c>
      <c r="B5161" s="681"/>
      <c r="C5161" s="681"/>
      <c r="D5161" s="681"/>
      <c r="E5161" s="681"/>
      <c r="F5161" s="682"/>
      <c r="G5161" s="527">
        <f>SUM(G5157:G5160)</f>
        <v>3</v>
      </c>
    </row>
    <row r="5162" spans="1:7" x14ac:dyDescent="0.3">
      <c r="A5162" s="683">
        <f>TRUNC(E5162*F5162,2)</f>
        <v>0</v>
      </c>
      <c r="B5162" s="684"/>
      <c r="C5162" s="684"/>
      <c r="D5162" s="684"/>
      <c r="E5162" s="684"/>
      <c r="F5162" s="684"/>
      <c r="G5162" s="685"/>
    </row>
    <row r="5163" spans="1:7" ht="28.8" x14ac:dyDescent="0.3">
      <c r="A5163" s="529" t="s">
        <v>736</v>
      </c>
      <c r="B5163" s="529">
        <v>90447</v>
      </c>
      <c r="C5163" s="530" t="s">
        <v>127</v>
      </c>
      <c r="D5163" s="529" t="s">
        <v>55</v>
      </c>
      <c r="E5163" s="252"/>
      <c r="F5163" s="531">
        <v>4.45</v>
      </c>
      <c r="G5163" s="252">
        <f t="shared" si="106"/>
        <v>0</v>
      </c>
    </row>
    <row r="5164" spans="1:7" x14ac:dyDescent="0.3">
      <c r="A5164" s="524" t="s">
        <v>522</v>
      </c>
      <c r="B5164" s="524" t="s">
        <v>611</v>
      </c>
      <c r="C5164" s="525" t="s">
        <v>546</v>
      </c>
      <c r="D5164" s="524" t="s">
        <v>32</v>
      </c>
      <c r="E5164" s="524" t="s">
        <v>1658</v>
      </c>
      <c r="F5164" s="528" t="s">
        <v>1646</v>
      </c>
      <c r="G5164" s="252">
        <f t="shared" si="106"/>
        <v>0.48</v>
      </c>
    </row>
    <row r="5165" spans="1:7" x14ac:dyDescent="0.3">
      <c r="A5165" s="524" t="s">
        <v>522</v>
      </c>
      <c r="B5165" s="524" t="s">
        <v>610</v>
      </c>
      <c r="C5165" s="525" t="s">
        <v>543</v>
      </c>
      <c r="D5165" s="524" t="s">
        <v>32</v>
      </c>
      <c r="E5165" s="524" t="s">
        <v>1659</v>
      </c>
      <c r="F5165" s="528" t="s">
        <v>1647</v>
      </c>
      <c r="G5165" s="252">
        <f t="shared" si="106"/>
        <v>3.97</v>
      </c>
    </row>
    <row r="5166" spans="1:7" x14ac:dyDescent="0.3">
      <c r="A5166" s="680" t="s">
        <v>1152</v>
      </c>
      <c r="B5166" s="681"/>
      <c r="C5166" s="681"/>
      <c r="D5166" s="681"/>
      <c r="E5166" s="681"/>
      <c r="F5166" s="682"/>
      <c r="G5166" s="527">
        <f>SUM(G5162:G5165)</f>
        <v>4.45</v>
      </c>
    </row>
    <row r="5167" spans="1:7" x14ac:dyDescent="0.3">
      <c r="A5167" s="683">
        <f>TRUNC(E5167*F5167,2)</f>
        <v>0</v>
      </c>
      <c r="B5167" s="684"/>
      <c r="C5167" s="684"/>
      <c r="D5167" s="684"/>
      <c r="E5167" s="684"/>
      <c r="F5167" s="684"/>
      <c r="G5167" s="685"/>
    </row>
    <row r="5168" spans="1:7" ht="28.8" x14ac:dyDescent="0.3">
      <c r="A5168" s="529" t="s">
        <v>737</v>
      </c>
      <c r="B5168" s="529">
        <v>91854</v>
      </c>
      <c r="C5168" s="530" t="s">
        <v>466</v>
      </c>
      <c r="D5168" s="529" t="s">
        <v>55</v>
      </c>
      <c r="E5168" s="252"/>
      <c r="F5168" s="531">
        <v>6.03</v>
      </c>
      <c r="G5168" s="252">
        <f t="shared" si="106"/>
        <v>0</v>
      </c>
    </row>
    <row r="5169" spans="1:7" x14ac:dyDescent="0.3">
      <c r="A5169" s="524" t="s">
        <v>508</v>
      </c>
      <c r="B5169" s="524" t="s">
        <v>2099</v>
      </c>
      <c r="C5169" s="525" t="s">
        <v>2100</v>
      </c>
      <c r="D5169" s="524" t="s">
        <v>55</v>
      </c>
      <c r="E5169" s="524" t="s">
        <v>1667</v>
      </c>
      <c r="F5169" s="528" t="s">
        <v>2101</v>
      </c>
      <c r="G5169" s="252">
        <f t="shared" si="106"/>
        <v>1.33</v>
      </c>
    </row>
    <row r="5170" spans="1:7" x14ac:dyDescent="0.3">
      <c r="A5170" s="524" t="s">
        <v>522</v>
      </c>
      <c r="B5170" s="524" t="s">
        <v>611</v>
      </c>
      <c r="C5170" s="525" t="s">
        <v>546</v>
      </c>
      <c r="D5170" s="524" t="s">
        <v>32</v>
      </c>
      <c r="E5170" s="524" t="s">
        <v>2376</v>
      </c>
      <c r="F5170" s="528" t="s">
        <v>1646</v>
      </c>
      <c r="G5170" s="252">
        <f t="shared" si="106"/>
        <v>2.06</v>
      </c>
    </row>
    <row r="5171" spans="1:7" x14ac:dyDescent="0.3">
      <c r="A5171" s="524" t="s">
        <v>522</v>
      </c>
      <c r="B5171" s="524" t="s">
        <v>610</v>
      </c>
      <c r="C5171" s="525" t="s">
        <v>543</v>
      </c>
      <c r="D5171" s="524" t="s">
        <v>32</v>
      </c>
      <c r="E5171" s="524" t="s">
        <v>2376</v>
      </c>
      <c r="F5171" s="528" t="s">
        <v>1647</v>
      </c>
      <c r="G5171" s="252">
        <f t="shared" si="106"/>
        <v>2.64</v>
      </c>
    </row>
    <row r="5172" spans="1:7" x14ac:dyDescent="0.3">
      <c r="A5172" s="680" t="s">
        <v>1152</v>
      </c>
      <c r="B5172" s="681"/>
      <c r="C5172" s="681"/>
      <c r="D5172" s="681"/>
      <c r="E5172" s="681"/>
      <c r="F5172" s="682"/>
      <c r="G5172" s="527">
        <f>SUM(G5168:G5171)</f>
        <v>6.03</v>
      </c>
    </row>
    <row r="5173" spans="1:7" x14ac:dyDescent="0.3">
      <c r="A5173" s="683">
        <f>TRUNC(E5173*F5173,2)</f>
        <v>0</v>
      </c>
      <c r="B5173" s="684"/>
      <c r="C5173" s="684"/>
      <c r="D5173" s="684"/>
      <c r="E5173" s="684"/>
      <c r="F5173" s="684"/>
      <c r="G5173" s="685"/>
    </row>
    <row r="5174" spans="1:7" ht="28.8" x14ac:dyDescent="0.3">
      <c r="A5174" s="529" t="s">
        <v>738</v>
      </c>
      <c r="B5174" s="529">
        <v>91873</v>
      </c>
      <c r="C5174" s="530" t="s">
        <v>467</v>
      </c>
      <c r="D5174" s="529" t="s">
        <v>55</v>
      </c>
      <c r="E5174" s="252"/>
      <c r="F5174" s="531">
        <v>12.48</v>
      </c>
      <c r="G5174" s="252">
        <f t="shared" si="106"/>
        <v>0</v>
      </c>
    </row>
    <row r="5175" spans="1:7" x14ac:dyDescent="0.3">
      <c r="A5175" s="524" t="s">
        <v>508</v>
      </c>
      <c r="B5175" s="524" t="s">
        <v>1665</v>
      </c>
      <c r="C5175" s="525" t="s">
        <v>1666</v>
      </c>
      <c r="D5175" s="524" t="s">
        <v>55</v>
      </c>
      <c r="E5175" s="524" t="s">
        <v>1667</v>
      </c>
      <c r="F5175" s="528" t="s">
        <v>1668</v>
      </c>
      <c r="G5175" s="252">
        <f t="shared" si="106"/>
        <v>5.26</v>
      </c>
    </row>
    <row r="5176" spans="1:7" x14ac:dyDescent="0.3">
      <c r="A5176" s="524" t="s">
        <v>522</v>
      </c>
      <c r="B5176" s="524" t="s">
        <v>611</v>
      </c>
      <c r="C5176" s="525" t="s">
        <v>546</v>
      </c>
      <c r="D5176" s="524" t="s">
        <v>32</v>
      </c>
      <c r="E5176" s="524" t="s">
        <v>2377</v>
      </c>
      <c r="F5176" s="528" t="s">
        <v>1646</v>
      </c>
      <c r="G5176" s="252">
        <f t="shared" si="106"/>
        <v>3.16</v>
      </c>
    </row>
    <row r="5177" spans="1:7" x14ac:dyDescent="0.3">
      <c r="A5177" s="524" t="s">
        <v>522</v>
      </c>
      <c r="B5177" s="524" t="s">
        <v>610</v>
      </c>
      <c r="C5177" s="525" t="s">
        <v>543</v>
      </c>
      <c r="D5177" s="524" t="s">
        <v>32</v>
      </c>
      <c r="E5177" s="524" t="s">
        <v>2377</v>
      </c>
      <c r="F5177" s="528" t="s">
        <v>1647</v>
      </c>
      <c r="G5177" s="252">
        <f t="shared" si="106"/>
        <v>4.0599999999999996</v>
      </c>
    </row>
    <row r="5178" spans="1:7" x14ac:dyDescent="0.3">
      <c r="A5178" s="680" t="s">
        <v>1152</v>
      </c>
      <c r="B5178" s="681"/>
      <c r="C5178" s="681"/>
      <c r="D5178" s="681"/>
      <c r="E5178" s="681"/>
      <c r="F5178" s="682"/>
      <c r="G5178" s="527">
        <f>SUM(G5174:G5177)</f>
        <v>12.48</v>
      </c>
    </row>
    <row r="5179" spans="1:7" x14ac:dyDescent="0.3">
      <c r="A5179" s="683">
        <f>TRUNC(E5179*F5179,2)</f>
        <v>0</v>
      </c>
      <c r="B5179" s="684"/>
      <c r="C5179" s="684"/>
      <c r="D5179" s="684"/>
      <c r="E5179" s="684"/>
      <c r="F5179" s="684"/>
      <c r="G5179" s="685"/>
    </row>
    <row r="5180" spans="1:7" ht="28.8" x14ac:dyDescent="0.3">
      <c r="A5180" s="529" t="s">
        <v>739</v>
      </c>
      <c r="B5180" s="529">
        <v>91836</v>
      </c>
      <c r="C5180" s="530" t="s">
        <v>130</v>
      </c>
      <c r="D5180" s="529" t="s">
        <v>55</v>
      </c>
      <c r="E5180" s="252"/>
      <c r="F5180" s="531">
        <v>7.55</v>
      </c>
      <c r="G5180" s="252">
        <f t="shared" si="106"/>
        <v>0</v>
      </c>
    </row>
    <row r="5181" spans="1:7" x14ac:dyDescent="0.3">
      <c r="A5181" s="524" t="s">
        <v>508</v>
      </c>
      <c r="B5181" s="524" t="s">
        <v>1660</v>
      </c>
      <c r="C5181" s="525" t="s">
        <v>1661</v>
      </c>
      <c r="D5181" s="524" t="s">
        <v>55</v>
      </c>
      <c r="E5181" s="524" t="s">
        <v>1662</v>
      </c>
      <c r="F5181" s="528" t="s">
        <v>1663</v>
      </c>
      <c r="G5181" s="252">
        <f t="shared" si="106"/>
        <v>2.46</v>
      </c>
    </row>
    <row r="5182" spans="1:7" x14ac:dyDescent="0.3">
      <c r="A5182" s="524" t="s">
        <v>522</v>
      </c>
      <c r="B5182" s="524" t="s">
        <v>611</v>
      </c>
      <c r="C5182" s="525" t="s">
        <v>546</v>
      </c>
      <c r="D5182" s="524" t="s">
        <v>32</v>
      </c>
      <c r="E5182" s="524" t="s">
        <v>1664</v>
      </c>
      <c r="F5182" s="528" t="s">
        <v>1646</v>
      </c>
      <c r="G5182" s="252">
        <f t="shared" si="106"/>
        <v>1.28</v>
      </c>
    </row>
    <row r="5183" spans="1:7" x14ac:dyDescent="0.3">
      <c r="A5183" s="524" t="s">
        <v>522</v>
      </c>
      <c r="B5183" s="524" t="s">
        <v>610</v>
      </c>
      <c r="C5183" s="525" t="s">
        <v>543</v>
      </c>
      <c r="D5183" s="524" t="s">
        <v>32</v>
      </c>
      <c r="E5183" s="524" t="s">
        <v>1664</v>
      </c>
      <c r="F5183" s="528" t="s">
        <v>1647</v>
      </c>
      <c r="G5183" s="252">
        <f t="shared" si="106"/>
        <v>1.65</v>
      </c>
    </row>
    <row r="5184" spans="1:7" ht="43.2" x14ac:dyDescent="0.3">
      <c r="A5184" s="524" t="s">
        <v>522</v>
      </c>
      <c r="B5184" s="524" t="s">
        <v>959</v>
      </c>
      <c r="C5184" s="525" t="s">
        <v>960</v>
      </c>
      <c r="D5184" s="524" t="s">
        <v>55</v>
      </c>
      <c r="E5184" s="524" t="s">
        <v>1122</v>
      </c>
      <c r="F5184" s="528" t="s">
        <v>962</v>
      </c>
      <c r="G5184" s="252">
        <f t="shared" si="106"/>
        <v>2.16</v>
      </c>
    </row>
    <row r="5185" spans="1:7" x14ac:dyDescent="0.3">
      <c r="A5185" s="680" t="s">
        <v>1152</v>
      </c>
      <c r="B5185" s="681"/>
      <c r="C5185" s="681"/>
      <c r="D5185" s="681"/>
      <c r="E5185" s="681"/>
      <c r="F5185" s="682"/>
      <c r="G5185" s="527">
        <f>SUM(G5181:G5184)</f>
        <v>7.5500000000000007</v>
      </c>
    </row>
    <row r="5186" spans="1:7" x14ac:dyDescent="0.3">
      <c r="A5186" s="683">
        <f>TRUNC(E5186*F5186,2)</f>
        <v>0</v>
      </c>
      <c r="B5186" s="684"/>
      <c r="C5186" s="684"/>
      <c r="D5186" s="684"/>
      <c r="E5186" s="684"/>
      <c r="F5186" s="684"/>
      <c r="G5186" s="685"/>
    </row>
    <row r="5187" spans="1:7" ht="28.8" x14ac:dyDescent="0.3">
      <c r="A5187" s="529" t="s">
        <v>740</v>
      </c>
      <c r="B5187" s="529">
        <v>93009</v>
      </c>
      <c r="C5187" s="530" t="s">
        <v>468</v>
      </c>
      <c r="D5187" s="529" t="s">
        <v>55</v>
      </c>
      <c r="E5187" s="252"/>
      <c r="F5187" s="531">
        <v>14.44</v>
      </c>
      <c r="G5187" s="252">
        <f t="shared" si="106"/>
        <v>0</v>
      </c>
    </row>
    <row r="5188" spans="1:7" x14ac:dyDescent="0.3">
      <c r="A5188" s="524" t="s">
        <v>508</v>
      </c>
      <c r="B5188" s="524" t="s">
        <v>2378</v>
      </c>
      <c r="C5188" s="525" t="s">
        <v>2379</v>
      </c>
      <c r="D5188" s="524" t="s">
        <v>55</v>
      </c>
      <c r="E5188" s="524" t="s">
        <v>1662</v>
      </c>
      <c r="F5188" s="528" t="s">
        <v>2380</v>
      </c>
      <c r="G5188" s="252">
        <f t="shared" si="106"/>
        <v>10.23</v>
      </c>
    </row>
    <row r="5189" spans="1:7" x14ac:dyDescent="0.3">
      <c r="A5189" s="524" t="s">
        <v>522</v>
      </c>
      <c r="B5189" s="524" t="s">
        <v>611</v>
      </c>
      <c r="C5189" s="525" t="s">
        <v>546</v>
      </c>
      <c r="D5189" s="524" t="s">
        <v>32</v>
      </c>
      <c r="E5189" s="524" t="s">
        <v>2381</v>
      </c>
      <c r="F5189" s="528" t="s">
        <v>1646</v>
      </c>
      <c r="G5189" s="252">
        <f t="shared" si="106"/>
        <v>1.84</v>
      </c>
    </row>
    <row r="5190" spans="1:7" x14ac:dyDescent="0.3">
      <c r="A5190" s="524" t="s">
        <v>522</v>
      </c>
      <c r="B5190" s="524" t="s">
        <v>610</v>
      </c>
      <c r="C5190" s="525" t="s">
        <v>543</v>
      </c>
      <c r="D5190" s="524" t="s">
        <v>32</v>
      </c>
      <c r="E5190" s="524" t="s">
        <v>2381</v>
      </c>
      <c r="F5190" s="528" t="s">
        <v>1647</v>
      </c>
      <c r="G5190" s="252">
        <f t="shared" si="106"/>
        <v>2.37</v>
      </c>
    </row>
    <row r="5191" spans="1:7" x14ac:dyDescent="0.3">
      <c r="A5191" s="680" t="s">
        <v>1152</v>
      </c>
      <c r="B5191" s="681"/>
      <c r="C5191" s="681"/>
      <c r="D5191" s="681"/>
      <c r="E5191" s="681"/>
      <c r="F5191" s="682"/>
      <c r="G5191" s="527">
        <f>SUM(G5187:G5190)</f>
        <v>14.440000000000001</v>
      </c>
    </row>
    <row r="5192" spans="1:7" x14ac:dyDescent="0.3">
      <c r="A5192" s="683">
        <f>TRUNC(E5192*F5192,2)</f>
        <v>0</v>
      </c>
      <c r="B5192" s="684"/>
      <c r="C5192" s="684"/>
      <c r="D5192" s="684"/>
      <c r="E5192" s="684"/>
      <c r="F5192" s="684"/>
      <c r="G5192" s="685"/>
    </row>
    <row r="5193" spans="1:7" ht="28.8" x14ac:dyDescent="0.3">
      <c r="A5193" s="529" t="s">
        <v>741</v>
      </c>
      <c r="B5193" s="529">
        <v>92008</v>
      </c>
      <c r="C5193" s="530" t="s">
        <v>338</v>
      </c>
      <c r="D5193" s="529" t="s">
        <v>397</v>
      </c>
      <c r="E5193" s="252"/>
      <c r="F5193" s="531">
        <v>27.23</v>
      </c>
      <c r="G5193" s="252">
        <f t="shared" si="106"/>
        <v>0</v>
      </c>
    </row>
    <row r="5194" spans="1:7" ht="28.8" x14ac:dyDescent="0.3">
      <c r="A5194" s="524" t="s">
        <v>522</v>
      </c>
      <c r="B5194" s="524" t="s">
        <v>1885</v>
      </c>
      <c r="C5194" s="525" t="s">
        <v>1886</v>
      </c>
      <c r="D5194" s="524" t="s">
        <v>397</v>
      </c>
      <c r="E5194" s="524" t="s">
        <v>1122</v>
      </c>
      <c r="F5194" s="526" t="s">
        <v>1887</v>
      </c>
      <c r="G5194" s="252">
        <f t="shared" si="106"/>
        <v>4.82</v>
      </c>
    </row>
    <row r="5195" spans="1:7" ht="28.8" x14ac:dyDescent="0.3">
      <c r="A5195" s="524" t="s">
        <v>522</v>
      </c>
      <c r="B5195" s="524" t="s">
        <v>2089</v>
      </c>
      <c r="C5195" s="525" t="s">
        <v>2090</v>
      </c>
      <c r="D5195" s="524" t="s">
        <v>397</v>
      </c>
      <c r="E5195" s="524" t="s">
        <v>1122</v>
      </c>
      <c r="F5195" s="526" t="s">
        <v>2091</v>
      </c>
      <c r="G5195" s="252">
        <f t="shared" si="106"/>
        <v>22.41</v>
      </c>
    </row>
    <row r="5196" spans="1:7" x14ac:dyDescent="0.3">
      <c r="A5196" s="680" t="s">
        <v>1152</v>
      </c>
      <c r="B5196" s="681"/>
      <c r="C5196" s="681"/>
      <c r="D5196" s="681"/>
      <c r="E5196" s="681"/>
      <c r="F5196" s="682"/>
      <c r="G5196" s="527">
        <f>SUM(G5193:G5195)</f>
        <v>27.23</v>
      </c>
    </row>
    <row r="5197" spans="1:7" x14ac:dyDescent="0.3">
      <c r="A5197" s="683">
        <f>TRUNC(E5197*F5197,2)</f>
        <v>0</v>
      </c>
      <c r="B5197" s="684"/>
      <c r="C5197" s="684"/>
      <c r="D5197" s="684"/>
      <c r="E5197" s="684"/>
      <c r="F5197" s="684"/>
      <c r="G5197" s="685"/>
    </row>
    <row r="5198" spans="1:7" ht="28.8" x14ac:dyDescent="0.3">
      <c r="A5198" s="529" t="s">
        <v>742</v>
      </c>
      <c r="B5198" s="529">
        <v>91993</v>
      </c>
      <c r="C5198" s="530" t="s">
        <v>469</v>
      </c>
      <c r="D5198" s="529" t="s">
        <v>397</v>
      </c>
      <c r="E5198" s="252"/>
      <c r="F5198" s="531">
        <v>26.81</v>
      </c>
      <c r="G5198" s="252">
        <f t="shared" si="106"/>
        <v>0</v>
      </c>
    </row>
    <row r="5199" spans="1:7" ht="28.8" x14ac:dyDescent="0.3">
      <c r="A5199" s="524" t="s">
        <v>522</v>
      </c>
      <c r="B5199" s="524" t="s">
        <v>1885</v>
      </c>
      <c r="C5199" s="525" t="s">
        <v>1886</v>
      </c>
      <c r="D5199" s="524" t="s">
        <v>397</v>
      </c>
      <c r="E5199" s="524" t="s">
        <v>1122</v>
      </c>
      <c r="F5199" s="526" t="s">
        <v>1887</v>
      </c>
      <c r="G5199" s="252">
        <f t="shared" si="106"/>
        <v>4.82</v>
      </c>
    </row>
    <row r="5200" spans="1:7" ht="28.8" x14ac:dyDescent="0.3">
      <c r="A5200" s="524" t="s">
        <v>522</v>
      </c>
      <c r="B5200" s="524" t="s">
        <v>2233</v>
      </c>
      <c r="C5200" s="525" t="s">
        <v>2234</v>
      </c>
      <c r="D5200" s="524" t="s">
        <v>397</v>
      </c>
      <c r="E5200" s="524" t="s">
        <v>1122</v>
      </c>
      <c r="F5200" s="526" t="s">
        <v>2235</v>
      </c>
      <c r="G5200" s="252">
        <f t="shared" si="106"/>
        <v>21.99</v>
      </c>
    </row>
    <row r="5201" spans="1:7" x14ac:dyDescent="0.3">
      <c r="A5201" s="680" t="s">
        <v>1152</v>
      </c>
      <c r="B5201" s="681"/>
      <c r="C5201" s="681"/>
      <c r="D5201" s="681"/>
      <c r="E5201" s="681"/>
      <c r="F5201" s="682"/>
      <c r="G5201" s="527">
        <f>SUM(G5198:G5200)</f>
        <v>26.81</v>
      </c>
    </row>
    <row r="5202" spans="1:7" x14ac:dyDescent="0.3">
      <c r="A5202" s="683">
        <f>TRUNC(E5202*F5202,2)</f>
        <v>0</v>
      </c>
      <c r="B5202" s="684"/>
      <c r="C5202" s="684"/>
      <c r="D5202" s="684"/>
      <c r="E5202" s="684"/>
      <c r="F5202" s="684"/>
      <c r="G5202" s="685"/>
    </row>
    <row r="5203" spans="1:7" ht="28.8" x14ac:dyDescent="0.3">
      <c r="A5203" s="529" t="s">
        <v>743</v>
      </c>
      <c r="B5203" s="529">
        <v>91953</v>
      </c>
      <c r="C5203" s="530" t="s">
        <v>139</v>
      </c>
      <c r="D5203" s="529" t="s">
        <v>397</v>
      </c>
      <c r="E5203" s="252"/>
      <c r="F5203" s="531">
        <v>16.14</v>
      </c>
      <c r="G5203" s="252">
        <f t="shared" si="106"/>
        <v>0</v>
      </c>
    </row>
    <row r="5204" spans="1:7" ht="28.8" x14ac:dyDescent="0.3">
      <c r="A5204" s="524" t="s">
        <v>522</v>
      </c>
      <c r="B5204" s="524" t="s">
        <v>1885</v>
      </c>
      <c r="C5204" s="525" t="s">
        <v>1886</v>
      </c>
      <c r="D5204" s="524" t="s">
        <v>397</v>
      </c>
      <c r="E5204" s="524" t="s">
        <v>1122</v>
      </c>
      <c r="F5204" s="528" t="s">
        <v>1887</v>
      </c>
      <c r="G5204" s="252">
        <f t="shared" si="106"/>
        <v>4.82</v>
      </c>
    </row>
    <row r="5205" spans="1:7" ht="28.8" x14ac:dyDescent="0.3">
      <c r="A5205" s="524" t="s">
        <v>522</v>
      </c>
      <c r="B5205" s="524" t="s">
        <v>1888</v>
      </c>
      <c r="C5205" s="525" t="s">
        <v>1889</v>
      </c>
      <c r="D5205" s="524" t="s">
        <v>397</v>
      </c>
      <c r="E5205" s="524" t="s">
        <v>1122</v>
      </c>
      <c r="F5205" s="528" t="s">
        <v>1890</v>
      </c>
      <c r="G5205" s="252">
        <f t="shared" si="106"/>
        <v>11.32</v>
      </c>
    </row>
    <row r="5206" spans="1:7" x14ac:dyDescent="0.3">
      <c r="A5206" s="680" t="s">
        <v>1152</v>
      </c>
      <c r="B5206" s="681"/>
      <c r="C5206" s="681"/>
      <c r="D5206" s="681"/>
      <c r="E5206" s="681"/>
      <c r="F5206" s="682"/>
      <c r="G5206" s="252">
        <f>SUM(G5203:G5205)</f>
        <v>16.14</v>
      </c>
    </row>
    <row r="5207" spans="1:7" x14ac:dyDescent="0.3">
      <c r="A5207" s="683">
        <f>TRUNC(E5207*F5207,2)</f>
        <v>0</v>
      </c>
      <c r="B5207" s="684"/>
      <c r="C5207" s="684"/>
      <c r="D5207" s="684"/>
      <c r="E5207" s="684"/>
      <c r="F5207" s="684"/>
      <c r="G5207" s="685"/>
    </row>
    <row r="5208" spans="1:7" ht="28.8" x14ac:dyDescent="0.3">
      <c r="A5208" s="529" t="s">
        <v>744</v>
      </c>
      <c r="B5208" s="529">
        <v>91959</v>
      </c>
      <c r="C5208" s="530" t="s">
        <v>140</v>
      </c>
      <c r="D5208" s="529" t="s">
        <v>397</v>
      </c>
      <c r="E5208" s="252"/>
      <c r="F5208" s="531">
        <v>25.5</v>
      </c>
      <c r="G5208" s="252">
        <f t="shared" si="106"/>
        <v>0</v>
      </c>
    </row>
    <row r="5209" spans="1:7" ht="28.8" x14ac:dyDescent="0.3">
      <c r="A5209" s="524" t="s">
        <v>522</v>
      </c>
      <c r="B5209" s="524" t="s">
        <v>1885</v>
      </c>
      <c r="C5209" s="525" t="s">
        <v>1886</v>
      </c>
      <c r="D5209" s="524" t="s">
        <v>397</v>
      </c>
      <c r="E5209" s="524" t="s">
        <v>1122</v>
      </c>
      <c r="F5209" s="528" t="s">
        <v>1887</v>
      </c>
      <c r="G5209" s="252">
        <f t="shared" si="106"/>
        <v>4.82</v>
      </c>
    </row>
    <row r="5210" spans="1:7" ht="28.8" x14ac:dyDescent="0.3">
      <c r="A5210" s="524" t="s">
        <v>522</v>
      </c>
      <c r="B5210" s="524" t="s">
        <v>1891</v>
      </c>
      <c r="C5210" s="525" t="s">
        <v>1892</v>
      </c>
      <c r="D5210" s="524" t="s">
        <v>397</v>
      </c>
      <c r="E5210" s="524" t="s">
        <v>1122</v>
      </c>
      <c r="F5210" s="528" t="s">
        <v>1893</v>
      </c>
      <c r="G5210" s="252">
        <f t="shared" si="106"/>
        <v>20.68</v>
      </c>
    </row>
    <row r="5211" spans="1:7" x14ac:dyDescent="0.3">
      <c r="A5211" s="680" t="s">
        <v>1152</v>
      </c>
      <c r="B5211" s="681"/>
      <c r="C5211" s="681"/>
      <c r="D5211" s="681"/>
      <c r="E5211" s="681"/>
      <c r="F5211" s="682"/>
      <c r="G5211" s="252">
        <f>SUM(G5208:G5210)</f>
        <v>25.5</v>
      </c>
    </row>
    <row r="5212" spans="1:7" x14ac:dyDescent="0.3">
      <c r="A5212" s="683">
        <f>TRUNC(E5212*F5212,2)</f>
        <v>0</v>
      </c>
      <c r="B5212" s="684"/>
      <c r="C5212" s="684"/>
      <c r="D5212" s="684"/>
      <c r="E5212" s="684"/>
      <c r="F5212" s="684"/>
      <c r="G5212" s="685"/>
    </row>
    <row r="5213" spans="1:7" ht="28.8" x14ac:dyDescent="0.3">
      <c r="A5213" s="529" t="s">
        <v>745</v>
      </c>
      <c r="B5213" s="529">
        <v>91967</v>
      </c>
      <c r="C5213" s="530" t="s">
        <v>470</v>
      </c>
      <c r="D5213" s="529" t="s">
        <v>397</v>
      </c>
      <c r="E5213" s="252"/>
      <c r="F5213" s="531">
        <v>34.880000000000003</v>
      </c>
      <c r="G5213" s="252">
        <f t="shared" si="106"/>
        <v>0</v>
      </c>
    </row>
    <row r="5214" spans="1:7" ht="28.8" x14ac:dyDescent="0.3">
      <c r="A5214" s="524" t="s">
        <v>522</v>
      </c>
      <c r="B5214" s="524" t="s">
        <v>1885</v>
      </c>
      <c r="C5214" s="525" t="s">
        <v>1886</v>
      </c>
      <c r="D5214" s="524" t="s">
        <v>397</v>
      </c>
      <c r="E5214" s="524" t="s">
        <v>1122</v>
      </c>
      <c r="F5214" s="528" t="s">
        <v>1887</v>
      </c>
      <c r="G5214" s="252">
        <f t="shared" si="106"/>
        <v>4.82</v>
      </c>
    </row>
    <row r="5215" spans="1:7" ht="28.8" x14ac:dyDescent="0.3">
      <c r="A5215" s="524" t="s">
        <v>522</v>
      </c>
      <c r="B5215" s="524" t="s">
        <v>2382</v>
      </c>
      <c r="C5215" s="525" t="s">
        <v>2383</v>
      </c>
      <c r="D5215" s="524" t="s">
        <v>397</v>
      </c>
      <c r="E5215" s="524" t="s">
        <v>1122</v>
      </c>
      <c r="F5215" s="528" t="s">
        <v>2384</v>
      </c>
      <c r="G5215" s="252">
        <f t="shared" ref="G5215" si="118">TRUNC(E5215*F5215,2)</f>
        <v>30.06</v>
      </c>
    </row>
    <row r="5216" spans="1:7" x14ac:dyDescent="0.3">
      <c r="A5216" s="680" t="s">
        <v>1152</v>
      </c>
      <c r="B5216" s="681"/>
      <c r="C5216" s="681"/>
      <c r="D5216" s="681"/>
      <c r="E5216" s="681"/>
      <c r="F5216" s="682"/>
      <c r="G5216" s="252">
        <f>SUM(G5213:G5215)</f>
        <v>34.879999999999995</v>
      </c>
    </row>
    <row r="5217" spans="1:9" x14ac:dyDescent="0.3">
      <c r="A5217" s="683">
        <f>TRUNC(E5217*F5217,2)</f>
        <v>0</v>
      </c>
      <c r="B5217" s="684"/>
      <c r="C5217" s="684"/>
      <c r="D5217" s="684"/>
      <c r="E5217" s="684"/>
      <c r="F5217" s="684"/>
      <c r="G5217" s="685"/>
    </row>
    <row r="5218" spans="1:9" ht="28.8" x14ac:dyDescent="0.3">
      <c r="A5218" s="529" t="s">
        <v>746</v>
      </c>
      <c r="B5218" s="529">
        <v>97592</v>
      </c>
      <c r="C5218" s="530" t="s">
        <v>471</v>
      </c>
      <c r="D5218" s="529" t="s">
        <v>397</v>
      </c>
      <c r="E5218" s="252"/>
      <c r="F5218" s="531">
        <v>30.26</v>
      </c>
      <c r="G5218" s="252">
        <f t="shared" si="106"/>
        <v>0</v>
      </c>
    </row>
    <row r="5219" spans="1:9" x14ac:dyDescent="0.3">
      <c r="A5219" s="524" t="s">
        <v>508</v>
      </c>
      <c r="B5219" s="524" t="s">
        <v>2385</v>
      </c>
      <c r="C5219" s="525" t="s">
        <v>2386</v>
      </c>
      <c r="D5219" s="524" t="s">
        <v>397</v>
      </c>
      <c r="E5219" s="524" t="s">
        <v>1122</v>
      </c>
      <c r="F5219" s="528" t="s">
        <v>2387</v>
      </c>
      <c r="G5219" s="252">
        <f t="shared" si="106"/>
        <v>17.23</v>
      </c>
    </row>
    <row r="5220" spans="1:9" x14ac:dyDescent="0.3">
      <c r="A5220" s="524" t="s">
        <v>522</v>
      </c>
      <c r="B5220" s="524" t="s">
        <v>611</v>
      </c>
      <c r="C5220" s="525" t="s">
        <v>546</v>
      </c>
      <c r="D5220" s="524" t="s">
        <v>32</v>
      </c>
      <c r="E5220" s="524" t="s">
        <v>2388</v>
      </c>
      <c r="F5220" s="528" t="s">
        <v>1646</v>
      </c>
      <c r="G5220" s="252">
        <f t="shared" si="106"/>
        <v>3.19</v>
      </c>
    </row>
    <row r="5221" spans="1:9" x14ac:dyDescent="0.3">
      <c r="A5221" s="524" t="s">
        <v>522</v>
      </c>
      <c r="B5221" s="524" t="s">
        <v>610</v>
      </c>
      <c r="C5221" s="525" t="s">
        <v>543</v>
      </c>
      <c r="D5221" s="524" t="s">
        <v>32</v>
      </c>
      <c r="E5221" s="524" t="s">
        <v>2389</v>
      </c>
      <c r="F5221" s="528" t="s">
        <v>1647</v>
      </c>
      <c r="G5221" s="252">
        <f t="shared" ref="G5221" si="119">TRUNC(E5221*F5221,2)</f>
        <v>9.84</v>
      </c>
    </row>
    <row r="5222" spans="1:9" x14ac:dyDescent="0.3">
      <c r="A5222" s="680" t="s">
        <v>1152</v>
      </c>
      <c r="B5222" s="681"/>
      <c r="C5222" s="681"/>
      <c r="D5222" s="681"/>
      <c r="E5222" s="681"/>
      <c r="F5222" s="682"/>
      <c r="G5222" s="252">
        <f>SUM(G5219:G5221)</f>
        <v>30.26</v>
      </c>
    </row>
    <row r="5223" spans="1:9" x14ac:dyDescent="0.3">
      <c r="A5223" s="683">
        <f>TRUNC(E5223*F5223,2)</f>
        <v>0</v>
      </c>
      <c r="B5223" s="684"/>
      <c r="C5223" s="684"/>
      <c r="D5223" s="684"/>
      <c r="E5223" s="684"/>
      <c r="F5223" s="684"/>
      <c r="G5223" s="685"/>
    </row>
    <row r="5224" spans="1:9" ht="28.8" x14ac:dyDescent="0.3">
      <c r="A5224" s="529" t="s">
        <v>747</v>
      </c>
      <c r="B5224" s="529" t="s">
        <v>649</v>
      </c>
      <c r="C5224" s="530" t="s">
        <v>396</v>
      </c>
      <c r="D5224" s="529" t="s">
        <v>397</v>
      </c>
      <c r="E5224" s="252"/>
      <c r="F5224" s="531">
        <v>112.37</v>
      </c>
      <c r="G5224" s="252">
        <f t="shared" si="106"/>
        <v>0</v>
      </c>
    </row>
    <row r="5225" spans="1:9" ht="28.8" x14ac:dyDescent="0.3">
      <c r="A5225" s="529"/>
      <c r="B5225" s="249" t="s">
        <v>612</v>
      </c>
      <c r="C5225" s="202" t="s">
        <v>613</v>
      </c>
      <c r="D5225" s="249" t="s">
        <v>185</v>
      </c>
      <c r="E5225" s="613">
        <v>1</v>
      </c>
      <c r="F5225" s="528">
        <v>13.96</v>
      </c>
      <c r="G5225" s="252">
        <f t="shared" si="106"/>
        <v>13.96</v>
      </c>
    </row>
    <row r="5226" spans="1:9" x14ac:dyDescent="0.3">
      <c r="A5226" s="529"/>
      <c r="B5226" s="249" t="s">
        <v>614</v>
      </c>
      <c r="C5226" s="202" t="s">
        <v>615</v>
      </c>
      <c r="D5226" s="249" t="s">
        <v>185</v>
      </c>
      <c r="E5226" s="613">
        <v>2</v>
      </c>
      <c r="F5226" s="528">
        <v>39.4</v>
      </c>
      <c r="G5226" s="252">
        <f t="shared" si="106"/>
        <v>78.8</v>
      </c>
    </row>
    <row r="5227" spans="1:9" x14ac:dyDescent="0.3">
      <c r="A5227" s="529"/>
      <c r="B5227" s="524" t="s">
        <v>610</v>
      </c>
      <c r="C5227" s="525" t="s">
        <v>543</v>
      </c>
      <c r="D5227" s="249" t="s">
        <v>32</v>
      </c>
      <c r="E5227" s="613">
        <v>0.60000000000000009</v>
      </c>
      <c r="F5227" s="528" t="s">
        <v>1647</v>
      </c>
      <c r="G5227" s="252">
        <f t="shared" si="106"/>
        <v>11.02</v>
      </c>
    </row>
    <row r="5228" spans="1:9" x14ac:dyDescent="0.3">
      <c r="A5228" s="529"/>
      <c r="B5228" s="524" t="s">
        <v>611</v>
      </c>
      <c r="C5228" s="525" t="s">
        <v>546</v>
      </c>
      <c r="D5228" s="524" t="s">
        <v>32</v>
      </c>
      <c r="E5228" s="613">
        <v>0.60000000000000009</v>
      </c>
      <c r="F5228" s="528" t="s">
        <v>1646</v>
      </c>
      <c r="G5228" s="252">
        <f t="shared" si="106"/>
        <v>8.59</v>
      </c>
    </row>
    <row r="5229" spans="1:9" x14ac:dyDescent="0.3">
      <c r="A5229" s="680" t="s">
        <v>1152</v>
      </c>
      <c r="B5229" s="681"/>
      <c r="C5229" s="681"/>
      <c r="D5229" s="681"/>
      <c r="E5229" s="681"/>
      <c r="F5229" s="682"/>
      <c r="G5229" s="527">
        <f>SUM(G5224:G5228)</f>
        <v>112.36999999999999</v>
      </c>
    </row>
    <row r="5230" spans="1:9" x14ac:dyDescent="0.3">
      <c r="A5230" s="686"/>
      <c r="B5230" s="687"/>
      <c r="C5230" s="687"/>
      <c r="D5230" s="687"/>
      <c r="E5230" s="687"/>
      <c r="F5230" s="687"/>
      <c r="G5230" s="688"/>
    </row>
    <row r="5231" spans="1:9" ht="28.8" x14ac:dyDescent="0.3">
      <c r="A5231" s="529" t="s">
        <v>748</v>
      </c>
      <c r="B5231" s="529" t="s">
        <v>395</v>
      </c>
      <c r="C5231" s="530" t="s">
        <v>472</v>
      </c>
      <c r="D5231" s="529" t="s">
        <v>397</v>
      </c>
      <c r="E5231" s="252"/>
      <c r="F5231" s="531">
        <v>306.86</v>
      </c>
      <c r="G5231" s="252">
        <f t="shared" si="106"/>
        <v>0</v>
      </c>
    </row>
    <row r="5232" spans="1:9" ht="28.8" x14ac:dyDescent="0.3">
      <c r="A5232" s="529"/>
      <c r="B5232" s="529" t="s">
        <v>395</v>
      </c>
      <c r="C5232" s="530" t="s">
        <v>472</v>
      </c>
      <c r="D5232" s="529" t="s">
        <v>397</v>
      </c>
      <c r="E5232" s="613">
        <v>1</v>
      </c>
      <c r="F5232" s="531">
        <v>287.25</v>
      </c>
      <c r="G5232" s="252">
        <f t="shared" ref="G5232" si="120">TRUNC(E5232*F5232,2)</f>
        <v>287.25</v>
      </c>
      <c r="I5232">
        <f>J5235-K5235</f>
        <v>287.25</v>
      </c>
    </row>
    <row r="5233" spans="1:11" x14ac:dyDescent="0.3">
      <c r="A5233" s="529"/>
      <c r="B5233" s="524" t="s">
        <v>610</v>
      </c>
      <c r="C5233" s="525" t="s">
        <v>543</v>
      </c>
      <c r="D5233" s="249" t="s">
        <v>32</v>
      </c>
      <c r="E5233" s="613">
        <v>0.60000000000000009</v>
      </c>
      <c r="F5233" s="528" t="s">
        <v>1647</v>
      </c>
      <c r="G5233" s="252">
        <f t="shared" ref="G5233:G5234" si="121">TRUNC(E5233*F5233,2)</f>
        <v>11.02</v>
      </c>
    </row>
    <row r="5234" spans="1:11" x14ac:dyDescent="0.3">
      <c r="A5234" s="529"/>
      <c r="B5234" s="524" t="s">
        <v>611</v>
      </c>
      <c r="C5234" s="525" t="s">
        <v>546</v>
      </c>
      <c r="D5234" s="524" t="s">
        <v>32</v>
      </c>
      <c r="E5234" s="613">
        <v>0.60000000000000009</v>
      </c>
      <c r="F5234" s="528" t="s">
        <v>1646</v>
      </c>
      <c r="G5234" s="252">
        <f t="shared" si="121"/>
        <v>8.59</v>
      </c>
    </row>
    <row r="5235" spans="1:11" x14ac:dyDescent="0.3">
      <c r="A5235" s="680" t="s">
        <v>1152</v>
      </c>
      <c r="B5235" s="681"/>
      <c r="C5235" s="681"/>
      <c r="D5235" s="681"/>
      <c r="E5235" s="681"/>
      <c r="F5235" s="682"/>
      <c r="G5235" s="527">
        <f>SUM(G5231:G5234)</f>
        <v>306.85999999999996</v>
      </c>
      <c r="I5235">
        <v>326.47000000000003</v>
      </c>
      <c r="J5235">
        <v>306.86</v>
      </c>
      <c r="K5235">
        <f>I5235-J5235</f>
        <v>19.610000000000014</v>
      </c>
    </row>
    <row r="5236" spans="1:11" x14ac:dyDescent="0.3">
      <c r="A5236" s="686"/>
      <c r="B5236" s="687"/>
      <c r="C5236" s="687"/>
      <c r="D5236" s="687"/>
      <c r="E5236" s="687"/>
      <c r="F5236" s="687"/>
      <c r="G5236" s="688"/>
    </row>
    <row r="5237" spans="1:11" ht="28.8" x14ac:dyDescent="0.3">
      <c r="A5237" s="529" t="s">
        <v>749</v>
      </c>
      <c r="B5237" s="529">
        <v>93673</v>
      </c>
      <c r="C5237" s="530" t="s">
        <v>473</v>
      </c>
      <c r="D5237" s="529" t="s">
        <v>397</v>
      </c>
      <c r="E5237" s="252"/>
      <c r="F5237" s="531">
        <v>75.680000000000007</v>
      </c>
      <c r="G5237" s="252">
        <f t="shared" si="106"/>
        <v>0</v>
      </c>
    </row>
    <row r="5238" spans="1:11" ht="28.8" x14ac:dyDescent="0.3">
      <c r="A5238" s="524" t="s">
        <v>508</v>
      </c>
      <c r="B5238" s="524" t="s">
        <v>1913</v>
      </c>
      <c r="C5238" s="525" t="s">
        <v>1914</v>
      </c>
      <c r="D5238" s="524" t="s">
        <v>397</v>
      </c>
      <c r="E5238" s="524" t="s">
        <v>1915</v>
      </c>
      <c r="F5238" s="528" t="s">
        <v>1916</v>
      </c>
      <c r="G5238" s="252">
        <f t="shared" si="106"/>
        <v>4.1399999999999997</v>
      </c>
    </row>
    <row r="5239" spans="1:11" x14ac:dyDescent="0.3">
      <c r="A5239" s="524" t="s">
        <v>508</v>
      </c>
      <c r="B5239" s="524" t="s">
        <v>1917</v>
      </c>
      <c r="C5239" s="525" t="s">
        <v>1918</v>
      </c>
      <c r="D5239" s="524" t="s">
        <v>397</v>
      </c>
      <c r="E5239" s="524" t="s">
        <v>1122</v>
      </c>
      <c r="F5239" s="528" t="s">
        <v>1919</v>
      </c>
      <c r="G5239" s="252">
        <f t="shared" si="106"/>
        <v>52.98</v>
      </c>
    </row>
    <row r="5240" spans="1:11" x14ac:dyDescent="0.3">
      <c r="A5240" s="524" t="s">
        <v>522</v>
      </c>
      <c r="B5240" s="524" t="s">
        <v>611</v>
      </c>
      <c r="C5240" s="525" t="s">
        <v>546</v>
      </c>
      <c r="D5240" s="524" t="s">
        <v>32</v>
      </c>
      <c r="E5240" s="524" t="s">
        <v>1920</v>
      </c>
      <c r="F5240" s="528" t="s">
        <v>1646</v>
      </c>
      <c r="G5240" s="252">
        <f t="shared" si="106"/>
        <v>8.1300000000000008</v>
      </c>
    </row>
    <row r="5241" spans="1:11" x14ac:dyDescent="0.3">
      <c r="A5241" s="524" t="s">
        <v>522</v>
      </c>
      <c r="B5241" s="524" t="s">
        <v>610</v>
      </c>
      <c r="C5241" s="525" t="s">
        <v>543</v>
      </c>
      <c r="D5241" s="524" t="s">
        <v>32</v>
      </c>
      <c r="E5241" s="524" t="s">
        <v>1920</v>
      </c>
      <c r="F5241" s="528" t="s">
        <v>1647</v>
      </c>
      <c r="G5241" s="252">
        <f t="shared" si="106"/>
        <v>10.43</v>
      </c>
    </row>
    <row r="5242" spans="1:11" x14ac:dyDescent="0.3">
      <c r="A5242" s="680" t="s">
        <v>1152</v>
      </c>
      <c r="B5242" s="681"/>
      <c r="C5242" s="681"/>
      <c r="D5242" s="681"/>
      <c r="E5242" s="681"/>
      <c r="F5242" s="682"/>
      <c r="G5242" s="252">
        <f>SUM(G5237:G5241)</f>
        <v>75.680000000000007</v>
      </c>
    </row>
    <row r="5243" spans="1:11" x14ac:dyDescent="0.3">
      <c r="A5243" s="683">
        <f>TRUNC(E5243*F5243,2)</f>
        <v>0</v>
      </c>
      <c r="B5243" s="684"/>
      <c r="C5243" s="684"/>
      <c r="D5243" s="684"/>
      <c r="E5243" s="684"/>
      <c r="F5243" s="684"/>
      <c r="G5243" s="685"/>
    </row>
    <row r="5244" spans="1:11" ht="28.8" x14ac:dyDescent="0.3">
      <c r="A5244" s="529" t="s">
        <v>750</v>
      </c>
      <c r="B5244" s="529" t="s">
        <v>347</v>
      </c>
      <c r="C5244" s="530" t="s">
        <v>348</v>
      </c>
      <c r="D5244" s="529" t="s">
        <v>397</v>
      </c>
      <c r="E5244" s="252"/>
      <c r="F5244" s="531">
        <v>97.3</v>
      </c>
      <c r="G5244" s="252">
        <f t="shared" si="106"/>
        <v>0</v>
      </c>
    </row>
    <row r="5245" spans="1:11" x14ac:dyDescent="0.3">
      <c r="A5245" s="524" t="s">
        <v>508</v>
      </c>
      <c r="B5245" s="524" t="s">
        <v>2121</v>
      </c>
      <c r="C5245" s="525" t="s">
        <v>2122</v>
      </c>
      <c r="D5245" s="524" t="s">
        <v>397</v>
      </c>
      <c r="E5245" s="524" t="s">
        <v>1122</v>
      </c>
      <c r="F5245" s="526">
        <v>84.22</v>
      </c>
      <c r="G5245" s="252">
        <f t="shared" si="106"/>
        <v>84.22</v>
      </c>
    </row>
    <row r="5246" spans="1:11" x14ac:dyDescent="0.3">
      <c r="A5246" s="524" t="s">
        <v>522</v>
      </c>
      <c r="B5246" s="524" t="s">
        <v>611</v>
      </c>
      <c r="C5246" s="525" t="s">
        <v>546</v>
      </c>
      <c r="D5246" s="524" t="s">
        <v>32</v>
      </c>
      <c r="E5246" s="524" t="s">
        <v>1596</v>
      </c>
      <c r="F5246" s="526" t="s">
        <v>1646</v>
      </c>
      <c r="G5246" s="252">
        <f t="shared" si="106"/>
        <v>5.73</v>
      </c>
    </row>
    <row r="5247" spans="1:11" x14ac:dyDescent="0.3">
      <c r="A5247" s="524" t="s">
        <v>522</v>
      </c>
      <c r="B5247" s="524" t="s">
        <v>610</v>
      </c>
      <c r="C5247" s="525" t="s">
        <v>543</v>
      </c>
      <c r="D5247" s="524" t="s">
        <v>32</v>
      </c>
      <c r="E5247" s="524" t="s">
        <v>1596</v>
      </c>
      <c r="F5247" s="526" t="s">
        <v>1647</v>
      </c>
      <c r="G5247" s="252">
        <f t="shared" si="106"/>
        <v>7.35</v>
      </c>
    </row>
    <row r="5248" spans="1:11" x14ac:dyDescent="0.3">
      <c r="A5248" s="680" t="s">
        <v>1152</v>
      </c>
      <c r="B5248" s="681"/>
      <c r="C5248" s="681"/>
      <c r="D5248" s="681"/>
      <c r="E5248" s="681"/>
      <c r="F5248" s="682"/>
      <c r="G5248" s="252">
        <f>SUM(G5244:G5247)</f>
        <v>97.3</v>
      </c>
    </row>
    <row r="5249" spans="1:7" x14ac:dyDescent="0.3">
      <c r="A5249" s="683">
        <f>TRUNC(E5249*F5249,2)</f>
        <v>0</v>
      </c>
      <c r="B5249" s="684"/>
      <c r="C5249" s="684"/>
      <c r="D5249" s="684"/>
      <c r="E5249" s="684"/>
      <c r="F5249" s="684"/>
      <c r="G5249" s="685"/>
    </row>
    <row r="5250" spans="1:7" ht="28.8" x14ac:dyDescent="0.3">
      <c r="A5250" s="529" t="s">
        <v>751</v>
      </c>
      <c r="B5250" s="529">
        <v>93653</v>
      </c>
      <c r="C5250" s="530" t="s">
        <v>141</v>
      </c>
      <c r="D5250" s="529" t="s">
        <v>397</v>
      </c>
      <c r="E5250" s="252"/>
      <c r="F5250" s="531">
        <v>9.3699999999999992</v>
      </c>
      <c r="G5250" s="252">
        <f t="shared" si="106"/>
        <v>0</v>
      </c>
    </row>
    <row r="5251" spans="1:7" ht="28.8" x14ac:dyDescent="0.3">
      <c r="A5251" s="524" t="s">
        <v>508</v>
      </c>
      <c r="B5251" s="524" t="s">
        <v>1894</v>
      </c>
      <c r="C5251" s="525" t="s">
        <v>1895</v>
      </c>
      <c r="D5251" s="524" t="s">
        <v>397</v>
      </c>
      <c r="E5251" s="524" t="s">
        <v>1122</v>
      </c>
      <c r="F5251" s="528" t="s">
        <v>1896</v>
      </c>
      <c r="G5251" s="252">
        <f t="shared" si="106"/>
        <v>0.69</v>
      </c>
    </row>
    <row r="5252" spans="1:7" x14ac:dyDescent="0.3">
      <c r="A5252" s="524" t="s">
        <v>508</v>
      </c>
      <c r="B5252" s="524" t="s">
        <v>1897</v>
      </c>
      <c r="C5252" s="525" t="s">
        <v>1898</v>
      </c>
      <c r="D5252" s="524" t="s">
        <v>397</v>
      </c>
      <c r="E5252" s="524" t="s">
        <v>1122</v>
      </c>
      <c r="F5252" s="528" t="s">
        <v>1899</v>
      </c>
      <c r="G5252" s="252">
        <f t="shared" si="106"/>
        <v>7.54</v>
      </c>
    </row>
    <row r="5253" spans="1:7" x14ac:dyDescent="0.3">
      <c r="A5253" s="524" t="s">
        <v>522</v>
      </c>
      <c r="B5253" s="524" t="s">
        <v>611</v>
      </c>
      <c r="C5253" s="525" t="s">
        <v>546</v>
      </c>
      <c r="D5253" s="524" t="s">
        <v>32</v>
      </c>
      <c r="E5253" s="524" t="s">
        <v>1900</v>
      </c>
      <c r="F5253" s="528" t="s">
        <v>1646</v>
      </c>
      <c r="G5253" s="252">
        <f t="shared" si="106"/>
        <v>0.5</v>
      </c>
    </row>
    <row r="5254" spans="1:7" x14ac:dyDescent="0.3">
      <c r="A5254" s="524" t="s">
        <v>522</v>
      </c>
      <c r="B5254" s="524" t="s">
        <v>610</v>
      </c>
      <c r="C5254" s="525" t="s">
        <v>543</v>
      </c>
      <c r="D5254" s="524" t="s">
        <v>32</v>
      </c>
      <c r="E5254" s="524" t="s">
        <v>1900</v>
      </c>
      <c r="F5254" s="528" t="s">
        <v>1647</v>
      </c>
      <c r="G5254" s="252">
        <f t="shared" si="106"/>
        <v>0.64</v>
      </c>
    </row>
    <row r="5255" spans="1:7" x14ac:dyDescent="0.3">
      <c r="A5255" s="680" t="s">
        <v>1152</v>
      </c>
      <c r="B5255" s="681"/>
      <c r="C5255" s="681"/>
      <c r="D5255" s="681"/>
      <c r="E5255" s="681"/>
      <c r="F5255" s="682"/>
      <c r="G5255" s="252">
        <f>SUM(G5250:G5254)</f>
        <v>9.370000000000001</v>
      </c>
    </row>
    <row r="5256" spans="1:7" x14ac:dyDescent="0.3">
      <c r="A5256" s="683">
        <f>TRUNC(E5256*F5256,2)</f>
        <v>0</v>
      </c>
      <c r="B5256" s="684"/>
      <c r="C5256" s="684"/>
      <c r="D5256" s="684"/>
      <c r="E5256" s="684"/>
      <c r="F5256" s="684"/>
      <c r="G5256" s="685"/>
    </row>
    <row r="5257" spans="1:7" x14ac:dyDescent="0.3">
      <c r="A5257" s="529"/>
      <c r="B5257" s="529"/>
      <c r="C5257" s="530"/>
      <c r="D5257" s="529"/>
      <c r="E5257" s="252"/>
      <c r="F5257" s="531"/>
      <c r="G5257" s="252"/>
    </row>
    <row r="5258" spans="1:7" ht="28.8" x14ac:dyDescent="0.3">
      <c r="A5258" s="529" t="s">
        <v>752</v>
      </c>
      <c r="B5258" s="529">
        <v>93654</v>
      </c>
      <c r="C5258" s="530" t="s">
        <v>474</v>
      </c>
      <c r="D5258" s="529" t="s">
        <v>397</v>
      </c>
      <c r="E5258" s="252"/>
      <c r="F5258" s="531">
        <v>9.7899999999999991</v>
      </c>
      <c r="G5258" s="252">
        <f t="shared" si="106"/>
        <v>0</v>
      </c>
    </row>
    <row r="5259" spans="1:7" ht="28.8" x14ac:dyDescent="0.3">
      <c r="A5259" s="524" t="s">
        <v>508</v>
      </c>
      <c r="B5259" s="524" t="s">
        <v>1894</v>
      </c>
      <c r="C5259" s="525" t="s">
        <v>1895</v>
      </c>
      <c r="D5259" s="524" t="s">
        <v>397</v>
      </c>
      <c r="E5259" s="524" t="s">
        <v>1122</v>
      </c>
      <c r="F5259" s="528" t="s">
        <v>1896</v>
      </c>
      <c r="G5259" s="252">
        <f t="shared" ref="G5259:G5262" si="122">TRUNC(E5259*F5259,2)</f>
        <v>0.69</v>
      </c>
    </row>
    <row r="5260" spans="1:7" x14ac:dyDescent="0.3">
      <c r="A5260" s="524" t="s">
        <v>508</v>
      </c>
      <c r="B5260" s="524" t="s">
        <v>1897</v>
      </c>
      <c r="C5260" s="525" t="s">
        <v>1898</v>
      </c>
      <c r="D5260" s="524" t="s">
        <v>397</v>
      </c>
      <c r="E5260" s="524" t="s">
        <v>1122</v>
      </c>
      <c r="F5260" s="528" t="s">
        <v>1899</v>
      </c>
      <c r="G5260" s="252">
        <f t="shared" si="122"/>
        <v>7.54</v>
      </c>
    </row>
    <row r="5261" spans="1:7" x14ac:dyDescent="0.3">
      <c r="A5261" s="524" t="s">
        <v>522</v>
      </c>
      <c r="B5261" s="524" t="s">
        <v>611</v>
      </c>
      <c r="C5261" s="525" t="s">
        <v>546</v>
      </c>
      <c r="D5261" s="524" t="s">
        <v>32</v>
      </c>
      <c r="E5261" s="524" t="s">
        <v>2008</v>
      </c>
      <c r="F5261" s="528" t="s">
        <v>1646</v>
      </c>
      <c r="G5261" s="252">
        <f t="shared" si="122"/>
        <v>0.68</v>
      </c>
    </row>
    <row r="5262" spans="1:7" x14ac:dyDescent="0.3">
      <c r="A5262" s="524" t="s">
        <v>522</v>
      </c>
      <c r="B5262" s="524" t="s">
        <v>610</v>
      </c>
      <c r="C5262" s="525" t="s">
        <v>543</v>
      </c>
      <c r="D5262" s="524" t="s">
        <v>32</v>
      </c>
      <c r="E5262" s="524" t="s">
        <v>2008</v>
      </c>
      <c r="F5262" s="528" t="s">
        <v>1647</v>
      </c>
      <c r="G5262" s="252">
        <f t="shared" si="122"/>
        <v>0.88</v>
      </c>
    </row>
    <row r="5263" spans="1:7" x14ac:dyDescent="0.3">
      <c r="A5263" s="680" t="s">
        <v>1152</v>
      </c>
      <c r="B5263" s="681"/>
      <c r="C5263" s="681"/>
      <c r="D5263" s="681"/>
      <c r="E5263" s="681"/>
      <c r="F5263" s="682"/>
      <c r="G5263" s="252">
        <f>SUM(G5258:G5262)</f>
        <v>9.7900000000000009</v>
      </c>
    </row>
    <row r="5264" spans="1:7" x14ac:dyDescent="0.3">
      <c r="A5264" s="683">
        <f>TRUNC(E5264*F5264,2)</f>
        <v>0</v>
      </c>
      <c r="B5264" s="684"/>
      <c r="C5264" s="684"/>
      <c r="D5264" s="684"/>
      <c r="E5264" s="684"/>
      <c r="F5264" s="684"/>
      <c r="G5264" s="685"/>
    </row>
    <row r="5265" spans="1:7" ht="28.8" x14ac:dyDescent="0.3">
      <c r="A5265" s="529" t="s">
        <v>753</v>
      </c>
      <c r="B5265" s="529">
        <v>93655</v>
      </c>
      <c r="C5265" s="530" t="s">
        <v>142</v>
      </c>
      <c r="D5265" s="529" t="s">
        <v>397</v>
      </c>
      <c r="E5265" s="252"/>
      <c r="F5265" s="531">
        <v>10.59</v>
      </c>
      <c r="G5265" s="252">
        <f t="shared" ref="G5265:G5527" si="123">TRUNC(E5265*F5265,2)</f>
        <v>0</v>
      </c>
    </row>
    <row r="5266" spans="1:7" ht="28.8" x14ac:dyDescent="0.3">
      <c r="A5266" s="524" t="s">
        <v>508</v>
      </c>
      <c r="B5266" s="524" t="s">
        <v>1901</v>
      </c>
      <c r="C5266" s="525" t="s">
        <v>1902</v>
      </c>
      <c r="D5266" s="524" t="s">
        <v>397</v>
      </c>
      <c r="E5266" s="524" t="s">
        <v>1122</v>
      </c>
      <c r="F5266" s="528" t="s">
        <v>1903</v>
      </c>
      <c r="G5266" s="252">
        <f t="shared" si="123"/>
        <v>0.9</v>
      </c>
    </row>
    <row r="5267" spans="1:7" x14ac:dyDescent="0.3">
      <c r="A5267" s="524" t="s">
        <v>508</v>
      </c>
      <c r="B5267" s="524" t="s">
        <v>1897</v>
      </c>
      <c r="C5267" s="525" t="s">
        <v>1898</v>
      </c>
      <c r="D5267" s="524" t="s">
        <v>397</v>
      </c>
      <c r="E5267" s="524" t="s">
        <v>1122</v>
      </c>
      <c r="F5267" s="528" t="s">
        <v>1899</v>
      </c>
      <c r="G5267" s="252">
        <f t="shared" si="123"/>
        <v>7.54</v>
      </c>
    </row>
    <row r="5268" spans="1:7" x14ac:dyDescent="0.3">
      <c r="A5268" s="524" t="s">
        <v>522</v>
      </c>
      <c r="B5268" s="524" t="s">
        <v>611</v>
      </c>
      <c r="C5268" s="525" t="s">
        <v>546</v>
      </c>
      <c r="D5268" s="524" t="s">
        <v>32</v>
      </c>
      <c r="E5268" s="524" t="s">
        <v>1904</v>
      </c>
      <c r="F5268" s="528" t="s">
        <v>1646</v>
      </c>
      <c r="G5268" s="252">
        <f t="shared" si="123"/>
        <v>0.94</v>
      </c>
    </row>
    <row r="5269" spans="1:7" x14ac:dyDescent="0.3">
      <c r="A5269" s="524" t="s">
        <v>522</v>
      </c>
      <c r="B5269" s="524" t="s">
        <v>610</v>
      </c>
      <c r="C5269" s="525" t="s">
        <v>543</v>
      </c>
      <c r="D5269" s="524" t="s">
        <v>32</v>
      </c>
      <c r="E5269" s="524" t="s">
        <v>1904</v>
      </c>
      <c r="F5269" s="528" t="s">
        <v>1647</v>
      </c>
      <c r="G5269" s="252">
        <f t="shared" si="123"/>
        <v>1.21</v>
      </c>
    </row>
    <row r="5270" spans="1:7" x14ac:dyDescent="0.3">
      <c r="A5270" s="680" t="s">
        <v>1152</v>
      </c>
      <c r="B5270" s="681"/>
      <c r="C5270" s="681"/>
      <c r="D5270" s="681"/>
      <c r="E5270" s="681"/>
      <c r="F5270" s="682"/>
      <c r="G5270" s="252">
        <f>SUM(G5265:G5269)</f>
        <v>10.59</v>
      </c>
    </row>
    <row r="5271" spans="1:7" x14ac:dyDescent="0.3">
      <c r="A5271" s="683">
        <f>TRUNC(E5271*F5271,2)</f>
        <v>0</v>
      </c>
      <c r="B5271" s="684"/>
      <c r="C5271" s="684"/>
      <c r="D5271" s="684"/>
      <c r="E5271" s="684"/>
      <c r="F5271" s="684"/>
      <c r="G5271" s="685"/>
    </row>
    <row r="5272" spans="1:7" ht="28.8" x14ac:dyDescent="0.3">
      <c r="A5272" s="529" t="s">
        <v>754</v>
      </c>
      <c r="B5272" s="529">
        <v>93662</v>
      </c>
      <c r="C5272" s="530" t="s">
        <v>145</v>
      </c>
      <c r="D5272" s="529" t="s">
        <v>397</v>
      </c>
      <c r="E5272" s="252"/>
      <c r="F5272" s="531">
        <v>49.38</v>
      </c>
      <c r="G5272" s="252">
        <f t="shared" si="123"/>
        <v>0</v>
      </c>
    </row>
    <row r="5273" spans="1:7" ht="28.8" x14ac:dyDescent="0.3">
      <c r="A5273" s="524" t="s">
        <v>508</v>
      </c>
      <c r="B5273" s="524" t="s">
        <v>1901</v>
      </c>
      <c r="C5273" s="525" t="s">
        <v>1902</v>
      </c>
      <c r="D5273" s="524" t="s">
        <v>397</v>
      </c>
      <c r="E5273" s="524" t="s">
        <v>1523</v>
      </c>
      <c r="F5273" s="528" t="s">
        <v>1903</v>
      </c>
      <c r="G5273" s="252">
        <f t="shared" si="123"/>
        <v>1.8</v>
      </c>
    </row>
    <row r="5274" spans="1:7" x14ac:dyDescent="0.3">
      <c r="A5274" s="524" t="s">
        <v>508</v>
      </c>
      <c r="B5274" s="524" t="s">
        <v>1909</v>
      </c>
      <c r="C5274" s="525" t="s">
        <v>1910</v>
      </c>
      <c r="D5274" s="524" t="s">
        <v>397</v>
      </c>
      <c r="E5274" s="524" t="s">
        <v>1122</v>
      </c>
      <c r="F5274" s="528" t="s">
        <v>1911</v>
      </c>
      <c r="G5274" s="252">
        <f t="shared" si="123"/>
        <v>43.24</v>
      </c>
    </row>
    <row r="5275" spans="1:7" x14ac:dyDescent="0.3">
      <c r="A5275" s="524" t="s">
        <v>522</v>
      </c>
      <c r="B5275" s="524" t="s">
        <v>611</v>
      </c>
      <c r="C5275" s="525" t="s">
        <v>546</v>
      </c>
      <c r="D5275" s="524" t="s">
        <v>32</v>
      </c>
      <c r="E5275" s="524" t="s">
        <v>1912</v>
      </c>
      <c r="F5275" s="528" t="s">
        <v>1646</v>
      </c>
      <c r="G5275" s="252">
        <f t="shared" si="123"/>
        <v>1.9</v>
      </c>
    </row>
    <row r="5276" spans="1:7" x14ac:dyDescent="0.3">
      <c r="A5276" s="524" t="s">
        <v>522</v>
      </c>
      <c r="B5276" s="524" t="s">
        <v>610</v>
      </c>
      <c r="C5276" s="525" t="s">
        <v>543</v>
      </c>
      <c r="D5276" s="524" t="s">
        <v>32</v>
      </c>
      <c r="E5276" s="524" t="s">
        <v>1912</v>
      </c>
      <c r="F5276" s="528" t="s">
        <v>1647</v>
      </c>
      <c r="G5276" s="252">
        <f t="shared" si="123"/>
        <v>2.44</v>
      </c>
    </row>
    <row r="5277" spans="1:7" x14ac:dyDescent="0.3">
      <c r="A5277" s="680" t="s">
        <v>1152</v>
      </c>
      <c r="B5277" s="681"/>
      <c r="C5277" s="681"/>
      <c r="D5277" s="681"/>
      <c r="E5277" s="681"/>
      <c r="F5277" s="682"/>
      <c r="G5277" s="252">
        <f>SUM(G5272:G5276)</f>
        <v>49.379999999999995</v>
      </c>
    </row>
    <row r="5278" spans="1:7" x14ac:dyDescent="0.3">
      <c r="A5278" s="683">
        <f>TRUNC(E5278*F5278,2)</f>
        <v>0</v>
      </c>
      <c r="B5278" s="684"/>
      <c r="C5278" s="684"/>
      <c r="D5278" s="684"/>
      <c r="E5278" s="684"/>
      <c r="F5278" s="684"/>
      <c r="G5278" s="685"/>
    </row>
    <row r="5279" spans="1:7" ht="28.8" x14ac:dyDescent="0.3">
      <c r="A5279" s="529" t="s">
        <v>755</v>
      </c>
      <c r="B5279" s="529">
        <v>93663</v>
      </c>
      <c r="C5279" s="530" t="s">
        <v>475</v>
      </c>
      <c r="D5279" s="529" t="s">
        <v>397</v>
      </c>
      <c r="E5279" s="252"/>
      <c r="F5279" s="531">
        <v>49.38</v>
      </c>
      <c r="G5279" s="252">
        <f t="shared" si="123"/>
        <v>0</v>
      </c>
    </row>
    <row r="5280" spans="1:7" ht="28.8" x14ac:dyDescent="0.3">
      <c r="A5280" s="524" t="s">
        <v>508</v>
      </c>
      <c r="B5280" s="524" t="s">
        <v>1901</v>
      </c>
      <c r="C5280" s="525" t="s">
        <v>1902</v>
      </c>
      <c r="D5280" s="524" t="s">
        <v>397</v>
      </c>
      <c r="E5280" s="524" t="s">
        <v>1523</v>
      </c>
      <c r="F5280" s="528" t="s">
        <v>1903</v>
      </c>
      <c r="G5280" s="252">
        <f t="shared" si="123"/>
        <v>1.8</v>
      </c>
    </row>
    <row r="5281" spans="1:14" x14ac:dyDescent="0.3">
      <c r="A5281" s="524" t="s">
        <v>508</v>
      </c>
      <c r="B5281" s="524" t="s">
        <v>1909</v>
      </c>
      <c r="C5281" s="525" t="s">
        <v>1910</v>
      </c>
      <c r="D5281" s="524" t="s">
        <v>397</v>
      </c>
      <c r="E5281" s="524" t="s">
        <v>1122</v>
      </c>
      <c r="F5281" s="528" t="s">
        <v>1911</v>
      </c>
      <c r="G5281" s="252">
        <f t="shared" si="123"/>
        <v>43.24</v>
      </c>
    </row>
    <row r="5282" spans="1:14" x14ac:dyDescent="0.3">
      <c r="A5282" s="524" t="s">
        <v>522</v>
      </c>
      <c r="B5282" s="524" t="s">
        <v>611</v>
      </c>
      <c r="C5282" s="525" t="s">
        <v>546</v>
      </c>
      <c r="D5282" s="524" t="s">
        <v>32</v>
      </c>
      <c r="E5282" s="524" t="s">
        <v>1912</v>
      </c>
      <c r="F5282" s="528" t="s">
        <v>1646</v>
      </c>
      <c r="G5282" s="252">
        <f t="shared" si="123"/>
        <v>1.9</v>
      </c>
    </row>
    <row r="5283" spans="1:14" x14ac:dyDescent="0.3">
      <c r="A5283" s="524" t="s">
        <v>522</v>
      </c>
      <c r="B5283" s="524" t="s">
        <v>610</v>
      </c>
      <c r="C5283" s="525" t="s">
        <v>543</v>
      </c>
      <c r="D5283" s="524" t="s">
        <v>32</v>
      </c>
      <c r="E5283" s="524" t="s">
        <v>1912</v>
      </c>
      <c r="F5283" s="528" t="s">
        <v>1647</v>
      </c>
      <c r="G5283" s="252">
        <f t="shared" si="123"/>
        <v>2.44</v>
      </c>
    </row>
    <row r="5284" spans="1:14" x14ac:dyDescent="0.3">
      <c r="A5284" s="680" t="s">
        <v>1152</v>
      </c>
      <c r="B5284" s="681"/>
      <c r="C5284" s="681"/>
      <c r="D5284" s="681"/>
      <c r="E5284" s="681"/>
      <c r="F5284" s="682"/>
      <c r="G5284" s="252">
        <f>SUM(G5279:G5283)</f>
        <v>49.379999999999995</v>
      </c>
    </row>
    <row r="5285" spans="1:14" x14ac:dyDescent="0.3">
      <c r="A5285" s="683">
        <f>TRUNC(E5285*F5285,2)</f>
        <v>0</v>
      </c>
      <c r="B5285" s="684"/>
      <c r="C5285" s="684"/>
      <c r="D5285" s="684"/>
      <c r="E5285" s="684"/>
      <c r="F5285" s="684"/>
      <c r="G5285" s="685"/>
    </row>
    <row r="5286" spans="1:14" ht="28.8" x14ac:dyDescent="0.3">
      <c r="A5286" s="529" t="s">
        <v>756</v>
      </c>
      <c r="B5286" s="529" t="s">
        <v>666</v>
      </c>
      <c r="C5286" s="621" t="s">
        <v>476</v>
      </c>
      <c r="D5286" s="529" t="s">
        <v>397</v>
      </c>
      <c r="E5286" s="531"/>
      <c r="F5286" s="531">
        <v>80.08</v>
      </c>
      <c r="G5286" s="531">
        <f t="shared" si="123"/>
        <v>0</v>
      </c>
    </row>
    <row r="5287" spans="1:14" x14ac:dyDescent="0.3">
      <c r="A5287" s="524" t="s">
        <v>522</v>
      </c>
      <c r="B5287" s="524" t="s">
        <v>611</v>
      </c>
      <c r="C5287" s="525" t="s">
        <v>546</v>
      </c>
      <c r="D5287" s="524" t="s">
        <v>32</v>
      </c>
      <c r="E5287" s="622">
        <v>0.125</v>
      </c>
      <c r="F5287" s="528" t="s">
        <v>1646</v>
      </c>
      <c r="G5287" s="531">
        <f t="shared" si="123"/>
        <v>1.79</v>
      </c>
    </row>
    <row r="5288" spans="1:14" x14ac:dyDescent="0.3">
      <c r="A5288" s="524" t="s">
        <v>522</v>
      </c>
      <c r="B5288" s="524" t="s">
        <v>610</v>
      </c>
      <c r="C5288" s="525" t="s">
        <v>543</v>
      </c>
      <c r="D5288" s="524" t="s">
        <v>32</v>
      </c>
      <c r="E5288" s="622">
        <v>0.125</v>
      </c>
      <c r="F5288" s="528" t="s">
        <v>1647</v>
      </c>
      <c r="G5288" s="531">
        <f t="shared" si="123"/>
        <v>2.29</v>
      </c>
    </row>
    <row r="5289" spans="1:14" s="262" customFormat="1" ht="26.4" x14ac:dyDescent="0.3">
      <c r="A5289" s="623"/>
      <c r="B5289" s="596" t="s">
        <v>628</v>
      </c>
      <c r="C5289" s="592" t="s">
        <v>629</v>
      </c>
      <c r="D5289" s="596" t="s">
        <v>397</v>
      </c>
      <c r="E5289" s="622">
        <v>1</v>
      </c>
      <c r="F5289" s="624">
        <v>76</v>
      </c>
      <c r="G5289" s="531">
        <f t="shared" si="123"/>
        <v>76</v>
      </c>
      <c r="L5289" s="263"/>
      <c r="M5289" s="222"/>
      <c r="N5289" s="222"/>
    </row>
    <row r="5290" spans="1:14" x14ac:dyDescent="0.3">
      <c r="A5290" s="680" t="s">
        <v>1152</v>
      </c>
      <c r="B5290" s="681"/>
      <c r="C5290" s="681"/>
      <c r="D5290" s="681"/>
      <c r="E5290" s="681"/>
      <c r="F5290" s="682"/>
      <c r="G5290" s="252">
        <f>SUM(G5286:G5289)</f>
        <v>80.08</v>
      </c>
    </row>
    <row r="5291" spans="1:14" x14ac:dyDescent="0.3">
      <c r="A5291" s="683">
        <f>TRUNC(E5291*F5291,2)</f>
        <v>0</v>
      </c>
      <c r="B5291" s="684"/>
      <c r="C5291" s="684"/>
      <c r="D5291" s="684"/>
      <c r="E5291" s="684"/>
      <c r="F5291" s="684"/>
      <c r="G5291" s="685"/>
    </row>
    <row r="5292" spans="1:14" x14ac:dyDescent="0.3">
      <c r="A5292" s="529" t="s">
        <v>757</v>
      </c>
      <c r="B5292" s="529" t="s">
        <v>667</v>
      </c>
      <c r="C5292" s="530" t="s">
        <v>477</v>
      </c>
      <c r="D5292" s="529" t="s">
        <v>397</v>
      </c>
      <c r="E5292" s="252"/>
      <c r="F5292" s="531">
        <v>392.25</v>
      </c>
      <c r="G5292" s="252">
        <f t="shared" si="123"/>
        <v>0</v>
      </c>
    </row>
    <row r="5293" spans="1:14" x14ac:dyDescent="0.3">
      <c r="A5293" s="524" t="s">
        <v>522</v>
      </c>
      <c r="B5293" s="524" t="s">
        <v>611</v>
      </c>
      <c r="C5293" s="625" t="s">
        <v>546</v>
      </c>
      <c r="D5293" s="524" t="s">
        <v>32</v>
      </c>
      <c r="E5293" s="626">
        <v>0.4</v>
      </c>
      <c r="F5293" s="528" t="s">
        <v>1646</v>
      </c>
      <c r="G5293" s="252">
        <f t="shared" si="123"/>
        <v>5.73</v>
      </c>
    </row>
    <row r="5294" spans="1:14" x14ac:dyDescent="0.3">
      <c r="A5294" s="524" t="s">
        <v>522</v>
      </c>
      <c r="B5294" s="524" t="s">
        <v>610</v>
      </c>
      <c r="C5294" s="625" t="s">
        <v>543</v>
      </c>
      <c r="D5294" s="524" t="s">
        <v>32</v>
      </c>
      <c r="E5294" s="626">
        <v>0.4</v>
      </c>
      <c r="F5294" s="528" t="s">
        <v>1647</v>
      </c>
      <c r="G5294" s="252">
        <f t="shared" si="123"/>
        <v>7.35</v>
      </c>
    </row>
    <row r="5295" spans="1:14" x14ac:dyDescent="0.3">
      <c r="A5295" s="529"/>
      <c r="B5295" s="627" t="s">
        <v>631</v>
      </c>
      <c r="C5295" s="168" t="s">
        <v>477</v>
      </c>
      <c r="D5295" s="593" t="s">
        <v>397</v>
      </c>
      <c r="E5295" s="628">
        <v>1</v>
      </c>
      <c r="F5295" s="629">
        <v>379.17</v>
      </c>
      <c r="G5295" s="252">
        <f t="shared" si="123"/>
        <v>379.17</v>
      </c>
    </row>
    <row r="5296" spans="1:14" x14ac:dyDescent="0.3">
      <c r="A5296" s="680" t="s">
        <v>1152</v>
      </c>
      <c r="B5296" s="681"/>
      <c r="C5296" s="681"/>
      <c r="D5296" s="681"/>
      <c r="E5296" s="681"/>
      <c r="F5296" s="682"/>
      <c r="G5296" s="252">
        <f>SUM(G5292:G5295)</f>
        <v>392.25</v>
      </c>
    </row>
    <row r="5297" spans="1:10" x14ac:dyDescent="0.3">
      <c r="A5297" s="683">
        <f>TRUNC(E5297*F5297,2)</f>
        <v>0</v>
      </c>
      <c r="B5297" s="684"/>
      <c r="C5297" s="684"/>
      <c r="D5297" s="684"/>
      <c r="E5297" s="684"/>
      <c r="F5297" s="684"/>
      <c r="G5297" s="685"/>
    </row>
    <row r="5298" spans="1:10" ht="28.8" x14ac:dyDescent="0.3">
      <c r="A5298" s="529" t="s">
        <v>758</v>
      </c>
      <c r="B5298" s="529">
        <v>91944</v>
      </c>
      <c r="C5298" s="530" t="s">
        <v>151</v>
      </c>
      <c r="D5298" s="529" t="s">
        <v>397</v>
      </c>
      <c r="E5298" s="252"/>
      <c r="F5298" s="531">
        <v>9.06</v>
      </c>
      <c r="G5298" s="252">
        <f t="shared" si="123"/>
        <v>0</v>
      </c>
      <c r="I5298">
        <v>9.06</v>
      </c>
      <c r="J5298" s="211">
        <f>F5298-I5298</f>
        <v>0</v>
      </c>
    </row>
    <row r="5299" spans="1:10" x14ac:dyDescent="0.3">
      <c r="A5299" s="524" t="s">
        <v>508</v>
      </c>
      <c r="B5299" s="524" t="s">
        <v>1923</v>
      </c>
      <c r="C5299" s="525" t="s">
        <v>1924</v>
      </c>
      <c r="D5299" s="524" t="s">
        <v>397</v>
      </c>
      <c r="E5299" s="524" t="s">
        <v>1122</v>
      </c>
      <c r="F5299" s="528">
        <v>3.13</v>
      </c>
      <c r="G5299" s="252">
        <f t="shared" si="123"/>
        <v>3.13</v>
      </c>
      <c r="J5299">
        <v>3.37</v>
      </c>
    </row>
    <row r="5300" spans="1:10" x14ac:dyDescent="0.3">
      <c r="A5300" s="524" t="s">
        <v>522</v>
      </c>
      <c r="B5300" s="524" t="s">
        <v>611</v>
      </c>
      <c r="C5300" s="525" t="s">
        <v>546</v>
      </c>
      <c r="D5300" s="524" t="s">
        <v>32</v>
      </c>
      <c r="E5300" s="524" t="s">
        <v>1925</v>
      </c>
      <c r="F5300" s="528" t="s">
        <v>1646</v>
      </c>
      <c r="G5300" s="252">
        <f t="shared" si="123"/>
        <v>2.37</v>
      </c>
      <c r="J5300" s="211">
        <f>SUM(J5298-J5299)</f>
        <v>-3.37</v>
      </c>
    </row>
    <row r="5301" spans="1:10" x14ac:dyDescent="0.3">
      <c r="A5301" s="524" t="s">
        <v>522</v>
      </c>
      <c r="B5301" s="524" t="s">
        <v>610</v>
      </c>
      <c r="C5301" s="525" t="s">
        <v>543</v>
      </c>
      <c r="D5301" s="524" t="s">
        <v>32</v>
      </c>
      <c r="E5301" s="524" t="s">
        <v>1925</v>
      </c>
      <c r="F5301" s="528" t="s">
        <v>1647</v>
      </c>
      <c r="G5301" s="252">
        <f t="shared" si="123"/>
        <v>3.05</v>
      </c>
    </row>
    <row r="5302" spans="1:10" ht="28.8" x14ac:dyDescent="0.3">
      <c r="A5302" s="524" t="s">
        <v>522</v>
      </c>
      <c r="B5302" s="524" t="s">
        <v>1685</v>
      </c>
      <c r="C5302" s="525" t="s">
        <v>1686</v>
      </c>
      <c r="D5302" s="524" t="s">
        <v>41</v>
      </c>
      <c r="E5302" s="524" t="s">
        <v>1926</v>
      </c>
      <c r="F5302" s="528" t="s">
        <v>1688</v>
      </c>
      <c r="G5302" s="252">
        <f t="shared" si="123"/>
        <v>0.51</v>
      </c>
    </row>
    <row r="5303" spans="1:10" x14ac:dyDescent="0.3">
      <c r="A5303" s="680" t="s">
        <v>1152</v>
      </c>
      <c r="B5303" s="681"/>
      <c r="C5303" s="681"/>
      <c r="D5303" s="681"/>
      <c r="E5303" s="681"/>
      <c r="F5303" s="682"/>
      <c r="G5303" s="527">
        <f>SUM(G5299:G5302)</f>
        <v>9.06</v>
      </c>
    </row>
    <row r="5304" spans="1:10" x14ac:dyDescent="0.3">
      <c r="A5304" s="683">
        <f>TRUNC(E5304*F5304,2)</f>
        <v>0</v>
      </c>
      <c r="B5304" s="684"/>
      <c r="C5304" s="684"/>
      <c r="D5304" s="684"/>
      <c r="E5304" s="684"/>
      <c r="F5304" s="684"/>
      <c r="G5304" s="685"/>
    </row>
    <row r="5305" spans="1:10" ht="43.2" x14ac:dyDescent="0.3">
      <c r="A5305" s="529" t="s">
        <v>759</v>
      </c>
      <c r="B5305" s="529">
        <v>83463</v>
      </c>
      <c r="C5305" s="530" t="s">
        <v>152</v>
      </c>
      <c r="D5305" s="529" t="s">
        <v>397</v>
      </c>
      <c r="E5305" s="252"/>
      <c r="F5305" s="531">
        <v>356.52</v>
      </c>
      <c r="G5305" s="252">
        <f t="shared" si="123"/>
        <v>0</v>
      </c>
    </row>
    <row r="5306" spans="1:10" ht="28.8" x14ac:dyDescent="0.3">
      <c r="A5306" s="524" t="s">
        <v>508</v>
      </c>
      <c r="B5306" s="524" t="s">
        <v>1927</v>
      </c>
      <c r="C5306" s="525" t="s">
        <v>1928</v>
      </c>
      <c r="D5306" s="524" t="s">
        <v>397</v>
      </c>
      <c r="E5306" s="524" t="s">
        <v>1122</v>
      </c>
      <c r="F5306" s="528" t="s">
        <v>1929</v>
      </c>
      <c r="G5306" s="252">
        <f t="shared" si="123"/>
        <v>291.10000000000002</v>
      </c>
    </row>
    <row r="5307" spans="1:10" x14ac:dyDescent="0.3">
      <c r="A5307" s="524" t="s">
        <v>522</v>
      </c>
      <c r="B5307" s="524" t="s">
        <v>611</v>
      </c>
      <c r="C5307" s="525" t="s">
        <v>546</v>
      </c>
      <c r="D5307" s="524" t="s">
        <v>32</v>
      </c>
      <c r="E5307" s="524" t="s">
        <v>1523</v>
      </c>
      <c r="F5307" s="528" t="s">
        <v>1646</v>
      </c>
      <c r="G5307" s="252">
        <f t="shared" si="123"/>
        <v>28.66</v>
      </c>
    </row>
    <row r="5308" spans="1:10" x14ac:dyDescent="0.3">
      <c r="A5308" s="524" t="s">
        <v>522</v>
      </c>
      <c r="B5308" s="524" t="s">
        <v>610</v>
      </c>
      <c r="C5308" s="525" t="s">
        <v>543</v>
      </c>
      <c r="D5308" s="524" t="s">
        <v>32</v>
      </c>
      <c r="E5308" s="524" t="s">
        <v>1523</v>
      </c>
      <c r="F5308" s="528" t="s">
        <v>1647</v>
      </c>
      <c r="G5308" s="252">
        <f t="shared" si="123"/>
        <v>36.76</v>
      </c>
    </row>
    <row r="5309" spans="1:10" x14ac:dyDescent="0.3">
      <c r="A5309" s="680" t="s">
        <v>1152</v>
      </c>
      <c r="B5309" s="681"/>
      <c r="C5309" s="681"/>
      <c r="D5309" s="681"/>
      <c r="E5309" s="681"/>
      <c r="F5309" s="682"/>
      <c r="G5309" s="527">
        <f>SUM(G5305:G5308)</f>
        <v>356.52000000000004</v>
      </c>
    </row>
    <row r="5310" spans="1:10" x14ac:dyDescent="0.3">
      <c r="A5310" s="683">
        <f>TRUNC(E5310*F5310,2)</f>
        <v>0</v>
      </c>
      <c r="B5310" s="684"/>
      <c r="C5310" s="684"/>
      <c r="D5310" s="684"/>
      <c r="E5310" s="684"/>
      <c r="F5310" s="684"/>
      <c r="G5310" s="685"/>
    </row>
    <row r="5311" spans="1:10" ht="43.2" x14ac:dyDescent="0.3">
      <c r="A5311" s="529" t="s">
        <v>760</v>
      </c>
      <c r="B5311" s="529" t="s">
        <v>478</v>
      </c>
      <c r="C5311" s="530" t="s">
        <v>479</v>
      </c>
      <c r="D5311" s="529" t="s">
        <v>397</v>
      </c>
      <c r="E5311" s="252"/>
      <c r="F5311" s="531">
        <v>526.85</v>
      </c>
      <c r="G5311" s="252">
        <f t="shared" si="123"/>
        <v>0</v>
      </c>
    </row>
    <row r="5312" spans="1:10" ht="28.8" x14ac:dyDescent="0.3">
      <c r="A5312" s="524" t="s">
        <v>508</v>
      </c>
      <c r="B5312" s="524" t="s">
        <v>2390</v>
      </c>
      <c r="C5312" s="525" t="s">
        <v>2391</v>
      </c>
      <c r="D5312" s="524" t="s">
        <v>397</v>
      </c>
      <c r="E5312" s="524" t="s">
        <v>1122</v>
      </c>
      <c r="F5312" s="528" t="s">
        <v>2392</v>
      </c>
      <c r="G5312" s="252">
        <f t="shared" si="123"/>
        <v>428.72</v>
      </c>
    </row>
    <row r="5313" spans="1:7" x14ac:dyDescent="0.3">
      <c r="A5313" s="524" t="s">
        <v>522</v>
      </c>
      <c r="B5313" s="524" t="s">
        <v>611</v>
      </c>
      <c r="C5313" s="525" t="s">
        <v>546</v>
      </c>
      <c r="D5313" s="524" t="s">
        <v>32</v>
      </c>
      <c r="E5313" s="524" t="s">
        <v>1915</v>
      </c>
      <c r="F5313" s="528" t="s">
        <v>1646</v>
      </c>
      <c r="G5313" s="252">
        <f t="shared" si="123"/>
        <v>42.99</v>
      </c>
    </row>
    <row r="5314" spans="1:7" x14ac:dyDescent="0.3">
      <c r="A5314" s="524" t="s">
        <v>522</v>
      </c>
      <c r="B5314" s="524" t="s">
        <v>610</v>
      </c>
      <c r="C5314" s="525" t="s">
        <v>543</v>
      </c>
      <c r="D5314" s="524" t="s">
        <v>32</v>
      </c>
      <c r="E5314" s="524" t="s">
        <v>1915</v>
      </c>
      <c r="F5314" s="528" t="s">
        <v>1647</v>
      </c>
      <c r="G5314" s="252">
        <f t="shared" si="123"/>
        <v>55.14</v>
      </c>
    </row>
    <row r="5315" spans="1:7" x14ac:dyDescent="0.3">
      <c r="A5315" s="680" t="s">
        <v>1152</v>
      </c>
      <c r="B5315" s="681"/>
      <c r="C5315" s="681"/>
      <c r="D5315" s="681"/>
      <c r="E5315" s="681"/>
      <c r="F5315" s="682"/>
      <c r="G5315" s="527">
        <f>SUM(G5311:G5314)</f>
        <v>526.85</v>
      </c>
    </row>
    <row r="5316" spans="1:7" x14ac:dyDescent="0.3">
      <c r="A5316" s="683">
        <f>TRUNC(E5316*F5316,2)</f>
        <v>0</v>
      </c>
      <c r="B5316" s="684"/>
      <c r="C5316" s="684"/>
      <c r="D5316" s="684"/>
      <c r="E5316" s="684"/>
      <c r="F5316" s="684"/>
      <c r="G5316" s="685"/>
    </row>
    <row r="5317" spans="1:7" ht="28.8" x14ac:dyDescent="0.3">
      <c r="A5317" s="529" t="s">
        <v>761</v>
      </c>
      <c r="B5317" s="529">
        <v>91941</v>
      </c>
      <c r="C5317" s="530" t="s">
        <v>150</v>
      </c>
      <c r="D5317" s="529" t="s">
        <v>397</v>
      </c>
      <c r="E5317" s="252"/>
      <c r="F5317" s="531">
        <v>6.8</v>
      </c>
      <c r="G5317" s="252">
        <f t="shared" si="123"/>
        <v>0</v>
      </c>
    </row>
    <row r="5318" spans="1:7" x14ac:dyDescent="0.3">
      <c r="A5318" s="524" t="s">
        <v>508</v>
      </c>
      <c r="B5318" s="524" t="s">
        <v>1681</v>
      </c>
      <c r="C5318" s="525" t="s">
        <v>1682</v>
      </c>
      <c r="D5318" s="524" t="s">
        <v>397</v>
      </c>
      <c r="E5318" s="524" t="s">
        <v>1122</v>
      </c>
      <c r="F5318" s="526" t="s">
        <v>1683</v>
      </c>
      <c r="G5318" s="252">
        <f t="shared" si="123"/>
        <v>1.69</v>
      </c>
    </row>
    <row r="5319" spans="1:7" x14ac:dyDescent="0.3">
      <c r="A5319" s="524" t="s">
        <v>522</v>
      </c>
      <c r="B5319" s="524" t="s">
        <v>611</v>
      </c>
      <c r="C5319" s="525" t="s">
        <v>546</v>
      </c>
      <c r="D5319" s="524" t="s">
        <v>32</v>
      </c>
      <c r="E5319" s="524" t="s">
        <v>1684</v>
      </c>
      <c r="F5319" s="526" t="s">
        <v>1646</v>
      </c>
      <c r="G5319" s="252">
        <f t="shared" si="123"/>
        <v>2.0699999999999998</v>
      </c>
    </row>
    <row r="5320" spans="1:7" x14ac:dyDescent="0.3">
      <c r="A5320" s="524" t="s">
        <v>522</v>
      </c>
      <c r="B5320" s="524" t="s">
        <v>610</v>
      </c>
      <c r="C5320" s="525" t="s">
        <v>543</v>
      </c>
      <c r="D5320" s="524" t="s">
        <v>32</v>
      </c>
      <c r="E5320" s="524" t="s">
        <v>1684</v>
      </c>
      <c r="F5320" s="526" t="s">
        <v>1647</v>
      </c>
      <c r="G5320" s="252">
        <f t="shared" si="123"/>
        <v>2.66</v>
      </c>
    </row>
    <row r="5321" spans="1:7" ht="28.8" x14ac:dyDescent="0.3">
      <c r="A5321" s="524" t="s">
        <v>522</v>
      </c>
      <c r="B5321" s="524" t="s">
        <v>1685</v>
      </c>
      <c r="C5321" s="525" t="s">
        <v>1686</v>
      </c>
      <c r="D5321" s="524" t="s">
        <v>41</v>
      </c>
      <c r="E5321" s="524" t="s">
        <v>1687</v>
      </c>
      <c r="F5321" s="526" t="s">
        <v>1688</v>
      </c>
      <c r="G5321" s="252">
        <f t="shared" si="123"/>
        <v>0.38</v>
      </c>
    </row>
    <row r="5322" spans="1:7" x14ac:dyDescent="0.3">
      <c r="A5322" s="680" t="s">
        <v>1152</v>
      </c>
      <c r="B5322" s="681"/>
      <c r="C5322" s="681"/>
      <c r="D5322" s="681"/>
      <c r="E5322" s="681"/>
      <c r="F5322" s="682"/>
      <c r="G5322" s="527">
        <f>SUM(G5318:G5321)</f>
        <v>6.8</v>
      </c>
    </row>
    <row r="5323" spans="1:7" x14ac:dyDescent="0.3">
      <c r="A5323" s="683">
        <f>TRUNC(E5323*F5323,2)</f>
        <v>0</v>
      </c>
      <c r="B5323" s="684"/>
      <c r="C5323" s="684"/>
      <c r="D5323" s="684"/>
      <c r="E5323" s="684"/>
      <c r="F5323" s="684"/>
      <c r="G5323" s="685"/>
    </row>
    <row r="5324" spans="1:7" ht="28.8" x14ac:dyDescent="0.3">
      <c r="A5324" s="529" t="s">
        <v>762</v>
      </c>
      <c r="B5324" s="529">
        <v>98111</v>
      </c>
      <c r="C5324" s="530" t="s">
        <v>480</v>
      </c>
      <c r="D5324" s="529" t="s">
        <v>397</v>
      </c>
      <c r="E5324" s="252"/>
      <c r="F5324" s="531">
        <v>19.899999999999999</v>
      </c>
      <c r="G5324" s="252">
        <f t="shared" si="123"/>
        <v>0</v>
      </c>
    </row>
    <row r="5325" spans="1:7" ht="28.8" x14ac:dyDescent="0.3">
      <c r="A5325" s="524" t="s">
        <v>508</v>
      </c>
      <c r="B5325" s="524" t="s">
        <v>2393</v>
      </c>
      <c r="C5325" s="525" t="s">
        <v>2394</v>
      </c>
      <c r="D5325" s="524" t="s">
        <v>397</v>
      </c>
      <c r="E5325" s="524" t="s">
        <v>1122</v>
      </c>
      <c r="F5325" s="528" t="s">
        <v>2395</v>
      </c>
      <c r="G5325" s="252">
        <f t="shared" si="123"/>
        <v>12.33</v>
      </c>
    </row>
    <row r="5326" spans="1:7" x14ac:dyDescent="0.3">
      <c r="A5326" s="524" t="s">
        <v>522</v>
      </c>
      <c r="B5326" s="524" t="s">
        <v>1362</v>
      </c>
      <c r="C5326" s="525" t="s">
        <v>1363</v>
      </c>
      <c r="D5326" s="524" t="s">
        <v>32</v>
      </c>
      <c r="E5326" s="524" t="s">
        <v>2396</v>
      </c>
      <c r="F5326" s="528" t="s">
        <v>1365</v>
      </c>
      <c r="G5326" s="252">
        <f t="shared" si="123"/>
        <v>3</v>
      </c>
    </row>
    <row r="5327" spans="1:7" x14ac:dyDescent="0.3">
      <c r="A5327" s="524" t="s">
        <v>522</v>
      </c>
      <c r="B5327" s="524" t="s">
        <v>1359</v>
      </c>
      <c r="C5327" s="525" t="s">
        <v>801</v>
      </c>
      <c r="D5327" s="524" t="s">
        <v>32</v>
      </c>
      <c r="E5327" s="524" t="s">
        <v>2396</v>
      </c>
      <c r="F5327" s="528" t="s">
        <v>1361</v>
      </c>
      <c r="G5327" s="252">
        <f t="shared" si="123"/>
        <v>2.4300000000000002</v>
      </c>
    </row>
    <row r="5328" spans="1:7" ht="43.2" x14ac:dyDescent="0.3">
      <c r="A5328" s="524" t="s">
        <v>522</v>
      </c>
      <c r="B5328" s="524" t="s">
        <v>2397</v>
      </c>
      <c r="C5328" s="525" t="s">
        <v>2398</v>
      </c>
      <c r="D5328" s="524" t="s">
        <v>41</v>
      </c>
      <c r="E5328" s="524" t="s">
        <v>2399</v>
      </c>
      <c r="F5328" s="528" t="s">
        <v>2400</v>
      </c>
      <c r="G5328" s="252">
        <f t="shared" si="123"/>
        <v>2.14</v>
      </c>
    </row>
    <row r="5329" spans="1:7" x14ac:dyDescent="0.3">
      <c r="A5329" s="680" t="s">
        <v>1152</v>
      </c>
      <c r="B5329" s="681"/>
      <c r="C5329" s="681"/>
      <c r="D5329" s="681"/>
      <c r="E5329" s="681"/>
      <c r="F5329" s="682"/>
      <c r="G5329" s="527">
        <f>SUM(G5325:G5328)</f>
        <v>19.900000000000002</v>
      </c>
    </row>
    <row r="5330" spans="1:7" x14ac:dyDescent="0.3">
      <c r="A5330" s="683">
        <f>TRUNC(E5330*F5330,2)</f>
        <v>0</v>
      </c>
      <c r="B5330" s="684"/>
      <c r="C5330" s="684"/>
      <c r="D5330" s="684"/>
      <c r="E5330" s="684"/>
      <c r="F5330" s="684"/>
      <c r="G5330" s="685"/>
    </row>
    <row r="5331" spans="1:7" ht="28.8" x14ac:dyDescent="0.3">
      <c r="A5331" s="529" t="s">
        <v>763</v>
      </c>
      <c r="B5331" s="529">
        <v>83399</v>
      </c>
      <c r="C5331" s="530" t="s">
        <v>481</v>
      </c>
      <c r="D5331" s="529" t="s">
        <v>397</v>
      </c>
      <c r="E5331" s="252"/>
      <c r="F5331" s="531">
        <v>31.75</v>
      </c>
      <c r="G5331" s="252">
        <f t="shared" si="123"/>
        <v>0</v>
      </c>
    </row>
    <row r="5332" spans="1:7" x14ac:dyDescent="0.3">
      <c r="A5332" s="524" t="s">
        <v>508</v>
      </c>
      <c r="B5332" s="524" t="s">
        <v>2401</v>
      </c>
      <c r="C5332" s="525" t="s">
        <v>2402</v>
      </c>
      <c r="D5332" s="524" t="s">
        <v>397</v>
      </c>
      <c r="E5332" s="524" t="s">
        <v>1122</v>
      </c>
      <c r="F5332" s="528" t="s">
        <v>2403</v>
      </c>
      <c r="G5332" s="252">
        <f t="shared" si="123"/>
        <v>20.3</v>
      </c>
    </row>
    <row r="5333" spans="1:7" x14ac:dyDescent="0.3">
      <c r="A5333" s="524" t="s">
        <v>522</v>
      </c>
      <c r="B5333" s="524" t="s">
        <v>610</v>
      </c>
      <c r="C5333" s="525" t="s">
        <v>543</v>
      </c>
      <c r="D5333" s="524" t="s">
        <v>32</v>
      </c>
      <c r="E5333" s="524" t="s">
        <v>1634</v>
      </c>
      <c r="F5333" s="528" t="s">
        <v>1647</v>
      </c>
      <c r="G5333" s="252">
        <f t="shared" si="123"/>
        <v>6.43</v>
      </c>
    </row>
    <row r="5334" spans="1:7" x14ac:dyDescent="0.3">
      <c r="A5334" s="524" t="s">
        <v>522</v>
      </c>
      <c r="B5334" s="524" t="s">
        <v>1359</v>
      </c>
      <c r="C5334" s="525" t="s">
        <v>801</v>
      </c>
      <c r="D5334" s="524" t="s">
        <v>32</v>
      </c>
      <c r="E5334" s="524" t="s">
        <v>1634</v>
      </c>
      <c r="F5334" s="528" t="s">
        <v>1361</v>
      </c>
      <c r="G5334" s="252">
        <f t="shared" si="123"/>
        <v>5.0199999999999996</v>
      </c>
    </row>
    <row r="5335" spans="1:7" x14ac:dyDescent="0.3">
      <c r="A5335" s="680" t="s">
        <v>1152</v>
      </c>
      <c r="B5335" s="681"/>
      <c r="C5335" s="681"/>
      <c r="D5335" s="681"/>
      <c r="E5335" s="681"/>
      <c r="F5335" s="682"/>
      <c r="G5335" s="527">
        <f>SUM(G5331:G5334)</f>
        <v>31.75</v>
      </c>
    </row>
    <row r="5336" spans="1:7" x14ac:dyDescent="0.3">
      <c r="A5336" s="683">
        <f>TRUNC(E5336*F5336,2)</f>
        <v>0</v>
      </c>
      <c r="B5336" s="684"/>
      <c r="C5336" s="684"/>
      <c r="D5336" s="684"/>
      <c r="E5336" s="684"/>
      <c r="F5336" s="684"/>
      <c r="G5336" s="685"/>
    </row>
    <row r="5337" spans="1:7" x14ac:dyDescent="0.3">
      <c r="A5337" s="529" t="s">
        <v>764</v>
      </c>
      <c r="B5337" s="529"/>
      <c r="C5337" s="530" t="s">
        <v>161</v>
      </c>
      <c r="D5337" s="529"/>
      <c r="E5337" s="252"/>
      <c r="F5337" s="531"/>
      <c r="G5337" s="252">
        <f t="shared" si="123"/>
        <v>0</v>
      </c>
    </row>
    <row r="5338" spans="1:7" ht="28.8" x14ac:dyDescent="0.3">
      <c r="A5338" s="529" t="s">
        <v>765</v>
      </c>
      <c r="B5338" s="529">
        <v>91944</v>
      </c>
      <c r="C5338" s="530" t="s">
        <v>151</v>
      </c>
      <c r="D5338" s="529" t="s">
        <v>44</v>
      </c>
      <c r="E5338" s="252"/>
      <c r="F5338" s="531">
        <v>9.06</v>
      </c>
      <c r="G5338" s="252">
        <f t="shared" si="123"/>
        <v>0</v>
      </c>
    </row>
    <row r="5339" spans="1:7" x14ac:dyDescent="0.3">
      <c r="A5339" s="524" t="s">
        <v>508</v>
      </c>
      <c r="B5339" s="524" t="s">
        <v>1923</v>
      </c>
      <c r="C5339" s="525" t="s">
        <v>1924</v>
      </c>
      <c r="D5339" s="524" t="s">
        <v>397</v>
      </c>
      <c r="E5339" s="524" t="s">
        <v>1122</v>
      </c>
      <c r="F5339" s="528">
        <v>3.13</v>
      </c>
      <c r="G5339" s="252">
        <f t="shared" ref="G5339:G5342" si="124">TRUNC(E5339*F5339,2)</f>
        <v>3.13</v>
      </c>
    </row>
    <row r="5340" spans="1:7" x14ac:dyDescent="0.3">
      <c r="A5340" s="524" t="s">
        <v>522</v>
      </c>
      <c r="B5340" s="524" t="s">
        <v>611</v>
      </c>
      <c r="C5340" s="525" t="s">
        <v>546</v>
      </c>
      <c r="D5340" s="524" t="s">
        <v>32</v>
      </c>
      <c r="E5340" s="524" t="s">
        <v>1925</v>
      </c>
      <c r="F5340" s="528" t="s">
        <v>1646</v>
      </c>
      <c r="G5340" s="252">
        <f t="shared" si="124"/>
        <v>2.37</v>
      </c>
    </row>
    <row r="5341" spans="1:7" x14ac:dyDescent="0.3">
      <c r="A5341" s="524" t="s">
        <v>522</v>
      </c>
      <c r="B5341" s="524" t="s">
        <v>610</v>
      </c>
      <c r="C5341" s="525" t="s">
        <v>543</v>
      </c>
      <c r="D5341" s="524" t="s">
        <v>32</v>
      </c>
      <c r="E5341" s="524" t="s">
        <v>1925</v>
      </c>
      <c r="F5341" s="528" t="s">
        <v>1647</v>
      </c>
      <c r="G5341" s="252">
        <f t="shared" si="124"/>
        <v>3.05</v>
      </c>
    </row>
    <row r="5342" spans="1:7" ht="28.8" x14ac:dyDescent="0.3">
      <c r="A5342" s="524" t="s">
        <v>522</v>
      </c>
      <c r="B5342" s="524" t="s">
        <v>1685</v>
      </c>
      <c r="C5342" s="525" t="s">
        <v>1686</v>
      </c>
      <c r="D5342" s="524" t="s">
        <v>41</v>
      </c>
      <c r="E5342" s="524" t="s">
        <v>1926</v>
      </c>
      <c r="F5342" s="528" t="s">
        <v>1688</v>
      </c>
      <c r="G5342" s="252">
        <f t="shared" si="124"/>
        <v>0.51</v>
      </c>
    </row>
    <row r="5343" spans="1:7" x14ac:dyDescent="0.3">
      <c r="A5343" s="680" t="s">
        <v>1152</v>
      </c>
      <c r="B5343" s="681"/>
      <c r="C5343" s="681"/>
      <c r="D5343" s="681"/>
      <c r="E5343" s="681"/>
      <c r="F5343" s="682"/>
      <c r="G5343" s="527">
        <f>SUM(G5339:G5342)</f>
        <v>9.06</v>
      </c>
    </row>
    <row r="5344" spans="1:7" x14ac:dyDescent="0.3">
      <c r="A5344" s="683">
        <f>TRUNC(E5344*F5344,2)</f>
        <v>0</v>
      </c>
      <c r="B5344" s="684"/>
      <c r="C5344" s="684"/>
      <c r="D5344" s="684"/>
      <c r="E5344" s="684"/>
      <c r="F5344" s="684"/>
      <c r="G5344" s="685"/>
    </row>
    <row r="5345" spans="1:7" ht="28.8" x14ac:dyDescent="0.3">
      <c r="A5345" s="529" t="s">
        <v>766</v>
      </c>
      <c r="B5345" s="529">
        <v>90447</v>
      </c>
      <c r="C5345" s="530" t="s">
        <v>127</v>
      </c>
      <c r="D5345" s="529" t="s">
        <v>55</v>
      </c>
      <c r="E5345" s="252"/>
      <c r="F5345" s="531">
        <v>4.45</v>
      </c>
      <c r="G5345" s="252">
        <f t="shared" si="123"/>
        <v>0</v>
      </c>
    </row>
    <row r="5346" spans="1:7" x14ac:dyDescent="0.3">
      <c r="A5346" s="524" t="s">
        <v>522</v>
      </c>
      <c r="B5346" s="524" t="s">
        <v>611</v>
      </c>
      <c r="C5346" s="525" t="s">
        <v>546</v>
      </c>
      <c r="D5346" s="524" t="s">
        <v>32</v>
      </c>
      <c r="E5346" s="524" t="s">
        <v>1658</v>
      </c>
      <c r="F5346" s="528" t="s">
        <v>1646</v>
      </c>
      <c r="G5346" s="252">
        <f t="shared" si="123"/>
        <v>0.48</v>
      </c>
    </row>
    <row r="5347" spans="1:7" x14ac:dyDescent="0.3">
      <c r="A5347" s="524" t="s">
        <v>522</v>
      </c>
      <c r="B5347" s="524" t="s">
        <v>610</v>
      </c>
      <c r="C5347" s="525" t="s">
        <v>543</v>
      </c>
      <c r="D5347" s="524" t="s">
        <v>32</v>
      </c>
      <c r="E5347" s="524" t="s">
        <v>1659</v>
      </c>
      <c r="F5347" s="528" t="s">
        <v>1647</v>
      </c>
      <c r="G5347" s="252">
        <f t="shared" si="123"/>
        <v>3.97</v>
      </c>
    </row>
    <row r="5348" spans="1:7" x14ac:dyDescent="0.3">
      <c r="A5348" s="680" t="s">
        <v>1152</v>
      </c>
      <c r="B5348" s="681"/>
      <c r="C5348" s="681"/>
      <c r="D5348" s="681"/>
      <c r="E5348" s="681"/>
      <c r="F5348" s="682"/>
      <c r="G5348" s="527">
        <f>SUM(G5345:G5347)</f>
        <v>4.45</v>
      </c>
    </row>
    <row r="5349" spans="1:7" x14ac:dyDescent="0.3">
      <c r="A5349" s="683">
        <f>TRUNC(E5349*F5349,2)</f>
        <v>0</v>
      </c>
      <c r="B5349" s="684"/>
      <c r="C5349" s="684"/>
      <c r="D5349" s="684"/>
      <c r="E5349" s="684"/>
      <c r="F5349" s="684"/>
      <c r="G5349" s="685"/>
    </row>
    <row r="5350" spans="1:7" ht="28.8" x14ac:dyDescent="0.3">
      <c r="A5350" s="529" t="s">
        <v>767</v>
      </c>
      <c r="B5350" s="529">
        <v>91836</v>
      </c>
      <c r="C5350" s="530" t="s">
        <v>130</v>
      </c>
      <c r="D5350" s="529" t="s">
        <v>55</v>
      </c>
      <c r="E5350" s="252"/>
      <c r="F5350" s="531">
        <v>7.55</v>
      </c>
      <c r="G5350" s="252">
        <f t="shared" si="123"/>
        <v>0</v>
      </c>
    </row>
    <row r="5351" spans="1:7" x14ac:dyDescent="0.3">
      <c r="A5351" s="524" t="s">
        <v>508</v>
      </c>
      <c r="B5351" s="524" t="s">
        <v>1660</v>
      </c>
      <c r="C5351" s="525" t="s">
        <v>1661</v>
      </c>
      <c r="D5351" s="524" t="s">
        <v>55</v>
      </c>
      <c r="E5351" s="524" t="s">
        <v>1662</v>
      </c>
      <c r="F5351" s="528" t="s">
        <v>1663</v>
      </c>
      <c r="G5351" s="252">
        <f t="shared" si="123"/>
        <v>2.46</v>
      </c>
    </row>
    <row r="5352" spans="1:7" x14ac:dyDescent="0.3">
      <c r="A5352" s="524" t="s">
        <v>522</v>
      </c>
      <c r="B5352" s="524" t="s">
        <v>611</v>
      </c>
      <c r="C5352" s="525" t="s">
        <v>546</v>
      </c>
      <c r="D5352" s="524" t="s">
        <v>32</v>
      </c>
      <c r="E5352" s="524" t="s">
        <v>1664</v>
      </c>
      <c r="F5352" s="528" t="s">
        <v>1646</v>
      </c>
      <c r="G5352" s="252">
        <f t="shared" si="123"/>
        <v>1.28</v>
      </c>
    </row>
    <row r="5353" spans="1:7" x14ac:dyDescent="0.3">
      <c r="A5353" s="524" t="s">
        <v>522</v>
      </c>
      <c r="B5353" s="524" t="s">
        <v>610</v>
      </c>
      <c r="C5353" s="525" t="s">
        <v>543</v>
      </c>
      <c r="D5353" s="524" t="s">
        <v>32</v>
      </c>
      <c r="E5353" s="524" t="s">
        <v>1664</v>
      </c>
      <c r="F5353" s="528" t="s">
        <v>1647</v>
      </c>
      <c r="G5353" s="252">
        <f t="shared" si="123"/>
        <v>1.65</v>
      </c>
    </row>
    <row r="5354" spans="1:7" ht="43.2" x14ac:dyDescent="0.3">
      <c r="A5354" s="524" t="s">
        <v>522</v>
      </c>
      <c r="B5354" s="524" t="s">
        <v>959</v>
      </c>
      <c r="C5354" s="525" t="s">
        <v>960</v>
      </c>
      <c r="D5354" s="524" t="s">
        <v>55</v>
      </c>
      <c r="E5354" s="524" t="s">
        <v>1122</v>
      </c>
      <c r="F5354" s="528" t="s">
        <v>962</v>
      </c>
      <c r="G5354" s="252">
        <f t="shared" si="123"/>
        <v>2.16</v>
      </c>
    </row>
    <row r="5355" spans="1:7" x14ac:dyDescent="0.3">
      <c r="A5355" s="680" t="s">
        <v>1152</v>
      </c>
      <c r="B5355" s="681"/>
      <c r="C5355" s="681"/>
      <c r="D5355" s="681"/>
      <c r="E5355" s="681"/>
      <c r="F5355" s="682"/>
      <c r="G5355" s="527">
        <f>SUM(G5351:G5354)</f>
        <v>7.5500000000000007</v>
      </c>
    </row>
    <row r="5356" spans="1:7" x14ac:dyDescent="0.3">
      <c r="A5356" s="683">
        <f>TRUNC(E5356*F5356,2)</f>
        <v>0</v>
      </c>
      <c r="B5356" s="684"/>
      <c r="C5356" s="684"/>
      <c r="D5356" s="684"/>
      <c r="E5356" s="684"/>
      <c r="F5356" s="684"/>
      <c r="G5356" s="685"/>
    </row>
    <row r="5357" spans="1:7" ht="28.8" x14ac:dyDescent="0.3">
      <c r="A5357" s="529" t="s">
        <v>768</v>
      </c>
      <c r="B5357" s="529">
        <v>91941</v>
      </c>
      <c r="C5357" s="530" t="s">
        <v>150</v>
      </c>
      <c r="D5357" s="529" t="s">
        <v>44</v>
      </c>
      <c r="E5357" s="252"/>
      <c r="F5357" s="531">
        <v>6.8</v>
      </c>
      <c r="G5357" s="252">
        <f t="shared" si="123"/>
        <v>0</v>
      </c>
    </row>
    <row r="5358" spans="1:7" x14ac:dyDescent="0.3">
      <c r="A5358" s="524" t="s">
        <v>508</v>
      </c>
      <c r="B5358" s="524" t="s">
        <v>1681</v>
      </c>
      <c r="C5358" s="525" t="s">
        <v>1682</v>
      </c>
      <c r="D5358" s="524" t="s">
        <v>397</v>
      </c>
      <c r="E5358" s="524" t="s">
        <v>1122</v>
      </c>
      <c r="F5358" s="526" t="s">
        <v>1683</v>
      </c>
      <c r="G5358" s="252">
        <f t="shared" si="123"/>
        <v>1.69</v>
      </c>
    </row>
    <row r="5359" spans="1:7" x14ac:dyDescent="0.3">
      <c r="A5359" s="524" t="s">
        <v>522</v>
      </c>
      <c r="B5359" s="524" t="s">
        <v>611</v>
      </c>
      <c r="C5359" s="525" t="s">
        <v>546</v>
      </c>
      <c r="D5359" s="524" t="s">
        <v>32</v>
      </c>
      <c r="E5359" s="524" t="s">
        <v>1684</v>
      </c>
      <c r="F5359" s="526" t="s">
        <v>1646</v>
      </c>
      <c r="G5359" s="252">
        <f t="shared" si="123"/>
        <v>2.0699999999999998</v>
      </c>
    </row>
    <row r="5360" spans="1:7" x14ac:dyDescent="0.3">
      <c r="A5360" s="524" t="s">
        <v>522</v>
      </c>
      <c r="B5360" s="524" t="s">
        <v>610</v>
      </c>
      <c r="C5360" s="525" t="s">
        <v>543</v>
      </c>
      <c r="D5360" s="524" t="s">
        <v>32</v>
      </c>
      <c r="E5360" s="524" t="s">
        <v>1684</v>
      </c>
      <c r="F5360" s="526" t="s">
        <v>1647</v>
      </c>
      <c r="G5360" s="252">
        <f t="shared" si="123"/>
        <v>2.66</v>
      </c>
    </row>
    <row r="5361" spans="1:7" ht="28.8" x14ac:dyDescent="0.3">
      <c r="A5361" s="524" t="s">
        <v>522</v>
      </c>
      <c r="B5361" s="524" t="s">
        <v>1685</v>
      </c>
      <c r="C5361" s="525" t="s">
        <v>1686</v>
      </c>
      <c r="D5361" s="524" t="s">
        <v>41</v>
      </c>
      <c r="E5361" s="524" t="s">
        <v>1687</v>
      </c>
      <c r="F5361" s="526" t="s">
        <v>1688</v>
      </c>
      <c r="G5361" s="252">
        <f t="shared" si="123"/>
        <v>0.38</v>
      </c>
    </row>
    <row r="5362" spans="1:7" x14ac:dyDescent="0.3">
      <c r="A5362" s="680" t="s">
        <v>1152</v>
      </c>
      <c r="B5362" s="681"/>
      <c r="C5362" s="681"/>
      <c r="D5362" s="681"/>
      <c r="E5362" s="681"/>
      <c r="F5362" s="682"/>
      <c r="G5362" s="527">
        <f>SUM(G5358:G5361)</f>
        <v>6.8</v>
      </c>
    </row>
    <row r="5363" spans="1:7" x14ac:dyDescent="0.3">
      <c r="A5363" s="683">
        <f>TRUNC(E5363*F5363,2)</f>
        <v>0</v>
      </c>
      <c r="B5363" s="684"/>
      <c r="C5363" s="684"/>
      <c r="D5363" s="684"/>
      <c r="E5363" s="684"/>
      <c r="F5363" s="684"/>
      <c r="G5363" s="685"/>
    </row>
    <row r="5364" spans="1:7" ht="28.8" x14ac:dyDescent="0.3">
      <c r="A5364" s="529" t="s">
        <v>769</v>
      </c>
      <c r="B5364" s="529">
        <v>98294</v>
      </c>
      <c r="C5364" s="530" t="s">
        <v>170</v>
      </c>
      <c r="D5364" s="529" t="s">
        <v>55</v>
      </c>
      <c r="E5364" s="252"/>
      <c r="F5364" s="531">
        <v>1.65</v>
      </c>
      <c r="G5364" s="252">
        <f t="shared" si="123"/>
        <v>0</v>
      </c>
    </row>
    <row r="5365" spans="1:7" x14ac:dyDescent="0.3">
      <c r="A5365" s="524" t="s">
        <v>508</v>
      </c>
      <c r="B5365" s="524" t="s">
        <v>1696</v>
      </c>
      <c r="C5365" s="525" t="s">
        <v>619</v>
      </c>
      <c r="D5365" s="524" t="s">
        <v>55</v>
      </c>
      <c r="E5365" s="524" t="s">
        <v>1697</v>
      </c>
      <c r="F5365" s="526" t="s">
        <v>1698</v>
      </c>
      <c r="G5365" s="252">
        <f t="shared" si="123"/>
        <v>1.1000000000000001</v>
      </c>
    </row>
    <row r="5366" spans="1:7" x14ac:dyDescent="0.3">
      <c r="A5366" s="524" t="s">
        <v>522</v>
      </c>
      <c r="B5366" s="524" t="s">
        <v>611</v>
      </c>
      <c r="C5366" s="525" t="s">
        <v>546</v>
      </c>
      <c r="D5366" s="524" t="s">
        <v>32</v>
      </c>
      <c r="E5366" s="524" t="s">
        <v>1699</v>
      </c>
      <c r="F5366" s="526" t="s">
        <v>1646</v>
      </c>
      <c r="G5366" s="252">
        <f t="shared" si="123"/>
        <v>0.24</v>
      </c>
    </row>
    <row r="5367" spans="1:7" x14ac:dyDescent="0.3">
      <c r="A5367" s="524" t="s">
        <v>522</v>
      </c>
      <c r="B5367" s="524" t="s">
        <v>610</v>
      </c>
      <c r="C5367" s="525" t="s">
        <v>543</v>
      </c>
      <c r="D5367" s="524" t="s">
        <v>32</v>
      </c>
      <c r="E5367" s="524" t="s">
        <v>1699</v>
      </c>
      <c r="F5367" s="526" t="s">
        <v>1647</v>
      </c>
      <c r="G5367" s="252">
        <f t="shared" si="123"/>
        <v>0.31</v>
      </c>
    </row>
    <row r="5368" spans="1:7" x14ac:dyDescent="0.3">
      <c r="A5368" s="680" t="s">
        <v>1152</v>
      </c>
      <c r="B5368" s="681"/>
      <c r="C5368" s="681"/>
      <c r="D5368" s="681"/>
      <c r="E5368" s="681"/>
      <c r="F5368" s="682"/>
      <c r="G5368" s="527">
        <f>SUM(G5364:G5367)</f>
        <v>1.6500000000000001</v>
      </c>
    </row>
    <row r="5369" spans="1:7" x14ac:dyDescent="0.3">
      <c r="A5369" s="529"/>
      <c r="B5369" s="529"/>
      <c r="C5369" s="530"/>
      <c r="D5369" s="529"/>
      <c r="E5369" s="252"/>
      <c r="F5369" s="531"/>
      <c r="G5369" s="252"/>
    </row>
    <row r="5370" spans="1:7" ht="28.8" x14ac:dyDescent="0.3">
      <c r="A5370" s="529" t="s">
        <v>770</v>
      </c>
      <c r="B5370" s="529">
        <v>98296</v>
      </c>
      <c r="C5370" s="530" t="s">
        <v>172</v>
      </c>
      <c r="D5370" s="529" t="s">
        <v>55</v>
      </c>
      <c r="E5370" s="252"/>
      <c r="F5370" s="531">
        <v>2.52</v>
      </c>
      <c r="G5370" s="252">
        <f t="shared" si="123"/>
        <v>0</v>
      </c>
    </row>
    <row r="5371" spans="1:7" x14ac:dyDescent="0.3">
      <c r="A5371" s="524" t="s">
        <v>508</v>
      </c>
      <c r="B5371" s="524" t="s">
        <v>1700</v>
      </c>
      <c r="C5371" s="525" t="s">
        <v>1701</v>
      </c>
      <c r="D5371" s="524" t="s">
        <v>55</v>
      </c>
      <c r="E5371" s="524" t="s">
        <v>1697</v>
      </c>
      <c r="F5371" s="526" t="s">
        <v>1702</v>
      </c>
      <c r="G5371" s="252">
        <f t="shared" si="123"/>
        <v>1.65</v>
      </c>
    </row>
    <row r="5372" spans="1:7" x14ac:dyDescent="0.3">
      <c r="A5372" s="524" t="s">
        <v>522</v>
      </c>
      <c r="B5372" s="524" t="s">
        <v>611</v>
      </c>
      <c r="C5372" s="525" t="s">
        <v>546</v>
      </c>
      <c r="D5372" s="524" t="s">
        <v>32</v>
      </c>
      <c r="E5372" s="524" t="s">
        <v>1151</v>
      </c>
      <c r="F5372" s="526" t="s">
        <v>1646</v>
      </c>
      <c r="G5372" s="252">
        <f t="shared" si="123"/>
        <v>0.38</v>
      </c>
    </row>
    <row r="5373" spans="1:7" x14ac:dyDescent="0.3">
      <c r="A5373" s="524" t="s">
        <v>522</v>
      </c>
      <c r="B5373" s="524" t="s">
        <v>610</v>
      </c>
      <c r="C5373" s="525" t="s">
        <v>543</v>
      </c>
      <c r="D5373" s="524" t="s">
        <v>32</v>
      </c>
      <c r="E5373" s="524" t="s">
        <v>1151</v>
      </c>
      <c r="F5373" s="526" t="s">
        <v>1647</v>
      </c>
      <c r="G5373" s="252">
        <f t="shared" si="123"/>
        <v>0.49</v>
      </c>
    </row>
    <row r="5374" spans="1:7" x14ac:dyDescent="0.3">
      <c r="A5374" s="680" t="s">
        <v>1152</v>
      </c>
      <c r="B5374" s="681"/>
      <c r="C5374" s="681"/>
      <c r="D5374" s="681"/>
      <c r="E5374" s="681"/>
      <c r="F5374" s="682"/>
      <c r="G5374" s="527">
        <f>SUM(G5370:G5373)</f>
        <v>2.5199999999999996</v>
      </c>
    </row>
    <row r="5375" spans="1:7" x14ac:dyDescent="0.3">
      <c r="A5375" s="683">
        <f>TRUNC(E5375*F5375,2)</f>
        <v>0</v>
      </c>
      <c r="B5375" s="684"/>
      <c r="C5375" s="684"/>
      <c r="D5375" s="684"/>
      <c r="E5375" s="684"/>
      <c r="F5375" s="684"/>
      <c r="G5375" s="685"/>
    </row>
    <row r="5376" spans="1:7" x14ac:dyDescent="0.3">
      <c r="A5376" s="529"/>
      <c r="B5376" s="529"/>
      <c r="C5376" s="530"/>
      <c r="D5376" s="529"/>
      <c r="E5376" s="252"/>
      <c r="F5376" s="531"/>
      <c r="G5376" s="252"/>
    </row>
    <row r="5377" spans="1:7" x14ac:dyDescent="0.3">
      <c r="A5377" s="529" t="s">
        <v>771</v>
      </c>
      <c r="B5377" s="529">
        <v>98302</v>
      </c>
      <c r="C5377" s="530" t="s">
        <v>174</v>
      </c>
      <c r="D5377" s="529" t="s">
        <v>44</v>
      </c>
      <c r="E5377" s="252"/>
      <c r="F5377" s="531">
        <v>497.66</v>
      </c>
      <c r="G5377" s="252">
        <f t="shared" si="123"/>
        <v>0</v>
      </c>
    </row>
    <row r="5378" spans="1:7" x14ac:dyDescent="0.3">
      <c r="A5378" s="524" t="s">
        <v>508</v>
      </c>
      <c r="B5378" s="524" t="s">
        <v>1703</v>
      </c>
      <c r="C5378" s="525" t="s">
        <v>1704</v>
      </c>
      <c r="D5378" s="524" t="s">
        <v>397</v>
      </c>
      <c r="E5378" s="524" t="s">
        <v>1122</v>
      </c>
      <c r="F5378" s="526" t="s">
        <v>1706</v>
      </c>
      <c r="G5378" s="252">
        <f t="shared" si="123"/>
        <v>294.85000000000002</v>
      </c>
    </row>
    <row r="5379" spans="1:7" x14ac:dyDescent="0.3">
      <c r="A5379" s="524" t="s">
        <v>522</v>
      </c>
      <c r="B5379" s="524" t="s">
        <v>611</v>
      </c>
      <c r="C5379" s="525" t="s">
        <v>546</v>
      </c>
      <c r="D5379" s="524" t="s">
        <v>32</v>
      </c>
      <c r="E5379" s="524" t="s">
        <v>1705</v>
      </c>
      <c r="F5379" s="526" t="s">
        <v>1646</v>
      </c>
      <c r="G5379" s="252">
        <f t="shared" si="123"/>
        <v>88.85</v>
      </c>
    </row>
    <row r="5380" spans="1:7" x14ac:dyDescent="0.3">
      <c r="A5380" s="524" t="s">
        <v>522</v>
      </c>
      <c r="B5380" s="524" t="s">
        <v>610</v>
      </c>
      <c r="C5380" s="525" t="s">
        <v>543</v>
      </c>
      <c r="D5380" s="524" t="s">
        <v>32</v>
      </c>
      <c r="E5380" s="524" t="s">
        <v>1705</v>
      </c>
      <c r="F5380" s="526" t="s">
        <v>1647</v>
      </c>
      <c r="G5380" s="252">
        <f t="shared" si="123"/>
        <v>113.96</v>
      </c>
    </row>
    <row r="5381" spans="1:7" x14ac:dyDescent="0.3">
      <c r="A5381" s="680" t="s">
        <v>1152</v>
      </c>
      <c r="B5381" s="681"/>
      <c r="C5381" s="681"/>
      <c r="D5381" s="681"/>
      <c r="E5381" s="681"/>
      <c r="F5381" s="682"/>
      <c r="G5381" s="527">
        <f>SUM(G5377:G5380)</f>
        <v>497.66</v>
      </c>
    </row>
    <row r="5382" spans="1:7" x14ac:dyDescent="0.3">
      <c r="A5382" s="683">
        <f>TRUNC(E5382*F5382,2)</f>
        <v>0</v>
      </c>
      <c r="B5382" s="684"/>
      <c r="C5382" s="684"/>
      <c r="D5382" s="684"/>
      <c r="E5382" s="684"/>
      <c r="F5382" s="684"/>
      <c r="G5382" s="685"/>
    </row>
    <row r="5383" spans="1:7" x14ac:dyDescent="0.3">
      <c r="A5383" s="529" t="s">
        <v>772</v>
      </c>
      <c r="B5383" s="529" t="s">
        <v>652</v>
      </c>
      <c r="C5383" s="530" t="s">
        <v>406</v>
      </c>
      <c r="D5383" s="529" t="s">
        <v>44</v>
      </c>
      <c r="E5383" s="252"/>
      <c r="F5383" s="531">
        <v>3.63</v>
      </c>
      <c r="G5383" s="252">
        <f t="shared" si="123"/>
        <v>0</v>
      </c>
    </row>
    <row r="5384" spans="1:7" x14ac:dyDescent="0.3">
      <c r="A5384" s="524" t="s">
        <v>522</v>
      </c>
      <c r="B5384" s="524" t="s">
        <v>611</v>
      </c>
      <c r="C5384" s="525" t="s">
        <v>546</v>
      </c>
      <c r="D5384" s="524" t="s">
        <v>32</v>
      </c>
      <c r="E5384" s="619">
        <v>0.08</v>
      </c>
      <c r="F5384" s="526" t="s">
        <v>1646</v>
      </c>
      <c r="G5384" s="252">
        <f t="shared" si="123"/>
        <v>1.1399999999999999</v>
      </c>
    </row>
    <row r="5385" spans="1:7" x14ac:dyDescent="0.3">
      <c r="A5385" s="524" t="s">
        <v>522</v>
      </c>
      <c r="B5385" s="524" t="s">
        <v>610</v>
      </c>
      <c r="C5385" s="525" t="s">
        <v>543</v>
      </c>
      <c r="D5385" s="524" t="s">
        <v>32</v>
      </c>
      <c r="E5385" s="619">
        <v>0.08</v>
      </c>
      <c r="F5385" s="526" t="s">
        <v>1647</v>
      </c>
      <c r="G5385" s="252">
        <f t="shared" si="123"/>
        <v>1.47</v>
      </c>
    </row>
    <row r="5386" spans="1:7" x14ac:dyDescent="0.3">
      <c r="A5386" s="529"/>
      <c r="B5386" s="593" t="s">
        <v>618</v>
      </c>
      <c r="C5386" s="592" t="s">
        <v>619</v>
      </c>
      <c r="D5386" s="593" t="s">
        <v>55</v>
      </c>
      <c r="E5386" s="620">
        <v>1</v>
      </c>
      <c r="F5386" s="528">
        <v>1.02</v>
      </c>
      <c r="G5386" s="252">
        <f t="shared" si="123"/>
        <v>1.02</v>
      </c>
    </row>
    <row r="5387" spans="1:7" x14ac:dyDescent="0.3">
      <c r="A5387" s="680" t="s">
        <v>1152</v>
      </c>
      <c r="B5387" s="681"/>
      <c r="C5387" s="681"/>
      <c r="D5387" s="681"/>
      <c r="E5387" s="681"/>
      <c r="F5387" s="682"/>
      <c r="G5387" s="527">
        <f>SUM(G5383:G5386)</f>
        <v>3.63</v>
      </c>
    </row>
    <row r="5388" spans="1:7" x14ac:dyDescent="0.3">
      <c r="A5388" s="683">
        <f>TRUNC(E5388*F5388,2)</f>
        <v>0</v>
      </c>
      <c r="B5388" s="684"/>
      <c r="C5388" s="684"/>
      <c r="D5388" s="684"/>
      <c r="E5388" s="684"/>
      <c r="F5388" s="684"/>
      <c r="G5388" s="685"/>
    </row>
    <row r="5389" spans="1:7" ht="43.2" x14ac:dyDescent="0.3">
      <c r="A5389" s="529" t="s">
        <v>773</v>
      </c>
      <c r="B5389" s="529" t="s">
        <v>178</v>
      </c>
      <c r="C5389" s="530" t="s">
        <v>179</v>
      </c>
      <c r="D5389" s="529" t="s">
        <v>44</v>
      </c>
      <c r="E5389" s="252"/>
      <c r="F5389" s="531">
        <v>1488.24</v>
      </c>
      <c r="G5389" s="252">
        <f t="shared" si="123"/>
        <v>0</v>
      </c>
    </row>
    <row r="5390" spans="1:7" x14ac:dyDescent="0.3">
      <c r="A5390" s="529"/>
      <c r="B5390" s="529" t="s">
        <v>570</v>
      </c>
      <c r="C5390" s="530" t="s">
        <v>571</v>
      </c>
      <c r="D5390" s="529" t="s">
        <v>397</v>
      </c>
      <c r="E5390" s="609">
        <v>1</v>
      </c>
      <c r="F5390" s="531">
        <v>164.45</v>
      </c>
      <c r="G5390" s="252">
        <f t="shared" si="123"/>
        <v>164.45</v>
      </c>
    </row>
    <row r="5391" spans="1:7" x14ac:dyDescent="0.3">
      <c r="A5391" s="529"/>
      <c r="B5391" s="529" t="s">
        <v>807</v>
      </c>
      <c r="C5391" s="530" t="s">
        <v>573</v>
      </c>
      <c r="D5391" s="529" t="s">
        <v>397</v>
      </c>
      <c r="E5391" s="609">
        <v>1</v>
      </c>
      <c r="F5391" s="531">
        <v>75.58</v>
      </c>
      <c r="G5391" s="252">
        <f t="shared" si="123"/>
        <v>75.58</v>
      </c>
    </row>
    <row r="5392" spans="1:7" x14ac:dyDescent="0.3">
      <c r="A5392" s="529"/>
      <c r="B5392" s="529" t="s">
        <v>807</v>
      </c>
      <c r="C5392" s="530" t="s">
        <v>574</v>
      </c>
      <c r="D5392" s="529" t="s">
        <v>397</v>
      </c>
      <c r="E5392" s="609">
        <v>1</v>
      </c>
      <c r="F5392" s="531">
        <v>62.05</v>
      </c>
      <c r="G5392" s="252">
        <f t="shared" si="123"/>
        <v>62.05</v>
      </c>
    </row>
    <row r="5393" spans="1:7" ht="28.8" x14ac:dyDescent="0.3">
      <c r="A5393" s="529"/>
      <c r="B5393" s="529" t="s">
        <v>807</v>
      </c>
      <c r="C5393" s="530" t="s">
        <v>575</v>
      </c>
      <c r="D5393" s="529" t="s">
        <v>397</v>
      </c>
      <c r="E5393" s="609">
        <v>1</v>
      </c>
      <c r="F5393" s="531">
        <v>922.58</v>
      </c>
      <c r="G5393" s="252">
        <f t="shared" si="123"/>
        <v>922.58</v>
      </c>
    </row>
    <row r="5394" spans="1:7" x14ac:dyDescent="0.3">
      <c r="A5394" s="529"/>
      <c r="B5394" s="529" t="s">
        <v>807</v>
      </c>
      <c r="C5394" s="530" t="s">
        <v>576</v>
      </c>
      <c r="D5394" s="529" t="s">
        <v>397</v>
      </c>
      <c r="E5394" s="609">
        <v>2</v>
      </c>
      <c r="F5394" s="531">
        <v>66.37</v>
      </c>
      <c r="G5394" s="252">
        <f t="shared" si="123"/>
        <v>132.74</v>
      </c>
    </row>
    <row r="5395" spans="1:7" x14ac:dyDescent="0.3">
      <c r="A5395" s="529"/>
      <c r="B5395" s="524" t="s">
        <v>610</v>
      </c>
      <c r="C5395" s="525" t="s">
        <v>543</v>
      </c>
      <c r="D5395" s="529" t="s">
        <v>32</v>
      </c>
      <c r="E5395" s="609">
        <v>4</v>
      </c>
      <c r="F5395" s="531">
        <v>18.38</v>
      </c>
      <c r="G5395" s="252">
        <f t="shared" si="123"/>
        <v>73.52</v>
      </c>
    </row>
    <row r="5396" spans="1:7" x14ac:dyDescent="0.3">
      <c r="A5396" s="529"/>
      <c r="B5396" s="524" t="s">
        <v>611</v>
      </c>
      <c r="C5396" s="525" t="s">
        <v>546</v>
      </c>
      <c r="D5396" s="529" t="s">
        <v>32</v>
      </c>
      <c r="E5396" s="609">
        <v>4</v>
      </c>
      <c r="F5396" s="531">
        <v>14.33</v>
      </c>
      <c r="G5396" s="252">
        <f t="shared" si="123"/>
        <v>57.32</v>
      </c>
    </row>
    <row r="5397" spans="1:7" x14ac:dyDescent="0.3">
      <c r="A5397" s="680" t="s">
        <v>1152</v>
      </c>
      <c r="B5397" s="681"/>
      <c r="C5397" s="681"/>
      <c r="D5397" s="681"/>
      <c r="E5397" s="681"/>
      <c r="F5397" s="682"/>
      <c r="G5397" s="527">
        <f>SUM(G5389:G5396)</f>
        <v>1488.24</v>
      </c>
    </row>
    <row r="5398" spans="1:7" x14ac:dyDescent="0.3">
      <c r="A5398" s="686"/>
      <c r="B5398" s="687"/>
      <c r="C5398" s="687"/>
      <c r="D5398" s="687"/>
      <c r="E5398" s="687"/>
      <c r="F5398" s="687"/>
      <c r="G5398" s="688"/>
    </row>
    <row r="5399" spans="1:7" x14ac:dyDescent="0.3">
      <c r="A5399" s="529" t="s">
        <v>774</v>
      </c>
      <c r="B5399" s="529">
        <v>98307</v>
      </c>
      <c r="C5399" s="530" t="s">
        <v>182</v>
      </c>
      <c r="D5399" s="529" t="s">
        <v>44</v>
      </c>
      <c r="E5399" s="252"/>
      <c r="F5399" s="531">
        <v>27.38</v>
      </c>
      <c r="G5399" s="252">
        <f t="shared" si="123"/>
        <v>0</v>
      </c>
    </row>
    <row r="5400" spans="1:7" ht="28.8" x14ac:dyDescent="0.3">
      <c r="A5400" s="524" t="s">
        <v>508</v>
      </c>
      <c r="B5400" s="524" t="s">
        <v>1715</v>
      </c>
      <c r="C5400" s="525" t="s">
        <v>1716</v>
      </c>
      <c r="D5400" s="524" t="s">
        <v>397</v>
      </c>
      <c r="E5400" s="524" t="s">
        <v>1122</v>
      </c>
      <c r="F5400" s="526" t="s">
        <v>1717</v>
      </c>
      <c r="G5400" s="252">
        <f t="shared" si="123"/>
        <v>20.65</v>
      </c>
    </row>
    <row r="5401" spans="1:7" x14ac:dyDescent="0.3">
      <c r="A5401" s="524" t="s">
        <v>522</v>
      </c>
      <c r="B5401" s="524" t="s">
        <v>611</v>
      </c>
      <c r="C5401" s="525" t="s">
        <v>546</v>
      </c>
      <c r="D5401" s="524" t="s">
        <v>32</v>
      </c>
      <c r="E5401" s="524" t="s">
        <v>1714</v>
      </c>
      <c r="F5401" s="526" t="s">
        <v>1646</v>
      </c>
      <c r="G5401" s="252">
        <f t="shared" si="123"/>
        <v>2.95</v>
      </c>
    </row>
    <row r="5402" spans="1:7" x14ac:dyDescent="0.3">
      <c r="A5402" s="524" t="s">
        <v>522</v>
      </c>
      <c r="B5402" s="524" t="s">
        <v>610</v>
      </c>
      <c r="C5402" s="525" t="s">
        <v>543</v>
      </c>
      <c r="D5402" s="524" t="s">
        <v>32</v>
      </c>
      <c r="E5402" s="524" t="s">
        <v>1714</v>
      </c>
      <c r="F5402" s="526" t="s">
        <v>1647</v>
      </c>
      <c r="G5402" s="252">
        <f t="shared" si="123"/>
        <v>3.78</v>
      </c>
    </row>
    <row r="5403" spans="1:7" x14ac:dyDescent="0.3">
      <c r="A5403" s="680" t="s">
        <v>1152</v>
      </c>
      <c r="B5403" s="681"/>
      <c r="C5403" s="681"/>
      <c r="D5403" s="681"/>
      <c r="E5403" s="681"/>
      <c r="F5403" s="682"/>
      <c r="G5403" s="527">
        <f>SUM(G5399:G5402)</f>
        <v>27.38</v>
      </c>
    </row>
    <row r="5404" spans="1:7" x14ac:dyDescent="0.3">
      <c r="A5404" s="683">
        <f>TRUNC(E5404*F5404,2)</f>
        <v>0</v>
      </c>
      <c r="B5404" s="684"/>
      <c r="C5404" s="684"/>
      <c r="D5404" s="684"/>
      <c r="E5404" s="684"/>
      <c r="F5404" s="684"/>
      <c r="G5404" s="685"/>
    </row>
    <row r="5405" spans="1:7" ht="28.8" x14ac:dyDescent="0.3">
      <c r="A5405" s="529" t="s">
        <v>775</v>
      </c>
      <c r="B5405" s="529">
        <v>100556</v>
      </c>
      <c r="C5405" s="530" t="s">
        <v>482</v>
      </c>
      <c r="D5405" s="529" t="s">
        <v>44</v>
      </c>
      <c r="E5405" s="252"/>
      <c r="F5405" s="531">
        <v>27.38</v>
      </c>
      <c r="G5405" s="252">
        <f t="shared" si="123"/>
        <v>0</v>
      </c>
    </row>
    <row r="5406" spans="1:7" ht="28.8" x14ac:dyDescent="0.3">
      <c r="A5406" s="524" t="s">
        <v>508</v>
      </c>
      <c r="B5406" s="524" t="s">
        <v>2404</v>
      </c>
      <c r="C5406" s="525" t="s">
        <v>2405</v>
      </c>
      <c r="D5406" s="524" t="s">
        <v>397</v>
      </c>
      <c r="E5406" s="524" t="s">
        <v>1122</v>
      </c>
      <c r="F5406" s="528">
        <v>16.079999999999998</v>
      </c>
      <c r="G5406" s="252">
        <f t="shared" si="123"/>
        <v>16.079999999999998</v>
      </c>
    </row>
    <row r="5407" spans="1:7" x14ac:dyDescent="0.3">
      <c r="A5407" s="524" t="s">
        <v>522</v>
      </c>
      <c r="B5407" s="524" t="s">
        <v>611</v>
      </c>
      <c r="C5407" s="525" t="s">
        <v>546</v>
      </c>
      <c r="D5407" s="524" t="s">
        <v>32</v>
      </c>
      <c r="E5407" s="524" t="s">
        <v>2406</v>
      </c>
      <c r="F5407" s="528" t="s">
        <v>1646</v>
      </c>
      <c r="G5407" s="252">
        <f t="shared" si="123"/>
        <v>4.95</v>
      </c>
    </row>
    <row r="5408" spans="1:7" x14ac:dyDescent="0.3">
      <c r="A5408" s="524" t="s">
        <v>522</v>
      </c>
      <c r="B5408" s="524" t="s">
        <v>610</v>
      </c>
      <c r="C5408" s="525" t="s">
        <v>543</v>
      </c>
      <c r="D5408" s="524" t="s">
        <v>32</v>
      </c>
      <c r="E5408" s="524" t="s">
        <v>2406</v>
      </c>
      <c r="F5408" s="528" t="s">
        <v>1647</v>
      </c>
      <c r="G5408" s="252">
        <f t="shared" si="123"/>
        <v>6.35</v>
      </c>
    </row>
    <row r="5409" spans="1:7" x14ac:dyDescent="0.3">
      <c r="A5409" s="680" t="s">
        <v>1152</v>
      </c>
      <c r="B5409" s="681"/>
      <c r="C5409" s="681"/>
      <c r="D5409" s="681"/>
      <c r="E5409" s="681"/>
      <c r="F5409" s="682"/>
      <c r="G5409" s="527">
        <f>SUM(G5405:G5408)</f>
        <v>27.379999999999995</v>
      </c>
    </row>
    <row r="5410" spans="1:7" x14ac:dyDescent="0.3">
      <c r="A5410" s="683">
        <f>TRUNC(E5410*F5410,2)</f>
        <v>0</v>
      </c>
      <c r="B5410" s="684"/>
      <c r="C5410" s="684"/>
      <c r="D5410" s="684"/>
      <c r="E5410" s="684"/>
      <c r="F5410" s="684"/>
      <c r="G5410" s="685"/>
    </row>
    <row r="5411" spans="1:7" ht="28.8" x14ac:dyDescent="0.3">
      <c r="A5411" s="529" t="s">
        <v>776</v>
      </c>
      <c r="B5411" s="529">
        <v>100560</v>
      </c>
      <c r="C5411" s="530" t="s">
        <v>184</v>
      </c>
      <c r="D5411" s="529" t="s">
        <v>44</v>
      </c>
      <c r="E5411" s="252"/>
      <c r="F5411" s="531">
        <v>80.44</v>
      </c>
      <c r="G5411" s="252">
        <f t="shared" si="123"/>
        <v>0</v>
      </c>
    </row>
    <row r="5412" spans="1:7" ht="28.8" x14ac:dyDescent="0.3">
      <c r="A5412" s="524" t="s">
        <v>508</v>
      </c>
      <c r="B5412" s="524" t="s">
        <v>1718</v>
      </c>
      <c r="C5412" s="525" t="s">
        <v>1719</v>
      </c>
      <c r="D5412" s="524" t="s">
        <v>397</v>
      </c>
      <c r="E5412" s="524" t="s">
        <v>1122</v>
      </c>
      <c r="F5412" s="526" t="s">
        <v>1720</v>
      </c>
      <c r="G5412" s="252">
        <f t="shared" si="123"/>
        <v>49.76</v>
      </c>
    </row>
    <row r="5413" spans="1:7" ht="43.2" x14ac:dyDescent="0.3">
      <c r="A5413" s="524" t="s">
        <v>522</v>
      </c>
      <c r="B5413" s="524" t="s">
        <v>1721</v>
      </c>
      <c r="C5413" s="525" t="s">
        <v>1722</v>
      </c>
      <c r="D5413" s="524" t="s">
        <v>41</v>
      </c>
      <c r="E5413" s="524" t="s">
        <v>1723</v>
      </c>
      <c r="F5413" s="526" t="s">
        <v>1724</v>
      </c>
      <c r="G5413" s="252">
        <f t="shared" si="123"/>
        <v>1.9</v>
      </c>
    </row>
    <row r="5414" spans="1:7" x14ac:dyDescent="0.3">
      <c r="A5414" s="524" t="s">
        <v>522</v>
      </c>
      <c r="B5414" s="524" t="s">
        <v>611</v>
      </c>
      <c r="C5414" s="525" t="s">
        <v>546</v>
      </c>
      <c r="D5414" s="524" t="s">
        <v>32</v>
      </c>
      <c r="E5414" s="524" t="s">
        <v>1725</v>
      </c>
      <c r="F5414" s="526" t="s">
        <v>1646</v>
      </c>
      <c r="G5414" s="252">
        <f t="shared" si="123"/>
        <v>12.61</v>
      </c>
    </row>
    <row r="5415" spans="1:7" x14ac:dyDescent="0.3">
      <c r="A5415" s="524" t="s">
        <v>522</v>
      </c>
      <c r="B5415" s="524" t="s">
        <v>610</v>
      </c>
      <c r="C5415" s="525" t="s">
        <v>543</v>
      </c>
      <c r="D5415" s="524" t="s">
        <v>32</v>
      </c>
      <c r="E5415" s="524" t="s">
        <v>1725</v>
      </c>
      <c r="F5415" s="526" t="s">
        <v>1647</v>
      </c>
      <c r="G5415" s="252">
        <f t="shared" si="123"/>
        <v>16.170000000000002</v>
      </c>
    </row>
    <row r="5416" spans="1:7" x14ac:dyDescent="0.3">
      <c r="A5416" s="680" t="s">
        <v>1152</v>
      </c>
      <c r="B5416" s="681"/>
      <c r="C5416" s="681"/>
      <c r="D5416" s="681"/>
      <c r="E5416" s="681"/>
      <c r="F5416" s="682"/>
      <c r="G5416" s="527">
        <f>SUM(G5412:G5415)</f>
        <v>80.44</v>
      </c>
    </row>
    <row r="5417" spans="1:7" x14ac:dyDescent="0.3">
      <c r="A5417" s="683">
        <f>TRUNC(E5417*F5417,2)</f>
        <v>0</v>
      </c>
      <c r="B5417" s="684"/>
      <c r="C5417" s="684"/>
      <c r="D5417" s="684"/>
      <c r="E5417" s="684"/>
      <c r="F5417" s="684"/>
      <c r="G5417" s="685"/>
    </row>
    <row r="5418" spans="1:7" x14ac:dyDescent="0.3">
      <c r="A5418" s="529" t="s">
        <v>708</v>
      </c>
      <c r="B5418" s="529"/>
      <c r="C5418" s="530" t="s">
        <v>187</v>
      </c>
      <c r="D5418" s="529"/>
      <c r="E5418" s="252"/>
      <c r="F5418" s="531"/>
      <c r="G5418" s="252">
        <f t="shared" si="123"/>
        <v>0</v>
      </c>
    </row>
    <row r="5419" spans="1:7" x14ac:dyDescent="0.3">
      <c r="A5419" s="529" t="s">
        <v>777</v>
      </c>
      <c r="B5419" s="529"/>
      <c r="C5419" s="530" t="s">
        <v>189</v>
      </c>
      <c r="D5419" s="529"/>
      <c r="E5419" s="252"/>
      <c r="F5419" s="531"/>
      <c r="G5419" s="252">
        <f t="shared" si="123"/>
        <v>0</v>
      </c>
    </row>
    <row r="5420" spans="1:7" ht="28.8" x14ac:dyDescent="0.3">
      <c r="A5420" s="529" t="s">
        <v>778</v>
      </c>
      <c r="B5420" s="529">
        <v>90447</v>
      </c>
      <c r="C5420" s="530" t="s">
        <v>190</v>
      </c>
      <c r="D5420" s="529" t="s">
        <v>55</v>
      </c>
      <c r="E5420" s="252"/>
      <c r="F5420" s="531">
        <v>4.45</v>
      </c>
      <c r="G5420" s="252">
        <f t="shared" si="123"/>
        <v>0</v>
      </c>
    </row>
    <row r="5421" spans="1:7" x14ac:dyDescent="0.3">
      <c r="A5421" s="524" t="s">
        <v>522</v>
      </c>
      <c r="B5421" s="524" t="s">
        <v>611</v>
      </c>
      <c r="C5421" s="525" t="s">
        <v>546</v>
      </c>
      <c r="D5421" s="524" t="s">
        <v>32</v>
      </c>
      <c r="E5421" s="524" t="s">
        <v>1658</v>
      </c>
      <c r="F5421" s="528" t="s">
        <v>1646</v>
      </c>
      <c r="G5421" s="252">
        <f t="shared" si="123"/>
        <v>0.48</v>
      </c>
    </row>
    <row r="5422" spans="1:7" x14ac:dyDescent="0.3">
      <c r="A5422" s="524" t="s">
        <v>522</v>
      </c>
      <c r="B5422" s="524" t="s">
        <v>610</v>
      </c>
      <c r="C5422" s="525" t="s">
        <v>543</v>
      </c>
      <c r="D5422" s="524" t="s">
        <v>32</v>
      </c>
      <c r="E5422" s="524" t="s">
        <v>1659</v>
      </c>
      <c r="F5422" s="528" t="s">
        <v>1647</v>
      </c>
      <c r="G5422" s="252">
        <f t="shared" si="123"/>
        <v>3.97</v>
      </c>
    </row>
    <row r="5423" spans="1:7" x14ac:dyDescent="0.3">
      <c r="A5423" s="680" t="s">
        <v>1152</v>
      </c>
      <c r="B5423" s="681"/>
      <c r="C5423" s="681"/>
      <c r="D5423" s="681"/>
      <c r="E5423" s="681"/>
      <c r="F5423" s="682"/>
      <c r="G5423" s="527">
        <f>SUM(G5419:G5422)</f>
        <v>4.45</v>
      </c>
    </row>
    <row r="5424" spans="1:7" x14ac:dyDescent="0.3">
      <c r="A5424" s="683">
        <f>TRUNC(E5424*F5424,2)</f>
        <v>0</v>
      </c>
      <c r="B5424" s="684"/>
      <c r="C5424" s="684"/>
      <c r="D5424" s="684"/>
      <c r="E5424" s="684"/>
      <c r="F5424" s="684"/>
      <c r="G5424" s="685"/>
    </row>
    <row r="5425" spans="1:7" ht="28.8" x14ac:dyDescent="0.3">
      <c r="A5425" s="529" t="s">
        <v>779</v>
      </c>
      <c r="B5425" s="529">
        <v>86872</v>
      </c>
      <c r="C5425" s="530" t="s">
        <v>483</v>
      </c>
      <c r="D5425" s="529" t="s">
        <v>44</v>
      </c>
      <c r="E5425" s="252"/>
      <c r="F5425" s="531">
        <v>592.52</v>
      </c>
      <c r="G5425" s="252">
        <f t="shared" si="123"/>
        <v>0</v>
      </c>
    </row>
    <row r="5426" spans="1:7" ht="28.8" x14ac:dyDescent="0.3">
      <c r="A5426" s="524" t="s">
        <v>508</v>
      </c>
      <c r="B5426" s="524" t="s">
        <v>2129</v>
      </c>
      <c r="C5426" s="525" t="s">
        <v>2130</v>
      </c>
      <c r="D5426" s="524" t="s">
        <v>397</v>
      </c>
      <c r="E5426" s="524" t="s">
        <v>1397</v>
      </c>
      <c r="F5426" s="528" t="s">
        <v>2131</v>
      </c>
      <c r="G5426" s="252">
        <f t="shared" si="123"/>
        <v>69.3</v>
      </c>
    </row>
    <row r="5427" spans="1:7" x14ac:dyDescent="0.3">
      <c r="A5427" s="524" t="s">
        <v>508</v>
      </c>
      <c r="B5427" s="524" t="s">
        <v>2407</v>
      </c>
      <c r="C5427" s="525" t="s">
        <v>2408</v>
      </c>
      <c r="D5427" s="524" t="s">
        <v>397</v>
      </c>
      <c r="E5427" s="524" t="s">
        <v>1122</v>
      </c>
      <c r="F5427" s="528" t="s">
        <v>2409</v>
      </c>
      <c r="G5427" s="252">
        <f t="shared" si="123"/>
        <v>475.91</v>
      </c>
    </row>
    <row r="5428" spans="1:7" x14ac:dyDescent="0.3">
      <c r="A5428" s="524" t="s">
        <v>508</v>
      </c>
      <c r="B5428" s="524" t="s">
        <v>1739</v>
      </c>
      <c r="C5428" s="525" t="s">
        <v>1740</v>
      </c>
      <c r="D5428" s="524" t="s">
        <v>426</v>
      </c>
      <c r="E5428" s="524" t="s">
        <v>2410</v>
      </c>
      <c r="F5428" s="528" t="s">
        <v>1742</v>
      </c>
      <c r="G5428" s="252">
        <f t="shared" si="123"/>
        <v>5.64</v>
      </c>
    </row>
    <row r="5429" spans="1:7" x14ac:dyDescent="0.3">
      <c r="A5429" s="524" t="s">
        <v>522</v>
      </c>
      <c r="B5429" s="524" t="s">
        <v>1367</v>
      </c>
      <c r="C5429" s="525" t="s">
        <v>1368</v>
      </c>
      <c r="D5429" s="524" t="s">
        <v>32</v>
      </c>
      <c r="E5429" s="524" t="s">
        <v>2411</v>
      </c>
      <c r="F5429" s="528" t="s">
        <v>1370</v>
      </c>
      <c r="G5429" s="252">
        <f t="shared" si="123"/>
        <v>31.46</v>
      </c>
    </row>
    <row r="5430" spans="1:7" x14ac:dyDescent="0.3">
      <c r="A5430" s="524" t="s">
        <v>522</v>
      </c>
      <c r="B5430" s="524" t="s">
        <v>1359</v>
      </c>
      <c r="C5430" s="525" t="s">
        <v>801</v>
      </c>
      <c r="D5430" s="524" t="s">
        <v>32</v>
      </c>
      <c r="E5430" s="524" t="s">
        <v>2412</v>
      </c>
      <c r="F5430" s="528" t="s">
        <v>1361</v>
      </c>
      <c r="G5430" s="252">
        <f t="shared" si="123"/>
        <v>10.210000000000001</v>
      </c>
    </row>
    <row r="5431" spans="1:7" x14ac:dyDescent="0.3">
      <c r="A5431" s="680" t="s">
        <v>1152</v>
      </c>
      <c r="B5431" s="681"/>
      <c r="C5431" s="681"/>
      <c r="D5431" s="681"/>
      <c r="E5431" s="681"/>
      <c r="F5431" s="682"/>
      <c r="G5431" s="527">
        <f>SUM(G5425:G5430)</f>
        <v>592.5200000000001</v>
      </c>
    </row>
    <row r="5432" spans="1:7" x14ac:dyDescent="0.3">
      <c r="A5432" s="683">
        <f>TRUNC(E5432*F5432,2)</f>
        <v>0</v>
      </c>
      <c r="B5432" s="684"/>
      <c r="C5432" s="684"/>
      <c r="D5432" s="684"/>
      <c r="E5432" s="684"/>
      <c r="F5432" s="684"/>
      <c r="G5432" s="685"/>
    </row>
    <row r="5433" spans="1:7" ht="28.8" x14ac:dyDescent="0.3">
      <c r="A5433" s="529" t="s">
        <v>780</v>
      </c>
      <c r="B5433" s="529">
        <v>86914</v>
      </c>
      <c r="C5433" s="530" t="s">
        <v>484</v>
      </c>
      <c r="D5433" s="529" t="s">
        <v>44</v>
      </c>
      <c r="E5433" s="252"/>
      <c r="F5433" s="531">
        <v>38.54</v>
      </c>
      <c r="G5433" s="252">
        <f t="shared" si="123"/>
        <v>0</v>
      </c>
    </row>
    <row r="5434" spans="1:7" x14ac:dyDescent="0.3">
      <c r="A5434" s="524" t="s">
        <v>508</v>
      </c>
      <c r="B5434" s="524" t="s">
        <v>1757</v>
      </c>
      <c r="C5434" s="525" t="s">
        <v>1758</v>
      </c>
      <c r="D5434" s="524" t="s">
        <v>397</v>
      </c>
      <c r="E5434" s="524" t="s">
        <v>1759</v>
      </c>
      <c r="F5434" s="528" t="s">
        <v>1760</v>
      </c>
      <c r="G5434" s="252">
        <f t="shared" si="123"/>
        <v>0.08</v>
      </c>
    </row>
    <row r="5435" spans="1:7" x14ac:dyDescent="0.3">
      <c r="A5435" s="524" t="s">
        <v>508</v>
      </c>
      <c r="B5435" s="524" t="s">
        <v>2413</v>
      </c>
      <c r="C5435" s="525" t="s">
        <v>2414</v>
      </c>
      <c r="D5435" s="524" t="s">
        <v>397</v>
      </c>
      <c r="E5435" s="524" t="s">
        <v>1122</v>
      </c>
      <c r="F5435" s="528" t="s">
        <v>2415</v>
      </c>
      <c r="G5435" s="252">
        <f t="shared" si="123"/>
        <v>35.06</v>
      </c>
    </row>
    <row r="5436" spans="1:7" x14ac:dyDescent="0.3">
      <c r="A5436" s="524" t="s">
        <v>522</v>
      </c>
      <c r="B5436" s="524" t="s">
        <v>1367</v>
      </c>
      <c r="C5436" s="525" t="s">
        <v>1368</v>
      </c>
      <c r="D5436" s="524" t="s">
        <v>32</v>
      </c>
      <c r="E5436" s="524" t="s">
        <v>2015</v>
      </c>
      <c r="F5436" s="528" t="s">
        <v>1370</v>
      </c>
      <c r="G5436" s="252">
        <f t="shared" si="123"/>
        <v>2.71</v>
      </c>
    </row>
    <row r="5437" spans="1:7" x14ac:dyDescent="0.3">
      <c r="A5437" s="524" t="s">
        <v>522</v>
      </c>
      <c r="B5437" s="524" t="s">
        <v>1359</v>
      </c>
      <c r="C5437" s="525" t="s">
        <v>801</v>
      </c>
      <c r="D5437" s="524" t="s">
        <v>32</v>
      </c>
      <c r="E5437" s="524" t="s">
        <v>2016</v>
      </c>
      <c r="F5437" s="528" t="s">
        <v>1361</v>
      </c>
      <c r="G5437" s="252">
        <f t="shared" si="123"/>
        <v>0.69</v>
      </c>
    </row>
    <row r="5438" spans="1:7" x14ac:dyDescent="0.3">
      <c r="A5438" s="680" t="s">
        <v>1152</v>
      </c>
      <c r="B5438" s="681"/>
      <c r="C5438" s="681"/>
      <c r="D5438" s="681"/>
      <c r="E5438" s="681"/>
      <c r="F5438" s="682"/>
      <c r="G5438" s="527">
        <f>SUM(G5432:G5437)</f>
        <v>38.54</v>
      </c>
    </row>
    <row r="5439" spans="1:7" x14ac:dyDescent="0.3">
      <c r="A5439" s="683">
        <f>TRUNC(E5439*F5439,2)</f>
        <v>0</v>
      </c>
      <c r="B5439" s="684"/>
      <c r="C5439" s="684"/>
      <c r="D5439" s="684"/>
      <c r="E5439" s="684"/>
      <c r="F5439" s="684"/>
      <c r="G5439" s="685"/>
    </row>
    <row r="5440" spans="1:7" ht="43.2" x14ac:dyDescent="0.3">
      <c r="A5440" s="529" t="s">
        <v>781</v>
      </c>
      <c r="B5440" s="529">
        <v>94497</v>
      </c>
      <c r="C5440" s="530" t="s">
        <v>485</v>
      </c>
      <c r="D5440" s="529" t="s">
        <v>44</v>
      </c>
      <c r="E5440" s="252"/>
      <c r="F5440" s="531">
        <v>79.81</v>
      </c>
      <c r="G5440" s="252">
        <f t="shared" si="123"/>
        <v>0</v>
      </c>
    </row>
    <row r="5441" spans="1:7" x14ac:dyDescent="0.3">
      <c r="A5441" s="524" t="s">
        <v>508</v>
      </c>
      <c r="B5441" s="524" t="s">
        <v>1766</v>
      </c>
      <c r="C5441" s="525" t="s">
        <v>1767</v>
      </c>
      <c r="D5441" s="524" t="s">
        <v>397</v>
      </c>
      <c r="E5441" s="524" t="s">
        <v>1768</v>
      </c>
      <c r="F5441" s="528" t="s">
        <v>1769</v>
      </c>
      <c r="G5441" s="252">
        <f t="shared" si="123"/>
        <v>0.28999999999999998</v>
      </c>
    </row>
    <row r="5442" spans="1:7" x14ac:dyDescent="0.3">
      <c r="A5442" s="524" t="s">
        <v>508</v>
      </c>
      <c r="B5442" s="524" t="s">
        <v>2416</v>
      </c>
      <c r="C5442" s="525" t="s">
        <v>2417</v>
      </c>
      <c r="D5442" s="524" t="s">
        <v>397</v>
      </c>
      <c r="E5442" s="524" t="s">
        <v>1122</v>
      </c>
      <c r="F5442" s="528" t="s">
        <v>2418</v>
      </c>
      <c r="G5442" s="252">
        <f t="shared" si="123"/>
        <v>54.55</v>
      </c>
    </row>
    <row r="5443" spans="1:7" ht="28.8" x14ac:dyDescent="0.3">
      <c r="A5443" s="524" t="s">
        <v>522</v>
      </c>
      <c r="B5443" s="524" t="s">
        <v>1726</v>
      </c>
      <c r="C5443" s="525" t="s">
        <v>1727</v>
      </c>
      <c r="D5443" s="524" t="s">
        <v>32</v>
      </c>
      <c r="E5443" s="524" t="s">
        <v>1773</v>
      </c>
      <c r="F5443" s="528" t="s">
        <v>1729</v>
      </c>
      <c r="G5443" s="252">
        <f t="shared" si="123"/>
        <v>10.94</v>
      </c>
    </row>
    <row r="5444" spans="1:7" x14ac:dyDescent="0.3">
      <c r="A5444" s="524" t="s">
        <v>522</v>
      </c>
      <c r="B5444" s="524" t="s">
        <v>1367</v>
      </c>
      <c r="C5444" s="525" t="s">
        <v>1368</v>
      </c>
      <c r="D5444" s="524" t="s">
        <v>32</v>
      </c>
      <c r="E5444" s="524" t="s">
        <v>1773</v>
      </c>
      <c r="F5444" s="528" t="s">
        <v>1370</v>
      </c>
      <c r="G5444" s="252">
        <f t="shared" si="123"/>
        <v>14.03</v>
      </c>
    </row>
    <row r="5445" spans="1:7" x14ac:dyDescent="0.3">
      <c r="A5445" s="680" t="s">
        <v>1152</v>
      </c>
      <c r="B5445" s="681"/>
      <c r="C5445" s="681"/>
      <c r="D5445" s="681"/>
      <c r="E5445" s="681"/>
      <c r="F5445" s="682"/>
      <c r="G5445" s="527">
        <f>SUM(G5439:G5444)</f>
        <v>79.81</v>
      </c>
    </row>
    <row r="5446" spans="1:7" x14ac:dyDescent="0.3">
      <c r="A5446" s="683">
        <f>TRUNC(E5446*F5446,2)</f>
        <v>0</v>
      </c>
      <c r="B5446" s="684"/>
      <c r="C5446" s="684"/>
      <c r="D5446" s="684"/>
      <c r="E5446" s="684"/>
      <c r="F5446" s="684"/>
      <c r="G5446" s="685"/>
    </row>
    <row r="5447" spans="1:7" ht="28.8" x14ac:dyDescent="0.3">
      <c r="A5447" s="529" t="s">
        <v>782</v>
      </c>
      <c r="B5447" s="529">
        <v>89449</v>
      </c>
      <c r="C5447" s="530" t="s">
        <v>486</v>
      </c>
      <c r="D5447" s="529" t="s">
        <v>55</v>
      </c>
      <c r="E5447" s="252"/>
      <c r="F5447" s="531">
        <v>12.12</v>
      </c>
      <c r="G5447" s="252">
        <f t="shared" si="123"/>
        <v>0</v>
      </c>
    </row>
    <row r="5448" spans="1:7" x14ac:dyDescent="0.3">
      <c r="A5448" s="524" t="s">
        <v>508</v>
      </c>
      <c r="B5448" s="524" t="s">
        <v>2419</v>
      </c>
      <c r="C5448" s="525" t="s">
        <v>2420</v>
      </c>
      <c r="D5448" s="524" t="s">
        <v>55</v>
      </c>
      <c r="E5448" s="524" t="s">
        <v>2421</v>
      </c>
      <c r="F5448" s="528" t="s">
        <v>2422</v>
      </c>
      <c r="G5448" s="252">
        <f t="shared" si="123"/>
        <v>11.2</v>
      </c>
    </row>
    <row r="5449" spans="1:7" x14ac:dyDescent="0.3">
      <c r="A5449" s="524" t="s">
        <v>508</v>
      </c>
      <c r="B5449" s="524" t="s">
        <v>1785</v>
      </c>
      <c r="C5449" s="525" t="s">
        <v>1786</v>
      </c>
      <c r="D5449" s="524" t="s">
        <v>397</v>
      </c>
      <c r="E5449" s="524" t="s">
        <v>1538</v>
      </c>
      <c r="F5449" s="528" t="s">
        <v>1563</v>
      </c>
      <c r="G5449" s="252">
        <f t="shared" si="123"/>
        <v>0.01</v>
      </c>
    </row>
    <row r="5450" spans="1:7" ht="28.8" x14ac:dyDescent="0.3">
      <c r="A5450" s="524" t="s">
        <v>522</v>
      </c>
      <c r="B5450" s="524" t="s">
        <v>1726</v>
      </c>
      <c r="C5450" s="525" t="s">
        <v>1727</v>
      </c>
      <c r="D5450" s="524" t="s">
        <v>32</v>
      </c>
      <c r="E5450" s="524" t="s">
        <v>1944</v>
      </c>
      <c r="F5450" s="528" t="s">
        <v>1729</v>
      </c>
      <c r="G5450" s="252">
        <f t="shared" si="123"/>
        <v>0.4</v>
      </c>
    </row>
    <row r="5451" spans="1:7" x14ac:dyDescent="0.3">
      <c r="A5451" s="524" t="s">
        <v>522</v>
      </c>
      <c r="B5451" s="524" t="s">
        <v>1367</v>
      </c>
      <c r="C5451" s="525" t="s">
        <v>1368</v>
      </c>
      <c r="D5451" s="524" t="s">
        <v>32</v>
      </c>
      <c r="E5451" s="524" t="s">
        <v>1944</v>
      </c>
      <c r="F5451" s="528" t="s">
        <v>1370</v>
      </c>
      <c r="G5451" s="252">
        <f t="shared" si="123"/>
        <v>0.51</v>
      </c>
    </row>
    <row r="5452" spans="1:7" x14ac:dyDescent="0.3">
      <c r="A5452" s="680" t="s">
        <v>1152</v>
      </c>
      <c r="B5452" s="681"/>
      <c r="C5452" s="681"/>
      <c r="D5452" s="681"/>
      <c r="E5452" s="681"/>
      <c r="F5452" s="682"/>
      <c r="G5452" s="527">
        <f>SUM(G5446:G5451)</f>
        <v>12.12</v>
      </c>
    </row>
    <row r="5453" spans="1:7" x14ac:dyDescent="0.3">
      <c r="A5453" s="683">
        <f>TRUNC(E5453*F5453,2)</f>
        <v>0</v>
      </c>
      <c r="B5453" s="684"/>
      <c r="C5453" s="684"/>
      <c r="D5453" s="684"/>
      <c r="E5453" s="684"/>
      <c r="F5453" s="684"/>
      <c r="G5453" s="685"/>
    </row>
    <row r="5454" spans="1:7" ht="28.8" x14ac:dyDescent="0.3">
      <c r="A5454" s="529" t="s">
        <v>783</v>
      </c>
      <c r="B5454" s="529">
        <v>89402</v>
      </c>
      <c r="C5454" s="530" t="s">
        <v>487</v>
      </c>
      <c r="D5454" s="529" t="s">
        <v>55</v>
      </c>
      <c r="E5454" s="252"/>
      <c r="F5454" s="531">
        <v>6.63</v>
      </c>
      <c r="G5454" s="252">
        <f t="shared" si="123"/>
        <v>0</v>
      </c>
    </row>
    <row r="5455" spans="1:7" x14ac:dyDescent="0.3">
      <c r="A5455" s="524" t="s">
        <v>508</v>
      </c>
      <c r="B5455" s="524" t="s">
        <v>2423</v>
      </c>
      <c r="C5455" s="525" t="s">
        <v>2424</v>
      </c>
      <c r="D5455" s="524" t="s">
        <v>55</v>
      </c>
      <c r="E5455" s="524" t="s">
        <v>2421</v>
      </c>
      <c r="F5455" s="528" t="s">
        <v>2425</v>
      </c>
      <c r="G5455" s="252">
        <f t="shared" si="123"/>
        <v>2.99</v>
      </c>
    </row>
    <row r="5456" spans="1:7" x14ac:dyDescent="0.3">
      <c r="A5456" s="524" t="s">
        <v>508</v>
      </c>
      <c r="B5456" s="524" t="s">
        <v>1785</v>
      </c>
      <c r="C5456" s="525" t="s">
        <v>1786</v>
      </c>
      <c r="D5456" s="524" t="s">
        <v>397</v>
      </c>
      <c r="E5456" s="524" t="s">
        <v>2260</v>
      </c>
      <c r="F5456" s="528" t="s">
        <v>1563</v>
      </c>
      <c r="G5456" s="252">
        <f t="shared" si="123"/>
        <v>7.0000000000000007E-2</v>
      </c>
    </row>
    <row r="5457" spans="1:7" ht="28.8" x14ac:dyDescent="0.3">
      <c r="A5457" s="524" t="s">
        <v>522</v>
      </c>
      <c r="B5457" s="524" t="s">
        <v>1726</v>
      </c>
      <c r="C5457" s="525" t="s">
        <v>1727</v>
      </c>
      <c r="D5457" s="524" t="s">
        <v>32</v>
      </c>
      <c r="E5457" s="524" t="s">
        <v>2426</v>
      </c>
      <c r="F5457" s="528" t="s">
        <v>1729</v>
      </c>
      <c r="G5457" s="252">
        <f t="shared" si="123"/>
        <v>1.56</v>
      </c>
    </row>
    <row r="5458" spans="1:7" x14ac:dyDescent="0.3">
      <c r="A5458" s="524" t="s">
        <v>522</v>
      </c>
      <c r="B5458" s="524" t="s">
        <v>1367</v>
      </c>
      <c r="C5458" s="525" t="s">
        <v>1368</v>
      </c>
      <c r="D5458" s="524" t="s">
        <v>32</v>
      </c>
      <c r="E5458" s="524" t="s">
        <v>2426</v>
      </c>
      <c r="F5458" s="528" t="s">
        <v>1370</v>
      </c>
      <c r="G5458" s="252">
        <f t="shared" si="123"/>
        <v>2.0099999999999998</v>
      </c>
    </row>
    <row r="5459" spans="1:7" x14ac:dyDescent="0.3">
      <c r="A5459" s="680" t="s">
        <v>1152</v>
      </c>
      <c r="B5459" s="681"/>
      <c r="C5459" s="681"/>
      <c r="D5459" s="681"/>
      <c r="E5459" s="681"/>
      <c r="F5459" s="682"/>
      <c r="G5459" s="527">
        <f>SUM(G5453:G5458)</f>
        <v>6.63</v>
      </c>
    </row>
    <row r="5460" spans="1:7" x14ac:dyDescent="0.3">
      <c r="A5460" s="683">
        <f>TRUNC(E5460*F5460,2)</f>
        <v>0</v>
      </c>
      <c r="B5460" s="684"/>
      <c r="C5460" s="684"/>
      <c r="D5460" s="684"/>
      <c r="E5460" s="684"/>
      <c r="F5460" s="684"/>
      <c r="G5460" s="685"/>
    </row>
    <row r="5461" spans="1:7" x14ac:dyDescent="0.3">
      <c r="A5461" s="529" t="s">
        <v>784</v>
      </c>
      <c r="B5461" s="529"/>
      <c r="C5461" s="530" t="s">
        <v>201</v>
      </c>
      <c r="D5461" s="529"/>
      <c r="E5461" s="252"/>
      <c r="F5461" s="531"/>
      <c r="G5461" s="252">
        <f t="shared" si="123"/>
        <v>0</v>
      </c>
    </row>
    <row r="5462" spans="1:7" ht="28.8" x14ac:dyDescent="0.3">
      <c r="A5462" s="529" t="s">
        <v>785</v>
      </c>
      <c r="B5462" s="529">
        <v>98105</v>
      </c>
      <c r="C5462" s="530" t="s">
        <v>488</v>
      </c>
      <c r="D5462" s="529" t="s">
        <v>44</v>
      </c>
      <c r="E5462" s="252"/>
      <c r="F5462" s="531">
        <v>526.69000000000005</v>
      </c>
      <c r="G5462" s="252">
        <f t="shared" si="123"/>
        <v>0</v>
      </c>
    </row>
    <row r="5463" spans="1:7" x14ac:dyDescent="0.3">
      <c r="A5463" s="524" t="s">
        <v>508</v>
      </c>
      <c r="B5463" s="524" t="s">
        <v>2341</v>
      </c>
      <c r="C5463" s="525" t="s">
        <v>2342</v>
      </c>
      <c r="D5463" s="524" t="s">
        <v>397</v>
      </c>
      <c r="E5463" s="524" t="s">
        <v>2427</v>
      </c>
      <c r="F5463" s="528" t="s">
        <v>2344</v>
      </c>
      <c r="G5463" s="252">
        <f t="shared" si="123"/>
        <v>125.01</v>
      </c>
    </row>
    <row r="5464" spans="1:7" ht="28.8" x14ac:dyDescent="0.3">
      <c r="A5464" s="524" t="s">
        <v>522</v>
      </c>
      <c r="B5464" s="524" t="s">
        <v>2269</v>
      </c>
      <c r="C5464" s="525" t="s">
        <v>2270</v>
      </c>
      <c r="D5464" s="524" t="s">
        <v>41</v>
      </c>
      <c r="E5464" s="524" t="s">
        <v>1401</v>
      </c>
      <c r="F5464" s="528" t="s">
        <v>2272</v>
      </c>
      <c r="G5464" s="252">
        <f t="shared" si="123"/>
        <v>0.56000000000000005</v>
      </c>
    </row>
    <row r="5465" spans="1:7" x14ac:dyDescent="0.3">
      <c r="A5465" s="524" t="s">
        <v>522</v>
      </c>
      <c r="B5465" s="524" t="s">
        <v>1362</v>
      </c>
      <c r="C5465" s="525" t="s">
        <v>1363</v>
      </c>
      <c r="D5465" s="524" t="s">
        <v>32</v>
      </c>
      <c r="E5465" s="524" t="s">
        <v>2428</v>
      </c>
      <c r="F5465" s="528" t="s">
        <v>1365</v>
      </c>
      <c r="G5465" s="252">
        <f t="shared" si="123"/>
        <v>139.61000000000001</v>
      </c>
    </row>
    <row r="5466" spans="1:7" x14ac:dyDescent="0.3">
      <c r="A5466" s="524" t="s">
        <v>522</v>
      </c>
      <c r="B5466" s="524" t="s">
        <v>1359</v>
      </c>
      <c r="C5466" s="525" t="s">
        <v>801</v>
      </c>
      <c r="D5466" s="524" t="s">
        <v>32</v>
      </c>
      <c r="E5466" s="524" t="s">
        <v>2428</v>
      </c>
      <c r="F5466" s="528" t="s">
        <v>1361</v>
      </c>
      <c r="G5466" s="252">
        <f t="shared" si="123"/>
        <v>112.96</v>
      </c>
    </row>
    <row r="5467" spans="1:7" ht="28.8" x14ac:dyDescent="0.3">
      <c r="A5467" s="524" t="s">
        <v>522</v>
      </c>
      <c r="B5467" s="524" t="s">
        <v>2362</v>
      </c>
      <c r="C5467" s="525" t="s">
        <v>419</v>
      </c>
      <c r="D5467" s="524" t="s">
        <v>24</v>
      </c>
      <c r="E5467" s="524" t="s">
        <v>1439</v>
      </c>
      <c r="F5467" s="528" t="s">
        <v>2364</v>
      </c>
      <c r="G5467" s="252">
        <f t="shared" si="123"/>
        <v>2.91</v>
      </c>
    </row>
    <row r="5468" spans="1:7" ht="28.8" x14ac:dyDescent="0.3">
      <c r="A5468" s="524" t="s">
        <v>522</v>
      </c>
      <c r="B5468" s="524" t="s">
        <v>1413</v>
      </c>
      <c r="C5468" s="525" t="s">
        <v>1414</v>
      </c>
      <c r="D5468" s="524" t="s">
        <v>41</v>
      </c>
      <c r="E5468" s="524" t="s">
        <v>2429</v>
      </c>
      <c r="F5468" s="528" t="s">
        <v>1416</v>
      </c>
      <c r="G5468" s="252">
        <f t="shared" si="123"/>
        <v>15.21</v>
      </c>
    </row>
    <row r="5469" spans="1:7" ht="28.8" x14ac:dyDescent="0.3">
      <c r="A5469" s="524" t="s">
        <v>522</v>
      </c>
      <c r="B5469" s="524" t="s">
        <v>2430</v>
      </c>
      <c r="C5469" s="525" t="s">
        <v>2431</v>
      </c>
      <c r="D5469" s="524" t="s">
        <v>41</v>
      </c>
      <c r="E5469" s="524" t="s">
        <v>2432</v>
      </c>
      <c r="F5469" s="528" t="s">
        <v>2433</v>
      </c>
      <c r="G5469" s="252">
        <f t="shared" si="123"/>
        <v>25.41</v>
      </c>
    </row>
    <row r="5470" spans="1:7" ht="28.8" x14ac:dyDescent="0.3">
      <c r="A5470" s="524" t="s">
        <v>522</v>
      </c>
      <c r="B5470" s="524" t="s">
        <v>2434</v>
      </c>
      <c r="C5470" s="525" t="s">
        <v>2435</v>
      </c>
      <c r="D5470" s="524" t="s">
        <v>41</v>
      </c>
      <c r="E5470" s="524" t="s">
        <v>2168</v>
      </c>
      <c r="F5470" s="528" t="s">
        <v>2436</v>
      </c>
      <c r="G5470" s="252">
        <f t="shared" si="123"/>
        <v>33.119999999999997</v>
      </c>
    </row>
    <row r="5471" spans="1:7" ht="43.2" x14ac:dyDescent="0.3">
      <c r="A5471" s="524" t="s">
        <v>522</v>
      </c>
      <c r="B5471" s="524" t="s">
        <v>2370</v>
      </c>
      <c r="C5471" s="525" t="s">
        <v>2371</v>
      </c>
      <c r="D5471" s="524" t="s">
        <v>41</v>
      </c>
      <c r="E5471" s="524" t="s">
        <v>2437</v>
      </c>
      <c r="F5471" s="528" t="s">
        <v>2372</v>
      </c>
      <c r="G5471" s="252">
        <f t="shared" si="123"/>
        <v>71.900000000000006</v>
      </c>
    </row>
    <row r="5472" spans="1:7" x14ac:dyDescent="0.3">
      <c r="A5472" s="680" t="s">
        <v>1152</v>
      </c>
      <c r="B5472" s="681"/>
      <c r="C5472" s="681"/>
      <c r="D5472" s="681"/>
      <c r="E5472" s="681"/>
      <c r="F5472" s="682"/>
      <c r="G5472" s="527">
        <f>SUM(G5461:G5471)</f>
        <v>526.69000000000005</v>
      </c>
    </row>
    <row r="5473" spans="1:7" x14ac:dyDescent="0.3">
      <c r="A5473" s="683">
        <f>TRUNC(E5473*F5473,2)</f>
        <v>0</v>
      </c>
      <c r="B5473" s="684"/>
      <c r="C5473" s="684"/>
      <c r="D5473" s="684"/>
      <c r="E5473" s="684"/>
      <c r="F5473" s="684"/>
      <c r="G5473" s="685"/>
    </row>
    <row r="5474" spans="1:7" ht="28.8" x14ac:dyDescent="0.3">
      <c r="A5474" s="529" t="s">
        <v>786</v>
      </c>
      <c r="B5474" s="529">
        <v>89714</v>
      </c>
      <c r="C5474" s="530" t="s">
        <v>653</v>
      </c>
      <c r="D5474" s="529" t="s">
        <v>55</v>
      </c>
      <c r="E5474" s="252"/>
      <c r="F5474" s="531">
        <v>42.17</v>
      </c>
      <c r="G5474" s="252">
        <f t="shared" si="123"/>
        <v>0</v>
      </c>
    </row>
    <row r="5475" spans="1:7" x14ac:dyDescent="0.3">
      <c r="A5475" s="524" t="s">
        <v>508</v>
      </c>
      <c r="B5475" s="524" t="s">
        <v>1774</v>
      </c>
      <c r="C5475" s="525" t="s">
        <v>1775</v>
      </c>
      <c r="D5475" s="524" t="s">
        <v>397</v>
      </c>
      <c r="E5475" s="524" t="s">
        <v>1776</v>
      </c>
      <c r="F5475" s="526" t="s">
        <v>1777</v>
      </c>
      <c r="G5475" s="252">
        <f t="shared" si="123"/>
        <v>3</v>
      </c>
    </row>
    <row r="5476" spans="1:7" x14ac:dyDescent="0.3">
      <c r="A5476" s="524" t="s">
        <v>508</v>
      </c>
      <c r="B5476" s="524" t="s">
        <v>1778</v>
      </c>
      <c r="C5476" s="525" t="s">
        <v>1779</v>
      </c>
      <c r="D5476" s="524" t="s">
        <v>55</v>
      </c>
      <c r="E5476" s="524" t="s">
        <v>1697</v>
      </c>
      <c r="F5476" s="526" t="s">
        <v>1780</v>
      </c>
      <c r="G5476" s="252">
        <f t="shared" si="123"/>
        <v>11.01</v>
      </c>
    </row>
    <row r="5477" spans="1:7" x14ac:dyDescent="0.3">
      <c r="A5477" s="524" t="s">
        <v>508</v>
      </c>
      <c r="B5477" s="524" t="s">
        <v>1781</v>
      </c>
      <c r="C5477" s="525" t="s">
        <v>1782</v>
      </c>
      <c r="D5477" s="524" t="s">
        <v>397</v>
      </c>
      <c r="E5477" s="524" t="s">
        <v>1783</v>
      </c>
      <c r="F5477" s="526" t="s">
        <v>1784</v>
      </c>
      <c r="G5477" s="252">
        <f t="shared" si="123"/>
        <v>4.25</v>
      </c>
    </row>
    <row r="5478" spans="1:7" x14ac:dyDescent="0.3">
      <c r="A5478" s="524" t="s">
        <v>508</v>
      </c>
      <c r="B5478" s="524" t="s">
        <v>1785</v>
      </c>
      <c r="C5478" s="525" t="s">
        <v>1786</v>
      </c>
      <c r="D5478" s="524" t="s">
        <v>397</v>
      </c>
      <c r="E5478" s="524" t="s">
        <v>1094</v>
      </c>
      <c r="F5478" s="526" t="s">
        <v>1563</v>
      </c>
      <c r="G5478" s="252">
        <f t="shared" si="123"/>
        <v>0.49</v>
      </c>
    </row>
    <row r="5479" spans="1:7" ht="28.8" x14ac:dyDescent="0.3">
      <c r="A5479" s="524" t="s">
        <v>522</v>
      </c>
      <c r="B5479" s="524" t="s">
        <v>1726</v>
      </c>
      <c r="C5479" s="525" t="s">
        <v>1727</v>
      </c>
      <c r="D5479" s="524" t="s">
        <v>32</v>
      </c>
      <c r="E5479" s="524" t="s">
        <v>1787</v>
      </c>
      <c r="F5479" s="526" t="s">
        <v>1729</v>
      </c>
      <c r="G5479" s="252">
        <f t="shared" si="123"/>
        <v>10.26</v>
      </c>
    </row>
    <row r="5480" spans="1:7" x14ac:dyDescent="0.3">
      <c r="A5480" s="524" t="s">
        <v>522</v>
      </c>
      <c r="B5480" s="524" t="s">
        <v>1367</v>
      </c>
      <c r="C5480" s="525" t="s">
        <v>1368</v>
      </c>
      <c r="D5480" s="524" t="s">
        <v>32</v>
      </c>
      <c r="E5480" s="524" t="s">
        <v>1787</v>
      </c>
      <c r="F5480" s="526" t="s">
        <v>1370</v>
      </c>
      <c r="G5480" s="252">
        <f t="shared" si="123"/>
        <v>13.16</v>
      </c>
    </row>
    <row r="5481" spans="1:7" x14ac:dyDescent="0.3">
      <c r="A5481" s="680" t="s">
        <v>1152</v>
      </c>
      <c r="B5481" s="681"/>
      <c r="C5481" s="681"/>
      <c r="D5481" s="681"/>
      <c r="E5481" s="681"/>
      <c r="F5481" s="682"/>
      <c r="G5481" s="527">
        <f>SUM(G5474:G5480)</f>
        <v>42.17</v>
      </c>
    </row>
    <row r="5482" spans="1:7" x14ac:dyDescent="0.3">
      <c r="A5482" s="683">
        <f>TRUNC(E5482*F5482,2)</f>
        <v>0</v>
      </c>
      <c r="B5482" s="684"/>
      <c r="C5482" s="684"/>
      <c r="D5482" s="684"/>
      <c r="E5482" s="684"/>
      <c r="F5482" s="684"/>
      <c r="G5482" s="685"/>
    </row>
    <row r="5483" spans="1:7" ht="28.8" x14ac:dyDescent="0.3">
      <c r="A5483" s="529" t="s">
        <v>787</v>
      </c>
      <c r="B5483" s="529">
        <v>89712</v>
      </c>
      <c r="C5483" s="530" t="s">
        <v>489</v>
      </c>
      <c r="D5483" s="529" t="s">
        <v>55</v>
      </c>
      <c r="E5483" s="252"/>
      <c r="F5483" s="531">
        <v>21.1</v>
      </c>
      <c r="G5483" s="252">
        <f t="shared" si="123"/>
        <v>0</v>
      </c>
    </row>
    <row r="5484" spans="1:7" x14ac:dyDescent="0.3">
      <c r="A5484" s="524" t="s">
        <v>508</v>
      </c>
      <c r="B5484" s="524" t="s">
        <v>1774</v>
      </c>
      <c r="C5484" s="525" t="s">
        <v>1775</v>
      </c>
      <c r="D5484" s="524" t="s">
        <v>397</v>
      </c>
      <c r="E5484" s="524" t="s">
        <v>1788</v>
      </c>
      <c r="F5484" s="526" t="s">
        <v>1777</v>
      </c>
      <c r="G5484" s="252">
        <f t="shared" si="123"/>
        <v>0.89</v>
      </c>
    </row>
    <row r="5485" spans="1:7" x14ac:dyDescent="0.3">
      <c r="A5485" s="524" t="s">
        <v>508</v>
      </c>
      <c r="B5485" s="524" t="s">
        <v>1789</v>
      </c>
      <c r="C5485" s="525" t="s">
        <v>1790</v>
      </c>
      <c r="D5485" s="524" t="s">
        <v>55</v>
      </c>
      <c r="E5485" s="524" t="s">
        <v>1697</v>
      </c>
      <c r="F5485" s="526" t="s">
        <v>1791</v>
      </c>
      <c r="G5485" s="252">
        <f t="shared" si="123"/>
        <v>6.76</v>
      </c>
    </row>
    <row r="5486" spans="1:7" x14ac:dyDescent="0.3">
      <c r="A5486" s="524" t="s">
        <v>508</v>
      </c>
      <c r="B5486" s="524" t="s">
        <v>1781</v>
      </c>
      <c r="C5486" s="525" t="s">
        <v>1782</v>
      </c>
      <c r="D5486" s="524" t="s">
        <v>397</v>
      </c>
      <c r="E5486" s="524" t="s">
        <v>1792</v>
      </c>
      <c r="F5486" s="526" t="s">
        <v>1784</v>
      </c>
      <c r="G5486" s="252">
        <f t="shared" si="123"/>
        <v>1.17</v>
      </c>
    </row>
    <row r="5487" spans="1:7" x14ac:dyDescent="0.3">
      <c r="A5487" s="524" t="s">
        <v>508</v>
      </c>
      <c r="B5487" s="524" t="s">
        <v>1785</v>
      </c>
      <c r="C5487" s="525" t="s">
        <v>1786</v>
      </c>
      <c r="D5487" s="524" t="s">
        <v>397</v>
      </c>
      <c r="E5487" s="524" t="s">
        <v>1793</v>
      </c>
      <c r="F5487" s="526" t="s">
        <v>1563</v>
      </c>
      <c r="G5487" s="252">
        <f t="shared" si="123"/>
        <v>0.25</v>
      </c>
    </row>
    <row r="5488" spans="1:7" ht="28.8" x14ac:dyDescent="0.3">
      <c r="A5488" s="524" t="s">
        <v>522</v>
      </c>
      <c r="B5488" s="524" t="s">
        <v>1726</v>
      </c>
      <c r="C5488" s="525" t="s">
        <v>1727</v>
      </c>
      <c r="D5488" s="524" t="s">
        <v>32</v>
      </c>
      <c r="E5488" s="524" t="s">
        <v>1794</v>
      </c>
      <c r="F5488" s="526" t="s">
        <v>1729</v>
      </c>
      <c r="G5488" s="252">
        <f t="shared" si="123"/>
        <v>5.27</v>
      </c>
    </row>
    <row r="5489" spans="1:7" x14ac:dyDescent="0.3">
      <c r="A5489" s="524" t="s">
        <v>522</v>
      </c>
      <c r="B5489" s="524" t="s">
        <v>1367</v>
      </c>
      <c r="C5489" s="525" t="s">
        <v>1368</v>
      </c>
      <c r="D5489" s="524" t="s">
        <v>32</v>
      </c>
      <c r="E5489" s="524" t="s">
        <v>1794</v>
      </c>
      <c r="F5489" s="526" t="s">
        <v>1370</v>
      </c>
      <c r="G5489" s="252">
        <f t="shared" si="123"/>
        <v>6.76</v>
      </c>
    </row>
    <row r="5490" spans="1:7" x14ac:dyDescent="0.3">
      <c r="A5490" s="680" t="s">
        <v>1152</v>
      </c>
      <c r="B5490" s="681"/>
      <c r="C5490" s="681"/>
      <c r="D5490" s="681"/>
      <c r="E5490" s="681"/>
      <c r="F5490" s="682"/>
      <c r="G5490" s="527">
        <f>SUM(G5483:G5489)</f>
        <v>21.1</v>
      </c>
    </row>
    <row r="5491" spans="1:7" x14ac:dyDescent="0.3">
      <c r="A5491" s="683">
        <f>TRUNC(E5491*F5491,2)</f>
        <v>0</v>
      </c>
      <c r="B5491" s="684"/>
      <c r="C5491" s="684"/>
      <c r="D5491" s="684"/>
      <c r="E5491" s="684"/>
      <c r="F5491" s="684"/>
      <c r="G5491" s="685"/>
    </row>
    <row r="5492" spans="1:7" ht="43.2" x14ac:dyDescent="0.3">
      <c r="A5492" s="529" t="s">
        <v>788</v>
      </c>
      <c r="B5492" s="529">
        <v>89733</v>
      </c>
      <c r="C5492" s="530" t="s">
        <v>490</v>
      </c>
      <c r="D5492" s="529" t="s">
        <v>44</v>
      </c>
      <c r="E5492" s="252"/>
      <c r="F5492" s="531">
        <v>13.77</v>
      </c>
      <c r="G5492" s="252">
        <f t="shared" si="123"/>
        <v>0</v>
      </c>
    </row>
    <row r="5493" spans="1:7" x14ac:dyDescent="0.3">
      <c r="A5493" s="524" t="s">
        <v>508</v>
      </c>
      <c r="B5493" s="524" t="s">
        <v>1806</v>
      </c>
      <c r="C5493" s="525" t="s">
        <v>1807</v>
      </c>
      <c r="D5493" s="524" t="s">
        <v>397</v>
      </c>
      <c r="E5493" s="524" t="s">
        <v>1122</v>
      </c>
      <c r="F5493" s="528" t="s">
        <v>1455</v>
      </c>
      <c r="G5493" s="252">
        <f t="shared" si="123"/>
        <v>2.0499999999999998</v>
      </c>
    </row>
    <row r="5494" spans="1:7" x14ac:dyDescent="0.3">
      <c r="A5494" s="524" t="s">
        <v>508</v>
      </c>
      <c r="B5494" s="524" t="s">
        <v>2438</v>
      </c>
      <c r="C5494" s="525" t="s">
        <v>2439</v>
      </c>
      <c r="D5494" s="524" t="s">
        <v>397</v>
      </c>
      <c r="E5494" s="524" t="s">
        <v>1122</v>
      </c>
      <c r="F5494" s="528" t="s">
        <v>2440</v>
      </c>
      <c r="G5494" s="252">
        <f t="shared" si="123"/>
        <v>7.01</v>
      </c>
    </row>
    <row r="5495" spans="1:7" ht="28.8" x14ac:dyDescent="0.3">
      <c r="A5495" s="524" t="s">
        <v>508</v>
      </c>
      <c r="B5495" s="524" t="s">
        <v>1798</v>
      </c>
      <c r="C5495" s="525" t="s">
        <v>1799</v>
      </c>
      <c r="D5495" s="524" t="s">
        <v>397</v>
      </c>
      <c r="E5495" s="524" t="s">
        <v>1515</v>
      </c>
      <c r="F5495" s="528" t="s">
        <v>1801</v>
      </c>
      <c r="G5495" s="252">
        <f t="shared" si="123"/>
        <v>0.6</v>
      </c>
    </row>
    <row r="5496" spans="1:7" ht="28.8" x14ac:dyDescent="0.3">
      <c r="A5496" s="524" t="s">
        <v>522</v>
      </c>
      <c r="B5496" s="524" t="s">
        <v>1726</v>
      </c>
      <c r="C5496" s="525" t="s">
        <v>1727</v>
      </c>
      <c r="D5496" s="524" t="s">
        <v>32</v>
      </c>
      <c r="E5496" s="524" t="s">
        <v>1811</v>
      </c>
      <c r="F5496" s="528" t="s">
        <v>1729</v>
      </c>
      <c r="G5496" s="252">
        <f t="shared" si="123"/>
        <v>1.8</v>
      </c>
    </row>
    <row r="5497" spans="1:7" x14ac:dyDescent="0.3">
      <c r="A5497" s="524" t="s">
        <v>522</v>
      </c>
      <c r="B5497" s="524" t="s">
        <v>1367</v>
      </c>
      <c r="C5497" s="525" t="s">
        <v>1368</v>
      </c>
      <c r="D5497" s="524" t="s">
        <v>32</v>
      </c>
      <c r="E5497" s="524" t="s">
        <v>1811</v>
      </c>
      <c r="F5497" s="528" t="s">
        <v>1370</v>
      </c>
      <c r="G5497" s="252">
        <f t="shared" si="123"/>
        <v>2.31</v>
      </c>
    </row>
    <row r="5498" spans="1:7" x14ac:dyDescent="0.3">
      <c r="A5498" s="680" t="s">
        <v>1152</v>
      </c>
      <c r="B5498" s="681"/>
      <c r="C5498" s="681"/>
      <c r="D5498" s="681"/>
      <c r="E5498" s="681"/>
      <c r="F5498" s="682"/>
      <c r="G5498" s="527">
        <f>SUM(G5491:G5497)</f>
        <v>13.77</v>
      </c>
    </row>
    <row r="5499" spans="1:7" x14ac:dyDescent="0.3">
      <c r="A5499" s="683">
        <f>TRUNC(E5499*F5499,2)</f>
        <v>0</v>
      </c>
      <c r="B5499" s="684"/>
      <c r="C5499" s="684"/>
      <c r="D5499" s="684"/>
      <c r="E5499" s="684"/>
      <c r="F5499" s="684"/>
      <c r="G5499" s="685"/>
    </row>
    <row r="5500" spans="1:7" x14ac:dyDescent="0.3">
      <c r="A5500" s="529" t="s">
        <v>789</v>
      </c>
      <c r="B5500" s="529"/>
      <c r="C5500" s="530" t="s">
        <v>212</v>
      </c>
      <c r="D5500" s="529"/>
      <c r="E5500" s="252"/>
      <c r="F5500" s="531"/>
      <c r="G5500" s="252">
        <f t="shared" si="123"/>
        <v>0</v>
      </c>
    </row>
    <row r="5501" spans="1:7" ht="28.8" x14ac:dyDescent="0.3">
      <c r="A5501" s="529" t="s">
        <v>790</v>
      </c>
      <c r="B5501" s="529">
        <v>96114</v>
      </c>
      <c r="C5501" s="530" t="s">
        <v>639</v>
      </c>
      <c r="D5501" s="529" t="s">
        <v>24</v>
      </c>
      <c r="E5501" s="252"/>
      <c r="F5501" s="531">
        <v>49.24</v>
      </c>
      <c r="G5501" s="252">
        <f t="shared" si="123"/>
        <v>0</v>
      </c>
    </row>
    <row r="5502" spans="1:7" ht="28.8" x14ac:dyDescent="0.3">
      <c r="A5502" s="524" t="s">
        <v>508</v>
      </c>
      <c r="B5502" s="524" t="s">
        <v>1843</v>
      </c>
      <c r="C5502" s="525" t="s">
        <v>1844</v>
      </c>
      <c r="D5502" s="524" t="s">
        <v>24</v>
      </c>
      <c r="E5502" s="606">
        <v>1</v>
      </c>
      <c r="F5502" s="526" t="s">
        <v>1845</v>
      </c>
      <c r="G5502" s="252">
        <f t="shared" si="123"/>
        <v>19.97</v>
      </c>
    </row>
    <row r="5503" spans="1:7" ht="28.8" x14ac:dyDescent="0.3">
      <c r="A5503" s="524" t="s">
        <v>508</v>
      </c>
      <c r="B5503" s="524" t="s">
        <v>1846</v>
      </c>
      <c r="C5503" s="525" t="s">
        <v>1847</v>
      </c>
      <c r="D5503" s="524" t="s">
        <v>55</v>
      </c>
      <c r="E5503" s="606">
        <v>3</v>
      </c>
      <c r="F5503" s="526" t="s">
        <v>1848</v>
      </c>
      <c r="G5503" s="252">
        <f t="shared" si="123"/>
        <v>11.79</v>
      </c>
    </row>
    <row r="5504" spans="1:7" ht="28.8" x14ac:dyDescent="0.3">
      <c r="A5504" s="524" t="s">
        <v>508</v>
      </c>
      <c r="B5504" s="524" t="s">
        <v>1849</v>
      </c>
      <c r="C5504" s="525" t="s">
        <v>1850</v>
      </c>
      <c r="D5504" s="524" t="s">
        <v>397</v>
      </c>
      <c r="E5504" s="606">
        <v>1</v>
      </c>
      <c r="F5504" s="526" t="s">
        <v>1851</v>
      </c>
      <c r="G5504" s="252">
        <f t="shared" si="123"/>
        <v>1.48</v>
      </c>
    </row>
    <row r="5505" spans="1:7" ht="28.8" x14ac:dyDescent="0.3">
      <c r="A5505" s="524" t="s">
        <v>508</v>
      </c>
      <c r="B5505" s="524" t="s">
        <v>1852</v>
      </c>
      <c r="C5505" s="525" t="s">
        <v>1853</v>
      </c>
      <c r="D5505" s="524" t="s">
        <v>55</v>
      </c>
      <c r="E5505" s="606">
        <v>1.4</v>
      </c>
      <c r="F5505" s="526" t="s">
        <v>1854</v>
      </c>
      <c r="G5505" s="252">
        <f t="shared" si="123"/>
        <v>4.1399999999999997</v>
      </c>
    </row>
    <row r="5506" spans="1:7" ht="28.8" x14ac:dyDescent="0.3">
      <c r="A5506" s="524" t="s">
        <v>508</v>
      </c>
      <c r="B5506" s="524" t="s">
        <v>1855</v>
      </c>
      <c r="C5506" s="525" t="s">
        <v>1856</v>
      </c>
      <c r="D5506" s="524" t="s">
        <v>426</v>
      </c>
      <c r="E5506" s="606">
        <v>0.5</v>
      </c>
      <c r="F5506" s="526" t="s">
        <v>1501</v>
      </c>
      <c r="G5506" s="252">
        <f t="shared" si="123"/>
        <v>1.98</v>
      </c>
    </row>
    <row r="5507" spans="1:7" ht="28.8" x14ac:dyDescent="0.3">
      <c r="A5507" s="524" t="s">
        <v>508</v>
      </c>
      <c r="B5507" s="524" t="s">
        <v>1857</v>
      </c>
      <c r="C5507" s="525" t="s">
        <v>1858</v>
      </c>
      <c r="D5507" s="524" t="s">
        <v>397</v>
      </c>
      <c r="E5507" s="606">
        <v>7</v>
      </c>
      <c r="F5507" s="526" t="s">
        <v>1327</v>
      </c>
      <c r="G5507" s="252">
        <f t="shared" si="123"/>
        <v>0.49</v>
      </c>
    </row>
    <row r="5508" spans="1:7" ht="28.8" x14ac:dyDescent="0.3">
      <c r="A5508" s="524" t="s">
        <v>508</v>
      </c>
      <c r="B5508" s="524" t="s">
        <v>1859</v>
      </c>
      <c r="C5508" s="525" t="s">
        <v>1860</v>
      </c>
      <c r="D5508" s="524" t="s">
        <v>397</v>
      </c>
      <c r="E5508" s="606">
        <v>2</v>
      </c>
      <c r="F5508" s="526" t="s">
        <v>1861</v>
      </c>
      <c r="G5508" s="252">
        <f t="shared" si="123"/>
        <v>0.32</v>
      </c>
    </row>
    <row r="5509" spans="1:7" x14ac:dyDescent="0.3">
      <c r="A5509" s="524" t="s">
        <v>508</v>
      </c>
      <c r="B5509" s="524" t="s">
        <v>1862</v>
      </c>
      <c r="C5509" s="525" t="s">
        <v>1863</v>
      </c>
      <c r="D5509" s="524" t="s">
        <v>1458</v>
      </c>
      <c r="E5509" s="524" t="s">
        <v>1864</v>
      </c>
      <c r="F5509" s="526" t="s">
        <v>1865</v>
      </c>
      <c r="G5509" s="252">
        <f t="shared" si="123"/>
        <v>0.24</v>
      </c>
    </row>
    <row r="5510" spans="1:7" ht="28.8" x14ac:dyDescent="0.3">
      <c r="A5510" s="524" t="s">
        <v>508</v>
      </c>
      <c r="B5510" s="524" t="s">
        <v>1866</v>
      </c>
      <c r="C5510" s="525" t="s">
        <v>1867</v>
      </c>
      <c r="D5510" s="524" t="s">
        <v>426</v>
      </c>
      <c r="E5510" s="524" t="s">
        <v>1868</v>
      </c>
      <c r="F5510" s="526" t="s">
        <v>1869</v>
      </c>
      <c r="G5510" s="252">
        <f t="shared" si="123"/>
        <v>0.68</v>
      </c>
    </row>
    <row r="5511" spans="1:7" x14ac:dyDescent="0.3">
      <c r="A5511" s="524" t="s">
        <v>522</v>
      </c>
      <c r="B5511" s="524" t="s">
        <v>1870</v>
      </c>
      <c r="C5511" s="525" t="s">
        <v>1871</v>
      </c>
      <c r="D5511" s="524" t="s">
        <v>32</v>
      </c>
      <c r="E5511" s="607">
        <v>0.3</v>
      </c>
      <c r="F5511" s="526" t="s">
        <v>1872</v>
      </c>
      <c r="G5511" s="252">
        <f t="shared" si="123"/>
        <v>3.84</v>
      </c>
    </row>
    <row r="5512" spans="1:7" x14ac:dyDescent="0.3">
      <c r="A5512" s="524" t="s">
        <v>522</v>
      </c>
      <c r="B5512" s="524" t="s">
        <v>1359</v>
      </c>
      <c r="C5512" s="525" t="s">
        <v>801</v>
      </c>
      <c r="D5512" s="524" t="s">
        <v>32</v>
      </c>
      <c r="E5512" s="607">
        <v>0.3</v>
      </c>
      <c r="F5512" s="526" t="s">
        <v>1361</v>
      </c>
      <c r="G5512" s="252">
        <f t="shared" si="123"/>
        <v>4.3099999999999996</v>
      </c>
    </row>
    <row r="5513" spans="1:7" x14ac:dyDescent="0.3">
      <c r="A5513" s="680" t="s">
        <v>1152</v>
      </c>
      <c r="B5513" s="681"/>
      <c r="C5513" s="681"/>
      <c r="D5513" s="681"/>
      <c r="E5513" s="681"/>
      <c r="F5513" s="682"/>
      <c r="G5513" s="527">
        <f>SUM(G5500:G5512)</f>
        <v>49.239999999999995</v>
      </c>
    </row>
    <row r="5514" spans="1:7" x14ac:dyDescent="0.3">
      <c r="A5514" s="683">
        <f>TRUNC(E5514*F5514,2)</f>
        <v>0</v>
      </c>
      <c r="B5514" s="684"/>
      <c r="C5514" s="684"/>
      <c r="D5514" s="684"/>
      <c r="E5514" s="684"/>
      <c r="F5514" s="684"/>
      <c r="G5514" s="685"/>
    </row>
    <row r="5515" spans="1:7" x14ac:dyDescent="0.3">
      <c r="A5515" s="529">
        <v>16</v>
      </c>
      <c r="B5515" s="529"/>
      <c r="C5515" s="530" t="s">
        <v>636</v>
      </c>
      <c r="D5515" s="529"/>
      <c r="E5515" s="252"/>
      <c r="F5515" s="531"/>
      <c r="G5515" s="252">
        <f t="shared" si="123"/>
        <v>0</v>
      </c>
    </row>
    <row r="5516" spans="1:7" x14ac:dyDescent="0.3">
      <c r="A5516" s="529" t="s">
        <v>791</v>
      </c>
      <c r="B5516" s="529">
        <v>99802</v>
      </c>
      <c r="C5516" s="530" t="s">
        <v>637</v>
      </c>
      <c r="D5516" s="529" t="s">
        <v>24</v>
      </c>
      <c r="E5516" s="252"/>
      <c r="F5516" s="531">
        <v>0.35</v>
      </c>
      <c r="G5516" s="252">
        <f t="shared" si="123"/>
        <v>0</v>
      </c>
    </row>
    <row r="5517" spans="1:7" x14ac:dyDescent="0.3">
      <c r="A5517" s="524" t="s">
        <v>522</v>
      </c>
      <c r="B5517" s="524" t="s">
        <v>1359</v>
      </c>
      <c r="C5517" s="525" t="s">
        <v>801</v>
      </c>
      <c r="D5517" s="524" t="s">
        <v>32</v>
      </c>
      <c r="E5517" s="524" t="s">
        <v>2063</v>
      </c>
      <c r="F5517" s="528" t="s">
        <v>1361</v>
      </c>
      <c r="G5517" s="252">
        <f t="shared" si="123"/>
        <v>0.35</v>
      </c>
    </row>
    <row r="5518" spans="1:7" x14ac:dyDescent="0.3">
      <c r="A5518" s="680" t="s">
        <v>1152</v>
      </c>
      <c r="B5518" s="681"/>
      <c r="C5518" s="681"/>
      <c r="D5518" s="681"/>
      <c r="E5518" s="681"/>
      <c r="F5518" s="682"/>
      <c r="G5518" s="527">
        <f>SUM(G5515:G5517)</f>
        <v>0.35</v>
      </c>
    </row>
    <row r="5519" spans="1:7" x14ac:dyDescent="0.3">
      <c r="A5519" s="683">
        <f>TRUNC(E5519*F5519,2)</f>
        <v>0</v>
      </c>
      <c r="B5519" s="684"/>
      <c r="C5519" s="684"/>
      <c r="D5519" s="684"/>
      <c r="E5519" s="684"/>
      <c r="F5519" s="684"/>
      <c r="G5519" s="685"/>
    </row>
    <row r="5520" spans="1:7" x14ac:dyDescent="0.3">
      <c r="A5520" s="529" t="s">
        <v>792</v>
      </c>
      <c r="B5520" s="529">
        <v>99808</v>
      </c>
      <c r="C5520" s="530" t="s">
        <v>638</v>
      </c>
      <c r="D5520" s="529" t="s">
        <v>24</v>
      </c>
      <c r="E5520" s="252"/>
      <c r="F5520" s="531">
        <v>2.41</v>
      </c>
      <c r="G5520" s="252">
        <f t="shared" si="123"/>
        <v>0</v>
      </c>
    </row>
    <row r="5521" spans="1:7" x14ac:dyDescent="0.3">
      <c r="A5521" s="524" t="s">
        <v>508</v>
      </c>
      <c r="B5521" s="524" t="s">
        <v>2441</v>
      </c>
      <c r="C5521" s="525" t="s">
        <v>2442</v>
      </c>
      <c r="D5521" s="524" t="s">
        <v>1392</v>
      </c>
      <c r="E5521" s="524" t="s">
        <v>1583</v>
      </c>
      <c r="F5521" s="528" t="s">
        <v>2443</v>
      </c>
      <c r="G5521" s="252">
        <f t="shared" si="123"/>
        <v>0.22</v>
      </c>
    </row>
    <row r="5522" spans="1:7" x14ac:dyDescent="0.3">
      <c r="A5522" s="524" t="s">
        <v>522</v>
      </c>
      <c r="B5522" s="524" t="s">
        <v>1359</v>
      </c>
      <c r="C5522" s="525" t="s">
        <v>801</v>
      </c>
      <c r="D5522" s="524" t="s">
        <v>32</v>
      </c>
      <c r="E5522" s="524" t="s">
        <v>2444</v>
      </c>
      <c r="F5522" s="528" t="s">
        <v>1361</v>
      </c>
      <c r="G5522" s="252">
        <f t="shared" si="123"/>
        <v>2.19</v>
      </c>
    </row>
    <row r="5523" spans="1:7" x14ac:dyDescent="0.3">
      <c r="A5523" s="680" t="s">
        <v>1152</v>
      </c>
      <c r="B5523" s="681"/>
      <c r="C5523" s="681"/>
      <c r="D5523" s="681"/>
      <c r="E5523" s="681"/>
      <c r="F5523" s="682"/>
      <c r="G5523" s="527">
        <f>SUM(G5520:G5522)</f>
        <v>2.41</v>
      </c>
    </row>
    <row r="5524" spans="1:7" x14ac:dyDescent="0.3">
      <c r="A5524" s="683">
        <f>TRUNC(E5524*F5524,2)</f>
        <v>0</v>
      </c>
      <c r="B5524" s="684"/>
      <c r="C5524" s="684"/>
      <c r="D5524" s="684"/>
      <c r="E5524" s="684"/>
      <c r="F5524" s="684"/>
      <c r="G5524" s="685"/>
    </row>
    <row r="5525" spans="1:7" x14ac:dyDescent="0.3">
      <c r="A5525" s="529" t="s">
        <v>793</v>
      </c>
      <c r="B5525" s="529" t="s">
        <v>646</v>
      </c>
      <c r="C5525" s="530" t="s">
        <v>647</v>
      </c>
      <c r="D5525" s="529" t="s">
        <v>44</v>
      </c>
      <c r="E5525" s="252"/>
      <c r="F5525" s="531">
        <v>397</v>
      </c>
      <c r="G5525" s="252">
        <f t="shared" si="123"/>
        <v>0</v>
      </c>
    </row>
    <row r="5526" spans="1:7" x14ac:dyDescent="0.3">
      <c r="A5526" s="529"/>
      <c r="B5526" s="593"/>
      <c r="C5526" s="592" t="s">
        <v>642</v>
      </c>
      <c r="D5526" s="593" t="s">
        <v>44</v>
      </c>
      <c r="E5526" s="630">
        <v>1</v>
      </c>
      <c r="F5526" s="598">
        <v>327</v>
      </c>
      <c r="G5526" s="252">
        <f t="shared" si="123"/>
        <v>327</v>
      </c>
    </row>
    <row r="5527" spans="1:7" x14ac:dyDescent="0.3">
      <c r="A5527" s="529"/>
      <c r="B5527" s="593"/>
      <c r="C5527" s="592" t="s">
        <v>643</v>
      </c>
      <c r="D5527" s="593" t="s">
        <v>44</v>
      </c>
      <c r="E5527" s="630">
        <v>7</v>
      </c>
      <c r="F5527" s="598">
        <v>10</v>
      </c>
      <c r="G5527" s="252">
        <f t="shared" si="123"/>
        <v>70</v>
      </c>
    </row>
    <row r="5528" spans="1:7" x14ac:dyDescent="0.3">
      <c r="A5528" s="680" t="s">
        <v>1152</v>
      </c>
      <c r="B5528" s="681"/>
      <c r="C5528" s="681"/>
      <c r="D5528" s="681"/>
      <c r="E5528" s="681"/>
      <c r="F5528" s="682"/>
      <c r="G5528" s="527">
        <f>SUM(G5525:G5527)</f>
        <v>397</v>
      </c>
    </row>
    <row r="5529" spans="1:7" x14ac:dyDescent="0.3">
      <c r="A5529" s="683">
        <f>TRUNC(E5529*F5529,2)</f>
        <v>0</v>
      </c>
      <c r="B5529" s="684"/>
      <c r="C5529" s="684"/>
      <c r="D5529" s="684"/>
      <c r="E5529" s="684"/>
      <c r="F5529" s="684"/>
      <c r="G5529" s="685"/>
    </row>
  </sheetData>
  <mergeCells count="1487">
    <mergeCell ref="A5523:F5523"/>
    <mergeCell ref="A5524:G5524"/>
    <mergeCell ref="A5528:F5528"/>
    <mergeCell ref="A5529:G5529"/>
    <mergeCell ref="A5409:F5409"/>
    <mergeCell ref="A5410:G5410"/>
    <mergeCell ref="A5431:F5431"/>
    <mergeCell ref="A5432:G5432"/>
    <mergeCell ref="A5438:F5438"/>
    <mergeCell ref="A5439:G5439"/>
    <mergeCell ref="A5445:F5445"/>
    <mergeCell ref="A5446:G5446"/>
    <mergeCell ref="A5452:F5452"/>
    <mergeCell ref="A5453:G5453"/>
    <mergeCell ref="A5459:F5459"/>
    <mergeCell ref="A5460:G5460"/>
    <mergeCell ref="A5472:F5472"/>
    <mergeCell ref="A5473:G5473"/>
    <mergeCell ref="A5498:F5498"/>
    <mergeCell ref="A5499:G5499"/>
    <mergeCell ref="A5518:F5518"/>
    <mergeCell ref="A5513:F5513"/>
    <mergeCell ref="A5514:G5514"/>
    <mergeCell ref="A5423:F5423"/>
    <mergeCell ref="A5490:F5490"/>
    <mergeCell ref="A5491:G5491"/>
    <mergeCell ref="F2:G2"/>
    <mergeCell ref="F3:G3"/>
    <mergeCell ref="D2:E2"/>
    <mergeCell ref="D3:E3"/>
    <mergeCell ref="A5519:G5519"/>
    <mergeCell ref="A4920:G4920"/>
    <mergeCell ref="A4925:F4925"/>
    <mergeCell ref="A4926:G4926"/>
    <mergeCell ref="A4994:F4994"/>
    <mergeCell ref="A4995:G4995"/>
    <mergeCell ref="A5054:F5054"/>
    <mergeCell ref="A4545:F4545"/>
    <mergeCell ref="A4546:G4546"/>
    <mergeCell ref="A4574:G4574"/>
    <mergeCell ref="A5424:G5424"/>
    <mergeCell ref="A5481:F5481"/>
    <mergeCell ref="A5482:G5482"/>
    <mergeCell ref="A5263:F5263"/>
    <mergeCell ref="A5264:G5264"/>
    <mergeCell ref="A5284:F5284"/>
    <mergeCell ref="A5416:F5416"/>
    <mergeCell ref="A5417:G5417"/>
    <mergeCell ref="A5403:F5403"/>
    <mergeCell ref="A5404:G5404"/>
    <mergeCell ref="A5343:F5343"/>
    <mergeCell ref="A5303:F5303"/>
    <mergeCell ref="A5304:G5304"/>
    <mergeCell ref="A5397:F5397"/>
    <mergeCell ref="A5398:G5398"/>
    <mergeCell ref="A5381:F5381"/>
    <mergeCell ref="A5322:F5322"/>
    <mergeCell ref="A5323:G5323"/>
    <mergeCell ref="A5362:F5362"/>
    <mergeCell ref="A5049:F5049"/>
    <mergeCell ref="A4906:G4906"/>
    <mergeCell ref="A4912:F4912"/>
    <mergeCell ref="A4913:G4913"/>
    <mergeCell ref="A4919:F4919"/>
    <mergeCell ref="A5285:G5285"/>
    <mergeCell ref="A5290:F5290"/>
    <mergeCell ref="A5291:G5291"/>
    <mergeCell ref="A5296:F5296"/>
    <mergeCell ref="A5297:G5297"/>
    <mergeCell ref="A5315:F5315"/>
    <mergeCell ref="A5316:G5316"/>
    <mergeCell ref="A5329:F5329"/>
    <mergeCell ref="A5330:G5330"/>
    <mergeCell ref="A5335:F5335"/>
    <mergeCell ref="A5336:G5336"/>
    <mergeCell ref="A5055:G5055"/>
    <mergeCell ref="A5101:G5101"/>
    <mergeCell ref="A5001:G5001"/>
    <mergeCell ref="A4987:F4987"/>
    <mergeCell ref="A4988:G4988"/>
    <mergeCell ref="A5349:G5349"/>
    <mergeCell ref="A5034:F5034"/>
    <mergeCell ref="A5035:G5035"/>
    <mergeCell ref="A5278:G5278"/>
    <mergeCell ref="A5270:F5270"/>
    <mergeCell ref="A4505:F4505"/>
    <mergeCell ref="A4506:G4506"/>
    <mergeCell ref="A5114:G5114"/>
    <mergeCell ref="A5126:F5126"/>
    <mergeCell ref="A5127:G5127"/>
    <mergeCell ref="A5133:F5133"/>
    <mergeCell ref="A5134:G5134"/>
    <mergeCell ref="A5172:F5172"/>
    <mergeCell ref="A5173:G5173"/>
    <mergeCell ref="A5178:F5178"/>
    <mergeCell ref="A5179:G5179"/>
    <mergeCell ref="A5191:F5191"/>
    <mergeCell ref="A5192:G5192"/>
    <mergeCell ref="A5216:F5216"/>
    <mergeCell ref="A5217:G5217"/>
    <mergeCell ref="A5222:F5222"/>
    <mergeCell ref="A5223:G5223"/>
    <mergeCell ref="A4552:F4552"/>
    <mergeCell ref="A4553:G4553"/>
    <mergeCell ref="A5026:F5026"/>
    <mergeCell ref="A5027:G5027"/>
    <mergeCell ref="A4591:F4591"/>
    <mergeCell ref="A4892:G4892"/>
    <mergeCell ref="A4734:G4734"/>
    <mergeCell ref="A4795:F4795"/>
    <mergeCell ref="A4644:F4644"/>
    <mergeCell ref="A4645:G4645"/>
    <mergeCell ref="A4651:F4651"/>
    <mergeCell ref="A4652:G4652"/>
    <mergeCell ref="A4669:G4669"/>
    <mergeCell ref="A4675:F4675"/>
    <mergeCell ref="A4676:G4676"/>
    <mergeCell ref="A4933:F4933"/>
    <mergeCell ref="A5387:F5387"/>
    <mergeCell ref="A5388:G5388"/>
    <mergeCell ref="A5113:F5113"/>
    <mergeCell ref="A5161:F5161"/>
    <mergeCell ref="A5162:G5162"/>
    <mergeCell ref="A5154:F5154"/>
    <mergeCell ref="A5155:G5155"/>
    <mergeCell ref="A5148:G5148"/>
    <mergeCell ref="A5140:F5140"/>
    <mergeCell ref="A5141:G5141"/>
    <mergeCell ref="A5229:F5229"/>
    <mergeCell ref="A5230:G5230"/>
    <mergeCell ref="A5201:F5201"/>
    <mergeCell ref="A5202:G5202"/>
    <mergeCell ref="A5147:F5147"/>
    <mergeCell ref="A5382:G5382"/>
    <mergeCell ref="A5374:F5374"/>
    <mergeCell ref="A5375:G5375"/>
    <mergeCell ref="A5235:F5235"/>
    <mergeCell ref="A5236:G5236"/>
    <mergeCell ref="A5061:F5061"/>
    <mergeCell ref="A5062:G5062"/>
    <mergeCell ref="A5065:F5065"/>
    <mergeCell ref="A5066:G5066"/>
    <mergeCell ref="A5072:F5072"/>
    <mergeCell ref="A5073:G5073"/>
    <mergeCell ref="A5079:F5079"/>
    <mergeCell ref="A5080:G5080"/>
    <mergeCell ref="A5086:F5086"/>
    <mergeCell ref="A5087:G5087"/>
    <mergeCell ref="A5092:F5092"/>
    <mergeCell ref="A5093:G5093"/>
    <mergeCell ref="A5096:F5096"/>
    <mergeCell ref="A5097:G5097"/>
    <mergeCell ref="A5100:F5100"/>
    <mergeCell ref="A887:G887"/>
    <mergeCell ref="A1644:F1644"/>
    <mergeCell ref="A1645:G1645"/>
    <mergeCell ref="A2324:F2324"/>
    <mergeCell ref="A2325:G2325"/>
    <mergeCell ref="A2920:F2920"/>
    <mergeCell ref="A2921:G2921"/>
    <mergeCell ref="A3597:F3597"/>
    <mergeCell ref="A3598:G3598"/>
    <mergeCell ref="A894:F894"/>
    <mergeCell ref="A895:G895"/>
    <mergeCell ref="A1652:F1652"/>
    <mergeCell ref="A1653:G1653"/>
    <mergeCell ref="A2344:F2344"/>
    <mergeCell ref="A2345:G2345"/>
    <mergeCell ref="A4905:F4905"/>
    <mergeCell ref="A3605:F3605"/>
    <mergeCell ref="A1026:F1026"/>
    <mergeCell ref="A1027:G1027"/>
    <mergeCell ref="A1772:F1772"/>
    <mergeCell ref="A1773:G1773"/>
    <mergeCell ref="A2432:F2432"/>
    <mergeCell ref="A2433:G2433"/>
    <mergeCell ref="A3068:F3068"/>
    <mergeCell ref="A3069:G3069"/>
    <mergeCell ref="A3439:F3439"/>
    <mergeCell ref="A3440:G3440"/>
    <mergeCell ref="A4081:F4081"/>
    <mergeCell ref="A4082:G4082"/>
    <mergeCell ref="A4535:F4535"/>
    <mergeCell ref="A4536:G4536"/>
    <mergeCell ref="A4573:F4573"/>
    <mergeCell ref="A839:F839"/>
    <mergeCell ref="A840:G840"/>
    <mergeCell ref="A1498:F1498"/>
    <mergeCell ref="A1499:G1499"/>
    <mergeCell ref="A4041:F4041"/>
    <mergeCell ref="A4042:G4042"/>
    <mergeCell ref="A869:F869"/>
    <mergeCell ref="A902:F902"/>
    <mergeCell ref="A903:G903"/>
    <mergeCell ref="A1672:F1672"/>
    <mergeCell ref="A1673:G1673"/>
    <mergeCell ref="A915:F915"/>
    <mergeCell ref="A916:G916"/>
    <mergeCell ref="A3637:G3637"/>
    <mergeCell ref="A3651:F3651"/>
    <mergeCell ref="A3652:G3652"/>
    <mergeCell ref="A4070:F4070"/>
    <mergeCell ref="A930:F930"/>
    <mergeCell ref="A2221:F2221"/>
    <mergeCell ref="A2222:G2222"/>
    <mergeCell ref="A2874:F2874"/>
    <mergeCell ref="A2875:G2875"/>
    <mergeCell ref="A3798:G3798"/>
    <mergeCell ref="A3860:F3860"/>
    <mergeCell ref="A3048:G3048"/>
    <mergeCell ref="A3059:F3059"/>
    <mergeCell ref="A3060:G3060"/>
    <mergeCell ref="A3088:F3088"/>
    <mergeCell ref="A3089:G3089"/>
    <mergeCell ref="A3112:F3112"/>
    <mergeCell ref="A3113:G3113"/>
    <mergeCell ref="A3104:F3104"/>
    <mergeCell ref="A878:F878"/>
    <mergeCell ref="A879:G879"/>
    <mergeCell ref="A1636:F1636"/>
    <mergeCell ref="A1637:G1637"/>
    <mergeCell ref="A2316:F2316"/>
    <mergeCell ref="A2317:G2317"/>
    <mergeCell ref="A2912:F2912"/>
    <mergeCell ref="A2913:G2913"/>
    <mergeCell ref="A3589:F3589"/>
    <mergeCell ref="A3590:G3590"/>
    <mergeCell ref="A2352:F2352"/>
    <mergeCell ref="A2353:G2353"/>
    <mergeCell ref="A4528:F4528"/>
    <mergeCell ref="A4529:G4529"/>
    <mergeCell ref="A846:F846"/>
    <mergeCell ref="A847:G847"/>
    <mergeCell ref="A1522:F1522"/>
    <mergeCell ref="A1523:G1523"/>
    <mergeCell ref="A2207:F2207"/>
    <mergeCell ref="A2208:G2208"/>
    <mergeCell ref="A2867:F2867"/>
    <mergeCell ref="A2868:G2868"/>
    <mergeCell ref="A4049:F4049"/>
    <mergeCell ref="A4050:G4050"/>
    <mergeCell ref="A3580:F3580"/>
    <mergeCell ref="A924:F924"/>
    <mergeCell ref="A925:G925"/>
    <mergeCell ref="A1567:F1567"/>
    <mergeCell ref="A1568:G1568"/>
    <mergeCell ref="A2837:F2837"/>
    <mergeCell ref="A2838:G2838"/>
    <mergeCell ref="A886:F886"/>
    <mergeCell ref="A4522:G4522"/>
    <mergeCell ref="A2903:F2903"/>
    <mergeCell ref="A2904:G2904"/>
    <mergeCell ref="A2894:F2894"/>
    <mergeCell ref="A1488:F1488"/>
    <mergeCell ref="A1489:G1489"/>
    <mergeCell ref="A2190:F2190"/>
    <mergeCell ref="A2191:G2191"/>
    <mergeCell ref="A2813:F2813"/>
    <mergeCell ref="A2814:G2814"/>
    <mergeCell ref="A3414:F3414"/>
    <mergeCell ref="A3415:G3415"/>
    <mergeCell ref="A4521:F4521"/>
    <mergeCell ref="A853:F853"/>
    <mergeCell ref="A854:G854"/>
    <mergeCell ref="A870:G870"/>
    <mergeCell ref="A1627:F1627"/>
    <mergeCell ref="A1628:G1628"/>
    <mergeCell ref="A4515:F4515"/>
    <mergeCell ref="A4516:G4516"/>
    <mergeCell ref="A3369:F3369"/>
    <mergeCell ref="A3370:G3370"/>
    <mergeCell ref="A4144:F4144"/>
    <mergeCell ref="A4145:G4145"/>
    <mergeCell ref="A4179:F4179"/>
    <mergeCell ref="A4180:G4180"/>
    <mergeCell ref="A4193:F4193"/>
    <mergeCell ref="A4194:G4194"/>
    <mergeCell ref="A2379:G2379"/>
    <mergeCell ref="A2543:F2543"/>
    <mergeCell ref="A3742:G3742"/>
    <mergeCell ref="A4122:F4122"/>
    <mergeCell ref="A823:G823"/>
    <mergeCell ref="A1481:F1481"/>
    <mergeCell ref="A1482:G1482"/>
    <mergeCell ref="A2183:F2183"/>
    <mergeCell ref="A2184:G2184"/>
    <mergeCell ref="A3407:F3407"/>
    <mergeCell ref="A3408:G3408"/>
    <mergeCell ref="A829:F829"/>
    <mergeCell ref="A830:G830"/>
    <mergeCell ref="A4031:F4031"/>
    <mergeCell ref="A4032:G4032"/>
    <mergeCell ref="A3625:F3625"/>
    <mergeCell ref="A3626:G3626"/>
    <mergeCell ref="A909:F909"/>
    <mergeCell ref="A910:G910"/>
    <mergeCell ref="A4500:G4500"/>
    <mergeCell ref="A4430:G4430"/>
    <mergeCell ref="A4474:F4474"/>
    <mergeCell ref="A4468:G4468"/>
    <mergeCell ref="A4108:G4108"/>
    <mergeCell ref="A3672:F3672"/>
    <mergeCell ref="A3673:G3673"/>
    <mergeCell ref="A3677:F3677"/>
    <mergeCell ref="A3962:G3962"/>
    <mergeCell ref="A3657:F3657"/>
    <mergeCell ref="A3825:F3825"/>
    <mergeCell ref="A3826:G3826"/>
    <mergeCell ref="A3797:F3797"/>
    <mergeCell ref="A1704:F1704"/>
    <mergeCell ref="A1705:G1705"/>
    <mergeCell ref="A2378:F2378"/>
    <mergeCell ref="A4071:G4071"/>
    <mergeCell ref="A804:G804"/>
    <mergeCell ref="A1462:F1462"/>
    <mergeCell ref="A1463:G1463"/>
    <mergeCell ref="A2164:F2164"/>
    <mergeCell ref="A2165:G2165"/>
    <mergeCell ref="A2794:F2794"/>
    <mergeCell ref="A2795:G2795"/>
    <mergeCell ref="A3990:F3990"/>
    <mergeCell ref="A3991:G3991"/>
    <mergeCell ref="A931:G931"/>
    <mergeCell ref="A1658:F1658"/>
    <mergeCell ref="A1659:G1659"/>
    <mergeCell ref="A2330:F2330"/>
    <mergeCell ref="A2331:G2331"/>
    <mergeCell ref="A4123:G4123"/>
    <mergeCell ref="A3189:G3189"/>
    <mergeCell ref="A3789:F3789"/>
    <mergeCell ref="A3790:G3790"/>
    <mergeCell ref="A2780:G2780"/>
    <mergeCell ref="A3324:F3324"/>
    <mergeCell ref="A3325:G3325"/>
    <mergeCell ref="A809:F809"/>
    <mergeCell ref="A810:G810"/>
    <mergeCell ref="A1474:F1474"/>
    <mergeCell ref="A1475:G1475"/>
    <mergeCell ref="A2176:F2176"/>
    <mergeCell ref="A2177:G2177"/>
    <mergeCell ref="A815:F815"/>
    <mergeCell ref="A816:G816"/>
    <mergeCell ref="A1468:F1468"/>
    <mergeCell ref="A4107:F4107"/>
    <mergeCell ref="A822:F822"/>
    <mergeCell ref="A794:G794"/>
    <mergeCell ref="A1452:F1452"/>
    <mergeCell ref="A1453:G1453"/>
    <mergeCell ref="A2154:F2154"/>
    <mergeCell ref="A2155:G2155"/>
    <mergeCell ref="A3388:F3388"/>
    <mergeCell ref="A3389:G3389"/>
    <mergeCell ref="A1469:G1469"/>
    <mergeCell ref="A2170:F2170"/>
    <mergeCell ref="A2171:G2171"/>
    <mergeCell ref="A3400:F3400"/>
    <mergeCell ref="A3401:G3401"/>
    <mergeCell ref="A4018:F4018"/>
    <mergeCell ref="A4019:G4019"/>
    <mergeCell ref="A1618:F1618"/>
    <mergeCell ref="A1619:G1619"/>
    <mergeCell ref="A3474:F3474"/>
    <mergeCell ref="A3475:G3475"/>
    <mergeCell ref="A1529:F1529"/>
    <mergeCell ref="A1530:G1530"/>
    <mergeCell ref="A1665:G1665"/>
    <mergeCell ref="A2336:F2336"/>
    <mergeCell ref="A2337:G2337"/>
    <mergeCell ref="A2939:F2939"/>
    <mergeCell ref="A2940:G2940"/>
    <mergeCell ref="A936:F936"/>
    <mergeCell ref="A937:G937"/>
    <mergeCell ref="A1664:F1664"/>
    <mergeCell ref="A1543:F1543"/>
    <mergeCell ref="A1544:G1544"/>
    <mergeCell ref="A3683:G3683"/>
    <mergeCell ref="A803:F803"/>
    <mergeCell ref="A4234:G4234"/>
    <mergeCell ref="A3173:F3173"/>
    <mergeCell ref="A3174:G3174"/>
    <mergeCell ref="A5368:F5368"/>
    <mergeCell ref="A781:F781"/>
    <mergeCell ref="A782:G782"/>
    <mergeCell ref="A1440:F1440"/>
    <mergeCell ref="A1441:G1441"/>
    <mergeCell ref="A2142:F2142"/>
    <mergeCell ref="A2143:G2143"/>
    <mergeCell ref="A2806:F2806"/>
    <mergeCell ref="A2807:G2807"/>
    <mergeCell ref="A3382:F3382"/>
    <mergeCell ref="A3383:G3383"/>
    <mergeCell ref="A3980:F3980"/>
    <mergeCell ref="A3981:G3981"/>
    <mergeCell ref="A4487:F4487"/>
    <mergeCell ref="A4488:G4488"/>
    <mergeCell ref="A1536:F1536"/>
    <mergeCell ref="A1537:G1537"/>
    <mergeCell ref="A2235:F2235"/>
    <mergeCell ref="A4207:F4207"/>
    <mergeCell ref="A4208:G4208"/>
    <mergeCell ref="A1446:F1446"/>
    <mergeCell ref="A1447:G1447"/>
    <mergeCell ref="A2148:F2148"/>
    <mergeCell ref="A2149:G2149"/>
    <mergeCell ref="A2800:F2800"/>
    <mergeCell ref="A2801:G2801"/>
    <mergeCell ref="A4493:F4493"/>
    <mergeCell ref="A4494:G4494"/>
    <mergeCell ref="A793:F793"/>
    <mergeCell ref="A5363:G5363"/>
    <mergeCell ref="A687:F687"/>
    <mergeCell ref="A688:G688"/>
    <mergeCell ref="A769:F769"/>
    <mergeCell ref="A770:G770"/>
    <mergeCell ref="A1434:F1434"/>
    <mergeCell ref="A1435:G1435"/>
    <mergeCell ref="A2136:F2136"/>
    <mergeCell ref="A2137:G2137"/>
    <mergeCell ref="A3376:F3376"/>
    <mergeCell ref="A3377:G3377"/>
    <mergeCell ref="A3968:F3968"/>
    <mergeCell ref="A3969:G3969"/>
    <mergeCell ref="A4481:F4481"/>
    <mergeCell ref="A4482:G4482"/>
    <mergeCell ref="A775:F775"/>
    <mergeCell ref="A776:G776"/>
    <mergeCell ref="A3974:F3974"/>
    <mergeCell ref="A3975:G3975"/>
    <mergeCell ref="A4064:G4064"/>
    <mergeCell ref="A4566:F4566"/>
    <mergeCell ref="A2544:G2544"/>
    <mergeCell ref="A2985:F2985"/>
    <mergeCell ref="A2986:G2986"/>
    <mergeCell ref="A1573:G1573"/>
    <mergeCell ref="A2246:F2246"/>
    <mergeCell ref="A2247:G2247"/>
    <mergeCell ref="A2842:F2842"/>
    <mergeCell ref="A2843:G2843"/>
    <mergeCell ref="A5043:G5043"/>
    <mergeCell ref="A1884:F1884"/>
    <mergeCell ref="A861:G861"/>
    <mergeCell ref="A4257:G4257"/>
    <mergeCell ref="A5020:F5020"/>
    <mergeCell ref="A5021:G5021"/>
    <mergeCell ref="A5042:F5042"/>
    <mergeCell ref="A5013:F5013"/>
    <mergeCell ref="A5014:G5014"/>
    <mergeCell ref="A5007:F5007"/>
    <mergeCell ref="A5008:G5008"/>
    <mergeCell ref="A4220:F4220"/>
    <mergeCell ref="A4221:G4221"/>
    <mergeCell ref="A4227:F4227"/>
    <mergeCell ref="A4096:F4096"/>
    <mergeCell ref="A4097:G4097"/>
    <mergeCell ref="A4618:F4618"/>
    <mergeCell ref="A4619:G4619"/>
    <mergeCell ref="A4248:F4248"/>
    <mergeCell ref="A4249:G4249"/>
    <mergeCell ref="A4135:F4135"/>
    <mergeCell ref="A4136:G4136"/>
    <mergeCell ref="A5000:F5000"/>
    <mergeCell ref="A4241:F4241"/>
    <mergeCell ref="A4242:G4242"/>
    <mergeCell ref="A4264:F4264"/>
    <mergeCell ref="A4567:G4567"/>
    <mergeCell ref="A4559:F4559"/>
    <mergeCell ref="A4560:G4560"/>
    <mergeCell ref="A4499:F4499"/>
    <mergeCell ref="A4579:F4579"/>
    <mergeCell ref="A4580:G4580"/>
    <mergeCell ref="A4585:F4585"/>
    <mergeCell ref="A4586:G4586"/>
    <mergeCell ref="A4233:F4233"/>
    <mergeCell ref="A3693:G3693"/>
    <mergeCell ref="A3708:F3708"/>
    <mergeCell ref="A3692:F3692"/>
    <mergeCell ref="A4475:G4475"/>
    <mergeCell ref="A4429:F4429"/>
    <mergeCell ref="A3159:F3159"/>
    <mergeCell ref="A3147:G3147"/>
    <mergeCell ref="A3153:F3153"/>
    <mergeCell ref="A3154:G3154"/>
    <mergeCell ref="A3768:F3768"/>
    <mergeCell ref="A3769:G3769"/>
    <mergeCell ref="A3762:G3762"/>
    <mergeCell ref="A3077:F3077"/>
    <mergeCell ref="A3078:G3078"/>
    <mergeCell ref="A3318:G3318"/>
    <mergeCell ref="A3317:F3317"/>
    <mergeCell ref="A3305:F3305"/>
    <mergeCell ref="A3306:G3306"/>
    <mergeCell ref="A3126:F3126"/>
    <mergeCell ref="A3127:G3127"/>
    <mergeCell ref="A3160:G3160"/>
    <mergeCell ref="A3581:G3581"/>
    <mergeCell ref="A3606:G3606"/>
    <mergeCell ref="A3612:G3612"/>
    <mergeCell ref="A3617:F3617"/>
    <mergeCell ref="A3618:G3618"/>
    <mergeCell ref="A4298:F4298"/>
    <mergeCell ref="A3839:F3839"/>
    <mergeCell ref="A3840:G3840"/>
    <mergeCell ref="A3755:F3755"/>
    <mergeCell ref="A3756:G3756"/>
    <mergeCell ref="A4256:F4256"/>
    <mergeCell ref="A1150:F1150"/>
    <mergeCell ref="A1151:G1151"/>
    <mergeCell ref="A1865:F1865"/>
    <mergeCell ref="A1866:G1866"/>
    <mergeCell ref="A2551:F2551"/>
    <mergeCell ref="A2552:G2552"/>
    <mergeCell ref="A3140:F3140"/>
    <mergeCell ref="A3141:G3141"/>
    <mergeCell ref="A4214:F4214"/>
    <mergeCell ref="A4215:G4215"/>
    <mergeCell ref="A4200:F4200"/>
    <mergeCell ref="A4201:G4201"/>
    <mergeCell ref="A3774:F3774"/>
    <mergeCell ref="A3775:G3775"/>
    <mergeCell ref="A4187:F4187"/>
    <mergeCell ref="A4188:G4188"/>
    <mergeCell ref="A499:F499"/>
    <mergeCell ref="A500:G500"/>
    <mergeCell ref="A506:F506"/>
    <mergeCell ref="A507:G507"/>
    <mergeCell ref="A1163:F1163"/>
    <mergeCell ref="A2078:F2078"/>
    <mergeCell ref="A2079:G2079"/>
    <mergeCell ref="A2741:F2741"/>
    <mergeCell ref="A2742:G2742"/>
    <mergeCell ref="A2475:F2475"/>
    <mergeCell ref="A2476:G2476"/>
    <mergeCell ref="A1076:G1076"/>
    <mergeCell ref="A1128:F1128"/>
    <mergeCell ref="A1049:G1049"/>
    <mergeCell ref="A2483:F2483"/>
    <mergeCell ref="A2484:G2484"/>
    <mergeCell ref="A3678:G3678"/>
    <mergeCell ref="A1878:F1878"/>
    <mergeCell ref="A1879:G1879"/>
    <mergeCell ref="A3682:F3682"/>
    <mergeCell ref="A1885:G1885"/>
    <mergeCell ref="A2570:F2570"/>
    <mergeCell ref="A2571:G2571"/>
    <mergeCell ref="A2565:G2565"/>
    <mergeCell ref="A2129:F2129"/>
    <mergeCell ref="A3047:F3047"/>
    <mergeCell ref="A2779:F2779"/>
    <mergeCell ref="A2236:G2236"/>
    <mergeCell ref="A2881:F2881"/>
    <mergeCell ref="A2286:F2286"/>
    <mergeCell ref="A2214:F2214"/>
    <mergeCell ref="A2215:G2215"/>
    <mergeCell ref="A2228:F2228"/>
    <mergeCell ref="A2229:G2229"/>
    <mergeCell ref="A2241:F2241"/>
    <mergeCell ref="A2242:G2242"/>
    <mergeCell ref="A2275:F2275"/>
    <mergeCell ref="A1968:G1968"/>
    <mergeCell ref="A3105:G3105"/>
    <mergeCell ref="A473:G473"/>
    <mergeCell ref="A479:F479"/>
    <mergeCell ref="A480:G480"/>
    <mergeCell ref="A486:F486"/>
    <mergeCell ref="A418:F418"/>
    <mergeCell ref="A419:G419"/>
    <mergeCell ref="A1095:F1095"/>
    <mergeCell ref="A1096:G1096"/>
    <mergeCell ref="A1089:F1089"/>
    <mergeCell ref="A1090:G1090"/>
    <mergeCell ref="A459:G459"/>
    <mergeCell ref="A472:F472"/>
    <mergeCell ref="A1005:G1005"/>
    <mergeCell ref="A973:F973"/>
    <mergeCell ref="A974:G974"/>
    <mergeCell ref="A993:F993"/>
    <mergeCell ref="A512:F512"/>
    <mergeCell ref="A994:G994"/>
    <mergeCell ref="A513:G513"/>
    <mergeCell ref="A434:F434"/>
    <mergeCell ref="A435:G435"/>
    <mergeCell ref="A442:F442"/>
    <mergeCell ref="A443:G443"/>
    <mergeCell ref="A487:G487"/>
    <mergeCell ref="A763:G763"/>
    <mergeCell ref="A762:F762"/>
    <mergeCell ref="A860:F860"/>
    <mergeCell ref="A1075:F1075"/>
    <mergeCell ref="A493:F493"/>
    <mergeCell ref="A494:G494"/>
    <mergeCell ref="A952:F952"/>
    <mergeCell ref="A953:G953"/>
    <mergeCell ref="A341:F341"/>
    <mergeCell ref="A1008:F1008"/>
    <mergeCell ref="A1009:G1009"/>
    <mergeCell ref="A548:G548"/>
    <mergeCell ref="A1212:F1212"/>
    <mergeCell ref="A1213:G1213"/>
    <mergeCell ref="A541:F541"/>
    <mergeCell ref="A542:G542"/>
    <mergeCell ref="A612:F612"/>
    <mergeCell ref="A613:G613"/>
    <mergeCell ref="A1277:F1277"/>
    <mergeCell ref="A1278:G1278"/>
    <mergeCell ref="A390:F390"/>
    <mergeCell ref="A391:G391"/>
    <mergeCell ref="A403:F403"/>
    <mergeCell ref="A404:G404"/>
    <mergeCell ref="A1066:F1066"/>
    <mergeCell ref="A424:F424"/>
    <mergeCell ref="A425:G425"/>
    <mergeCell ref="A1164:G1164"/>
    <mergeCell ref="A520:F520"/>
    <mergeCell ref="A521:G521"/>
    <mergeCell ref="A1200:F1200"/>
    <mergeCell ref="A1201:G1201"/>
    <mergeCell ref="A1169:F1169"/>
    <mergeCell ref="A1170:G1170"/>
    <mergeCell ref="A1206:F1206"/>
    <mergeCell ref="A1207:G1207"/>
    <mergeCell ref="A458:F458"/>
    <mergeCell ref="A359:F359"/>
    <mergeCell ref="A360:G360"/>
    <mergeCell ref="A1048:F1048"/>
    <mergeCell ref="A375:F375"/>
    <mergeCell ref="A376:G376"/>
    <mergeCell ref="A384:F384"/>
    <mergeCell ref="A385:G385"/>
    <mergeCell ref="A1057:F1057"/>
    <mergeCell ref="A978:F978"/>
    <mergeCell ref="A979:G979"/>
    <mergeCell ref="A342:G342"/>
    <mergeCell ref="A346:F346"/>
    <mergeCell ref="A941:F941"/>
    <mergeCell ref="A942:G942"/>
    <mergeCell ref="A526:F526"/>
    <mergeCell ref="A527:G527"/>
    <mergeCell ref="A555:F555"/>
    <mergeCell ref="A562:F562"/>
    <mergeCell ref="A365:G365"/>
    <mergeCell ref="A395:F395"/>
    <mergeCell ref="A396:G396"/>
    <mergeCell ref="A999:F999"/>
    <mergeCell ref="A1000:G1000"/>
    <mergeCell ref="A787:F787"/>
    <mergeCell ref="A788:G788"/>
    <mergeCell ref="A967:F967"/>
    <mergeCell ref="A968:G968"/>
    <mergeCell ref="A450:F450"/>
    <mergeCell ref="A451:G451"/>
    <mergeCell ref="A466:F466"/>
    <mergeCell ref="A467:G467"/>
    <mergeCell ref="A412:F412"/>
    <mergeCell ref="A413:G413"/>
    <mergeCell ref="A1018:F1018"/>
    <mergeCell ref="A1019:G1019"/>
    <mergeCell ref="A326:F326"/>
    <mergeCell ref="A1135:F1135"/>
    <mergeCell ref="A1136:G1136"/>
    <mergeCell ref="A547:F547"/>
    <mergeCell ref="A327:G327"/>
    <mergeCell ref="A988:F988"/>
    <mergeCell ref="A989:G989"/>
    <mergeCell ref="A331:F331"/>
    <mergeCell ref="A332:G332"/>
    <mergeCell ref="A1058:G1058"/>
    <mergeCell ref="A1067:G1067"/>
    <mergeCell ref="A350:F350"/>
    <mergeCell ref="A351:G351"/>
    <mergeCell ref="A946:F946"/>
    <mergeCell ref="A947:G947"/>
    <mergeCell ref="A1129:G1129"/>
    <mergeCell ref="A336:F336"/>
    <mergeCell ref="A337:G337"/>
    <mergeCell ref="A364:F364"/>
    <mergeCell ref="A563:G563"/>
    <mergeCell ref="A581:F581"/>
    <mergeCell ref="A582:G582"/>
    <mergeCell ref="A741:F741"/>
    <mergeCell ref="A742:G742"/>
    <mergeCell ref="A588:F588"/>
    <mergeCell ref="A589:G589"/>
    <mergeCell ref="A748:F748"/>
    <mergeCell ref="A749:G749"/>
    <mergeCell ref="A638:F638"/>
    <mergeCell ref="A639:G639"/>
    <mergeCell ref="A645:F645"/>
    <mergeCell ref="A646:G646"/>
    <mergeCell ref="A305:F305"/>
    <mergeCell ref="A2996:F2996"/>
    <mergeCell ref="A2997:G2997"/>
    <mergeCell ref="A3260:F3260"/>
    <mergeCell ref="A3261:G3261"/>
    <mergeCell ref="A556:G556"/>
    <mergeCell ref="A2610:G2610"/>
    <mergeCell ref="A3208:F3208"/>
    <mergeCell ref="A3209:G3209"/>
    <mergeCell ref="A347:G347"/>
    <mergeCell ref="A1004:F1004"/>
    <mergeCell ref="A2415:G2415"/>
    <mergeCell ref="A3006:F3006"/>
    <mergeCell ref="A3007:G3007"/>
    <mergeCell ref="A2440:F2440"/>
    <mergeCell ref="A2441:G2441"/>
    <mergeCell ref="A2578:F2578"/>
    <mergeCell ref="A2579:G2579"/>
    <mergeCell ref="A2601:F2601"/>
    <mergeCell ref="A2602:G2602"/>
    <mergeCell ref="A1935:G1935"/>
    <mergeCell ref="A2395:G2395"/>
    <mergeCell ref="A1782:G1782"/>
    <mergeCell ref="A1740:F1740"/>
    <mergeCell ref="A1741:G1741"/>
    <mergeCell ref="A321:F321"/>
    <mergeCell ref="A322:G322"/>
    <mergeCell ref="A983:F983"/>
    <mergeCell ref="A984:G984"/>
    <mergeCell ref="A1715:F1715"/>
    <mergeCell ref="A1683:F1683"/>
    <mergeCell ref="A1684:G1684"/>
    <mergeCell ref="A7:G7"/>
    <mergeCell ref="A85:F85"/>
    <mergeCell ref="A86:G86"/>
    <mergeCell ref="A130:F130"/>
    <mergeCell ref="A131:G131"/>
    <mergeCell ref="A534:F534"/>
    <mergeCell ref="A535:G535"/>
    <mergeCell ref="A1177:F1177"/>
    <mergeCell ref="A1178:G1178"/>
    <mergeCell ref="A601:F601"/>
    <mergeCell ref="A602:G602"/>
    <mergeCell ref="A607:F607"/>
    <mergeCell ref="A608:G608"/>
    <mergeCell ref="A269:G269"/>
    <mergeCell ref="A272:F272"/>
    <mergeCell ref="A273:G273"/>
    <mergeCell ref="A281:F281"/>
    <mergeCell ref="A282:G282"/>
    <mergeCell ref="A209:F209"/>
    <mergeCell ref="A210:G210"/>
    <mergeCell ref="A258:F258"/>
    <mergeCell ref="A259:G259"/>
    <mergeCell ref="A268:F268"/>
    <mergeCell ref="A306:G306"/>
    <mergeCell ref="A311:F311"/>
    <mergeCell ref="A312:G312"/>
    <mergeCell ref="A316:F316"/>
    <mergeCell ref="A317:G317"/>
    <mergeCell ref="A290:F290"/>
    <mergeCell ref="A291:G291"/>
    <mergeCell ref="A299:F299"/>
    <mergeCell ref="A300:G300"/>
    <mergeCell ref="A1234:F1234"/>
    <mergeCell ref="A1235:G1235"/>
    <mergeCell ref="A569:F569"/>
    <mergeCell ref="A570:G570"/>
    <mergeCell ref="A1948:F1948"/>
    <mergeCell ref="A1949:G1949"/>
    <mergeCell ref="A2637:F2637"/>
    <mergeCell ref="A2638:G2638"/>
    <mergeCell ref="A3222:F3222"/>
    <mergeCell ref="A3223:G3223"/>
    <mergeCell ref="A3813:F3813"/>
    <mergeCell ref="A3814:G3814"/>
    <mergeCell ref="A4286:F4286"/>
    <mergeCell ref="A4287:G4287"/>
    <mergeCell ref="A4305:F4305"/>
    <mergeCell ref="A1716:G1716"/>
    <mergeCell ref="A2384:F2384"/>
    <mergeCell ref="A4272:F4272"/>
    <mergeCell ref="A4273:G4273"/>
    <mergeCell ref="A1227:F1227"/>
    <mergeCell ref="A1228:G1228"/>
    <mergeCell ref="A1941:F1941"/>
    <mergeCell ref="A1942:G1942"/>
    <mergeCell ref="A2630:F2630"/>
    <mergeCell ref="A2631:G2631"/>
    <mergeCell ref="A3215:F3215"/>
    <mergeCell ref="A3216:G3216"/>
    <mergeCell ref="A4279:F4279"/>
    <mergeCell ref="A4280:G4280"/>
    <mergeCell ref="A1266:F1266"/>
    <mergeCell ref="A576:F576"/>
    <mergeCell ref="A577:G577"/>
    <mergeCell ref="A1267:G1267"/>
    <mergeCell ref="A1980:F1980"/>
    <mergeCell ref="A1981:G1981"/>
    <mergeCell ref="A3254:F3254"/>
    <mergeCell ref="A3255:G3255"/>
    <mergeCell ref="A3658:G3658"/>
    <mergeCell ref="A1872:G1872"/>
    <mergeCell ref="A2593:F2593"/>
    <mergeCell ref="A2594:G2594"/>
    <mergeCell ref="A2410:G2410"/>
    <mergeCell ref="A2404:F2404"/>
    <mergeCell ref="A2405:G2405"/>
    <mergeCell ref="A1720:F1720"/>
    <mergeCell ref="A1246:F1246"/>
    <mergeCell ref="A1247:G1247"/>
    <mergeCell ref="A1710:F1710"/>
    <mergeCell ref="A1858:F1858"/>
    <mergeCell ref="A1859:G1859"/>
    <mergeCell ref="A3133:F3133"/>
    <mergeCell ref="A3134:G3134"/>
    <mergeCell ref="A3194:F3194"/>
    <mergeCell ref="A3195:G3195"/>
    <mergeCell ref="A1845:G1845"/>
    <mergeCell ref="A2455:F2455"/>
    <mergeCell ref="A2456:G2456"/>
    <mergeCell ref="A3118:F3118"/>
    <mergeCell ref="A3119:G3119"/>
    <mergeCell ref="A1557:F1557"/>
    <mergeCell ref="A1558:G1558"/>
    <mergeCell ref="A2954:G2954"/>
    <mergeCell ref="A1612:F1612"/>
    <mergeCell ref="A1613:G1613"/>
    <mergeCell ref="A4294:G4294"/>
    <mergeCell ref="A3947:F3947"/>
    <mergeCell ref="A3948:G3948"/>
    <mergeCell ref="A1851:F1851"/>
    <mergeCell ref="A1852:G1852"/>
    <mergeCell ref="A3728:F3728"/>
    <mergeCell ref="A3729:G3729"/>
    <mergeCell ref="A2504:G2504"/>
    <mergeCell ref="A2888:F2888"/>
    <mergeCell ref="A2889:G2889"/>
    <mergeCell ref="A2895:G2895"/>
    <mergeCell ref="A3611:F3611"/>
    <mergeCell ref="A3495:F3495"/>
    <mergeCell ref="A3496:G3496"/>
    <mergeCell ref="A2829:G2829"/>
    <mergeCell ref="A2946:F2946"/>
    <mergeCell ref="A2947:G2947"/>
    <mergeCell ref="A2853:G2853"/>
    <mergeCell ref="A2492:F2492"/>
    <mergeCell ref="A2493:G2493"/>
    <mergeCell ref="A1893:G1893"/>
    <mergeCell ref="A2363:F2363"/>
    <mergeCell ref="A2364:G2364"/>
    <mergeCell ref="A2964:F2964"/>
    <mergeCell ref="A2965:G2965"/>
    <mergeCell ref="A3481:F3481"/>
    <mergeCell ref="A3482:G3482"/>
    <mergeCell ref="A4056:F4056"/>
    <mergeCell ref="A4057:G4057"/>
    <mergeCell ref="A2882:G2882"/>
    <mergeCell ref="A3488:F3488"/>
    <mergeCell ref="A3489:G3489"/>
    <mergeCell ref="A1241:F1241"/>
    <mergeCell ref="A1242:G1242"/>
    <mergeCell ref="A1955:F1955"/>
    <mergeCell ref="A1956:G1956"/>
    <mergeCell ref="A2644:F2644"/>
    <mergeCell ref="A2645:G2645"/>
    <mergeCell ref="A3229:F3229"/>
    <mergeCell ref="A3230:G3230"/>
    <mergeCell ref="A3820:F3820"/>
    <mergeCell ref="A3821:G3821"/>
    <mergeCell ref="A4293:F4293"/>
    <mergeCell ref="A1689:F1689"/>
    <mergeCell ref="A1690:G1690"/>
    <mergeCell ref="A4063:F4063"/>
    <mergeCell ref="A3636:F3636"/>
    <mergeCell ref="A1960:F1960"/>
    <mergeCell ref="A1961:G1961"/>
    <mergeCell ref="A2108:F2108"/>
    <mergeCell ref="A2109:G2109"/>
    <mergeCell ref="A2649:F2649"/>
    <mergeCell ref="A2650:G2650"/>
    <mergeCell ref="A2784:F2784"/>
    <mergeCell ref="A2785:G2785"/>
    <mergeCell ref="A3234:F3234"/>
    <mergeCell ref="A1721:G1721"/>
    <mergeCell ref="A2414:F2414"/>
    <mergeCell ref="A1991:F1991"/>
    <mergeCell ref="A1992:G1992"/>
    <mergeCell ref="A2104:G2104"/>
    <mergeCell ref="A1764:F1764"/>
    <mergeCell ref="A1765:G1765"/>
    <mergeCell ref="A2269:G2269"/>
    <mergeCell ref="A2992:G2992"/>
    <mergeCell ref="A3016:F3016"/>
    <mergeCell ref="A1303:F1303"/>
    <mergeCell ref="A1304:G1304"/>
    <mergeCell ref="A2017:F2017"/>
    <mergeCell ref="A2018:G2018"/>
    <mergeCell ref="A2687:F2687"/>
    <mergeCell ref="A2688:G2688"/>
    <mergeCell ref="A1791:G1791"/>
    <mergeCell ref="A1310:F1310"/>
    <mergeCell ref="A1311:G1311"/>
    <mergeCell ref="A2024:F2024"/>
    <mergeCell ref="A2399:F2399"/>
    <mergeCell ref="A2400:G2400"/>
    <mergeCell ref="A2991:F2991"/>
    <mergeCell ref="A2025:G2025"/>
    <mergeCell ref="A2694:F2694"/>
    <mergeCell ref="A2695:G2695"/>
    <mergeCell ref="A1406:F1406"/>
    <mergeCell ref="A1407:G1407"/>
    <mergeCell ref="A1393:F1393"/>
    <mergeCell ref="A2308:G2308"/>
    <mergeCell ref="A2971:G2971"/>
    <mergeCell ref="A3001:F3001"/>
    <mergeCell ref="A1892:F1892"/>
    <mergeCell ref="A1838:F1838"/>
    <mergeCell ref="A1839:G1839"/>
    <mergeCell ref="A1844:F1844"/>
    <mergeCell ref="A2449:F2449"/>
    <mergeCell ref="A1871:F1871"/>
    <mergeCell ref="A2503:F2503"/>
    <mergeCell ref="A4453:F4453"/>
    <mergeCell ref="A4454:G4454"/>
    <mergeCell ref="A5355:F5355"/>
    <mergeCell ref="A5356:G5356"/>
    <mergeCell ref="A595:F595"/>
    <mergeCell ref="A596:G596"/>
    <mergeCell ref="A755:F755"/>
    <mergeCell ref="A756:G756"/>
    <mergeCell ref="A1260:F1260"/>
    <mergeCell ref="A1261:G1261"/>
    <mergeCell ref="A1420:F1420"/>
    <mergeCell ref="A1421:G1421"/>
    <mergeCell ref="A1974:F1974"/>
    <mergeCell ref="A1975:G1975"/>
    <mergeCell ref="A2122:F2122"/>
    <mergeCell ref="A2123:G2123"/>
    <mergeCell ref="A3248:F3248"/>
    <mergeCell ref="A3249:G3249"/>
    <mergeCell ref="A3362:F3362"/>
    <mergeCell ref="A3363:G3363"/>
    <mergeCell ref="A3954:F3954"/>
    <mergeCell ref="A3955:G3955"/>
    <mergeCell ref="A4312:F4312"/>
    <mergeCell ref="A4313:G4313"/>
    <mergeCell ref="A5166:F5166"/>
    <mergeCell ref="A5167:G5167"/>
    <mergeCell ref="A5348:F5348"/>
    <mergeCell ref="A1726:G1726"/>
    <mergeCell ref="A2389:F2389"/>
    <mergeCell ref="A1790:F1790"/>
    <mergeCell ref="A1253:F1253"/>
    <mergeCell ref="A1254:G1254"/>
    <mergeCell ref="A4460:F4460"/>
    <mergeCell ref="A617:F617"/>
    <mergeCell ref="A618:G618"/>
    <mergeCell ref="A1282:F1282"/>
    <mergeCell ref="A1283:G1283"/>
    <mergeCell ref="A1996:F1996"/>
    <mergeCell ref="A1997:G1997"/>
    <mergeCell ref="A3270:F3270"/>
    <mergeCell ref="A3271:G3271"/>
    <mergeCell ref="A3865:F3865"/>
    <mergeCell ref="A3866:G3866"/>
    <mergeCell ref="A4334:F4334"/>
    <mergeCell ref="A4335:G4335"/>
    <mergeCell ref="A1352:F1352"/>
    <mergeCell ref="A1353:G1353"/>
    <mergeCell ref="A1401:F1401"/>
    <mergeCell ref="A1402:G1402"/>
    <mergeCell ref="A2066:F2066"/>
    <mergeCell ref="A2067:G2067"/>
    <mergeCell ref="A2103:F2103"/>
    <mergeCell ref="A4318:F4318"/>
    <mergeCell ref="A2276:G2276"/>
    <mergeCell ref="A2462:F2462"/>
    <mergeCell ref="A1926:F1926"/>
    <mergeCell ref="A1927:G1927"/>
    <mergeCell ref="A1221:G1221"/>
    <mergeCell ref="A1934:F1934"/>
    <mergeCell ref="A1711:G1711"/>
    <mergeCell ref="A2557:F2557"/>
    <mergeCell ref="A2558:G2558"/>
    <mergeCell ref="A1505:F1505"/>
    <mergeCell ref="A1142:F1142"/>
    <mergeCell ref="A4299:G4299"/>
    <mergeCell ref="A4369:F4369"/>
    <mergeCell ref="A4370:G4370"/>
    <mergeCell ref="A4383:F4383"/>
    <mergeCell ref="A4384:G4384"/>
    <mergeCell ref="A1317:F1317"/>
    <mergeCell ref="A1318:G1318"/>
    <mergeCell ref="A2031:F2031"/>
    <mergeCell ref="A2032:G2032"/>
    <mergeCell ref="A2701:F2701"/>
    <mergeCell ref="A2702:G2702"/>
    <mergeCell ref="A3662:F3662"/>
    <mergeCell ref="A3663:G3663"/>
    <mergeCell ref="A2958:F2958"/>
    <mergeCell ref="A2959:G2959"/>
    <mergeCell ref="A3630:F3630"/>
    <mergeCell ref="A3631:G3631"/>
    <mergeCell ref="A3029:F3029"/>
    <mergeCell ref="A3021:F3021"/>
    <mergeCell ref="A3017:G3017"/>
    <mergeCell ref="A4306:G4306"/>
    <mergeCell ref="A1907:F1907"/>
    <mergeCell ref="A1908:G1908"/>
    <mergeCell ref="A2587:F2587"/>
    <mergeCell ref="A2588:G2588"/>
    <mergeCell ref="A3188:F3188"/>
    <mergeCell ref="A3181:F3181"/>
    <mergeCell ref="A3182:G3182"/>
    <mergeCell ref="A1725:F1725"/>
    <mergeCell ref="A2085:F2085"/>
    <mergeCell ref="A2086:G2086"/>
    <mergeCell ref="A4228:G4228"/>
    <mergeCell ref="A4348:F4348"/>
    <mergeCell ref="A4349:G4349"/>
    <mergeCell ref="A4362:F4362"/>
    <mergeCell ref="A4363:G4363"/>
    <mergeCell ref="A652:F652"/>
    <mergeCell ref="A653:G653"/>
    <mergeCell ref="A4117:F4117"/>
    <mergeCell ref="A624:F624"/>
    <mergeCell ref="A625:G625"/>
    <mergeCell ref="A1289:F1289"/>
    <mergeCell ref="A1290:G1290"/>
    <mergeCell ref="A2003:F2003"/>
    <mergeCell ref="A2004:G2004"/>
    <mergeCell ref="A2673:F2673"/>
    <mergeCell ref="A2674:G2674"/>
    <mergeCell ref="A4341:F4341"/>
    <mergeCell ref="A4342:G4342"/>
    <mergeCell ref="A3893:F3893"/>
    <mergeCell ref="A3894:G3894"/>
    <mergeCell ref="A1193:G1193"/>
    <mergeCell ref="A1122:F1122"/>
    <mergeCell ref="A1123:G1123"/>
    <mergeCell ref="A1185:F1185"/>
    <mergeCell ref="A1186:G1186"/>
    <mergeCell ref="A1900:F1900"/>
    <mergeCell ref="A1901:G1901"/>
    <mergeCell ref="A1220:F1220"/>
    <mergeCell ref="A1156:F1156"/>
    <mergeCell ref="A1157:G1157"/>
    <mergeCell ref="A2046:G2046"/>
    <mergeCell ref="A2715:F2715"/>
    <mergeCell ref="A2716:G2716"/>
    <mergeCell ref="A4330:G4330"/>
    <mergeCell ref="A4118:G4118"/>
    <mergeCell ref="A3022:G3022"/>
    <mergeCell ref="A2390:G2390"/>
    <mergeCell ref="A3030:G3030"/>
    <mergeCell ref="A3667:F3667"/>
    <mergeCell ref="A3668:G3668"/>
    <mergeCell ref="A3011:F3011"/>
    <mergeCell ref="A3012:G3012"/>
    <mergeCell ref="A631:F631"/>
    <mergeCell ref="A632:G632"/>
    <mergeCell ref="A1296:F1296"/>
    <mergeCell ref="A1297:G1297"/>
    <mergeCell ref="A2010:F2010"/>
    <mergeCell ref="A2011:G2011"/>
    <mergeCell ref="A2680:F2680"/>
    <mergeCell ref="A2681:G2681"/>
    <mergeCell ref="A3872:F3872"/>
    <mergeCell ref="A3873:G3873"/>
    <mergeCell ref="A1506:G1506"/>
    <mergeCell ref="A1515:F1515"/>
    <mergeCell ref="A1516:G1516"/>
    <mergeCell ref="A2200:F2200"/>
    <mergeCell ref="A2201:G2201"/>
    <mergeCell ref="A2852:F2852"/>
    <mergeCell ref="A1371:F1371"/>
    <mergeCell ref="A1372:G1372"/>
    <mergeCell ref="A1427:F1427"/>
    <mergeCell ref="A1428:G1428"/>
    <mergeCell ref="A2060:G2060"/>
    <mergeCell ref="A2729:F2729"/>
    <mergeCell ref="A2730:G2730"/>
    <mergeCell ref="A4128:G4128"/>
    <mergeCell ref="A659:F659"/>
    <mergeCell ref="A660:G660"/>
    <mergeCell ref="A1324:F1324"/>
    <mergeCell ref="A1325:G1325"/>
    <mergeCell ref="A2038:F2038"/>
    <mergeCell ref="A2039:G2039"/>
    <mergeCell ref="A2708:F2708"/>
    <mergeCell ref="A2709:G2709"/>
    <mergeCell ref="A694:F694"/>
    <mergeCell ref="A695:G695"/>
    <mergeCell ref="A736:F736"/>
    <mergeCell ref="A737:G737"/>
    <mergeCell ref="A3861:G3861"/>
    <mergeCell ref="A666:F666"/>
    <mergeCell ref="A667:G667"/>
    <mergeCell ref="A1331:F1331"/>
    <mergeCell ref="A1332:G1332"/>
    <mergeCell ref="A2045:F2045"/>
    <mergeCell ref="A3337:G3337"/>
    <mergeCell ref="A728:F728"/>
    <mergeCell ref="A729:G729"/>
    <mergeCell ref="A1192:F1192"/>
    <mergeCell ref="A1143:G1143"/>
    <mergeCell ref="A1413:F1413"/>
    <mergeCell ref="A1414:G1414"/>
    <mergeCell ref="A2115:F2115"/>
    <mergeCell ref="A2116:G2116"/>
    <mergeCell ref="A2656:F2656"/>
    <mergeCell ref="A2657:G2657"/>
    <mergeCell ref="A3241:F3241"/>
    <mergeCell ref="A3242:G3242"/>
    <mergeCell ref="A3805:F3805"/>
    <mergeCell ref="A3806:G3806"/>
    <mergeCell ref="A3850:F3850"/>
    <mergeCell ref="A673:F673"/>
    <mergeCell ref="A674:G674"/>
    <mergeCell ref="A1338:F1338"/>
    <mergeCell ref="A1339:G1339"/>
    <mergeCell ref="A2052:F2052"/>
    <mergeCell ref="A2053:G2053"/>
    <mergeCell ref="A2722:F2722"/>
    <mergeCell ref="A2723:G2723"/>
    <mergeCell ref="A3879:F3879"/>
    <mergeCell ref="A3880:G3880"/>
    <mergeCell ref="A3146:F3146"/>
    <mergeCell ref="A3941:F3941"/>
    <mergeCell ref="A680:F680"/>
    <mergeCell ref="A681:G681"/>
    <mergeCell ref="A1345:F1345"/>
    <mergeCell ref="A1346:G1346"/>
    <mergeCell ref="A2059:F2059"/>
    <mergeCell ref="A700:F700"/>
    <mergeCell ref="A701:G701"/>
    <mergeCell ref="A1358:F1358"/>
    <mergeCell ref="A3886:F3886"/>
    <mergeCell ref="A3887:G3887"/>
    <mergeCell ref="A3719:F3719"/>
    <mergeCell ref="A3720:G3720"/>
    <mergeCell ref="A3355:F3355"/>
    <mergeCell ref="A3356:G3356"/>
    <mergeCell ref="A3235:G3235"/>
    <mergeCell ref="A3348:F3348"/>
    <mergeCell ref="A3349:G3349"/>
    <mergeCell ref="A1803:F1803"/>
    <mergeCell ref="A1804:G1804"/>
    <mergeCell ref="A1811:F1811"/>
    <mergeCell ref="A1106:F1106"/>
    <mergeCell ref="A1107:G1107"/>
    <mergeCell ref="A1114:F1114"/>
    <mergeCell ref="A712:F712"/>
    <mergeCell ref="A713:G713"/>
    <mergeCell ref="A1377:F1377"/>
    <mergeCell ref="A1378:G1378"/>
    <mergeCell ref="A3330:F3330"/>
    <mergeCell ref="A3331:G3331"/>
    <mergeCell ref="A3053:F3053"/>
    <mergeCell ref="A3054:G3054"/>
    <mergeCell ref="A3900:F3900"/>
    <mergeCell ref="A3901:G3901"/>
    <mergeCell ref="A3942:G3942"/>
    <mergeCell ref="A718:F718"/>
    <mergeCell ref="A719:G719"/>
    <mergeCell ref="A1383:F1383"/>
    <mergeCell ref="A1384:G1384"/>
    <mergeCell ref="A3336:F3336"/>
    <mergeCell ref="A3907:F3907"/>
    <mergeCell ref="A3908:G3908"/>
    <mergeCell ref="A2385:G2385"/>
    <mergeCell ref="A3709:G3709"/>
    <mergeCell ref="A1967:F1967"/>
    <mergeCell ref="A3734:F3734"/>
    <mergeCell ref="A3735:G3735"/>
    <mergeCell ref="A3741:F3741"/>
    <mergeCell ref="A3782:F3782"/>
    <mergeCell ref="A3783:G3783"/>
    <mergeCell ref="A5309:F5309"/>
    <mergeCell ref="A5310:G5310"/>
    <mergeCell ref="A706:F706"/>
    <mergeCell ref="A707:G707"/>
    <mergeCell ref="A1364:F1364"/>
    <mergeCell ref="A1365:G1365"/>
    <mergeCell ref="A4422:F4422"/>
    <mergeCell ref="A4423:G4423"/>
    <mergeCell ref="A4441:F4441"/>
    <mergeCell ref="A4442:G4442"/>
    <mergeCell ref="A3748:F3748"/>
    <mergeCell ref="A3749:G3749"/>
    <mergeCell ref="A3459:F3459"/>
    <mergeCell ref="A3460:G3460"/>
    <mergeCell ref="A3537:F3537"/>
    <mergeCell ref="A3538:G3538"/>
    <mergeCell ref="A3434:F3434"/>
    <mergeCell ref="A3435:G3435"/>
    <mergeCell ref="A3551:F3551"/>
    <mergeCell ref="A3552:G3552"/>
    <mergeCell ref="A1831:G1831"/>
    <mergeCell ref="A1550:F1550"/>
    <mergeCell ref="A1551:G1551"/>
    <mergeCell ref="A4658:G4658"/>
    <mergeCell ref="A4664:F4664"/>
    <mergeCell ref="A4971:F4971"/>
    <mergeCell ref="A3921:F3921"/>
    <mergeCell ref="A3922:G3922"/>
    <mergeCell ref="A3851:G3851"/>
    <mergeCell ref="A4102:F4102"/>
    <mergeCell ref="A4103:G4103"/>
    <mergeCell ref="A3761:F3761"/>
    <mergeCell ref="A5271:G5271"/>
    <mergeCell ref="A5255:F5255"/>
    <mergeCell ref="A5256:G5256"/>
    <mergeCell ref="A5211:F5211"/>
    <mergeCell ref="A5212:G5212"/>
    <mergeCell ref="A4398:G4398"/>
    <mergeCell ref="A5206:F5206"/>
    <mergeCell ref="A5207:G5207"/>
    <mergeCell ref="A5185:F5185"/>
    <mergeCell ref="A5186:G5186"/>
    <mergeCell ref="A4461:G4461"/>
    <mergeCell ref="A5344:G5344"/>
    <mergeCell ref="A5242:F5242"/>
    <mergeCell ref="A5243:G5243"/>
    <mergeCell ref="A5277:F5277"/>
    <mergeCell ref="A3928:F3928"/>
    <mergeCell ref="A3929:G3929"/>
    <mergeCell ref="A4410:F4410"/>
    <mergeCell ref="A4411:G4411"/>
    <mergeCell ref="A4899:G4899"/>
    <mergeCell ref="A4891:F4891"/>
    <mergeCell ref="A4592:G4592"/>
    <mergeCell ref="A4596:F4596"/>
    <mergeCell ref="A4597:G4597"/>
    <mergeCell ref="A4603:F4603"/>
    <mergeCell ref="A4604:G4604"/>
    <mergeCell ref="A4657:F4657"/>
    <mergeCell ref="A4848:G4848"/>
    <mergeCell ref="A4859:F4859"/>
    <mergeCell ref="A4860:G4860"/>
    <mergeCell ref="A4871:F4871"/>
    <mergeCell ref="A4872:G4872"/>
    <mergeCell ref="A1394:G1394"/>
    <mergeCell ref="A2095:F2095"/>
    <mergeCell ref="A2096:G2096"/>
    <mergeCell ref="A2758:F2758"/>
    <mergeCell ref="A2759:G2759"/>
    <mergeCell ref="A1040:F1040"/>
    <mergeCell ref="A1041:G1041"/>
    <mergeCell ref="A1115:G1115"/>
    <mergeCell ref="A1735:F1735"/>
    <mergeCell ref="A1736:G1736"/>
    <mergeCell ref="A1272:F1272"/>
    <mergeCell ref="A1273:G1273"/>
    <mergeCell ref="A1781:F1781"/>
    <mergeCell ref="A1081:F1081"/>
    <mergeCell ref="A1082:G1082"/>
    <mergeCell ref="A1797:F1797"/>
    <mergeCell ref="A1798:G1798"/>
    <mergeCell ref="A2469:F2469"/>
    <mergeCell ref="A2470:G2470"/>
    <mergeCell ref="A2609:F2609"/>
    <mergeCell ref="A1572:F1572"/>
    <mergeCell ref="A1914:F1914"/>
    <mergeCell ref="A1915:G1915"/>
    <mergeCell ref="A2564:F2564"/>
    <mergeCell ref="A1812:G1812"/>
    <mergeCell ref="A1822:F1822"/>
    <mergeCell ref="A1823:G1823"/>
    <mergeCell ref="A1830:F1830"/>
    <mergeCell ref="A1359:G1359"/>
    <mergeCell ref="A2072:F2072"/>
    <mergeCell ref="A2073:G2073"/>
    <mergeCell ref="A1580:F1580"/>
    <mergeCell ref="A1581:G1581"/>
    <mergeCell ref="A2254:F2254"/>
    <mergeCell ref="A2255:G2255"/>
    <mergeCell ref="A2860:F2860"/>
    <mergeCell ref="A2861:G2861"/>
    <mergeCell ref="A3467:F3467"/>
    <mergeCell ref="A3468:G3468"/>
    <mergeCell ref="A1587:F1587"/>
    <mergeCell ref="A1588:G1588"/>
    <mergeCell ref="A2261:F2261"/>
    <mergeCell ref="A2262:G2262"/>
    <mergeCell ref="A2927:F2927"/>
    <mergeCell ref="A2928:G2928"/>
    <mergeCell ref="A1594:F1594"/>
    <mergeCell ref="A2307:F2307"/>
    <mergeCell ref="A1595:G1595"/>
    <mergeCell ref="A2268:F2268"/>
    <mergeCell ref="A2409:F2409"/>
    <mergeCell ref="A1986:F1986"/>
    <mergeCell ref="A2450:G2450"/>
    <mergeCell ref="A3038:F3038"/>
    <mergeCell ref="A3039:G3039"/>
    <mergeCell ref="A1987:G1987"/>
    <mergeCell ref="A2357:F2357"/>
    <mergeCell ref="A2358:G2358"/>
    <mergeCell ref="A1730:F1730"/>
    <mergeCell ref="A1601:F1601"/>
    <mergeCell ref="A1602:G1602"/>
    <mergeCell ref="A2953:F2953"/>
    <mergeCell ref="A2287:G2287"/>
    <mergeCell ref="A2828:F2828"/>
    <mergeCell ref="A1678:F1678"/>
    <mergeCell ref="A1679:G1679"/>
    <mergeCell ref="A2298:F2298"/>
    <mergeCell ref="A2299:G2299"/>
    <mergeCell ref="A2292:F2292"/>
    <mergeCell ref="A2293:G2293"/>
    <mergeCell ref="A2933:F2933"/>
    <mergeCell ref="A2817:F2817"/>
    <mergeCell ref="A2818:G2818"/>
    <mergeCell ref="A4898:F4898"/>
    <mergeCell ref="A3419:G3419"/>
    <mergeCell ref="A2970:F2970"/>
    <mergeCell ref="A3429:F3429"/>
    <mergeCell ref="A3430:G3430"/>
    <mergeCell ref="A1750:F1750"/>
    <mergeCell ref="A1751:G1751"/>
    <mergeCell ref="A2424:F2424"/>
    <mergeCell ref="A2425:G2425"/>
    <mergeCell ref="A1920:F1920"/>
    <mergeCell ref="A1921:G1921"/>
    <mergeCell ref="A1731:G1731"/>
    <mergeCell ref="A2394:F2394"/>
    <mergeCell ref="A2463:G2463"/>
    <mergeCell ref="A3699:F3699"/>
    <mergeCell ref="A3557:F3557"/>
    <mergeCell ref="A3558:G3558"/>
    <mergeCell ref="A2934:G2934"/>
    <mergeCell ref="A2130:G2130"/>
    <mergeCell ref="A2748:F2748"/>
    <mergeCell ref="A2749:G2749"/>
    <mergeCell ref="A3265:F3265"/>
    <mergeCell ref="A3266:G3266"/>
    <mergeCell ref="A2528:F2528"/>
    <mergeCell ref="A2529:G2529"/>
    <mergeCell ref="A2511:F2511"/>
    <mergeCell ref="A2512:G2512"/>
    <mergeCell ref="A3096:F3096"/>
    <mergeCell ref="A3097:G3097"/>
    <mergeCell ref="A2519:F2519"/>
    <mergeCell ref="A2520:G2520"/>
    <mergeCell ref="A2616:F2616"/>
    <mergeCell ref="A4435:F4435"/>
    <mergeCell ref="A4436:G4436"/>
    <mergeCell ref="A4265:G4265"/>
    <mergeCell ref="A4319:G4319"/>
    <mergeCell ref="A3914:F3914"/>
    <mergeCell ref="A3915:G3915"/>
    <mergeCell ref="A4390:F4390"/>
    <mergeCell ref="A4391:G4391"/>
    <mergeCell ref="A4376:F4376"/>
    <mergeCell ref="A4377:G4377"/>
    <mergeCell ref="A4355:F4355"/>
    <mergeCell ref="A4356:G4356"/>
    <mergeCell ref="A4172:G4172"/>
    <mergeCell ref="A4397:F4397"/>
    <mergeCell ref="A4329:F4329"/>
    <mergeCell ref="A3418:F3418"/>
    <mergeCell ref="A3002:G3002"/>
    <mergeCell ref="A3165:F3165"/>
    <mergeCell ref="A3166:G3166"/>
    <mergeCell ref="A3200:F3200"/>
    <mergeCell ref="A3201:G3201"/>
    <mergeCell ref="A3544:F3544"/>
    <mergeCell ref="A3545:G3545"/>
    <mergeCell ref="A2617:G2617"/>
    <mergeCell ref="A2623:F2623"/>
    <mergeCell ref="A2624:G2624"/>
    <mergeCell ref="A2661:F2661"/>
    <mergeCell ref="A2662:G2662"/>
    <mergeCell ref="A2666:F2666"/>
    <mergeCell ref="A2667:G2667"/>
    <mergeCell ref="A2735:F2735"/>
    <mergeCell ref="A2736:G2736"/>
    <mergeCell ref="A3342:F3342"/>
    <mergeCell ref="A3343:G3343"/>
    <mergeCell ref="A4447:F4447"/>
    <mergeCell ref="A4448:G4448"/>
    <mergeCell ref="A2764:F2764"/>
    <mergeCell ref="A2765:G2765"/>
    <mergeCell ref="A2772:F2772"/>
    <mergeCell ref="A2773:G2773"/>
    <mergeCell ref="A3276:F3276"/>
    <mergeCell ref="A3277:G3277"/>
    <mergeCell ref="A3281:F3281"/>
    <mergeCell ref="A4077:G4077"/>
    <mergeCell ref="A3571:F3571"/>
    <mergeCell ref="A3572:G3572"/>
    <mergeCell ref="A3832:F3832"/>
    <mergeCell ref="A3833:G3833"/>
    <mergeCell ref="A3282:G3282"/>
    <mergeCell ref="A3287:F3287"/>
    <mergeCell ref="A3288:G3288"/>
    <mergeCell ref="A3311:F3311"/>
    <mergeCell ref="A3312:G3312"/>
    <mergeCell ref="A3934:F3934"/>
    <mergeCell ref="A3935:G3935"/>
    <mergeCell ref="A4416:F4416"/>
    <mergeCell ref="A4951:F4951"/>
    <mergeCell ref="A4952:G4952"/>
    <mergeCell ref="A4076:F4076"/>
    <mergeCell ref="A4630:F4630"/>
    <mergeCell ref="A4631:G4631"/>
    <mergeCell ref="A4934:G4934"/>
    <mergeCell ref="A4686:F4686"/>
    <mergeCell ref="A4687:G4687"/>
    <mergeCell ref="A4699:F4699"/>
    <mergeCell ref="A4700:G4700"/>
    <mergeCell ref="A4709:F4709"/>
    <mergeCell ref="A4710:G4710"/>
    <mergeCell ref="A4760:F4760"/>
    <mergeCell ref="A4761:G4761"/>
    <mergeCell ref="A4717:F4717"/>
    <mergeCell ref="A4718:G4718"/>
    <mergeCell ref="A4768:F4768"/>
    <mergeCell ref="A4769:G4769"/>
    <mergeCell ref="A4725:F4725"/>
    <mergeCell ref="A4726:G4726"/>
    <mergeCell ref="A4829:G4829"/>
    <mergeCell ref="A4838:F4838"/>
    <mergeCell ref="A4839:G4839"/>
    <mergeCell ref="A4847:F4847"/>
    <mergeCell ref="A4883:F4883"/>
    <mergeCell ref="A4884:G4884"/>
    <mergeCell ref="A4787:F4787"/>
    <mergeCell ref="A4788:G4788"/>
    <mergeCell ref="A4733:F4733"/>
    <mergeCell ref="A4779:F4779"/>
    <mergeCell ref="A4780:G4780"/>
    <mergeCell ref="A4807:F4807"/>
    <mergeCell ref="A4324:F4324"/>
    <mergeCell ref="A4325:G4325"/>
    <mergeCell ref="A4467:F4467"/>
    <mergeCell ref="A3844:F3844"/>
    <mergeCell ref="A3845:G3845"/>
    <mergeCell ref="A3855:F3855"/>
    <mergeCell ref="A3856:G3856"/>
    <mergeCell ref="A4005:F4005"/>
    <mergeCell ref="A4006:G4006"/>
    <mergeCell ref="A4012:F4012"/>
    <mergeCell ref="A4013:G4013"/>
    <mergeCell ref="A4024:F4024"/>
    <mergeCell ref="A4025:G4025"/>
    <mergeCell ref="A4942:F4942"/>
    <mergeCell ref="A4943:G4943"/>
    <mergeCell ref="A4796:G4796"/>
    <mergeCell ref="A4740:F4740"/>
    <mergeCell ref="A4741:G4741"/>
    <mergeCell ref="A4749:F4749"/>
    <mergeCell ref="A4750:G4750"/>
    <mergeCell ref="A4808:G4808"/>
    <mergeCell ref="A4817:F4817"/>
    <mergeCell ref="A4818:G4818"/>
    <mergeCell ref="A4828:F4828"/>
    <mergeCell ref="A4417:G4417"/>
    <mergeCell ref="A3961:F3961"/>
    <mergeCell ref="A4112:F4112"/>
    <mergeCell ref="A4113:G4113"/>
    <mergeCell ref="A4160:F4160"/>
    <mergeCell ref="A4161:G4161"/>
    <mergeCell ref="A4171:F4171"/>
    <mergeCell ref="A4127:F4127"/>
    <mergeCell ref="A5248:F5248"/>
    <mergeCell ref="A5249:G5249"/>
    <mergeCell ref="A3292:F3292"/>
    <mergeCell ref="A3293:G3293"/>
    <mergeCell ref="A3298:F3298"/>
    <mergeCell ref="A3299:G3299"/>
    <mergeCell ref="A4403:F4403"/>
    <mergeCell ref="A4404:G4404"/>
    <mergeCell ref="A3394:F3394"/>
    <mergeCell ref="A3395:G3395"/>
    <mergeCell ref="A3449:F3449"/>
    <mergeCell ref="A3450:G3450"/>
    <mergeCell ref="A3502:F3502"/>
    <mergeCell ref="A3503:G3503"/>
    <mergeCell ref="A3529:F3529"/>
    <mergeCell ref="A3530:G3530"/>
    <mergeCell ref="A3563:F3563"/>
    <mergeCell ref="A3564:G3564"/>
    <mergeCell ref="A4979:F4979"/>
    <mergeCell ref="A4980:G4980"/>
    <mergeCell ref="A5196:F5196"/>
    <mergeCell ref="A5197:G5197"/>
    <mergeCell ref="A3700:G3700"/>
    <mergeCell ref="A4151:F4151"/>
    <mergeCell ref="A4152:G4152"/>
    <mergeCell ref="A4665:G4665"/>
    <mergeCell ref="A4668:F4668"/>
    <mergeCell ref="A4972:G4972"/>
    <mergeCell ref="A4962:F4962"/>
    <mergeCell ref="A4963:G4963"/>
    <mergeCell ref="A4624:F4624"/>
    <mergeCell ref="A4625:G4625"/>
  </mergeCells>
  <printOptions horizontalCentered="1"/>
  <pageMargins left="0.39370078740157483" right="0.23622047244094491" top="1.1811023622047245" bottom="0.94488188976377963" header="0.31496062992125984" footer="0.31496062992125984"/>
  <pageSetup paperSize="9" scale="75" orientation="portrait" r:id="rId1"/>
  <headerFooter>
    <oddHeader>&amp;L&amp;G</oddHeader>
    <oddFooter>&amp;LWagner Lopes de Souza
Engº. Civil-Crea: 37696-MT&amp;CRazão Social: Construtora W Mendes Ltda
CNPJ: 13.252.128/0001-94 - (65) 3661-3737 / 9 9991-9276 
R: Joaquim Murtinho, n° 940 Centro Sul - CEP: 78020-290    Cidade: Cuiabá - MT.  
&amp;RPágina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DF59-A88C-44CE-B4E4-EE5E9C83B1A4}">
  <dimension ref="A1:D42"/>
  <sheetViews>
    <sheetView view="pageBreakPreview" topLeftCell="A25" zoomScale="88" zoomScaleNormal="100" zoomScaleSheetLayoutView="88" workbookViewId="0">
      <selection sqref="A1:B1"/>
    </sheetView>
  </sheetViews>
  <sheetFormatPr defaultRowHeight="14.4" x14ac:dyDescent="0.3"/>
  <cols>
    <col min="2" max="2" width="65.33203125" customWidth="1"/>
    <col min="3" max="3" width="14.88671875" customWidth="1"/>
    <col min="4" max="4" width="15.5546875" customWidth="1"/>
  </cols>
  <sheetData>
    <row r="1" spans="1:4" ht="20.399999999999999" x14ac:dyDescent="0.3">
      <c r="A1" s="703" t="s">
        <v>2677</v>
      </c>
      <c r="B1" s="704"/>
      <c r="C1" s="705" t="s">
        <v>2678</v>
      </c>
      <c r="D1" s="706"/>
    </row>
    <row r="2" spans="1:4" ht="15.6" x14ac:dyDescent="0.3">
      <c r="A2" s="707" t="s">
        <v>2733</v>
      </c>
      <c r="B2" s="708"/>
      <c r="C2" s="331" t="s">
        <v>2679</v>
      </c>
      <c r="D2" s="332">
        <f>BDI!C26</f>
        <v>0.24392883913855612</v>
      </c>
    </row>
    <row r="3" spans="1:4" ht="15.6" x14ac:dyDescent="0.3">
      <c r="A3" s="333" t="s">
        <v>2</v>
      </c>
      <c r="B3" s="334"/>
      <c r="C3" s="334"/>
      <c r="D3" s="335"/>
    </row>
    <row r="4" spans="1:4" ht="15.6" x14ac:dyDescent="0.3">
      <c r="A4" s="336" t="s">
        <v>2680</v>
      </c>
      <c r="B4" s="337"/>
      <c r="C4" s="338"/>
      <c r="D4" s="339"/>
    </row>
    <row r="5" spans="1:4" ht="15.6" x14ac:dyDescent="0.3">
      <c r="A5" s="709" t="s">
        <v>2681</v>
      </c>
      <c r="B5" s="710"/>
      <c r="C5" s="710"/>
      <c r="D5" s="711"/>
    </row>
    <row r="6" spans="1:4" ht="15.6" x14ac:dyDescent="0.3">
      <c r="A6" s="340"/>
      <c r="B6" s="341"/>
      <c r="C6" s="712" t="s">
        <v>2682</v>
      </c>
      <c r="D6" s="713"/>
    </row>
    <row r="7" spans="1:4" ht="15.6" x14ac:dyDescent="0.3">
      <c r="A7" s="342" t="s">
        <v>9</v>
      </c>
      <c r="B7" s="343" t="s">
        <v>10</v>
      </c>
      <c r="C7" s="343" t="s">
        <v>2683</v>
      </c>
      <c r="D7" s="344" t="s">
        <v>2684</v>
      </c>
    </row>
    <row r="8" spans="1:4" ht="15.6" x14ac:dyDescent="0.3">
      <c r="A8" s="714" t="s">
        <v>823</v>
      </c>
      <c r="B8" s="715"/>
      <c r="C8" s="715"/>
      <c r="D8" s="716"/>
    </row>
    <row r="9" spans="1:4" ht="15.6" x14ac:dyDescent="0.3">
      <c r="A9" s="345" t="s">
        <v>824</v>
      </c>
      <c r="B9" s="346" t="s">
        <v>2685</v>
      </c>
      <c r="C9" s="347">
        <v>0</v>
      </c>
      <c r="D9" s="348">
        <v>0</v>
      </c>
    </row>
    <row r="10" spans="1:4" ht="15.6" x14ac:dyDescent="0.3">
      <c r="A10" s="345" t="s">
        <v>2686</v>
      </c>
      <c r="B10" s="349" t="s">
        <v>2687</v>
      </c>
      <c r="C10" s="350">
        <v>0</v>
      </c>
      <c r="D10" s="351">
        <v>0</v>
      </c>
    </row>
    <row r="11" spans="1:4" ht="15.6" x14ac:dyDescent="0.3">
      <c r="A11" s="345" t="s">
        <v>2688</v>
      </c>
      <c r="B11" s="349" t="s">
        <v>2689</v>
      </c>
      <c r="C11" s="350">
        <v>0</v>
      </c>
      <c r="D11" s="351">
        <v>0</v>
      </c>
    </row>
    <row r="12" spans="1:4" ht="15.6" x14ac:dyDescent="0.3">
      <c r="A12" s="345" t="s">
        <v>2690</v>
      </c>
      <c r="B12" s="346" t="s">
        <v>2691</v>
      </c>
      <c r="C12" s="350">
        <v>2E-3</v>
      </c>
      <c r="D12" s="351">
        <v>2E-3</v>
      </c>
    </row>
    <row r="13" spans="1:4" ht="15.6" x14ac:dyDescent="0.3">
      <c r="A13" s="345" t="s">
        <v>2692</v>
      </c>
      <c r="B13" s="346" t="s">
        <v>2693</v>
      </c>
      <c r="C13" s="352">
        <v>0</v>
      </c>
      <c r="D13" s="353">
        <v>0</v>
      </c>
    </row>
    <row r="14" spans="1:4" ht="15.6" x14ac:dyDescent="0.3">
      <c r="A14" s="345" t="s">
        <v>2694</v>
      </c>
      <c r="B14" s="346" t="s">
        <v>2695</v>
      </c>
      <c r="C14" s="350">
        <v>2.5000000000000001E-2</v>
      </c>
      <c r="D14" s="351">
        <v>2.5000000000000001E-2</v>
      </c>
    </row>
    <row r="15" spans="1:4" ht="15.6" x14ac:dyDescent="0.3">
      <c r="A15" s="345" t="s">
        <v>2696</v>
      </c>
      <c r="B15" s="346" t="s">
        <v>2697</v>
      </c>
      <c r="C15" s="350">
        <v>0.03</v>
      </c>
      <c r="D15" s="351">
        <v>0.03</v>
      </c>
    </row>
    <row r="16" spans="1:4" ht="15.6" x14ac:dyDescent="0.3">
      <c r="A16" s="345" t="s">
        <v>2698</v>
      </c>
      <c r="B16" s="346" t="s">
        <v>2699</v>
      </c>
      <c r="C16" s="354">
        <v>0.08</v>
      </c>
      <c r="D16" s="355">
        <v>0.08</v>
      </c>
    </row>
    <row r="17" spans="1:4" ht="15.6" x14ac:dyDescent="0.3">
      <c r="A17" s="345" t="s">
        <v>2700</v>
      </c>
      <c r="B17" s="346" t="s">
        <v>2701</v>
      </c>
      <c r="C17" s="347">
        <v>0</v>
      </c>
      <c r="D17" s="348">
        <v>0</v>
      </c>
    </row>
    <row r="18" spans="1:4" ht="15.6" x14ac:dyDescent="0.3">
      <c r="A18" s="356" t="s">
        <v>2702</v>
      </c>
      <c r="B18" s="357" t="s">
        <v>497</v>
      </c>
      <c r="C18" s="358">
        <f>SUM(C9:C17)</f>
        <v>0.13700000000000001</v>
      </c>
      <c r="D18" s="359">
        <f>SUM(D9:D17)</f>
        <v>0.13700000000000001</v>
      </c>
    </row>
    <row r="19" spans="1:4" ht="15.6" x14ac:dyDescent="0.3">
      <c r="A19" s="698" t="s">
        <v>826</v>
      </c>
      <c r="B19" s="699"/>
      <c r="C19" s="699"/>
      <c r="D19" s="700"/>
    </row>
    <row r="20" spans="1:4" ht="15.6" x14ac:dyDescent="0.3">
      <c r="A20" s="360" t="s">
        <v>827</v>
      </c>
      <c r="B20" s="346" t="s">
        <v>2703</v>
      </c>
      <c r="C20" s="354">
        <v>0.17780000000000001</v>
      </c>
      <c r="D20" s="355" t="s">
        <v>2704</v>
      </c>
    </row>
    <row r="21" spans="1:4" ht="15.6" x14ac:dyDescent="0.3">
      <c r="A21" s="360" t="s">
        <v>828</v>
      </c>
      <c r="B21" s="346" t="s">
        <v>2705</v>
      </c>
      <c r="C21" s="354">
        <v>3.6700000000000003E-2</v>
      </c>
      <c r="D21" s="355" t="s">
        <v>2704</v>
      </c>
    </row>
    <row r="22" spans="1:4" ht="15.6" x14ac:dyDescent="0.3">
      <c r="A22" s="360" t="s">
        <v>829</v>
      </c>
      <c r="B22" s="346" t="s">
        <v>2706</v>
      </c>
      <c r="C22" s="354">
        <v>8.9999999999999993E-3</v>
      </c>
      <c r="D22" s="355">
        <v>6.8999999999999999E-3</v>
      </c>
    </row>
    <row r="23" spans="1:4" ht="15.6" x14ac:dyDescent="0.3">
      <c r="A23" s="360" t="s">
        <v>830</v>
      </c>
      <c r="B23" s="346" t="s">
        <v>2707</v>
      </c>
      <c r="C23" s="354">
        <v>0.1085</v>
      </c>
      <c r="D23" s="355">
        <v>8.3299999999999999E-2</v>
      </c>
    </row>
    <row r="24" spans="1:4" ht="15.6" x14ac:dyDescent="0.3">
      <c r="A24" s="360" t="s">
        <v>2708</v>
      </c>
      <c r="B24" s="346" t="s">
        <v>2709</v>
      </c>
      <c r="C24" s="354">
        <v>6.9999999999999999E-4</v>
      </c>
      <c r="D24" s="355">
        <v>5.9999999999999995E-4</v>
      </c>
    </row>
    <row r="25" spans="1:4" ht="15.6" x14ac:dyDescent="0.3">
      <c r="A25" s="360" t="s">
        <v>2710</v>
      </c>
      <c r="B25" s="346" t="s">
        <v>2711</v>
      </c>
      <c r="C25" s="354">
        <v>7.1999999999999998E-3</v>
      </c>
      <c r="D25" s="355">
        <v>5.5999999999999999E-3</v>
      </c>
    </row>
    <row r="26" spans="1:4" ht="15.6" x14ac:dyDescent="0.3">
      <c r="A26" s="360" t="s">
        <v>2712</v>
      </c>
      <c r="B26" s="346" t="s">
        <v>2713</v>
      </c>
      <c r="C26" s="347">
        <v>1.15E-2</v>
      </c>
      <c r="D26" s="355" t="s">
        <v>2704</v>
      </c>
    </row>
    <row r="27" spans="1:4" ht="15.6" x14ac:dyDescent="0.3">
      <c r="A27" s="360" t="s">
        <v>2714</v>
      </c>
      <c r="B27" s="346" t="s">
        <v>2715</v>
      </c>
      <c r="C27" s="347">
        <v>1.1000000000000001E-3</v>
      </c>
      <c r="D27" s="355">
        <v>8.9999999999999998E-4</v>
      </c>
    </row>
    <row r="28" spans="1:4" ht="15.6" x14ac:dyDescent="0.3">
      <c r="A28" s="360" t="s">
        <v>2716</v>
      </c>
      <c r="B28" s="346" t="s">
        <v>2717</v>
      </c>
      <c r="C28" s="354">
        <v>0.1022</v>
      </c>
      <c r="D28" s="355">
        <v>7.85E-2</v>
      </c>
    </row>
    <row r="29" spans="1:4" ht="15.6" x14ac:dyDescent="0.3">
      <c r="A29" s="360" t="s">
        <v>2718</v>
      </c>
      <c r="B29" s="346" t="s">
        <v>2719</v>
      </c>
      <c r="C29" s="347">
        <v>2.9999999999999997E-4</v>
      </c>
      <c r="D29" s="348">
        <v>2.9999999999999997E-4</v>
      </c>
    </row>
    <row r="30" spans="1:4" ht="15.6" x14ac:dyDescent="0.3">
      <c r="A30" s="356" t="s">
        <v>2720</v>
      </c>
      <c r="B30" s="357" t="s">
        <v>497</v>
      </c>
      <c r="C30" s="358">
        <f>SUM(C20:C29)</f>
        <v>0.45500000000000002</v>
      </c>
      <c r="D30" s="359">
        <f>SUM(D20:D29)</f>
        <v>0.17610000000000001</v>
      </c>
    </row>
    <row r="31" spans="1:4" ht="15.6" x14ac:dyDescent="0.3">
      <c r="A31" s="698" t="s">
        <v>832</v>
      </c>
      <c r="B31" s="699"/>
      <c r="C31" s="699"/>
      <c r="D31" s="700"/>
    </row>
    <row r="32" spans="1:4" ht="15.6" x14ac:dyDescent="0.3">
      <c r="A32" s="345" t="s">
        <v>833</v>
      </c>
      <c r="B32" s="346" t="s">
        <v>2721</v>
      </c>
      <c r="C32" s="354">
        <v>5.96E-2</v>
      </c>
      <c r="D32" s="355">
        <v>4.58E-2</v>
      </c>
    </row>
    <row r="33" spans="1:4" ht="15.6" x14ac:dyDescent="0.3">
      <c r="A33" s="345" t="s">
        <v>834</v>
      </c>
      <c r="B33" s="346" t="s">
        <v>2722</v>
      </c>
      <c r="C33" s="347">
        <v>1.4E-3</v>
      </c>
      <c r="D33" s="348">
        <v>1.1000000000000001E-3</v>
      </c>
    </row>
    <row r="34" spans="1:4" ht="15.6" x14ac:dyDescent="0.3">
      <c r="A34" s="345" t="s">
        <v>836</v>
      </c>
      <c r="B34" s="346" t="s">
        <v>2723</v>
      </c>
      <c r="C34" s="354">
        <v>3.3399999999999999E-2</v>
      </c>
      <c r="D34" s="348">
        <v>2.5700000000000001E-2</v>
      </c>
    </row>
    <row r="35" spans="1:4" ht="15.6" x14ac:dyDescent="0.3">
      <c r="A35" s="345" t="s">
        <v>838</v>
      </c>
      <c r="B35" s="346" t="s">
        <v>2724</v>
      </c>
      <c r="C35" s="354">
        <v>3.6799999999999999E-2</v>
      </c>
      <c r="D35" s="355">
        <v>2.8299999999999999E-2</v>
      </c>
    </row>
    <row r="36" spans="1:4" ht="15.6" x14ac:dyDescent="0.3">
      <c r="A36" s="345" t="s">
        <v>840</v>
      </c>
      <c r="B36" s="346" t="s">
        <v>2725</v>
      </c>
      <c r="C36" s="347">
        <v>5.0000000000000001E-3</v>
      </c>
      <c r="D36" s="348">
        <v>3.8999999999999998E-3</v>
      </c>
    </row>
    <row r="37" spans="1:4" ht="15.6" x14ac:dyDescent="0.3">
      <c r="A37" s="356" t="s">
        <v>2726</v>
      </c>
      <c r="B37" s="357" t="s">
        <v>497</v>
      </c>
      <c r="C37" s="358">
        <f>SUM(C32:C36)</f>
        <v>0.13619999999999999</v>
      </c>
      <c r="D37" s="359">
        <f>SUM(D32:D36)</f>
        <v>0.10479999999999999</v>
      </c>
    </row>
    <row r="38" spans="1:4" ht="15.6" x14ac:dyDescent="0.3">
      <c r="A38" s="698" t="s">
        <v>2727</v>
      </c>
      <c r="B38" s="699"/>
      <c r="C38" s="699"/>
      <c r="D38" s="700"/>
    </row>
    <row r="39" spans="1:4" ht="15.6" x14ac:dyDescent="0.3">
      <c r="A39" s="360" t="s">
        <v>2728</v>
      </c>
      <c r="B39" s="346" t="s">
        <v>2729</v>
      </c>
      <c r="C39" s="354">
        <v>7.6399999999999996E-2</v>
      </c>
      <c r="D39" s="355">
        <v>2.9600000000000001E-2</v>
      </c>
    </row>
    <row r="40" spans="1:4" ht="31.2" x14ac:dyDescent="0.3">
      <c r="A40" s="345" t="s">
        <v>2730</v>
      </c>
      <c r="B40" s="349" t="s">
        <v>2731</v>
      </c>
      <c r="C40" s="347">
        <v>5.0000000000000001E-3</v>
      </c>
      <c r="D40" s="348">
        <v>3.8E-3</v>
      </c>
    </row>
    <row r="41" spans="1:4" ht="15.6" x14ac:dyDescent="0.3">
      <c r="A41" s="361" t="s">
        <v>2732</v>
      </c>
      <c r="B41" s="362" t="s">
        <v>497</v>
      </c>
      <c r="C41" s="363">
        <f>SUM(C39:C40)</f>
        <v>8.14E-2</v>
      </c>
      <c r="D41" s="364">
        <f>SUM(D39:D40)</f>
        <v>3.3399999999999999E-2</v>
      </c>
    </row>
    <row r="42" spans="1:4" ht="16.2" thickBot="1" x14ac:dyDescent="0.35">
      <c r="A42" s="701" t="s">
        <v>17</v>
      </c>
      <c r="B42" s="702"/>
      <c r="C42" s="365">
        <f>C18+C30+C37+C41</f>
        <v>0.8096000000000001</v>
      </c>
      <c r="D42" s="366">
        <f>D18+D30+D37+D41</f>
        <v>0.45130000000000003</v>
      </c>
    </row>
  </sheetData>
  <mergeCells count="10">
    <mergeCell ref="A19:D19"/>
    <mergeCell ref="A31:D31"/>
    <mergeCell ref="A38:D38"/>
    <mergeCell ref="A42:B42"/>
    <mergeCell ref="A1:B1"/>
    <mergeCell ref="C1:D1"/>
    <mergeCell ref="A2:B2"/>
    <mergeCell ref="A5:D5"/>
    <mergeCell ref="C6:D6"/>
    <mergeCell ref="A8:D8"/>
  </mergeCells>
  <printOptions horizontalCentered="1"/>
  <pageMargins left="0.75" right="0.25" top="1.2598425196850394" bottom="0.78740157480314965" header="0.31496062992125984" footer="0.15748031496062992"/>
  <pageSetup scale="90" orientation="portrait" r:id="rId1"/>
  <headerFooter>
    <oddHeader>&amp;L&amp;G</oddHeader>
    <oddFooter>&amp;CRazão Social: Construtora W Mendes Ltda
CNPJ: 13.252.128/0001-94 - (65) 3661-3737 / 9 9991-9276 
R: Joaquim Murtinho, n° 940 Centro Sul - CEP: 78020-290    Cidade: Cuiabá - MT.  
&amp;RPágina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6B26-C230-44C6-8FC9-B1E87A63F2E7}">
  <dimension ref="A1:E37"/>
  <sheetViews>
    <sheetView tabSelected="1" view="pageBreakPreview" topLeftCell="A4" zoomScale="91" zoomScaleNormal="100" zoomScaleSheetLayoutView="91" workbookViewId="0">
      <selection activeCell="K15" sqref="K15"/>
    </sheetView>
  </sheetViews>
  <sheetFormatPr defaultRowHeight="14.4" x14ac:dyDescent="0.3"/>
  <cols>
    <col min="2" max="2" width="54.88671875" customWidth="1"/>
    <col min="3" max="3" width="12.33203125" customWidth="1"/>
    <col min="4" max="4" width="10.109375" customWidth="1"/>
    <col min="5" max="5" width="12.33203125" customWidth="1"/>
  </cols>
  <sheetData>
    <row r="1" spans="1:5" ht="20.399999999999999" x14ac:dyDescent="0.3">
      <c r="A1" s="717" t="s">
        <v>2734</v>
      </c>
      <c r="B1" s="718"/>
      <c r="C1" s="718"/>
      <c r="D1" s="718"/>
      <c r="E1" s="719"/>
    </row>
    <row r="2" spans="1:5" ht="20.399999999999999" x14ac:dyDescent="0.3">
      <c r="A2" s="717" t="s">
        <v>2735</v>
      </c>
      <c r="B2" s="718"/>
      <c r="C2" s="718"/>
      <c r="D2" s="718"/>
      <c r="E2" s="719"/>
    </row>
    <row r="3" spans="1:5" ht="20.399999999999999" x14ac:dyDescent="0.35">
      <c r="A3" s="367" t="s">
        <v>2</v>
      </c>
      <c r="B3" s="368"/>
      <c r="C3" s="368"/>
      <c r="D3" s="368"/>
      <c r="E3" s="369"/>
    </row>
    <row r="4" spans="1:5" ht="20.399999999999999" x14ac:dyDescent="0.35">
      <c r="A4" s="367" t="s">
        <v>3</v>
      </c>
      <c r="B4" s="368"/>
      <c r="C4" s="368"/>
      <c r="D4" s="368"/>
      <c r="E4" s="369"/>
    </row>
    <row r="5" spans="1:5" ht="15.6" x14ac:dyDescent="0.3">
      <c r="A5" s="370"/>
      <c r="B5" s="371"/>
      <c r="C5" s="372"/>
      <c r="D5" s="720" t="s">
        <v>2736</v>
      </c>
      <c r="E5" s="721"/>
    </row>
    <row r="6" spans="1:5" ht="15.6" x14ac:dyDescent="0.3">
      <c r="A6" s="370" t="s">
        <v>2737</v>
      </c>
      <c r="B6" s="370" t="s">
        <v>10</v>
      </c>
      <c r="C6" s="372" t="s">
        <v>2738</v>
      </c>
      <c r="D6" s="373" t="s">
        <v>2739</v>
      </c>
      <c r="E6" s="370" t="s">
        <v>2740</v>
      </c>
    </row>
    <row r="7" spans="1:5" x14ac:dyDescent="0.3">
      <c r="A7" s="374"/>
      <c r="B7" s="375"/>
      <c r="C7" s="376"/>
      <c r="D7" s="377"/>
      <c r="E7" s="375"/>
    </row>
    <row r="8" spans="1:5" x14ac:dyDescent="0.3">
      <c r="A8" s="121">
        <v>90777</v>
      </c>
      <c r="B8" s="378" t="s">
        <v>2741</v>
      </c>
      <c r="C8" s="265" t="s">
        <v>2742</v>
      </c>
      <c r="D8" s="130">
        <v>79.17</v>
      </c>
      <c r="E8" s="378"/>
    </row>
    <row r="9" spans="1:5" x14ac:dyDescent="0.3">
      <c r="A9" s="118">
        <v>90778</v>
      </c>
      <c r="B9" s="119" t="s">
        <v>34</v>
      </c>
      <c r="C9" s="265" t="s">
        <v>2742</v>
      </c>
      <c r="D9" s="131">
        <v>89.98</v>
      </c>
      <c r="E9" s="378"/>
    </row>
    <row r="10" spans="1:5" x14ac:dyDescent="0.3">
      <c r="A10" s="121">
        <v>90776</v>
      </c>
      <c r="B10" s="378" t="s">
        <v>2743</v>
      </c>
      <c r="C10" s="265" t="s">
        <v>2742</v>
      </c>
      <c r="D10" s="130">
        <v>18.829999999999998</v>
      </c>
      <c r="E10" s="378"/>
    </row>
    <row r="11" spans="1:5" x14ac:dyDescent="0.3">
      <c r="A11" s="121">
        <v>88316</v>
      </c>
      <c r="B11" s="378" t="s">
        <v>801</v>
      </c>
      <c r="C11" s="265" t="s">
        <v>2742</v>
      </c>
      <c r="D11" s="130">
        <v>14.37</v>
      </c>
      <c r="E11" s="378"/>
    </row>
    <row r="12" spans="1:5" x14ac:dyDescent="0.3">
      <c r="A12" s="121" t="s">
        <v>523</v>
      </c>
      <c r="B12" s="378" t="s">
        <v>524</v>
      </c>
      <c r="C12" s="265" t="s">
        <v>2742</v>
      </c>
      <c r="D12" s="130">
        <v>14.91</v>
      </c>
      <c r="E12" s="378"/>
    </row>
    <row r="13" spans="1:5" x14ac:dyDescent="0.3">
      <c r="A13" s="121" t="s">
        <v>527</v>
      </c>
      <c r="B13" s="378" t="s">
        <v>528</v>
      </c>
      <c r="C13" s="265" t="s">
        <v>2742</v>
      </c>
      <c r="D13" s="130">
        <v>17.64</v>
      </c>
      <c r="E13" s="378"/>
    </row>
    <row r="14" spans="1:5" x14ac:dyDescent="0.3">
      <c r="A14" s="121" t="s">
        <v>1376</v>
      </c>
      <c r="B14" s="378" t="s">
        <v>1377</v>
      </c>
      <c r="C14" s="265" t="s">
        <v>2742</v>
      </c>
      <c r="D14" s="130">
        <v>18.84</v>
      </c>
      <c r="E14" s="378"/>
    </row>
    <row r="15" spans="1:5" x14ac:dyDescent="0.3">
      <c r="A15" s="121" t="s">
        <v>1362</v>
      </c>
      <c r="B15" s="378" t="s">
        <v>1363</v>
      </c>
      <c r="C15" s="265" t="s">
        <v>2742</v>
      </c>
      <c r="D15" s="130">
        <v>17.760000000000002</v>
      </c>
      <c r="E15" s="378"/>
    </row>
    <row r="16" spans="1:5" x14ac:dyDescent="0.3">
      <c r="A16" s="121" t="s">
        <v>1355</v>
      </c>
      <c r="B16" s="378" t="s">
        <v>1356</v>
      </c>
      <c r="C16" s="265" t="s">
        <v>2742</v>
      </c>
      <c r="D16" s="130">
        <v>17.71</v>
      </c>
      <c r="E16" s="378"/>
    </row>
    <row r="17" spans="1:5" x14ac:dyDescent="0.3">
      <c r="A17" s="121" t="s">
        <v>1556</v>
      </c>
      <c r="B17" s="378" t="s">
        <v>1557</v>
      </c>
      <c r="C17" s="265" t="s">
        <v>2742</v>
      </c>
      <c r="D17" s="130">
        <v>17.14</v>
      </c>
      <c r="E17" s="378"/>
    </row>
    <row r="18" spans="1:5" x14ac:dyDescent="0.3">
      <c r="A18" s="121" t="s">
        <v>1579</v>
      </c>
      <c r="B18" s="378" t="s">
        <v>1580</v>
      </c>
      <c r="C18" s="265" t="s">
        <v>2742</v>
      </c>
      <c r="D18" s="130">
        <v>18.88</v>
      </c>
      <c r="E18" s="378"/>
    </row>
    <row r="19" spans="1:5" x14ac:dyDescent="0.3">
      <c r="A19" s="121" t="s">
        <v>611</v>
      </c>
      <c r="B19" s="378" t="s">
        <v>546</v>
      </c>
      <c r="C19" s="265" t="s">
        <v>2742</v>
      </c>
      <c r="D19" s="130">
        <v>14.33</v>
      </c>
      <c r="E19" s="378"/>
    </row>
    <row r="20" spans="1:5" x14ac:dyDescent="0.3">
      <c r="A20" s="121" t="s">
        <v>610</v>
      </c>
      <c r="B20" s="378" t="s">
        <v>543</v>
      </c>
      <c r="C20" s="265" t="s">
        <v>2742</v>
      </c>
      <c r="D20" s="130">
        <v>18.38</v>
      </c>
      <c r="E20" s="378"/>
    </row>
    <row r="21" spans="1:5" x14ac:dyDescent="0.3">
      <c r="A21" s="121" t="s">
        <v>1726</v>
      </c>
      <c r="B21" s="378" t="s">
        <v>1727</v>
      </c>
      <c r="C21" s="265" t="s">
        <v>2742</v>
      </c>
      <c r="D21" s="130" t="s">
        <v>1729</v>
      </c>
      <c r="E21" s="378"/>
    </row>
    <row r="22" spans="1:5" x14ac:dyDescent="0.3">
      <c r="A22" s="121" t="s">
        <v>1367</v>
      </c>
      <c r="B22" s="378" t="s">
        <v>1368</v>
      </c>
      <c r="C22" s="265" t="s">
        <v>2742</v>
      </c>
      <c r="D22" s="130" t="s">
        <v>1370</v>
      </c>
      <c r="E22" s="378"/>
    </row>
    <row r="23" spans="1:5" x14ac:dyDescent="0.3">
      <c r="A23" s="121" t="s">
        <v>1746</v>
      </c>
      <c r="B23" s="378" t="s">
        <v>1747</v>
      </c>
      <c r="C23" s="265" t="s">
        <v>2742</v>
      </c>
      <c r="D23" s="130">
        <v>17.98</v>
      </c>
      <c r="E23" s="378"/>
    </row>
    <row r="24" spans="1:5" x14ac:dyDescent="0.3">
      <c r="A24" s="121" t="s">
        <v>1870</v>
      </c>
      <c r="B24" s="378" t="s">
        <v>1871</v>
      </c>
      <c r="C24" s="265" t="s">
        <v>2742</v>
      </c>
      <c r="D24" s="130">
        <v>12.82</v>
      </c>
      <c r="E24" s="378"/>
    </row>
    <row r="25" spans="1:5" x14ac:dyDescent="0.3">
      <c r="A25" s="121" t="s">
        <v>2108</v>
      </c>
      <c r="B25" s="378" t="s">
        <v>2109</v>
      </c>
      <c r="C25" s="265" t="s">
        <v>2742</v>
      </c>
      <c r="D25" s="130" t="s">
        <v>2111</v>
      </c>
      <c r="E25" s="378"/>
    </row>
    <row r="26" spans="1:5" x14ac:dyDescent="0.3">
      <c r="A26" s="121" t="s">
        <v>2112</v>
      </c>
      <c r="B26" s="378" t="s">
        <v>2113</v>
      </c>
      <c r="C26" s="265" t="s">
        <v>2742</v>
      </c>
      <c r="D26" s="130" t="s">
        <v>2115</v>
      </c>
      <c r="E26" s="378"/>
    </row>
    <row r="27" spans="1:5" x14ac:dyDescent="0.3">
      <c r="A27" s="121" t="s">
        <v>2449</v>
      </c>
      <c r="B27" s="378" t="s">
        <v>2450</v>
      </c>
      <c r="C27" s="265" t="s">
        <v>2742</v>
      </c>
      <c r="D27" s="130">
        <v>13.01</v>
      </c>
      <c r="E27" s="378"/>
    </row>
    <row r="28" spans="1:5" x14ac:dyDescent="0.3">
      <c r="A28" s="121" t="s">
        <v>2744</v>
      </c>
      <c r="B28" s="378" t="s">
        <v>2745</v>
      </c>
      <c r="C28" s="265" t="s">
        <v>2742</v>
      </c>
      <c r="D28" s="130">
        <v>17.68</v>
      </c>
      <c r="E28" s="378"/>
    </row>
    <row r="29" spans="1:5" x14ac:dyDescent="0.3">
      <c r="A29" s="374" t="s">
        <v>2746</v>
      </c>
      <c r="B29" s="379" t="s">
        <v>2747</v>
      </c>
      <c r="C29" s="265" t="s">
        <v>2742</v>
      </c>
      <c r="D29" s="130">
        <v>14.43</v>
      </c>
      <c r="E29" s="378"/>
    </row>
    <row r="30" spans="1:5" x14ac:dyDescent="0.3">
      <c r="A30" s="121" t="s">
        <v>2522</v>
      </c>
      <c r="B30" s="378" t="s">
        <v>2523</v>
      </c>
      <c r="C30" s="265" t="s">
        <v>2742</v>
      </c>
      <c r="D30" s="130">
        <v>12.88</v>
      </c>
      <c r="E30" s="378"/>
    </row>
    <row r="31" spans="1:5" x14ac:dyDescent="0.3">
      <c r="A31" s="121" t="s">
        <v>2748</v>
      </c>
      <c r="B31" s="378" t="s">
        <v>2749</v>
      </c>
      <c r="C31" s="265" t="s">
        <v>2742</v>
      </c>
      <c r="D31" s="130">
        <v>14.37</v>
      </c>
      <c r="E31" s="378"/>
    </row>
    <row r="32" spans="1:5" x14ac:dyDescent="0.3">
      <c r="A32" s="121" t="s">
        <v>2750</v>
      </c>
      <c r="B32" s="378" t="s">
        <v>2751</v>
      </c>
      <c r="C32" s="265" t="s">
        <v>2742</v>
      </c>
      <c r="D32" s="130">
        <v>17.98</v>
      </c>
      <c r="E32" s="378"/>
    </row>
    <row r="33" spans="1:5" x14ac:dyDescent="0.3">
      <c r="A33" s="121">
        <v>88297</v>
      </c>
      <c r="B33" s="378" t="s">
        <v>2752</v>
      </c>
      <c r="C33" s="265" t="s">
        <v>2742</v>
      </c>
      <c r="D33" s="130">
        <v>13.49</v>
      </c>
      <c r="E33" s="378"/>
    </row>
    <row r="34" spans="1:5" x14ac:dyDescent="0.3">
      <c r="A34" s="121" t="s">
        <v>2572</v>
      </c>
      <c r="B34" s="378" t="s">
        <v>2573</v>
      </c>
      <c r="C34" s="265" t="s">
        <v>2742</v>
      </c>
      <c r="D34" s="130" t="s">
        <v>2575</v>
      </c>
      <c r="E34" s="378"/>
    </row>
    <row r="35" spans="1:5" x14ac:dyDescent="0.3">
      <c r="A35" s="121" t="s">
        <v>2251</v>
      </c>
      <c r="B35" s="378" t="s">
        <v>2252</v>
      </c>
      <c r="C35" s="265" t="s">
        <v>2742</v>
      </c>
      <c r="D35" s="130" t="s">
        <v>2253</v>
      </c>
      <c r="E35" s="378"/>
    </row>
    <row r="36" spans="1:5" x14ac:dyDescent="0.3">
      <c r="A36" s="121" t="s">
        <v>2753</v>
      </c>
      <c r="B36" s="378" t="s">
        <v>2754</v>
      </c>
      <c r="C36" s="265" t="s">
        <v>2742</v>
      </c>
      <c r="D36" s="130">
        <v>17.68</v>
      </c>
      <c r="E36" s="378"/>
    </row>
    <row r="37" spans="1:5" x14ac:dyDescent="0.3">
      <c r="A37" s="121" t="s">
        <v>2653</v>
      </c>
      <c r="B37" s="378" t="s">
        <v>2654</v>
      </c>
      <c r="C37" s="265" t="s">
        <v>2742</v>
      </c>
      <c r="D37" s="130">
        <v>18.809999999999999</v>
      </c>
      <c r="E37" s="378"/>
    </row>
  </sheetData>
  <mergeCells count="3">
    <mergeCell ref="A1:E1"/>
    <mergeCell ref="A2:E2"/>
    <mergeCell ref="D5:E5"/>
  </mergeCells>
  <printOptions horizontalCentered="1"/>
  <pageMargins left="0.51181102362204722" right="0.25" top="1.3385826771653544" bottom="0.78740157480314965" header="0.31496062992125984" footer="0.31496062992125984"/>
  <pageSetup scale="90" orientation="portrait" r:id="rId1"/>
  <headerFooter>
    <oddHeader>&amp;L&amp;G</oddHeader>
    <oddFooter>&amp;CRazão Social: Construtora W Mendes Ltda
CNPJ: 13.252.128/0001-94 - (65) 3661-3737 / 9 9991-9276 
R: Joaquim Murtinho, n° 940 Centro Sul - CEP: 78020-290    Cidade: Cuiabá - MT.  
&amp;RPágina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0B44-BF68-4198-971C-024226057092}">
  <dimension ref="A1:I38"/>
  <sheetViews>
    <sheetView view="pageBreakPreview" zoomScale="60" zoomScaleNormal="100" workbookViewId="0">
      <selection activeCell="S11" sqref="S11"/>
    </sheetView>
  </sheetViews>
  <sheetFormatPr defaultRowHeight="14.4" x14ac:dyDescent="0.3"/>
  <cols>
    <col min="2" max="2" width="74.77734375" customWidth="1"/>
    <col min="3" max="3" width="15.5546875" customWidth="1"/>
  </cols>
  <sheetData>
    <row r="1" spans="1:9" x14ac:dyDescent="0.3">
      <c r="A1" s="723" t="s">
        <v>822</v>
      </c>
      <c r="B1" s="724"/>
      <c r="C1" s="725"/>
      <c r="D1" s="114"/>
      <c r="E1" s="114"/>
      <c r="F1" s="114"/>
      <c r="G1" s="114"/>
      <c r="H1" s="114"/>
      <c r="I1" s="114"/>
    </row>
    <row r="2" spans="1:9" x14ac:dyDescent="0.3">
      <c r="A2" s="726"/>
      <c r="B2" s="727"/>
      <c r="C2" s="728"/>
      <c r="D2" s="114"/>
      <c r="E2" s="114"/>
      <c r="F2" s="114"/>
      <c r="G2" s="114"/>
      <c r="H2" s="114"/>
      <c r="I2" s="114"/>
    </row>
    <row r="3" spans="1:9" ht="15.6" x14ac:dyDescent="0.3">
      <c r="A3" s="729" t="s">
        <v>10</v>
      </c>
      <c r="B3" s="729"/>
      <c r="C3" s="475" t="s">
        <v>494</v>
      </c>
      <c r="D3" s="114"/>
      <c r="E3" s="114"/>
      <c r="F3" s="114"/>
      <c r="G3" s="114"/>
      <c r="H3" s="114"/>
      <c r="I3" s="114"/>
    </row>
    <row r="4" spans="1:9" ht="15.6" x14ac:dyDescent="0.3">
      <c r="A4" s="730" t="s">
        <v>823</v>
      </c>
      <c r="B4" s="730"/>
      <c r="C4" s="476"/>
      <c r="D4" s="114"/>
      <c r="E4" s="114"/>
      <c r="F4" s="114"/>
      <c r="G4" s="114"/>
      <c r="H4" s="114"/>
      <c r="I4" s="114"/>
    </row>
    <row r="5" spans="1:9" ht="46.8" x14ac:dyDescent="0.3">
      <c r="A5" s="477" t="s">
        <v>824</v>
      </c>
      <c r="B5" s="478" t="s">
        <v>2765</v>
      </c>
      <c r="C5" s="479">
        <v>0.03</v>
      </c>
      <c r="D5" s="114"/>
      <c r="E5" s="114"/>
      <c r="F5" s="114"/>
      <c r="G5" s="114"/>
      <c r="H5" s="114"/>
      <c r="I5" s="114"/>
    </row>
    <row r="6" spans="1:9" ht="15.6" x14ac:dyDescent="0.3">
      <c r="A6" s="477"/>
      <c r="B6" s="480" t="s">
        <v>825</v>
      </c>
      <c r="C6" s="479">
        <f>SUM(C5)</f>
        <v>0.03</v>
      </c>
      <c r="D6" s="114"/>
      <c r="E6" s="114"/>
      <c r="F6" s="114"/>
      <c r="G6" s="115">
        <f>1+C5+C10+C12+C11</f>
        <v>1.05</v>
      </c>
      <c r="H6" s="114">
        <f>1+3/100+0.4/100+1.2/100+0.4/100</f>
        <v>1.05</v>
      </c>
      <c r="I6" s="114"/>
    </row>
    <row r="7" spans="1:9" ht="15.6" x14ac:dyDescent="0.3">
      <c r="A7" s="477"/>
      <c r="B7" s="478"/>
      <c r="C7" s="479"/>
      <c r="D7" s="114"/>
      <c r="E7" s="114"/>
      <c r="F7" s="114"/>
      <c r="G7" s="115">
        <f>1+C9</f>
        <v>1.0121</v>
      </c>
      <c r="H7" s="114">
        <f>1+1.21/100</f>
        <v>1.0121</v>
      </c>
      <c r="I7" s="114"/>
    </row>
    <row r="8" spans="1:9" ht="15.6" x14ac:dyDescent="0.3">
      <c r="A8" s="731" t="s">
        <v>826</v>
      </c>
      <c r="B8" s="731"/>
      <c r="C8" s="479"/>
      <c r="D8" s="114"/>
      <c r="E8" s="114"/>
      <c r="F8" s="114"/>
      <c r="G8" s="115">
        <f>1+C13</f>
        <v>1.0652999999999999</v>
      </c>
      <c r="H8" s="114">
        <f>1+6.53/100</f>
        <v>1.0652999999999999</v>
      </c>
      <c r="I8" s="114"/>
    </row>
    <row r="9" spans="1:9" ht="15.6" x14ac:dyDescent="0.3">
      <c r="A9" s="477" t="s">
        <v>827</v>
      </c>
      <c r="B9" s="478" t="s">
        <v>2766</v>
      </c>
      <c r="C9" s="479">
        <v>1.21E-2</v>
      </c>
      <c r="D9" s="114"/>
      <c r="E9" s="114"/>
      <c r="F9" s="114"/>
      <c r="G9" s="115">
        <f>1-C24</f>
        <v>0.89849999999999997</v>
      </c>
      <c r="H9" s="114">
        <f>1-10.15/100</f>
        <v>0.89849999999999997</v>
      </c>
      <c r="I9" s="114"/>
    </row>
    <row r="10" spans="1:9" ht="15.6" x14ac:dyDescent="0.3">
      <c r="A10" s="477" t="s">
        <v>828</v>
      </c>
      <c r="B10" s="478" t="s">
        <v>2767</v>
      </c>
      <c r="C10" s="479">
        <v>4.0000000000000001E-3</v>
      </c>
      <c r="D10" s="114"/>
      <c r="E10" s="114"/>
      <c r="F10" s="114"/>
      <c r="G10" s="114"/>
      <c r="H10" s="114"/>
      <c r="I10" s="114"/>
    </row>
    <row r="11" spans="1:9" ht="15.6" x14ac:dyDescent="0.3">
      <c r="A11" s="477" t="s">
        <v>828</v>
      </c>
      <c r="B11" s="478" t="s">
        <v>2768</v>
      </c>
      <c r="C11" s="479">
        <v>4.0000000000000001E-3</v>
      </c>
      <c r="D11" s="114"/>
      <c r="E11" s="114"/>
      <c r="F11" s="115">
        <f>G6*G7*G8</f>
        <v>1.1320996365</v>
      </c>
      <c r="G11" s="114"/>
      <c r="H11" s="114">
        <f>H6*H7*H8</f>
        <v>1.1320996365</v>
      </c>
      <c r="I11" s="114"/>
    </row>
    <row r="12" spans="1:9" ht="15.6" x14ac:dyDescent="0.3">
      <c r="A12" s="477" t="s">
        <v>829</v>
      </c>
      <c r="B12" s="478" t="s">
        <v>2769</v>
      </c>
      <c r="C12" s="479">
        <v>1.2E-2</v>
      </c>
      <c r="D12" s="114"/>
      <c r="E12" s="114"/>
      <c r="F12" s="115">
        <f>F11/G9</f>
        <v>1.2599884657762939</v>
      </c>
      <c r="G12" s="114"/>
      <c r="H12" s="114">
        <f>H11/H9</f>
        <v>1.2599884657762939</v>
      </c>
      <c r="I12" s="114"/>
    </row>
    <row r="13" spans="1:9" ht="15.6" x14ac:dyDescent="0.3">
      <c r="A13" s="477" t="s">
        <v>830</v>
      </c>
      <c r="B13" s="478" t="s">
        <v>2770</v>
      </c>
      <c r="C13" s="479">
        <v>6.5299999999999997E-2</v>
      </c>
      <c r="D13" s="114"/>
      <c r="E13" s="114"/>
      <c r="F13" s="115">
        <f>F12-1</f>
        <v>0.25998846577629386</v>
      </c>
      <c r="G13" s="114"/>
      <c r="H13" s="114">
        <f>H11/H12</f>
        <v>0.89849999999999997</v>
      </c>
      <c r="I13" s="114"/>
    </row>
    <row r="14" spans="1:9" ht="15.6" x14ac:dyDescent="0.3">
      <c r="A14" s="477"/>
      <c r="B14" s="480" t="s">
        <v>831</v>
      </c>
      <c r="C14" s="479">
        <f>SUM(C9:C13)</f>
        <v>9.74E-2</v>
      </c>
      <c r="D14" s="114"/>
      <c r="E14" s="114"/>
      <c r="F14" s="114"/>
      <c r="G14" s="114"/>
      <c r="H14" s="114">
        <f>H12-1</f>
        <v>0.25998846577629386</v>
      </c>
      <c r="I14" s="114"/>
    </row>
    <row r="15" spans="1:9" ht="15.6" x14ac:dyDescent="0.3">
      <c r="A15" s="477"/>
      <c r="B15" s="481"/>
      <c r="C15" s="479"/>
      <c r="D15" s="114"/>
      <c r="E15" s="114"/>
      <c r="F15" s="114"/>
      <c r="G15" s="114"/>
      <c r="H15" s="114"/>
      <c r="I15" s="114"/>
    </row>
    <row r="16" spans="1:9" ht="15.6" x14ac:dyDescent="0.3">
      <c r="A16" s="731" t="s">
        <v>832</v>
      </c>
      <c r="B16" s="731"/>
      <c r="C16" s="479"/>
      <c r="D16" s="114"/>
      <c r="E16" s="114"/>
      <c r="F16" s="114"/>
      <c r="G16" s="114"/>
      <c r="H16" s="114"/>
      <c r="I16" s="114"/>
    </row>
    <row r="17" spans="1:9" ht="31.2" x14ac:dyDescent="0.3">
      <c r="A17" s="477" t="s">
        <v>833</v>
      </c>
      <c r="B17" s="478" t="s">
        <v>2771</v>
      </c>
      <c r="C17" s="479"/>
      <c r="D17" s="114"/>
      <c r="E17" s="114"/>
      <c r="F17" s="114"/>
      <c r="G17" s="114"/>
      <c r="H17" s="114"/>
      <c r="I17" s="114"/>
    </row>
    <row r="18" spans="1:9" ht="15.6" x14ac:dyDescent="0.3">
      <c r="A18" s="477" t="s">
        <v>834</v>
      </c>
      <c r="B18" s="482" t="s">
        <v>835</v>
      </c>
      <c r="C18" s="479">
        <v>0.4</v>
      </c>
      <c r="D18" s="114"/>
      <c r="E18" s="114"/>
      <c r="F18" s="115">
        <f>1+C5+C11+C10+C12</f>
        <v>1.05</v>
      </c>
      <c r="G18" s="114"/>
      <c r="H18" s="114"/>
      <c r="I18" s="114"/>
    </row>
    <row r="19" spans="1:9" ht="15.6" x14ac:dyDescent="0.3">
      <c r="A19" s="477" t="s">
        <v>836</v>
      </c>
      <c r="B19" s="483" t="s">
        <v>837</v>
      </c>
      <c r="C19" s="479">
        <v>0.05</v>
      </c>
      <c r="D19" s="114"/>
      <c r="E19" s="114"/>
      <c r="F19" s="115">
        <f>1+C9</f>
        <v>1.0121</v>
      </c>
      <c r="G19" s="114"/>
      <c r="H19" s="114"/>
      <c r="I19" s="114"/>
    </row>
    <row r="20" spans="1:9" ht="15.6" x14ac:dyDescent="0.3">
      <c r="A20" s="477" t="s">
        <v>838</v>
      </c>
      <c r="B20" s="484" t="s">
        <v>839</v>
      </c>
      <c r="C20" s="479">
        <f>C19*C18</f>
        <v>2.0000000000000004E-2</v>
      </c>
      <c r="D20" s="114"/>
      <c r="E20" s="114"/>
      <c r="F20" s="115">
        <f>1+C13</f>
        <v>1.0652999999999999</v>
      </c>
      <c r="G20" s="114"/>
      <c r="H20" s="114"/>
      <c r="I20" s="114"/>
    </row>
    <row r="21" spans="1:9" ht="15.6" x14ac:dyDescent="0.3">
      <c r="A21" s="477" t="s">
        <v>840</v>
      </c>
      <c r="B21" s="481" t="s">
        <v>841</v>
      </c>
      <c r="C21" s="116">
        <v>6.4999999999999997E-3</v>
      </c>
      <c r="D21" s="114"/>
      <c r="E21" s="114"/>
      <c r="F21" s="115">
        <f>1-C24</f>
        <v>0.89849999999999997</v>
      </c>
      <c r="G21" s="114"/>
      <c r="H21" s="115">
        <f>F18*F19*F20</f>
        <v>1.1320996365</v>
      </c>
      <c r="I21" s="114"/>
    </row>
    <row r="22" spans="1:9" ht="15.6" x14ac:dyDescent="0.3">
      <c r="A22" s="477" t="s">
        <v>842</v>
      </c>
      <c r="B22" s="481" t="s">
        <v>843</v>
      </c>
      <c r="C22" s="116">
        <v>0.03</v>
      </c>
      <c r="D22" s="114"/>
      <c r="E22" s="114"/>
      <c r="F22" s="114"/>
      <c r="G22" s="114"/>
      <c r="H22" s="115">
        <f>H21/F21</f>
        <v>1.2599884657762939</v>
      </c>
      <c r="I22" s="114"/>
    </row>
    <row r="23" spans="1:9" ht="15.6" x14ac:dyDescent="0.3">
      <c r="A23" s="477" t="s">
        <v>844</v>
      </c>
      <c r="B23" s="481" t="s">
        <v>845</v>
      </c>
      <c r="C23" s="116">
        <v>4.4999999999999998E-2</v>
      </c>
      <c r="D23" s="114"/>
      <c r="E23" s="114"/>
      <c r="F23" s="114"/>
      <c r="G23" s="114"/>
      <c r="H23" s="117">
        <f>H22-1</f>
        <v>0.25998846577629386</v>
      </c>
      <c r="I23" s="114"/>
    </row>
    <row r="24" spans="1:9" ht="15.6" x14ac:dyDescent="0.3">
      <c r="A24" s="477"/>
      <c r="B24" s="480" t="s">
        <v>846</v>
      </c>
      <c r="C24" s="479">
        <f>SUM(C20:C23)</f>
        <v>0.10150000000000001</v>
      </c>
      <c r="D24" s="114"/>
      <c r="E24" s="114"/>
      <c r="F24" s="114"/>
      <c r="G24" s="114"/>
      <c r="H24" s="114"/>
      <c r="I24" s="114"/>
    </row>
    <row r="25" spans="1:9" ht="15.6" x14ac:dyDescent="0.3">
      <c r="A25" s="485"/>
      <c r="B25" s="485"/>
      <c r="C25" s="479"/>
      <c r="D25" s="114"/>
      <c r="E25" s="114"/>
      <c r="F25" s="114"/>
      <c r="G25" s="114"/>
      <c r="H25" s="114"/>
      <c r="I25" s="114"/>
    </row>
    <row r="26" spans="1:9" ht="15.6" x14ac:dyDescent="0.3">
      <c r="A26" s="731" t="s">
        <v>847</v>
      </c>
      <c r="B26" s="731"/>
      <c r="C26" s="479">
        <f>H23</f>
        <v>0.25998846577629386</v>
      </c>
      <c r="D26" s="114"/>
      <c r="E26" s="114"/>
      <c r="F26" s="114"/>
      <c r="G26" s="114"/>
      <c r="H26" s="114"/>
      <c r="I26" s="114"/>
    </row>
    <row r="27" spans="1:9" x14ac:dyDescent="0.3">
      <c r="A27" s="722" t="s">
        <v>2772</v>
      </c>
      <c r="B27" s="722"/>
      <c r="C27" s="722"/>
      <c r="D27" s="114"/>
      <c r="E27" s="114"/>
      <c r="F27" s="114"/>
      <c r="G27" s="114"/>
      <c r="H27" s="114"/>
      <c r="I27" s="114"/>
    </row>
    <row r="28" spans="1:9" x14ac:dyDescent="0.3">
      <c r="A28" s="722"/>
      <c r="B28" s="722"/>
      <c r="C28" s="722"/>
      <c r="D28" s="114"/>
      <c r="E28" s="114"/>
      <c r="F28" s="114"/>
      <c r="G28" s="114"/>
      <c r="H28" s="114"/>
      <c r="I28" s="114"/>
    </row>
    <row r="29" spans="1:9" x14ac:dyDescent="0.3">
      <c r="A29" s="722"/>
      <c r="B29" s="722"/>
      <c r="C29" s="722"/>
      <c r="D29" s="114"/>
      <c r="E29" s="114"/>
      <c r="F29" s="114"/>
      <c r="G29" s="114"/>
      <c r="H29" s="114"/>
      <c r="I29" s="114"/>
    </row>
    <row r="30" spans="1:9" x14ac:dyDescent="0.3">
      <c r="A30" s="722"/>
      <c r="B30" s="722"/>
      <c r="C30" s="722"/>
      <c r="D30" s="114"/>
      <c r="E30" s="114"/>
      <c r="F30" s="114"/>
      <c r="G30" s="114"/>
      <c r="H30" s="114"/>
      <c r="I30" s="114"/>
    </row>
    <row r="31" spans="1:9" x14ac:dyDescent="0.3">
      <c r="A31" s="722"/>
      <c r="B31" s="722"/>
      <c r="C31" s="722"/>
      <c r="D31" s="114"/>
      <c r="E31" s="114"/>
      <c r="F31" s="114"/>
      <c r="G31" s="114"/>
      <c r="H31" s="114"/>
      <c r="I31" s="114"/>
    </row>
    <row r="32" spans="1:9" x14ac:dyDescent="0.3">
      <c r="A32" s="722"/>
      <c r="B32" s="722"/>
      <c r="C32" s="722"/>
      <c r="D32" s="114"/>
      <c r="E32" s="114"/>
      <c r="F32" s="114"/>
      <c r="G32" s="114"/>
      <c r="H32" s="114"/>
      <c r="I32" s="114"/>
    </row>
    <row r="33" spans="1:9" x14ac:dyDescent="0.3">
      <c r="A33" s="722"/>
      <c r="B33" s="722"/>
      <c r="C33" s="722"/>
      <c r="D33" s="114"/>
      <c r="E33" s="114"/>
      <c r="F33" s="114"/>
      <c r="G33" s="114"/>
      <c r="H33" s="114"/>
      <c r="I33" s="114"/>
    </row>
    <row r="34" spans="1:9" x14ac:dyDescent="0.3">
      <c r="A34" s="722"/>
      <c r="B34" s="722"/>
      <c r="C34" s="722"/>
      <c r="D34" s="114"/>
      <c r="E34" s="114"/>
      <c r="F34" s="114"/>
      <c r="G34" s="114"/>
      <c r="H34" s="114"/>
      <c r="I34" s="114"/>
    </row>
    <row r="35" spans="1:9" x14ac:dyDescent="0.3">
      <c r="A35" s="722"/>
      <c r="B35" s="722"/>
      <c r="C35" s="722"/>
      <c r="D35" s="114"/>
      <c r="E35" s="114"/>
      <c r="F35" s="114"/>
      <c r="G35" s="114"/>
      <c r="H35" s="114"/>
      <c r="I35" s="114"/>
    </row>
    <row r="36" spans="1:9" x14ac:dyDescent="0.3">
      <c r="A36" s="722"/>
      <c r="B36" s="722"/>
      <c r="C36" s="722"/>
      <c r="D36" s="114"/>
      <c r="E36" s="114"/>
      <c r="F36" s="114"/>
      <c r="G36" s="114"/>
      <c r="H36" s="114"/>
      <c r="I36" s="114"/>
    </row>
    <row r="37" spans="1:9" x14ac:dyDescent="0.3">
      <c r="A37" s="722"/>
      <c r="B37" s="722"/>
      <c r="C37" s="722"/>
      <c r="D37" s="114"/>
      <c r="E37" s="114"/>
      <c r="F37" s="114"/>
      <c r="G37" s="114"/>
      <c r="H37" s="114"/>
      <c r="I37" s="114"/>
    </row>
    <row r="38" spans="1:9" x14ac:dyDescent="0.3">
      <c r="A38" s="722"/>
      <c r="B38" s="722"/>
      <c r="C38" s="722"/>
      <c r="D38" s="114"/>
      <c r="E38" s="114"/>
      <c r="F38" s="114"/>
      <c r="G38" s="114"/>
      <c r="H38" s="114"/>
      <c r="I38" s="114"/>
    </row>
  </sheetData>
  <mergeCells count="7">
    <mergeCell ref="A27:C38"/>
    <mergeCell ref="A1:C2"/>
    <mergeCell ref="A3:B3"/>
    <mergeCell ref="A4:B4"/>
    <mergeCell ref="A8:B8"/>
    <mergeCell ref="A16:B16"/>
    <mergeCell ref="A26:B26"/>
  </mergeCells>
  <printOptions horizontalCentered="1"/>
  <pageMargins left="0.24" right="0.25" top="1.71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COMPOSIÇÃO</vt:lpstr>
      <vt:lpstr>CRONOGRAMA</vt:lpstr>
      <vt:lpstr>PLANILHA</vt:lpstr>
      <vt:lpstr>BDI</vt:lpstr>
      <vt:lpstr>COMPOSIÇÃO SINAPI W MENDES</vt:lpstr>
      <vt:lpstr>lei social</vt:lpstr>
      <vt:lpstr>escala salarial mao obra</vt:lpstr>
      <vt:lpstr>Planilha1</vt:lpstr>
      <vt:lpstr>BDI!Area_de_impressao</vt:lpstr>
      <vt:lpstr>COMPOSIÇÃO!Area_de_impressao</vt:lpstr>
      <vt:lpstr>'COMPOSIÇÃO SINAPI W MENDES'!Area_de_impressao</vt:lpstr>
      <vt:lpstr>CRONOGRAMA!Area_de_impressao</vt:lpstr>
      <vt:lpstr>'escala salarial mao obra'!Area_de_impressao</vt:lpstr>
      <vt:lpstr>PLANILHA!Area_de_impressao</vt:lpstr>
      <vt:lpstr>Planilha1!Area_de_impressao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2020-12-14T18:53:59Z</dcterms:modified>
</cp:coreProperties>
</file>