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COMPOSIÇÃO" sheetId="4" r:id="rId1"/>
    <sheet name="CRONOGRAMA" sheetId="3" r:id="rId2"/>
    <sheet name="PLANILHA" sheetId="2" r:id="rId3"/>
    <sheet name="BDI" sheetId="5" r:id="rId4"/>
  </sheets>
  <externalReferences>
    <externalReference r:id="rId5"/>
    <externalReference r:id="rId6"/>
  </externalReferences>
  <definedNames>
    <definedName name="_xlnm.Print_Area" localSheetId="3">BDI!$A$1:$C$55</definedName>
    <definedName name="_xlnm.Print_Area" localSheetId="0">COMPOSIÇÃO!$B$1:$G$161</definedName>
    <definedName name="_xlnm.Print_Area" localSheetId="1">CRONOGRAMA!$A$1:$AD$31</definedName>
    <definedName name="_xlnm.Print_Area" localSheetId="2">PLANILHA!$A$1:$I$902</definedName>
    <definedName name="_xlnm.Print_Titles" localSheetId="2">PLANILHA!$15:$15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H27" i="5"/>
  <c r="F26" i="5"/>
  <c r="F25" i="5"/>
  <c r="F24" i="5"/>
  <c r="C26" i="5"/>
  <c r="C30" i="5" s="1"/>
  <c r="F27" i="5" s="1"/>
  <c r="H28" i="5" s="1"/>
  <c r="I474" i="2"/>
  <c r="I475" i="2"/>
  <c r="I483" i="2"/>
  <c r="I486" i="2"/>
  <c r="I490" i="2"/>
  <c r="I493" i="2"/>
  <c r="I497" i="2"/>
  <c r="I501" i="2"/>
  <c r="I513" i="2"/>
  <c r="I537" i="2"/>
  <c r="I548" i="2"/>
  <c r="I578" i="2"/>
  <c r="I582" i="2"/>
  <c r="I585" i="2"/>
  <c r="I586" i="2"/>
  <c r="I593" i="2"/>
  <c r="I596" i="2"/>
  <c r="I598" i="2"/>
  <c r="I601" i="2"/>
  <c r="I606" i="2"/>
  <c r="I615" i="2"/>
  <c r="I637" i="2"/>
  <c r="I649" i="2"/>
  <c r="I661" i="2"/>
  <c r="I664" i="2"/>
  <c r="I665" i="2"/>
  <c r="I672" i="2"/>
  <c r="I676" i="2"/>
  <c r="I678" i="2"/>
  <c r="I681" i="2"/>
  <c r="I685" i="2"/>
  <c r="I695" i="2"/>
  <c r="I724" i="2"/>
  <c r="I737" i="2"/>
  <c r="I750" i="2"/>
  <c r="I753" i="2"/>
  <c r="I756" i="2"/>
  <c r="I757" i="2"/>
  <c r="I759" i="2"/>
  <c r="I767" i="2"/>
  <c r="I776" i="2"/>
  <c r="I783" i="2"/>
  <c r="I786" i="2"/>
  <c r="I792" i="2"/>
  <c r="I797" i="2"/>
  <c r="I801" i="2"/>
  <c r="I807" i="2"/>
  <c r="I809" i="2"/>
  <c r="I820" i="2"/>
  <c r="I864" i="2"/>
  <c r="I877" i="2"/>
  <c r="I890" i="2"/>
  <c r="I893" i="2"/>
  <c r="I894" i="2"/>
  <c r="E692" i="2"/>
  <c r="E612" i="2"/>
  <c r="E510" i="2"/>
  <c r="E409" i="2"/>
  <c r="G369" i="2"/>
  <c r="L369" i="2"/>
  <c r="E369" i="2" s="1"/>
  <c r="E298" i="2"/>
  <c r="E181" i="2"/>
  <c r="E73" i="2"/>
  <c r="C20" i="5"/>
  <c r="A51" i="5"/>
  <c r="H15" i="5"/>
  <c r="H14" i="5"/>
  <c r="G14" i="5"/>
  <c r="H13" i="5"/>
  <c r="G13" i="5"/>
  <c r="H12" i="5"/>
  <c r="H17" i="5" s="1"/>
  <c r="G12" i="5"/>
  <c r="F17" i="5" s="1"/>
  <c r="C12" i="5"/>
  <c r="H29" i="5" l="1"/>
  <c r="C32" i="5" s="1"/>
  <c r="H369" i="2"/>
  <c r="G15" i="5"/>
  <c r="F18" i="5" s="1"/>
  <c r="F19" i="5" s="1"/>
  <c r="H18" i="5"/>
  <c r="H20" i="5" s="1"/>
  <c r="H19" i="5" l="1"/>
  <c r="G147" i="4" l="1"/>
  <c r="G145" i="4"/>
  <c r="G156" i="4"/>
  <c r="G160" i="4"/>
  <c r="G159" i="4"/>
  <c r="G158" i="4"/>
  <c r="G157" i="4"/>
  <c r="G154" i="4"/>
  <c r="G150" i="4" s="1"/>
  <c r="G151" i="4"/>
  <c r="G748" i="2"/>
  <c r="H748" i="2" s="1"/>
  <c r="G747" i="2"/>
  <c r="H747" i="2" s="1"/>
  <c r="G576" i="2"/>
  <c r="H576" i="2" s="1"/>
  <c r="G575" i="2"/>
  <c r="H575" i="2" s="1"/>
  <c r="G464" i="2"/>
  <c r="H464" i="2" s="1"/>
  <c r="G463" i="2"/>
  <c r="H463" i="2" s="1"/>
  <c r="G365" i="2"/>
  <c r="H365" i="2" s="1"/>
  <c r="G364" i="2"/>
  <c r="H364" i="2" s="1"/>
  <c r="G253" i="2"/>
  <c r="H253" i="2" s="1"/>
  <c r="G252" i="2"/>
  <c r="H252" i="2" s="1"/>
  <c r="G135" i="2"/>
  <c r="H135" i="2" s="1"/>
  <c r="G134" i="2"/>
  <c r="H134" i="2" s="1"/>
  <c r="G152" i="4"/>
  <c r="G153" i="4"/>
  <c r="E816" i="2" l="1"/>
  <c r="G816" i="2"/>
  <c r="H816" i="2" s="1"/>
  <c r="G691" i="2"/>
  <c r="E691" i="2"/>
  <c r="G611" i="2"/>
  <c r="E611" i="2"/>
  <c r="H611" i="2" s="1"/>
  <c r="G509" i="2"/>
  <c r="E509" i="2"/>
  <c r="G408" i="2"/>
  <c r="E408" i="2"/>
  <c r="G180" i="2"/>
  <c r="E180" i="2"/>
  <c r="E297" i="2"/>
  <c r="G297" i="2"/>
  <c r="E72" i="2"/>
  <c r="G29" i="2"/>
  <c r="H29" i="2" s="1"/>
  <c r="G146" i="4"/>
  <c r="G144" i="4"/>
  <c r="H180" i="2" l="1"/>
  <c r="H691" i="2"/>
  <c r="H509" i="2"/>
  <c r="H408" i="2"/>
  <c r="H297" i="2"/>
  <c r="G143" i="4"/>
  <c r="L181" i="2"/>
  <c r="L73" i="2"/>
  <c r="G692" i="2"/>
  <c r="H692" i="2" s="1"/>
  <c r="G612" i="2"/>
  <c r="H612" i="2" s="1"/>
  <c r="G510" i="2"/>
  <c r="H510" i="2" s="1"/>
  <c r="G409" i="2"/>
  <c r="H409" i="2" s="1"/>
  <c r="G298" i="2"/>
  <c r="H298" i="2" s="1"/>
  <c r="G181" i="2"/>
  <c r="H181" i="2" s="1"/>
  <c r="G73" i="2"/>
  <c r="H73" i="2" s="1"/>
  <c r="G39" i="2" l="1"/>
  <c r="H39" i="2" s="1"/>
  <c r="B9" i="3"/>
  <c r="J27" i="2"/>
  <c r="J26" i="2"/>
  <c r="J28" i="2" l="1"/>
  <c r="E28" i="2" s="1"/>
  <c r="G793" i="2" l="1"/>
  <c r="H793" i="2" s="1"/>
  <c r="G758" i="2"/>
  <c r="H758" i="2" s="1"/>
  <c r="G707" i="2"/>
  <c r="H707" i="2" s="1"/>
  <c r="G708" i="2"/>
  <c r="H708" i="2" s="1"/>
  <c r="G709" i="2"/>
  <c r="H709" i="2" s="1"/>
  <c r="G710" i="2"/>
  <c r="H710" i="2" s="1"/>
  <c r="G711" i="2"/>
  <c r="H711" i="2" s="1"/>
  <c r="G712" i="2"/>
  <c r="H712" i="2" s="1"/>
  <c r="G713" i="2"/>
  <c r="H713" i="2" s="1"/>
  <c r="G714" i="2"/>
  <c r="H714" i="2" s="1"/>
  <c r="G93" i="2"/>
  <c r="H93" i="2" s="1"/>
  <c r="G94" i="2"/>
  <c r="H94" i="2" s="1"/>
  <c r="G95" i="2"/>
  <c r="H95" i="2" s="1"/>
  <c r="G96" i="2"/>
  <c r="H96" i="2" s="1"/>
  <c r="G671" i="2"/>
  <c r="H671" i="2" s="1"/>
  <c r="G670" i="2"/>
  <c r="H670" i="2" s="1"/>
  <c r="G669" i="2"/>
  <c r="G668" i="2"/>
  <c r="H668" i="2" s="1"/>
  <c r="G667" i="2"/>
  <c r="G666" i="2"/>
  <c r="H666" i="2" s="1"/>
  <c r="G626" i="2"/>
  <c r="H626" i="2" s="1"/>
  <c r="G627" i="2"/>
  <c r="H627" i="2" s="1"/>
  <c r="G628" i="2"/>
  <c r="H628" i="2" s="1"/>
  <c r="G629" i="2"/>
  <c r="H629" i="2" s="1"/>
  <c r="G630" i="2"/>
  <c r="H630" i="2" s="1"/>
  <c r="G631" i="2"/>
  <c r="H631" i="2" s="1"/>
  <c r="G632" i="2"/>
  <c r="H632" i="2" s="1"/>
  <c r="G633" i="2"/>
  <c r="H633" i="2" s="1"/>
  <c r="H667" i="2" l="1"/>
  <c r="H669" i="2"/>
  <c r="G69" i="4"/>
  <c r="F897" i="2" s="1"/>
  <c r="G592" i="2" l="1"/>
  <c r="H592" i="2" s="1"/>
  <c r="G591" i="2"/>
  <c r="H591" i="2" s="1"/>
  <c r="G590" i="2"/>
  <c r="H590" i="2" s="1"/>
  <c r="G589" i="2"/>
  <c r="H589" i="2" s="1"/>
  <c r="G588" i="2"/>
  <c r="H588" i="2" s="1"/>
  <c r="G587" i="2"/>
  <c r="H587" i="2" s="1"/>
  <c r="J398" i="2" l="1"/>
  <c r="J495" i="2"/>
  <c r="G442" i="2" l="1"/>
  <c r="H442" i="2" s="1"/>
  <c r="G441" i="2"/>
  <c r="H441" i="2" s="1"/>
  <c r="G440" i="2"/>
  <c r="H440" i="2" s="1"/>
  <c r="G435" i="2"/>
  <c r="H435" i="2" s="1"/>
  <c r="G426" i="2"/>
  <c r="H426" i="2" s="1"/>
  <c r="G427" i="2"/>
  <c r="H427" i="2" s="1"/>
  <c r="G428" i="2"/>
  <c r="H428" i="2" s="1"/>
  <c r="G429" i="2"/>
  <c r="H429" i="2" s="1"/>
  <c r="G430" i="2"/>
  <c r="H430" i="2" s="1"/>
  <c r="G431" i="2"/>
  <c r="H431" i="2" s="1"/>
  <c r="L278" i="2"/>
  <c r="L284" i="2"/>
  <c r="L296" i="2"/>
  <c r="L299" i="2"/>
  <c r="L388" i="2"/>
  <c r="L390" i="2"/>
  <c r="L394" i="2"/>
  <c r="L400" i="2"/>
  <c r="L404" i="2"/>
  <c r="L405" i="2" s="1"/>
  <c r="L406" i="2"/>
  <c r="L407" i="2"/>
  <c r="L410" i="2"/>
  <c r="K420" i="2"/>
  <c r="L420" i="2"/>
  <c r="K433" i="2"/>
  <c r="L485" i="2"/>
  <c r="L503" i="2"/>
  <c r="L511" i="2"/>
  <c r="L594" i="2"/>
  <c r="L595" i="2"/>
  <c r="K616" i="2"/>
  <c r="L674" i="2"/>
  <c r="L675" i="2" s="1"/>
  <c r="L689" i="2"/>
  <c r="E689" i="2" s="1"/>
  <c r="K765" i="2"/>
  <c r="L765" i="2"/>
  <c r="K834" i="2"/>
  <c r="K835" i="2"/>
  <c r="G896" i="2"/>
  <c r="H896" i="2" s="1"/>
  <c r="G897" i="2"/>
  <c r="H897" i="2" s="1"/>
  <c r="G895" i="2"/>
  <c r="H895" i="2" s="1"/>
  <c r="N894" i="2"/>
  <c r="J895" i="2"/>
  <c r="L835" i="2" l="1"/>
  <c r="G94" i="4"/>
  <c r="G95" i="4" s="1"/>
  <c r="G91" i="4"/>
  <c r="G90" i="4"/>
  <c r="G132" i="4"/>
  <c r="G133" i="4" s="1"/>
  <c r="G129" i="4"/>
  <c r="G128" i="4"/>
  <c r="G120" i="4"/>
  <c r="G121" i="4" s="1"/>
  <c r="G117" i="4"/>
  <c r="G116" i="4"/>
  <c r="G193" i="4"/>
  <c r="G189" i="4"/>
  <c r="G188" i="4"/>
  <c r="G106" i="4"/>
  <c r="G107" i="4" s="1"/>
  <c r="G103" i="4"/>
  <c r="G102" i="4"/>
  <c r="G82" i="4"/>
  <c r="G81" i="4"/>
  <c r="G83" i="4" s="1"/>
  <c r="G78" i="4"/>
  <c r="G77" i="4"/>
  <c r="G139" i="4"/>
  <c r="G138" i="4"/>
  <c r="G65" i="4"/>
  <c r="G64" i="4"/>
  <c r="G60" i="4"/>
  <c r="G59" i="4"/>
  <c r="G58" i="4"/>
  <c r="G53" i="4"/>
  <c r="G52" i="4"/>
  <c r="G44" i="4"/>
  <c r="G43" i="4"/>
  <c r="G32" i="4"/>
  <c r="G31" i="4"/>
  <c r="G29" i="4"/>
  <c r="G28" i="4"/>
  <c r="G27" i="4"/>
  <c r="G26" i="4"/>
  <c r="G25" i="4"/>
  <c r="G20" i="4"/>
  <c r="G19" i="4"/>
  <c r="G18" i="4"/>
  <c r="G17" i="4"/>
  <c r="G16" i="4"/>
  <c r="G15" i="4"/>
  <c r="G14" i="4"/>
  <c r="G9" i="4"/>
  <c r="G8" i="4"/>
  <c r="G7" i="4"/>
  <c r="G6" i="4"/>
  <c r="G5" i="4"/>
  <c r="G4" i="4"/>
  <c r="G3" i="4"/>
  <c r="AF29" i="3"/>
  <c r="AA27" i="3"/>
  <c r="Y27" i="3"/>
  <c r="AC25" i="3"/>
  <c r="AC23" i="3"/>
  <c r="AC21" i="3"/>
  <c r="AC19" i="3"/>
  <c r="AC17" i="3"/>
  <c r="AC15" i="3"/>
  <c r="AC13" i="3"/>
  <c r="AC11" i="3"/>
  <c r="AC9" i="3"/>
  <c r="AG8" i="3"/>
  <c r="A5" i="3"/>
  <c r="A4" i="3"/>
  <c r="J901" i="2"/>
  <c r="J899" i="2"/>
  <c r="G891" i="2"/>
  <c r="H891" i="2" s="1"/>
  <c r="G889" i="2"/>
  <c r="E889" i="2"/>
  <c r="G888" i="2"/>
  <c r="E888" i="2"/>
  <c r="G887" i="2"/>
  <c r="E887" i="2"/>
  <c r="G886" i="2"/>
  <c r="E886" i="2"/>
  <c r="G884" i="2"/>
  <c r="E884" i="2"/>
  <c r="G883" i="2"/>
  <c r="E883" i="2"/>
  <c r="G882" i="2"/>
  <c r="E882" i="2"/>
  <c r="G881" i="2"/>
  <c r="E881" i="2"/>
  <c r="G880" i="2"/>
  <c r="E880" i="2"/>
  <c r="G879" i="2"/>
  <c r="G876" i="2"/>
  <c r="E876" i="2"/>
  <c r="G875" i="2"/>
  <c r="E875" i="2"/>
  <c r="G874" i="2"/>
  <c r="E874" i="2"/>
  <c r="G873" i="2"/>
  <c r="E873" i="2"/>
  <c r="G872" i="2"/>
  <c r="E872" i="2"/>
  <c r="G871" i="2"/>
  <c r="E871" i="2"/>
  <c r="G870" i="2"/>
  <c r="E870" i="2"/>
  <c r="G869" i="2"/>
  <c r="E869" i="2"/>
  <c r="G868" i="2"/>
  <c r="E868" i="2"/>
  <c r="J867" i="2"/>
  <c r="G867" i="2"/>
  <c r="H867" i="2" s="1"/>
  <c r="G866" i="2"/>
  <c r="E866" i="2"/>
  <c r="G865" i="2"/>
  <c r="E865" i="2"/>
  <c r="G863" i="2"/>
  <c r="E863" i="2"/>
  <c r="G862" i="2"/>
  <c r="E862" i="2"/>
  <c r="G861" i="2"/>
  <c r="E861" i="2"/>
  <c r="G860" i="2"/>
  <c r="E860" i="2"/>
  <c r="G859" i="2"/>
  <c r="E859" i="2"/>
  <c r="G858" i="2"/>
  <c r="E858" i="2"/>
  <c r="G857" i="2"/>
  <c r="E857" i="2"/>
  <c r="G856" i="2"/>
  <c r="E856" i="2"/>
  <c r="G855" i="2"/>
  <c r="E855" i="2"/>
  <c r="G854" i="2"/>
  <c r="E854" i="2"/>
  <c r="G853" i="2"/>
  <c r="E853" i="2"/>
  <c r="G852" i="2"/>
  <c r="E852" i="2"/>
  <c r="G851" i="2"/>
  <c r="E851" i="2"/>
  <c r="G850" i="2"/>
  <c r="E850" i="2"/>
  <c r="G849" i="2"/>
  <c r="E849" i="2"/>
  <c r="G848" i="2"/>
  <c r="E848" i="2"/>
  <c r="J847" i="2"/>
  <c r="E847" i="2" s="1"/>
  <c r="G847" i="2"/>
  <c r="G846" i="2"/>
  <c r="E846" i="2"/>
  <c r="G845" i="2"/>
  <c r="E845" i="2"/>
  <c r="G844" i="2"/>
  <c r="E844" i="2"/>
  <c r="G843" i="2"/>
  <c r="E843" i="2"/>
  <c r="G842" i="2"/>
  <c r="E842" i="2"/>
  <c r="G841" i="2"/>
  <c r="E841" i="2"/>
  <c r="J840" i="2"/>
  <c r="E840" i="2" s="1"/>
  <c r="G840" i="2"/>
  <c r="J839" i="2"/>
  <c r="E839" i="2" s="1"/>
  <c r="G839" i="2"/>
  <c r="J838" i="2"/>
  <c r="E838" i="2" s="1"/>
  <c r="G838" i="2"/>
  <c r="G837" i="2"/>
  <c r="J836" i="2"/>
  <c r="E836" i="2" s="1"/>
  <c r="G836" i="2"/>
  <c r="J835" i="2"/>
  <c r="E835" i="2" s="1"/>
  <c r="G835" i="2"/>
  <c r="J834" i="2"/>
  <c r="E834" i="2" s="1"/>
  <c r="G834" i="2"/>
  <c r="J833" i="2"/>
  <c r="E833" i="2" s="1"/>
  <c r="G833" i="2"/>
  <c r="J832" i="2"/>
  <c r="E832" i="2" s="1"/>
  <c r="G832" i="2"/>
  <c r="J831" i="2"/>
  <c r="E831" i="2" s="1"/>
  <c r="G831" i="2"/>
  <c r="G830" i="2"/>
  <c r="E830" i="2"/>
  <c r="G829" i="2"/>
  <c r="E829" i="2"/>
  <c r="G828" i="2"/>
  <c r="E828" i="2"/>
  <c r="G827" i="2"/>
  <c r="E827" i="2"/>
  <c r="G826" i="2"/>
  <c r="E826" i="2"/>
  <c r="J825" i="2"/>
  <c r="E825" i="2" s="1"/>
  <c r="G825" i="2"/>
  <c r="J824" i="2"/>
  <c r="E824" i="2" s="1"/>
  <c r="G824" i="2"/>
  <c r="J823" i="2"/>
  <c r="E823" i="2" s="1"/>
  <c r="G823" i="2"/>
  <c r="G822" i="2"/>
  <c r="E822" i="2"/>
  <c r="N821" i="2"/>
  <c r="G821" i="2"/>
  <c r="E821" i="2"/>
  <c r="G819" i="2"/>
  <c r="G818" i="2"/>
  <c r="G817" i="2"/>
  <c r="G815" i="2"/>
  <c r="J814" i="2"/>
  <c r="G814" i="2"/>
  <c r="G813" i="2"/>
  <c r="J812" i="2"/>
  <c r="G812" i="2"/>
  <c r="G811" i="2"/>
  <c r="J810" i="2"/>
  <c r="G810" i="2"/>
  <c r="G808" i="2"/>
  <c r="J806" i="2"/>
  <c r="E806" i="2" s="1"/>
  <c r="G806" i="2"/>
  <c r="J805" i="2"/>
  <c r="E805" i="2" s="1"/>
  <c r="G805" i="2"/>
  <c r="G804" i="2"/>
  <c r="E804" i="2"/>
  <c r="J803" i="2"/>
  <c r="E803" i="2" s="1"/>
  <c r="G803" i="2"/>
  <c r="J802" i="2"/>
  <c r="J819" i="2" s="1"/>
  <c r="E819" i="2" s="1"/>
  <c r="G802" i="2"/>
  <c r="J800" i="2"/>
  <c r="E800" i="2" s="1"/>
  <c r="G800" i="2"/>
  <c r="G799" i="2"/>
  <c r="G798" i="2"/>
  <c r="J796" i="2"/>
  <c r="G796" i="2"/>
  <c r="J795" i="2"/>
  <c r="E795" i="2" s="1"/>
  <c r="G795" i="2"/>
  <c r="J794" i="2"/>
  <c r="G794" i="2"/>
  <c r="G791" i="2"/>
  <c r="J790" i="2"/>
  <c r="E790" i="2" s="1"/>
  <c r="G790" i="2"/>
  <c r="J789" i="2"/>
  <c r="E789" i="2" s="1"/>
  <c r="G789" i="2"/>
  <c r="G788" i="2"/>
  <c r="E788" i="2"/>
  <c r="J787" i="2"/>
  <c r="J788" i="2" s="1"/>
  <c r="G787" i="2"/>
  <c r="E787" i="2"/>
  <c r="J785" i="2"/>
  <c r="E785" i="2" s="1"/>
  <c r="G785" i="2"/>
  <c r="J784" i="2"/>
  <c r="J798" i="2" s="1"/>
  <c r="G784" i="2"/>
  <c r="J782" i="2"/>
  <c r="E782" i="2" s="1"/>
  <c r="G782" i="2"/>
  <c r="G781" i="2"/>
  <c r="G780" i="2"/>
  <c r="J779" i="2"/>
  <c r="E779" i="2" s="1"/>
  <c r="G779" i="2"/>
  <c r="G778" i="2"/>
  <c r="J777" i="2"/>
  <c r="J778" i="2" s="1"/>
  <c r="E778" i="2" s="1"/>
  <c r="G777" i="2"/>
  <c r="J775" i="2"/>
  <c r="G775" i="2"/>
  <c r="H775" i="2" s="1"/>
  <c r="J774" i="2"/>
  <c r="E774" i="2" s="1"/>
  <c r="G774" i="2"/>
  <c r="G773" i="2"/>
  <c r="H773" i="2" s="1"/>
  <c r="G772" i="2"/>
  <c r="H772" i="2" s="1"/>
  <c r="G771" i="2"/>
  <c r="J770" i="2"/>
  <c r="G770" i="2"/>
  <c r="J769" i="2"/>
  <c r="E769" i="2" s="1"/>
  <c r="G769" i="2"/>
  <c r="J768" i="2"/>
  <c r="E768" i="2" s="1"/>
  <c r="G768" i="2"/>
  <c r="J766" i="2"/>
  <c r="E766" i="2" s="1"/>
  <c r="G766" i="2"/>
  <c r="G765" i="2"/>
  <c r="G764" i="2"/>
  <c r="J763" i="2"/>
  <c r="E763" i="2" s="1"/>
  <c r="G763" i="2"/>
  <c r="J762" i="2"/>
  <c r="J764" i="2" s="1"/>
  <c r="E764" i="2" s="1"/>
  <c r="G762" i="2"/>
  <c r="J761" i="2"/>
  <c r="G761" i="2"/>
  <c r="H761" i="2" s="1"/>
  <c r="J760" i="2"/>
  <c r="E760" i="2" s="1"/>
  <c r="G760" i="2"/>
  <c r="N757" i="2"/>
  <c r="G754" i="2"/>
  <c r="H754" i="2" s="1"/>
  <c r="G751" i="2"/>
  <c r="H751" i="2" s="1"/>
  <c r="G749" i="2"/>
  <c r="H749" i="2" s="1"/>
  <c r="G746" i="2"/>
  <c r="H746" i="2" s="1"/>
  <c r="G745" i="2"/>
  <c r="H745" i="2" s="1"/>
  <c r="G743" i="2"/>
  <c r="H743" i="2" s="1"/>
  <c r="G742" i="2"/>
  <c r="H742" i="2" s="1"/>
  <c r="G741" i="2"/>
  <c r="H741" i="2" s="1"/>
  <c r="G740" i="2"/>
  <c r="H740" i="2" s="1"/>
  <c r="G739" i="2"/>
  <c r="H739" i="2" s="1"/>
  <c r="G736" i="2"/>
  <c r="H736" i="2" s="1"/>
  <c r="G735" i="2"/>
  <c r="H735" i="2" s="1"/>
  <c r="G734" i="2"/>
  <c r="H734" i="2" s="1"/>
  <c r="G733" i="2"/>
  <c r="H733" i="2" s="1"/>
  <c r="G732" i="2"/>
  <c r="H732" i="2" s="1"/>
  <c r="G731" i="2"/>
  <c r="H731" i="2" s="1"/>
  <c r="G730" i="2"/>
  <c r="H730" i="2" s="1"/>
  <c r="G729" i="2"/>
  <c r="H729" i="2" s="1"/>
  <c r="G728" i="2"/>
  <c r="H728" i="2" s="1"/>
  <c r="G727" i="2"/>
  <c r="H727" i="2" s="1"/>
  <c r="G726" i="2"/>
  <c r="H726" i="2" s="1"/>
  <c r="G725" i="2"/>
  <c r="H725" i="2" s="1"/>
  <c r="G723" i="2"/>
  <c r="H723" i="2" s="1"/>
  <c r="G722" i="2"/>
  <c r="H722" i="2" s="1"/>
  <c r="G721" i="2"/>
  <c r="H721" i="2" s="1"/>
  <c r="G720" i="2"/>
  <c r="H720" i="2" s="1"/>
  <c r="G719" i="2"/>
  <c r="H719" i="2" s="1"/>
  <c r="G718" i="2"/>
  <c r="H718" i="2" s="1"/>
  <c r="G717" i="2"/>
  <c r="H717" i="2" s="1"/>
  <c r="G716" i="2"/>
  <c r="H716" i="2" s="1"/>
  <c r="G715" i="2"/>
  <c r="H715" i="2" s="1"/>
  <c r="G706" i="2"/>
  <c r="H706" i="2" s="1"/>
  <c r="G705" i="2"/>
  <c r="H705" i="2" s="1"/>
  <c r="G704" i="2"/>
  <c r="H704" i="2" s="1"/>
  <c r="G703" i="2"/>
  <c r="H703" i="2" s="1"/>
  <c r="G702" i="2"/>
  <c r="H702" i="2" s="1"/>
  <c r="G701" i="2"/>
  <c r="H701" i="2" s="1"/>
  <c r="G700" i="2"/>
  <c r="H700" i="2" s="1"/>
  <c r="G699" i="2"/>
  <c r="H699" i="2" s="1"/>
  <c r="G698" i="2"/>
  <c r="H698" i="2" s="1"/>
  <c r="G697" i="2"/>
  <c r="H697" i="2" s="1"/>
  <c r="G696" i="2"/>
  <c r="H696" i="2" s="1"/>
  <c r="G694" i="2"/>
  <c r="H694" i="2" s="1"/>
  <c r="G693" i="2"/>
  <c r="G690" i="2"/>
  <c r="G689" i="2"/>
  <c r="G688" i="2"/>
  <c r="H688" i="2" s="1"/>
  <c r="G687" i="2"/>
  <c r="E687" i="2"/>
  <c r="G686" i="2"/>
  <c r="E686" i="2"/>
  <c r="G684" i="2"/>
  <c r="H684" i="2" s="1"/>
  <c r="G683" i="2"/>
  <c r="H683" i="2" s="1"/>
  <c r="G682" i="2"/>
  <c r="H682" i="2" s="1"/>
  <c r="G680" i="2"/>
  <c r="E680" i="2"/>
  <c r="G679" i="2"/>
  <c r="E679" i="2"/>
  <c r="G677" i="2"/>
  <c r="E677" i="2"/>
  <c r="E675" i="2"/>
  <c r="G675" i="2"/>
  <c r="E674" i="2"/>
  <c r="G674" i="2"/>
  <c r="G673" i="2"/>
  <c r="H673" i="2" s="1"/>
  <c r="G662" i="2"/>
  <c r="H662" i="2" s="1"/>
  <c r="G659" i="2"/>
  <c r="H659" i="2" s="1"/>
  <c r="G658" i="2"/>
  <c r="H658" i="2" s="1"/>
  <c r="G657" i="2"/>
  <c r="H657" i="2" s="1"/>
  <c r="G655" i="2"/>
  <c r="H655" i="2" s="1"/>
  <c r="G654" i="2"/>
  <c r="H654" i="2" s="1"/>
  <c r="G653" i="2"/>
  <c r="H653" i="2" s="1"/>
  <c r="G652" i="2"/>
  <c r="H652" i="2" s="1"/>
  <c r="G651" i="2"/>
  <c r="H651" i="2" s="1"/>
  <c r="G648" i="2"/>
  <c r="H648" i="2" s="1"/>
  <c r="G647" i="2"/>
  <c r="H647" i="2" s="1"/>
  <c r="G646" i="2"/>
  <c r="H646" i="2" s="1"/>
  <c r="G645" i="2"/>
  <c r="H645" i="2" s="1"/>
  <c r="G644" i="2"/>
  <c r="H644" i="2" s="1"/>
  <c r="G643" i="2"/>
  <c r="H643" i="2" s="1"/>
  <c r="G642" i="2"/>
  <c r="H642" i="2" s="1"/>
  <c r="G641" i="2"/>
  <c r="H641" i="2" s="1"/>
  <c r="G640" i="2"/>
  <c r="H640" i="2" s="1"/>
  <c r="G639" i="2"/>
  <c r="H639" i="2" s="1"/>
  <c r="G638" i="2"/>
  <c r="H638" i="2" s="1"/>
  <c r="G636" i="2"/>
  <c r="H636" i="2" s="1"/>
  <c r="G635" i="2"/>
  <c r="H635" i="2" s="1"/>
  <c r="G634" i="2"/>
  <c r="H634" i="2" s="1"/>
  <c r="G625" i="2"/>
  <c r="H625" i="2" s="1"/>
  <c r="G624" i="2"/>
  <c r="H624" i="2" s="1"/>
  <c r="G623" i="2"/>
  <c r="H623" i="2" s="1"/>
  <c r="G622" i="2"/>
  <c r="H622" i="2" s="1"/>
  <c r="G621" i="2"/>
  <c r="H621" i="2" s="1"/>
  <c r="G620" i="2"/>
  <c r="H620" i="2" s="1"/>
  <c r="G619" i="2"/>
  <c r="H619" i="2" s="1"/>
  <c r="G618" i="2"/>
  <c r="H618" i="2" s="1"/>
  <c r="G617" i="2"/>
  <c r="H617" i="2" s="1"/>
  <c r="G616" i="2"/>
  <c r="H616" i="2" s="1"/>
  <c r="G614" i="2"/>
  <c r="H614" i="2" s="1"/>
  <c r="G613" i="2"/>
  <c r="H613" i="2" s="1"/>
  <c r="J610" i="2"/>
  <c r="G610" i="2"/>
  <c r="H610" i="2" s="1"/>
  <c r="G609" i="2"/>
  <c r="H609" i="2" s="1"/>
  <c r="G608" i="2"/>
  <c r="H608" i="2" s="1"/>
  <c r="G607" i="2"/>
  <c r="H607" i="2" s="1"/>
  <c r="G605" i="2"/>
  <c r="H605" i="2" s="1"/>
  <c r="G604" i="2"/>
  <c r="H604" i="2" s="1"/>
  <c r="G603" i="2"/>
  <c r="H603" i="2" s="1"/>
  <c r="G602" i="2"/>
  <c r="H602" i="2" s="1"/>
  <c r="G600" i="2"/>
  <c r="E600" i="2"/>
  <c r="G599" i="2"/>
  <c r="E599" i="2"/>
  <c r="G597" i="2"/>
  <c r="E597" i="2"/>
  <c r="E595" i="2"/>
  <c r="G595" i="2"/>
  <c r="G594" i="2"/>
  <c r="E594" i="2"/>
  <c r="G583" i="2"/>
  <c r="H583" i="2" s="1"/>
  <c r="G580" i="2"/>
  <c r="H580" i="2" s="1"/>
  <c r="G579" i="2"/>
  <c r="H579" i="2" s="1"/>
  <c r="G577" i="2"/>
  <c r="E577" i="2"/>
  <c r="G574" i="2"/>
  <c r="E574" i="2"/>
  <c r="G573" i="2"/>
  <c r="E573" i="2"/>
  <c r="G572" i="2"/>
  <c r="E572" i="2"/>
  <c r="G571" i="2"/>
  <c r="E571" i="2"/>
  <c r="G570" i="2"/>
  <c r="E570" i="2"/>
  <c r="G569" i="2"/>
  <c r="E569" i="2"/>
  <c r="G568" i="2"/>
  <c r="E568" i="2"/>
  <c r="G567" i="2"/>
  <c r="E567" i="2"/>
  <c r="G566" i="2"/>
  <c r="E566" i="2"/>
  <c r="G565" i="2"/>
  <c r="E565" i="2"/>
  <c r="G563" i="2"/>
  <c r="E563" i="2"/>
  <c r="G562" i="2"/>
  <c r="E562" i="2"/>
  <c r="G561" i="2"/>
  <c r="E561" i="2"/>
  <c r="G560" i="2"/>
  <c r="E560" i="2"/>
  <c r="G559" i="2"/>
  <c r="E559" i="2"/>
  <c r="G558" i="2"/>
  <c r="E558" i="2"/>
  <c r="J557" i="2"/>
  <c r="E557" i="2" s="1"/>
  <c r="G557" i="2"/>
  <c r="G556" i="2"/>
  <c r="E556" i="2"/>
  <c r="G555" i="2"/>
  <c r="E555" i="2"/>
  <c r="G554" i="2"/>
  <c r="E554" i="2"/>
  <c r="G553" i="2"/>
  <c r="E553" i="2"/>
  <c r="G552" i="2"/>
  <c r="E552" i="2"/>
  <c r="G551" i="2"/>
  <c r="E551" i="2"/>
  <c r="J550" i="2"/>
  <c r="E550" i="2" s="1"/>
  <c r="G550" i="2"/>
  <c r="G547" i="2"/>
  <c r="H547" i="2" s="1"/>
  <c r="G546" i="2"/>
  <c r="H546" i="2" s="1"/>
  <c r="G545" i="2"/>
  <c r="H545" i="2" s="1"/>
  <c r="G544" i="2"/>
  <c r="H544" i="2" s="1"/>
  <c r="G543" i="2"/>
  <c r="H543" i="2" s="1"/>
  <c r="G542" i="2"/>
  <c r="H542" i="2" s="1"/>
  <c r="G541" i="2"/>
  <c r="H541" i="2" s="1"/>
  <c r="G540" i="2"/>
  <c r="H540" i="2" s="1"/>
  <c r="G539" i="2"/>
  <c r="H539" i="2" s="1"/>
  <c r="G538" i="2"/>
  <c r="H538" i="2" s="1"/>
  <c r="G536" i="2"/>
  <c r="H536" i="2" s="1"/>
  <c r="G535" i="2"/>
  <c r="H535" i="2" s="1"/>
  <c r="G534" i="2"/>
  <c r="H534" i="2" s="1"/>
  <c r="G533" i="2"/>
  <c r="H533" i="2" s="1"/>
  <c r="G532" i="2"/>
  <c r="H532" i="2" s="1"/>
  <c r="G531" i="2"/>
  <c r="H531" i="2" s="1"/>
  <c r="G530" i="2"/>
  <c r="H530" i="2" s="1"/>
  <c r="G529" i="2"/>
  <c r="H529" i="2" s="1"/>
  <c r="G528" i="2"/>
  <c r="H528" i="2" s="1"/>
  <c r="G527" i="2"/>
  <c r="H527" i="2" s="1"/>
  <c r="G526" i="2"/>
  <c r="H526" i="2" s="1"/>
  <c r="G525" i="2"/>
  <c r="H525" i="2" s="1"/>
  <c r="G524" i="2"/>
  <c r="H524" i="2" s="1"/>
  <c r="G523" i="2"/>
  <c r="H523" i="2" s="1"/>
  <c r="G522" i="2"/>
  <c r="H522" i="2" s="1"/>
  <c r="G521" i="2"/>
  <c r="H521" i="2" s="1"/>
  <c r="G520" i="2"/>
  <c r="H520" i="2" s="1"/>
  <c r="G519" i="2"/>
  <c r="H519" i="2" s="1"/>
  <c r="G518" i="2"/>
  <c r="H518" i="2" s="1"/>
  <c r="G517" i="2"/>
  <c r="H517" i="2" s="1"/>
  <c r="G516" i="2"/>
  <c r="H516" i="2" s="1"/>
  <c r="G515" i="2"/>
  <c r="H515" i="2" s="1"/>
  <c r="G514" i="2"/>
  <c r="H514" i="2" s="1"/>
  <c r="J512" i="2"/>
  <c r="E512" i="2" s="1"/>
  <c r="G512" i="2"/>
  <c r="J511" i="2"/>
  <c r="E511" i="2" s="1"/>
  <c r="G511" i="2"/>
  <c r="G508" i="2"/>
  <c r="J507" i="2"/>
  <c r="J508" i="2" s="1"/>
  <c r="E508" i="2" s="1"/>
  <c r="G507" i="2"/>
  <c r="G506" i="2"/>
  <c r="J505" i="2"/>
  <c r="J506" i="2" s="1"/>
  <c r="E506" i="2" s="1"/>
  <c r="G505" i="2"/>
  <c r="G504" i="2"/>
  <c r="E504" i="2"/>
  <c r="J503" i="2"/>
  <c r="G503" i="2"/>
  <c r="G502" i="2"/>
  <c r="E502" i="2"/>
  <c r="G500" i="2"/>
  <c r="H500" i="2" s="1"/>
  <c r="G499" i="2"/>
  <c r="H499" i="2" s="1"/>
  <c r="G498" i="2"/>
  <c r="H498" i="2" s="1"/>
  <c r="J496" i="2"/>
  <c r="E496" i="2" s="1"/>
  <c r="G496" i="2"/>
  <c r="E495" i="2"/>
  <c r="G495" i="2"/>
  <c r="J494" i="2"/>
  <c r="E494" i="2" s="1"/>
  <c r="G494" i="2"/>
  <c r="M492" i="2"/>
  <c r="J492" i="2"/>
  <c r="E492" i="2" s="1"/>
  <c r="G492" i="2"/>
  <c r="J491" i="2"/>
  <c r="E491" i="2" s="1"/>
  <c r="G491" i="2"/>
  <c r="G489" i="2"/>
  <c r="G488" i="2"/>
  <c r="J487" i="2"/>
  <c r="J488" i="2" s="1"/>
  <c r="G487" i="2"/>
  <c r="J485" i="2"/>
  <c r="E485" i="2" s="1"/>
  <c r="G485" i="2"/>
  <c r="J484" i="2"/>
  <c r="E484" i="2" s="1"/>
  <c r="G484" i="2"/>
  <c r="G482" i="2"/>
  <c r="E482" i="2"/>
  <c r="G481" i="2"/>
  <c r="E481" i="2"/>
  <c r="J480" i="2"/>
  <c r="E480" i="2" s="1"/>
  <c r="G480" i="2"/>
  <c r="J479" i="2"/>
  <c r="E479" i="2" s="1"/>
  <c r="G479" i="2"/>
  <c r="J478" i="2"/>
  <c r="E478" i="2" s="1"/>
  <c r="G478" i="2"/>
  <c r="J477" i="2"/>
  <c r="E477" i="2" s="1"/>
  <c r="G477" i="2"/>
  <c r="J476" i="2"/>
  <c r="E476" i="2" s="1"/>
  <c r="G476" i="2"/>
  <c r="G472" i="2"/>
  <c r="H472" i="2" s="1"/>
  <c r="I471" i="2" s="1"/>
  <c r="J470" i="2"/>
  <c r="E470" i="2" s="1"/>
  <c r="G470" i="2"/>
  <c r="G469" i="2"/>
  <c r="H469" i="2" s="1"/>
  <c r="G468" i="2"/>
  <c r="H468" i="2" s="1"/>
  <c r="G466" i="2"/>
  <c r="E466" i="2"/>
  <c r="G465" i="2"/>
  <c r="E465" i="2"/>
  <c r="G462" i="2"/>
  <c r="E462" i="2"/>
  <c r="G461" i="2"/>
  <c r="E461" i="2"/>
  <c r="G460" i="2"/>
  <c r="E460" i="2"/>
  <c r="G459" i="2"/>
  <c r="E459" i="2"/>
  <c r="G458" i="2"/>
  <c r="E458" i="2"/>
  <c r="G457" i="2"/>
  <c r="E457" i="2"/>
  <c r="G455" i="2"/>
  <c r="E455" i="2"/>
  <c r="G454" i="2"/>
  <c r="E454" i="2"/>
  <c r="J453" i="2"/>
  <c r="E453" i="2" s="1"/>
  <c r="G453" i="2"/>
  <c r="G452" i="2"/>
  <c r="E452" i="2"/>
  <c r="G451" i="2"/>
  <c r="E451" i="2"/>
  <c r="G450" i="2"/>
  <c r="E450" i="2"/>
  <c r="G449" i="2"/>
  <c r="E449" i="2"/>
  <c r="G448" i="2"/>
  <c r="E448" i="2"/>
  <c r="J447" i="2"/>
  <c r="E447" i="2" s="1"/>
  <c r="G447" i="2"/>
  <c r="J446" i="2"/>
  <c r="E446" i="2" s="1"/>
  <c r="G446" i="2"/>
  <c r="J443" i="2"/>
  <c r="E443" i="2" s="1"/>
  <c r="G443" i="2"/>
  <c r="G439" i="2"/>
  <c r="E439" i="2"/>
  <c r="G438" i="2"/>
  <c r="J436" i="2"/>
  <c r="E436" i="2" s="1"/>
  <c r="G436" i="2"/>
  <c r="G434" i="2"/>
  <c r="E434" i="2"/>
  <c r="G433" i="2"/>
  <c r="E433" i="2"/>
  <c r="G432" i="2"/>
  <c r="E432" i="2"/>
  <c r="J425" i="2"/>
  <c r="G425" i="2"/>
  <c r="G424" i="2"/>
  <c r="J423" i="2"/>
  <c r="E423" i="2" s="1"/>
  <c r="G423" i="2"/>
  <c r="G422" i="2"/>
  <c r="E422" i="2"/>
  <c r="G421" i="2"/>
  <c r="E421" i="2"/>
  <c r="M420" i="2"/>
  <c r="J420" i="2"/>
  <c r="E420" i="2" s="1"/>
  <c r="G420" i="2"/>
  <c r="G419" i="2"/>
  <c r="E419" i="2"/>
  <c r="J418" i="2"/>
  <c r="E418" i="2" s="1"/>
  <c r="G418" i="2"/>
  <c r="J417" i="2"/>
  <c r="E417" i="2" s="1"/>
  <c r="G417" i="2"/>
  <c r="J416" i="2"/>
  <c r="E416" i="2" s="1"/>
  <c r="G416" i="2"/>
  <c r="J415" i="2"/>
  <c r="E415" i="2" s="1"/>
  <c r="G415" i="2"/>
  <c r="J414" i="2"/>
  <c r="E414" i="2" s="1"/>
  <c r="G414" i="2"/>
  <c r="G413" i="2"/>
  <c r="H413" i="2" s="1"/>
  <c r="J411" i="2"/>
  <c r="E411" i="2" s="1"/>
  <c r="G411" i="2"/>
  <c r="J410" i="2"/>
  <c r="E410" i="2" s="1"/>
  <c r="G410" i="2"/>
  <c r="J407" i="2"/>
  <c r="E407" i="2" s="1"/>
  <c r="G407" i="2"/>
  <c r="J406" i="2"/>
  <c r="E406" i="2" s="1"/>
  <c r="G406" i="2"/>
  <c r="J405" i="2"/>
  <c r="E405" i="2" s="1"/>
  <c r="G405" i="2"/>
  <c r="J404" i="2"/>
  <c r="E404" i="2" s="1"/>
  <c r="G404" i="2"/>
  <c r="G402" i="2"/>
  <c r="E402" i="2"/>
  <c r="J400" i="2"/>
  <c r="E400" i="2" s="1"/>
  <c r="G400" i="2"/>
  <c r="J399" i="2"/>
  <c r="E399" i="2" s="1"/>
  <c r="G399" i="2"/>
  <c r="G398" i="2"/>
  <c r="H398" i="2" s="1"/>
  <c r="G397" i="2"/>
  <c r="E397" i="2"/>
  <c r="J395" i="2"/>
  <c r="E395" i="2" s="1"/>
  <c r="G395" i="2"/>
  <c r="J394" i="2"/>
  <c r="E394" i="2" s="1"/>
  <c r="G394" i="2"/>
  <c r="J393" i="2"/>
  <c r="E393" i="2" s="1"/>
  <c r="G393" i="2"/>
  <c r="J392" i="2"/>
  <c r="E392" i="2" s="1"/>
  <c r="G392" i="2"/>
  <c r="J390" i="2"/>
  <c r="E390" i="2" s="1"/>
  <c r="G390" i="2"/>
  <c r="G389" i="2"/>
  <c r="H389" i="2" s="1"/>
  <c r="J388" i="2"/>
  <c r="E388" i="2" s="1"/>
  <c r="G388" i="2"/>
  <c r="G387" i="2"/>
  <c r="E387" i="2"/>
  <c r="J385" i="2"/>
  <c r="E385" i="2" s="1"/>
  <c r="G385" i="2"/>
  <c r="J384" i="2"/>
  <c r="E384" i="2" s="1"/>
  <c r="G384" i="2"/>
  <c r="J382" i="2"/>
  <c r="E382" i="2" s="1"/>
  <c r="F382" i="2"/>
  <c r="G382" i="2" s="1"/>
  <c r="J381" i="2"/>
  <c r="E381" i="2" s="1"/>
  <c r="F381" i="2"/>
  <c r="G381" i="2" s="1"/>
  <c r="J380" i="2"/>
  <c r="E380" i="2" s="1"/>
  <c r="G380" i="2"/>
  <c r="J379" i="2"/>
  <c r="E379" i="2" s="1"/>
  <c r="G379" i="2"/>
  <c r="G378" i="2"/>
  <c r="E378" i="2"/>
  <c r="G377" i="2"/>
  <c r="E377" i="2"/>
  <c r="J376" i="2"/>
  <c r="E376" i="2" s="1"/>
  <c r="G376" i="2"/>
  <c r="G372" i="2"/>
  <c r="H372" i="2" s="1"/>
  <c r="I371" i="2" s="1"/>
  <c r="G370" i="2"/>
  <c r="G367" i="2"/>
  <c r="E367" i="2"/>
  <c r="G366" i="2"/>
  <c r="E366" i="2"/>
  <c r="G363" i="2"/>
  <c r="E363" i="2"/>
  <c r="G362" i="2"/>
  <c r="E362" i="2"/>
  <c r="G361" i="2"/>
  <c r="E361" i="2"/>
  <c r="G360" i="2"/>
  <c r="E360" i="2"/>
  <c r="G359" i="2"/>
  <c r="E359" i="2"/>
  <c r="G358" i="2"/>
  <c r="E358" i="2"/>
  <c r="G357" i="2"/>
  <c r="E357" i="2"/>
  <c r="G356" i="2"/>
  <c r="E356" i="2"/>
  <c r="J355" i="2"/>
  <c r="E355" i="2" s="1"/>
  <c r="G355" i="2"/>
  <c r="F354" i="2"/>
  <c r="G354" i="2" s="1"/>
  <c r="H354" i="2" s="1"/>
  <c r="G353" i="2"/>
  <c r="E353" i="2"/>
  <c r="G352" i="2"/>
  <c r="E352" i="2"/>
  <c r="G350" i="2"/>
  <c r="E350" i="2"/>
  <c r="G349" i="2"/>
  <c r="E349" i="2"/>
  <c r="J348" i="2"/>
  <c r="E348" i="2" s="1"/>
  <c r="G348" i="2"/>
  <c r="G347" i="2"/>
  <c r="E347" i="2"/>
  <c r="J346" i="2"/>
  <c r="G346" i="2"/>
  <c r="H346" i="2" s="1"/>
  <c r="G345" i="2"/>
  <c r="E345" i="2"/>
  <c r="J344" i="2"/>
  <c r="E344" i="2" s="1"/>
  <c r="G344" i="2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F327" i="2"/>
  <c r="G327" i="2" s="1"/>
  <c r="H327" i="2" s="1"/>
  <c r="G326" i="2"/>
  <c r="H326" i="2" s="1"/>
  <c r="G325" i="2"/>
  <c r="H325" i="2" s="1"/>
  <c r="G324" i="2"/>
  <c r="H324" i="2" s="1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G304" i="2"/>
  <c r="H304" i="2" s="1"/>
  <c r="G303" i="2"/>
  <c r="H303" i="2" s="1"/>
  <c r="G301" i="2"/>
  <c r="H301" i="2" s="1"/>
  <c r="J300" i="2"/>
  <c r="E300" i="2" s="1"/>
  <c r="G300" i="2"/>
  <c r="J299" i="2"/>
  <c r="E299" i="2" s="1"/>
  <c r="G299" i="2"/>
  <c r="J296" i="2"/>
  <c r="G296" i="2"/>
  <c r="H296" i="2" s="1"/>
  <c r="G295" i="2"/>
  <c r="H295" i="2" s="1"/>
  <c r="J294" i="2"/>
  <c r="J295" i="2" s="1"/>
  <c r="G294" i="2"/>
  <c r="G293" i="2"/>
  <c r="J292" i="2"/>
  <c r="J293" i="2" s="1"/>
  <c r="E293" i="2" s="1"/>
  <c r="G292" i="2"/>
  <c r="G291" i="2"/>
  <c r="E291" i="2"/>
  <c r="G289" i="2"/>
  <c r="E289" i="2"/>
  <c r="G288" i="2"/>
  <c r="E288" i="2"/>
  <c r="G287" i="2"/>
  <c r="E287" i="2"/>
  <c r="J285" i="2"/>
  <c r="E285" i="2" s="1"/>
  <c r="G285" i="2"/>
  <c r="J284" i="2"/>
  <c r="E284" i="2" s="1"/>
  <c r="G284" i="2"/>
  <c r="G282" i="2"/>
  <c r="G281" i="2"/>
  <c r="G280" i="2"/>
  <c r="J278" i="2"/>
  <c r="E278" i="2" s="1"/>
  <c r="G278" i="2"/>
  <c r="G277" i="2"/>
  <c r="H277" i="2" s="1"/>
  <c r="J274" i="2"/>
  <c r="E274" i="2" s="1"/>
  <c r="G274" i="2"/>
  <c r="G273" i="2"/>
  <c r="H273" i="2" s="1"/>
  <c r="J272" i="2"/>
  <c r="E272" i="2" s="1"/>
  <c r="G272" i="2"/>
  <c r="J270" i="2"/>
  <c r="J280" i="2" s="1"/>
  <c r="G270" i="2"/>
  <c r="J269" i="2"/>
  <c r="E269" i="2" s="1"/>
  <c r="F269" i="2"/>
  <c r="G269" i="2" s="1"/>
  <c r="G268" i="2"/>
  <c r="E268" i="2"/>
  <c r="G267" i="2"/>
  <c r="E267" i="2"/>
  <c r="J266" i="2"/>
  <c r="E266" i="2" s="1"/>
  <c r="F266" i="2"/>
  <c r="G266" i="2" s="1"/>
  <c r="J265" i="2"/>
  <c r="E265" i="2" s="1"/>
  <c r="G265" i="2"/>
  <c r="J264" i="2"/>
  <c r="E264" i="2" s="1"/>
  <c r="G264" i="2"/>
  <c r="G260" i="2"/>
  <c r="H260" i="2" s="1"/>
  <c r="I259" i="2" s="1"/>
  <c r="G258" i="2"/>
  <c r="H258" i="2" s="1"/>
  <c r="G257" i="2"/>
  <c r="H257" i="2" s="1"/>
  <c r="G255" i="2"/>
  <c r="H255" i="2" s="1"/>
  <c r="G254" i="2"/>
  <c r="H254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J243" i="2"/>
  <c r="G243" i="2"/>
  <c r="H243" i="2" s="1"/>
  <c r="F242" i="2"/>
  <c r="G242" i="2" s="1"/>
  <c r="H242" i="2" s="1"/>
  <c r="G241" i="2"/>
  <c r="E241" i="2"/>
  <c r="G240" i="2"/>
  <c r="G238" i="2"/>
  <c r="E238" i="2"/>
  <c r="G237" i="2"/>
  <c r="E237" i="2"/>
  <c r="G236" i="2"/>
  <c r="E236" i="2"/>
  <c r="G235" i="2"/>
  <c r="E235" i="2"/>
  <c r="G234" i="2"/>
  <c r="E234" i="2"/>
  <c r="G233" i="2"/>
  <c r="E233" i="2"/>
  <c r="E232" i="2"/>
  <c r="H232" i="2" s="1"/>
  <c r="J231" i="2"/>
  <c r="G231" i="2"/>
  <c r="H231" i="2" s="1"/>
  <c r="G230" i="2"/>
  <c r="E230" i="2"/>
  <c r="G229" i="2"/>
  <c r="E229" i="2"/>
  <c r="G226" i="2"/>
  <c r="H226" i="2" s="1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F212" i="2"/>
  <c r="G212" i="2" s="1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M184" i="2"/>
  <c r="E184" i="2" s="1"/>
  <c r="G184" i="2"/>
  <c r="J183" i="2"/>
  <c r="E183" i="2" s="1"/>
  <c r="G183" i="2"/>
  <c r="J182" i="2"/>
  <c r="E182" i="2" s="1"/>
  <c r="G182" i="2"/>
  <c r="M179" i="2"/>
  <c r="J179" i="2"/>
  <c r="G179" i="2"/>
  <c r="H179" i="2" s="1"/>
  <c r="G178" i="2"/>
  <c r="M177" i="2"/>
  <c r="J177" i="2"/>
  <c r="G177" i="2"/>
  <c r="G176" i="2"/>
  <c r="J175" i="2"/>
  <c r="E175" i="2" s="1"/>
  <c r="G175" i="2"/>
  <c r="N173" i="2"/>
  <c r="E173" i="2" s="1"/>
  <c r="G173" i="2"/>
  <c r="G172" i="2"/>
  <c r="H172" i="2" s="1"/>
  <c r="G171" i="2"/>
  <c r="H171" i="2" s="1"/>
  <c r="M170" i="2"/>
  <c r="E170" i="2" s="1"/>
  <c r="G170" i="2"/>
  <c r="J168" i="2"/>
  <c r="E168" i="2" s="1"/>
  <c r="G168" i="2"/>
  <c r="M167" i="2"/>
  <c r="J167" i="2"/>
  <c r="E167" i="2" s="1"/>
  <c r="G167" i="2"/>
  <c r="M165" i="2"/>
  <c r="G165" i="2"/>
  <c r="G164" i="2"/>
  <c r="H164" i="2" s="1"/>
  <c r="G163" i="2"/>
  <c r="M162" i="2"/>
  <c r="J162" i="2"/>
  <c r="G162" i="2"/>
  <c r="J161" i="2"/>
  <c r="E161" i="2" s="1"/>
  <c r="G161" i="2"/>
  <c r="M159" i="2"/>
  <c r="J159" i="2"/>
  <c r="E159" i="2" s="1"/>
  <c r="G159" i="2"/>
  <c r="G158" i="2"/>
  <c r="H158" i="2" s="1"/>
  <c r="J156" i="2"/>
  <c r="E156" i="2" s="1"/>
  <c r="G156" i="2"/>
  <c r="J155" i="2"/>
  <c r="E155" i="2" s="1"/>
  <c r="G155" i="2"/>
  <c r="J154" i="2"/>
  <c r="E154" i="2" s="1"/>
  <c r="G154" i="2"/>
  <c r="J152" i="2"/>
  <c r="E152" i="2" s="1"/>
  <c r="G152" i="2"/>
  <c r="J151" i="2"/>
  <c r="E151" i="2" s="1"/>
  <c r="G151" i="2"/>
  <c r="J150" i="2"/>
  <c r="E150" i="2" s="1"/>
  <c r="G150" i="2"/>
  <c r="G149" i="2"/>
  <c r="E149" i="2"/>
  <c r="G148" i="2"/>
  <c r="E148" i="2"/>
  <c r="G147" i="2"/>
  <c r="E147" i="2"/>
  <c r="J146" i="2"/>
  <c r="E146" i="2" s="1"/>
  <c r="G146" i="2"/>
  <c r="J145" i="2"/>
  <c r="E145" i="2" s="1"/>
  <c r="F145" i="2"/>
  <c r="G145" i="2" s="1"/>
  <c r="G141" i="2"/>
  <c r="H141" i="2" s="1"/>
  <c r="I140" i="2" s="1"/>
  <c r="G139" i="2"/>
  <c r="H139" i="2" s="1"/>
  <c r="G138" i="2"/>
  <c r="H138" i="2" s="1"/>
  <c r="G136" i="2"/>
  <c r="H136" i="2" s="1"/>
  <c r="G133" i="2"/>
  <c r="H133" i="2" s="1"/>
  <c r="G132" i="2"/>
  <c r="H132" i="2" s="1"/>
  <c r="G131" i="2"/>
  <c r="H131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F102" i="2"/>
  <c r="G102" i="2" s="1"/>
  <c r="H102" i="2" s="1"/>
  <c r="G101" i="2"/>
  <c r="H101" i="2" s="1"/>
  <c r="G100" i="2"/>
  <c r="H100" i="2" s="1"/>
  <c r="G99" i="2"/>
  <c r="H99" i="2" s="1"/>
  <c r="G98" i="2"/>
  <c r="H98" i="2" s="1"/>
  <c r="G97" i="2"/>
  <c r="H97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M74" i="2"/>
  <c r="E74" i="2" s="1"/>
  <c r="G74" i="2"/>
  <c r="G72" i="2"/>
  <c r="H72" i="2" s="1"/>
  <c r="M71" i="2"/>
  <c r="E71" i="2" s="1"/>
  <c r="G71" i="2"/>
  <c r="G70" i="2"/>
  <c r="M70" i="2"/>
  <c r="G69" i="2"/>
  <c r="H69" i="2" s="1"/>
  <c r="O68" i="2"/>
  <c r="M68" i="2"/>
  <c r="E68" i="2" s="1"/>
  <c r="G68" i="2"/>
  <c r="G67" i="2"/>
  <c r="H67" i="2" s="1"/>
  <c r="M66" i="2"/>
  <c r="E66" i="2" s="1"/>
  <c r="G66" i="2"/>
  <c r="M65" i="2"/>
  <c r="E65" i="2" s="1"/>
  <c r="G65" i="2"/>
  <c r="G63" i="2"/>
  <c r="H63" i="2" s="1"/>
  <c r="G62" i="2"/>
  <c r="H62" i="2" s="1"/>
  <c r="M61" i="2"/>
  <c r="E61" i="2" s="1"/>
  <c r="G61" i="2"/>
  <c r="G59" i="2"/>
  <c r="E59" i="2"/>
  <c r="G58" i="2"/>
  <c r="H58" i="2" s="1"/>
  <c r="G57" i="2"/>
  <c r="H57" i="2" s="1"/>
  <c r="M56" i="2"/>
  <c r="E56" i="2" s="1"/>
  <c r="G56" i="2"/>
  <c r="G55" i="2"/>
  <c r="E55" i="2"/>
  <c r="G53" i="2"/>
  <c r="M52" i="2"/>
  <c r="M53" i="2" s="1"/>
  <c r="E53" i="2" s="1"/>
  <c r="G52" i="2"/>
  <c r="M51" i="2"/>
  <c r="E51" i="2" s="1"/>
  <c r="G51" i="2"/>
  <c r="G50" i="2"/>
  <c r="H50" i="2" s="1"/>
  <c r="G49" i="2"/>
  <c r="H49" i="2" s="1"/>
  <c r="M47" i="2"/>
  <c r="E47" i="2" s="1"/>
  <c r="G47" i="2"/>
  <c r="G46" i="2"/>
  <c r="E46" i="2"/>
  <c r="G45" i="2"/>
  <c r="E45" i="2"/>
  <c r="G44" i="2"/>
  <c r="H44" i="2" s="1"/>
  <c r="G41" i="2"/>
  <c r="F40" i="2"/>
  <c r="G40" i="2" s="1"/>
  <c r="G38" i="2"/>
  <c r="G37" i="2"/>
  <c r="G36" i="2"/>
  <c r="G35" i="2"/>
  <c r="H35" i="2" s="1"/>
  <c r="G34" i="2"/>
  <c r="F33" i="2"/>
  <c r="G33" i="2" s="1"/>
  <c r="H33" i="2" s="1"/>
  <c r="G28" i="2"/>
  <c r="H28" i="2" s="1"/>
  <c r="E27" i="2"/>
  <c r="G27" i="2"/>
  <c r="E26" i="2"/>
  <c r="G26" i="2"/>
  <c r="G25" i="2"/>
  <c r="H25" i="2" s="1"/>
  <c r="F24" i="2"/>
  <c r="G24" i="2" s="1"/>
  <c r="H24" i="2" s="1"/>
  <c r="G23" i="2"/>
  <c r="H23" i="2" s="1"/>
  <c r="K22" i="2"/>
  <c r="G22" i="2"/>
  <c r="H22" i="2" s="1"/>
  <c r="G21" i="2"/>
  <c r="H21" i="2" s="1"/>
  <c r="G20" i="2"/>
  <c r="H20" i="2" s="1"/>
  <c r="D27" i="3" l="1"/>
  <c r="T27" i="3" s="1"/>
  <c r="I256" i="2"/>
  <c r="I213" i="2"/>
  <c r="I185" i="2"/>
  <c r="H27" i="2"/>
  <c r="H26" i="2"/>
  <c r="G130" i="4"/>
  <c r="G134" i="4" s="1"/>
  <c r="G125" i="4" s="1"/>
  <c r="G13" i="4"/>
  <c r="G12" i="4" s="1"/>
  <c r="G33" i="4"/>
  <c r="G66" i="4"/>
  <c r="G79" i="4"/>
  <c r="G84" i="4" s="1"/>
  <c r="G74" i="4" s="1"/>
  <c r="G45" i="4"/>
  <c r="G41" i="4" s="1"/>
  <c r="G190" i="4"/>
  <c r="G194" i="4" s="1"/>
  <c r="G92" i="4"/>
  <c r="G96" i="4" s="1"/>
  <c r="G87" i="4" s="1"/>
  <c r="G2" i="4"/>
  <c r="G54" i="4"/>
  <c r="G49" i="4" s="1"/>
  <c r="G140" i="4"/>
  <c r="G137" i="4" s="1"/>
  <c r="G118" i="4"/>
  <c r="G122" i="4" s="1"/>
  <c r="G113" i="4" s="1"/>
  <c r="G35" i="4"/>
  <c r="G36" i="4" s="1"/>
  <c r="G23" i="4" s="1"/>
  <c r="G61" i="4"/>
  <c r="G104" i="4"/>
  <c r="G108" i="4" s="1"/>
  <c r="G99" i="4" s="1"/>
  <c r="H764" i="2"/>
  <c r="H38" i="2"/>
  <c r="H45" i="2"/>
  <c r="H830" i="2"/>
  <c r="H854" i="2"/>
  <c r="H876" i="2"/>
  <c r="H880" i="2"/>
  <c r="E487" i="2"/>
  <c r="H487" i="2" s="1"/>
  <c r="E507" i="2"/>
  <c r="H507" i="2" s="1"/>
  <c r="H821" i="2"/>
  <c r="H459" i="2"/>
  <c r="J773" i="2"/>
  <c r="E52" i="2"/>
  <c r="H52" i="2" s="1"/>
  <c r="H397" i="2"/>
  <c r="H404" i="2"/>
  <c r="E762" i="2"/>
  <c r="H762" i="2" s="1"/>
  <c r="E784" i="2"/>
  <c r="H784" i="2" s="1"/>
  <c r="J176" i="2"/>
  <c r="E176" i="2" s="1"/>
  <c r="H176" i="2" s="1"/>
  <c r="H851" i="2"/>
  <c r="H853" i="2"/>
  <c r="H855" i="2"/>
  <c r="H879" i="2"/>
  <c r="H881" i="2"/>
  <c r="H883" i="2"/>
  <c r="H152" i="2"/>
  <c r="H161" i="2"/>
  <c r="H234" i="2"/>
  <c r="H229" i="2"/>
  <c r="H410" i="2"/>
  <c r="H380" i="2"/>
  <c r="H449" i="2"/>
  <c r="H451" i="2"/>
  <c r="H462" i="2"/>
  <c r="H887" i="2"/>
  <c r="H800" i="2"/>
  <c r="H833" i="2"/>
  <c r="H838" i="2"/>
  <c r="H840" i="2"/>
  <c r="H846" i="2"/>
  <c r="H856" i="2"/>
  <c r="H795" i="2"/>
  <c r="H822" i="2"/>
  <c r="H835" i="2"/>
  <c r="H690" i="2"/>
  <c r="H689" i="2"/>
  <c r="H504" i="2"/>
  <c r="H562" i="2"/>
  <c r="H556" i="2"/>
  <c r="H572" i="2"/>
  <c r="H477" i="2"/>
  <c r="H494" i="2"/>
  <c r="H476" i="2"/>
  <c r="H481" i="2"/>
  <c r="H555" i="2"/>
  <c r="H557" i="2"/>
  <c r="H565" i="2"/>
  <c r="H567" i="2"/>
  <c r="H569" i="2"/>
  <c r="H571" i="2"/>
  <c r="H566" i="2"/>
  <c r="H570" i="2"/>
  <c r="H182" i="2"/>
  <c r="H184" i="2"/>
  <c r="H241" i="2"/>
  <c r="H183" i="2"/>
  <c r="H46" i="2"/>
  <c r="H51" i="2"/>
  <c r="H56" i="2"/>
  <c r="H68" i="2"/>
  <c r="H443" i="2"/>
  <c r="H264" i="2"/>
  <c r="H278" i="2"/>
  <c r="I275" i="2" s="1"/>
  <c r="H360" i="2"/>
  <c r="H355" i="2"/>
  <c r="H265" i="2"/>
  <c r="H272" i="2"/>
  <c r="H359" i="2"/>
  <c r="H345" i="2"/>
  <c r="H366" i="2"/>
  <c r="H597" i="2"/>
  <c r="H600" i="2"/>
  <c r="H599" i="2"/>
  <c r="H377" i="2"/>
  <c r="H379" i="2"/>
  <c r="H384" i="2"/>
  <c r="H402" i="2"/>
  <c r="I401" i="2" s="1"/>
  <c r="H406" i="2"/>
  <c r="H453" i="2"/>
  <c r="H448" i="2"/>
  <c r="H452" i="2"/>
  <c r="H461" i="2"/>
  <c r="H465" i="2"/>
  <c r="H151" i="2"/>
  <c r="I103" i="2"/>
  <c r="H36" i="2"/>
  <c r="H40" i="2"/>
  <c r="H61" i="2"/>
  <c r="I60" i="2" s="1"/>
  <c r="H66" i="2"/>
  <c r="H74" i="2"/>
  <c r="H159" i="2"/>
  <c r="I157" i="2" s="1"/>
  <c r="H285" i="2"/>
  <c r="H344" i="2"/>
  <c r="H417" i="2"/>
  <c r="H553" i="2"/>
  <c r="H819" i="2"/>
  <c r="E162" i="2"/>
  <c r="H162" i="2" s="1"/>
  <c r="J165" i="2"/>
  <c r="H34" i="2"/>
  <c r="H59" i="2"/>
  <c r="H65" i="2"/>
  <c r="H147" i="2"/>
  <c r="H149" i="2"/>
  <c r="E270" i="2"/>
  <c r="H270" i="2" s="1"/>
  <c r="H803" i="2"/>
  <c r="H173" i="2"/>
  <c r="H233" i="2"/>
  <c r="H284" i="2"/>
  <c r="H288" i="2"/>
  <c r="I328" i="2"/>
  <c r="H350" i="2"/>
  <c r="H361" i="2"/>
  <c r="H378" i="2"/>
  <c r="H400" i="2"/>
  <c r="H423" i="2"/>
  <c r="H425" i="2"/>
  <c r="H446" i="2"/>
  <c r="H458" i="2"/>
  <c r="H551" i="2"/>
  <c r="H554" i="2"/>
  <c r="H558" i="2"/>
  <c r="H560" i="2"/>
  <c r="H563" i="2"/>
  <c r="H574" i="2"/>
  <c r="H677" i="2"/>
  <c r="H778" i="2"/>
  <c r="H789" i="2"/>
  <c r="H824" i="2"/>
  <c r="H832" i="2"/>
  <c r="H845" i="2"/>
  <c r="H848" i="2"/>
  <c r="H865" i="2"/>
  <c r="H869" i="2"/>
  <c r="H873" i="2"/>
  <c r="H874" i="2"/>
  <c r="H888" i="2"/>
  <c r="H168" i="2"/>
  <c r="E292" i="2"/>
  <c r="H292" i="2" s="1"/>
  <c r="E294" i="2"/>
  <c r="H294" i="2" s="1"/>
  <c r="H347" i="2"/>
  <c r="H356" i="2"/>
  <c r="H362" i="2"/>
  <c r="H416" i="2"/>
  <c r="H424" i="2"/>
  <c r="H434" i="2"/>
  <c r="H450" i="2"/>
  <c r="H454" i="2"/>
  <c r="H457" i="2"/>
  <c r="H460" i="2"/>
  <c r="H470" i="2"/>
  <c r="I467" i="2" s="1"/>
  <c r="H480" i="2"/>
  <c r="H482" i="2"/>
  <c r="H485" i="2"/>
  <c r="H491" i="2"/>
  <c r="H502" i="2"/>
  <c r="H552" i="2"/>
  <c r="H559" i="2"/>
  <c r="H561" i="2"/>
  <c r="H573" i="2"/>
  <c r="H577" i="2"/>
  <c r="H679" i="2"/>
  <c r="H788" i="2"/>
  <c r="H790" i="2"/>
  <c r="H806" i="2"/>
  <c r="H823" i="2"/>
  <c r="H825" i="2"/>
  <c r="H829" i="2"/>
  <c r="H831" i="2"/>
  <c r="H842" i="2"/>
  <c r="H844" i="2"/>
  <c r="H847" i="2"/>
  <c r="H859" i="2"/>
  <c r="H861" i="2"/>
  <c r="H863" i="2"/>
  <c r="H866" i="2"/>
  <c r="H889" i="2"/>
  <c r="I137" i="2"/>
  <c r="H269" i="2"/>
  <c r="H41" i="2"/>
  <c r="H55" i="2"/>
  <c r="H71" i="2"/>
  <c r="H146" i="2"/>
  <c r="H154" i="2"/>
  <c r="H156" i="2"/>
  <c r="H236" i="2"/>
  <c r="H238" i="2"/>
  <c r="H268" i="2"/>
  <c r="H287" i="2"/>
  <c r="H289" i="2"/>
  <c r="H300" i="2"/>
  <c r="I302" i="2"/>
  <c r="H388" i="2"/>
  <c r="H390" i="2"/>
  <c r="H407" i="2"/>
  <c r="H415" i="2"/>
  <c r="H455" i="2"/>
  <c r="H479" i="2"/>
  <c r="H484" i="2"/>
  <c r="H492" i="2"/>
  <c r="H496" i="2"/>
  <c r="H568" i="2"/>
  <c r="E794" i="2"/>
  <c r="H794" i="2" s="1"/>
  <c r="J818" i="2"/>
  <c r="E818" i="2" s="1"/>
  <c r="H818" i="2" s="1"/>
  <c r="H37" i="2"/>
  <c r="H47" i="2"/>
  <c r="H53" i="2"/>
  <c r="H70" i="2"/>
  <c r="H145" i="2"/>
  <c r="H235" i="2"/>
  <c r="H240" i="2"/>
  <c r="H267" i="2"/>
  <c r="H291" i="2"/>
  <c r="H293" i="2"/>
  <c r="H376" i="2"/>
  <c r="H466" i="2"/>
  <c r="H511" i="2"/>
  <c r="H349" i="2"/>
  <c r="H352" i="2"/>
  <c r="H357" i="2"/>
  <c r="H382" i="2"/>
  <c r="H392" i="2"/>
  <c r="H394" i="2"/>
  <c r="H395" i="2"/>
  <c r="H399" i="2"/>
  <c r="H418" i="2"/>
  <c r="H420" i="2"/>
  <c r="H421" i="2"/>
  <c r="K421" i="2" s="1"/>
  <c r="H432" i="2"/>
  <c r="H436" i="2"/>
  <c r="H506" i="2"/>
  <c r="H508" i="2"/>
  <c r="H594" i="2"/>
  <c r="H675" i="2"/>
  <c r="H763" i="2"/>
  <c r="H766" i="2"/>
  <c r="H768" i="2"/>
  <c r="H774" i="2"/>
  <c r="H785" i="2"/>
  <c r="H787" i="2"/>
  <c r="H804" i="2"/>
  <c r="H826" i="2"/>
  <c r="H828" i="2"/>
  <c r="H834" i="2"/>
  <c r="H836" i="2"/>
  <c r="H841" i="2"/>
  <c r="H850" i="2"/>
  <c r="H857" i="2"/>
  <c r="H860" i="2"/>
  <c r="H870" i="2"/>
  <c r="H872" i="2"/>
  <c r="H886" i="2"/>
  <c r="H348" i="2"/>
  <c r="H353" i="2"/>
  <c r="H358" i="2"/>
  <c r="H363" i="2"/>
  <c r="H367" i="2"/>
  <c r="H387" i="2"/>
  <c r="H419" i="2"/>
  <c r="H422" i="2"/>
  <c r="H478" i="2"/>
  <c r="H495" i="2"/>
  <c r="H550" i="2"/>
  <c r="H686" i="2"/>
  <c r="J765" i="2"/>
  <c r="E765" i="2" s="1"/>
  <c r="H765" i="2" s="1"/>
  <c r="J771" i="2"/>
  <c r="E771" i="2" s="1"/>
  <c r="H771" i="2" s="1"/>
  <c r="E802" i="2"/>
  <c r="H802" i="2" s="1"/>
  <c r="H827" i="2"/>
  <c r="H843" i="2"/>
  <c r="H849" i="2"/>
  <c r="H852" i="2"/>
  <c r="H871" i="2"/>
  <c r="H875" i="2"/>
  <c r="H882" i="2"/>
  <c r="H884" i="2"/>
  <c r="H27" i="3"/>
  <c r="R27" i="3"/>
  <c r="AB27" i="3"/>
  <c r="H266" i="2"/>
  <c r="I75" i="2"/>
  <c r="J27" i="3"/>
  <c r="V27" i="3"/>
  <c r="H381" i="2"/>
  <c r="N27" i="3"/>
  <c r="X27" i="3"/>
  <c r="F27" i="3"/>
  <c r="P27" i="3"/>
  <c r="Z27" i="3"/>
  <c r="AC27" i="3"/>
  <c r="L27" i="3"/>
  <c r="J282" i="2"/>
  <c r="E282" i="2" s="1"/>
  <c r="H282" i="2" s="1"/>
  <c r="J281" i="2"/>
  <c r="E281" i="2" s="1"/>
  <c r="H281" i="2" s="1"/>
  <c r="H148" i="2"/>
  <c r="H230" i="2"/>
  <c r="H237" i="2"/>
  <c r="H274" i="2"/>
  <c r="J489" i="2"/>
  <c r="E489" i="2" s="1"/>
  <c r="H489" i="2" s="1"/>
  <c r="E488" i="2"/>
  <c r="H488" i="2" s="1"/>
  <c r="J504" i="2"/>
  <c r="E503" i="2"/>
  <c r="H503" i="2" s="1"/>
  <c r="E812" i="2"/>
  <c r="H812" i="2" s="1"/>
  <c r="J813" i="2"/>
  <c r="E813" i="2" s="1"/>
  <c r="H813" i="2" s="1"/>
  <c r="H150" i="2"/>
  <c r="H167" i="2"/>
  <c r="H170" i="2"/>
  <c r="H299" i="2"/>
  <c r="E370" i="2"/>
  <c r="H370" i="2" s="1"/>
  <c r="H385" i="2"/>
  <c r="J791" i="2"/>
  <c r="E791" i="2" s="1"/>
  <c r="H791" i="2" s="1"/>
  <c r="I118" i="2"/>
  <c r="H155" i="2"/>
  <c r="H175" i="2"/>
  <c r="J178" i="2"/>
  <c r="E178" i="2" s="1"/>
  <c r="H178" i="2" s="1"/>
  <c r="E177" i="2"/>
  <c r="H177" i="2" s="1"/>
  <c r="E280" i="2"/>
  <c r="H280" i="2" s="1"/>
  <c r="H414" i="2"/>
  <c r="H393" i="2"/>
  <c r="H433" i="2"/>
  <c r="H512" i="2"/>
  <c r="E798" i="2"/>
  <c r="H798" i="2" s="1"/>
  <c r="J799" i="2"/>
  <c r="E799" i="2" s="1"/>
  <c r="H799" i="2" s="1"/>
  <c r="K799" i="2" s="1"/>
  <c r="E810" i="2"/>
  <c r="H810" i="2" s="1"/>
  <c r="J811" i="2"/>
  <c r="E811" i="2" s="1"/>
  <c r="H811" i="2" s="1"/>
  <c r="J817" i="2"/>
  <c r="H817" i="2" s="1"/>
  <c r="H405" i="2"/>
  <c r="H411" i="2"/>
  <c r="H439" i="2"/>
  <c r="H447" i="2"/>
  <c r="H595" i="2"/>
  <c r="E814" i="2"/>
  <c r="H814" i="2" s="1"/>
  <c r="J815" i="2"/>
  <c r="E815" i="2" s="1"/>
  <c r="H815" i="2" s="1"/>
  <c r="J438" i="2"/>
  <c r="E438" i="2" s="1"/>
  <c r="H438" i="2" s="1"/>
  <c r="E505" i="2"/>
  <c r="H505" i="2" s="1"/>
  <c r="H680" i="2"/>
  <c r="H687" i="2"/>
  <c r="J772" i="2"/>
  <c r="E770" i="2"/>
  <c r="H770" i="2" s="1"/>
  <c r="J837" i="2"/>
  <c r="E837" i="2" s="1"/>
  <c r="H837" i="2" s="1"/>
  <c r="H862" i="2"/>
  <c r="H868" i="2"/>
  <c r="H760" i="2"/>
  <c r="H769" i="2"/>
  <c r="E777" i="2"/>
  <c r="H777" i="2" s="1"/>
  <c r="J781" i="2"/>
  <c r="E781" i="2" s="1"/>
  <c r="H781" i="2" s="1"/>
  <c r="J780" i="2"/>
  <c r="E780" i="2" s="1"/>
  <c r="H780" i="2" s="1"/>
  <c r="H779" i="2"/>
  <c r="H782" i="2"/>
  <c r="J808" i="2"/>
  <c r="E808" i="2" s="1"/>
  <c r="H808" i="2" s="1"/>
  <c r="E796" i="2"/>
  <c r="H796" i="2" s="1"/>
  <c r="H805" i="2"/>
  <c r="H839" i="2"/>
  <c r="H674" i="2"/>
  <c r="H693" i="2"/>
  <c r="H858" i="2"/>
  <c r="I437" i="2" l="1"/>
  <c r="I18" i="2"/>
  <c r="I17" i="2" s="1"/>
  <c r="I42" i="2"/>
  <c r="G57" i="4"/>
  <c r="I32" i="2"/>
  <c r="I412" i="2"/>
  <c r="I48" i="2"/>
  <c r="I403" i="2"/>
  <c r="I375" i="2"/>
  <c r="I444" i="2"/>
  <c r="I396" i="2"/>
  <c r="I174" i="2"/>
  <c r="I153" i="2"/>
  <c r="I166" i="2"/>
  <c r="I227" i="2"/>
  <c r="I169" i="2"/>
  <c r="I144" i="2"/>
  <c r="AD27" i="3"/>
  <c r="AF27" i="3" s="1"/>
  <c r="I271" i="2"/>
  <c r="I286" i="2"/>
  <c r="I386" i="2"/>
  <c r="I64" i="2"/>
  <c r="I263" i="2"/>
  <c r="I283" i="2"/>
  <c r="I342" i="2"/>
  <c r="I383" i="2"/>
  <c r="E165" i="2"/>
  <c r="H165" i="2" s="1"/>
  <c r="J163" i="2"/>
  <c r="E163" i="2" s="1"/>
  <c r="H163" i="2" s="1"/>
  <c r="I391" i="2"/>
  <c r="I54" i="2"/>
  <c r="I279" i="2"/>
  <c r="I290" i="2"/>
  <c r="I368" i="2"/>
  <c r="I160" i="2" l="1"/>
  <c r="D21" i="3"/>
  <c r="D23" i="3"/>
  <c r="I899" i="2"/>
  <c r="I31" i="2"/>
  <c r="D11" i="3" s="1"/>
  <c r="D19" i="3"/>
  <c r="I374" i="2"/>
  <c r="D17" i="3" s="1"/>
  <c r="I262" i="2"/>
  <c r="D15" i="3" s="1"/>
  <c r="I143" i="2"/>
  <c r="D13" i="3" s="1"/>
  <c r="D9" i="3"/>
  <c r="F9" i="3" s="1"/>
  <c r="J904" i="2" l="1"/>
  <c r="D25" i="3"/>
  <c r="P25" i="3" s="1"/>
  <c r="AB21" i="3"/>
  <c r="L21" i="3"/>
  <c r="V21" i="3"/>
  <c r="P21" i="3"/>
  <c r="Z21" i="3"/>
  <c r="R21" i="3"/>
  <c r="X21" i="3"/>
  <c r="T21" i="3"/>
  <c r="J21" i="3"/>
  <c r="N21" i="3"/>
  <c r="X23" i="3"/>
  <c r="V23" i="3"/>
  <c r="Z23" i="3"/>
  <c r="L23" i="3"/>
  <c r="R23" i="3"/>
  <c r="T23" i="3"/>
  <c r="P23" i="3"/>
  <c r="J23" i="3"/>
  <c r="AB23" i="3"/>
  <c r="N23" i="3"/>
  <c r="R19" i="3"/>
  <c r="F19" i="3"/>
  <c r="P19" i="3"/>
  <c r="T19" i="3"/>
  <c r="J19" i="3"/>
  <c r="V19" i="3"/>
  <c r="H19" i="3"/>
  <c r="X19" i="3"/>
  <c r="L19" i="3"/>
  <c r="N19" i="3"/>
  <c r="V17" i="3"/>
  <c r="P17" i="3"/>
  <c r="R17" i="3"/>
  <c r="T17" i="3"/>
  <c r="N17" i="3"/>
  <c r="X17" i="3"/>
  <c r="H17" i="3"/>
  <c r="J17" i="3"/>
  <c r="L17" i="3"/>
  <c r="F17" i="3"/>
  <c r="H15" i="3"/>
  <c r="R15" i="3"/>
  <c r="L15" i="3"/>
  <c r="V15" i="3"/>
  <c r="T15" i="3"/>
  <c r="J15" i="3"/>
  <c r="P15" i="3"/>
  <c r="N15" i="3"/>
  <c r="F15" i="3"/>
  <c r="V13" i="3"/>
  <c r="H13" i="3"/>
  <c r="R13" i="3"/>
  <c r="F13" i="3"/>
  <c r="J13" i="3"/>
  <c r="P13" i="3"/>
  <c r="T13" i="3"/>
  <c r="X13" i="3"/>
  <c r="L13" i="3"/>
  <c r="N13" i="3"/>
  <c r="V11" i="3"/>
  <c r="X11" i="3"/>
  <c r="R11" i="3"/>
  <c r="N11" i="3"/>
  <c r="L11" i="3"/>
  <c r="H11" i="3"/>
  <c r="T11" i="3"/>
  <c r="P11" i="3"/>
  <c r="J11" i="3"/>
  <c r="F11" i="3"/>
  <c r="AD9" i="3"/>
  <c r="I16" i="2"/>
  <c r="K15" i="2" s="1"/>
  <c r="H25" i="3" l="1"/>
  <c r="H30" i="3" s="1"/>
  <c r="X25" i="3"/>
  <c r="X30" i="3" s="1"/>
  <c r="P30" i="3"/>
  <c r="D30" i="3"/>
  <c r="C17" i="3" s="1"/>
  <c r="N25" i="3"/>
  <c r="N30" i="3" s="1"/>
  <c r="Z30" i="3"/>
  <c r="AB30" i="3"/>
  <c r="R25" i="3"/>
  <c r="R30" i="3" s="1"/>
  <c r="T25" i="3"/>
  <c r="T30" i="3" s="1"/>
  <c r="J25" i="3"/>
  <c r="J30" i="3" s="1"/>
  <c r="V25" i="3"/>
  <c r="V30" i="3" s="1"/>
  <c r="L25" i="3"/>
  <c r="L30" i="3" s="1"/>
  <c r="F25" i="3"/>
  <c r="F30" i="3" s="1"/>
  <c r="AD21" i="3"/>
  <c r="AF21" i="3" s="1"/>
  <c r="AD23" i="3"/>
  <c r="AF23" i="3" s="1"/>
  <c r="AD19" i="3"/>
  <c r="AF19" i="3" s="1"/>
  <c r="AD17" i="3"/>
  <c r="AF17" i="3" s="1"/>
  <c r="AD15" i="3"/>
  <c r="AF15" i="3" s="1"/>
  <c r="AD13" i="3"/>
  <c r="AF13" i="3" s="1"/>
  <c r="AD11" i="3"/>
  <c r="AF11" i="3" s="1"/>
  <c r="AF9" i="3"/>
  <c r="J905" i="2"/>
  <c r="K906" i="2" s="1"/>
  <c r="Q30" i="3" l="1"/>
  <c r="C11" i="3"/>
  <c r="O30" i="3"/>
  <c r="E30" i="3"/>
  <c r="C13" i="3"/>
  <c r="K30" i="3"/>
  <c r="W30" i="3"/>
  <c r="M30" i="3"/>
  <c r="C9" i="3"/>
  <c r="U30" i="3"/>
  <c r="C23" i="3"/>
  <c r="C25" i="3"/>
  <c r="C15" i="3"/>
  <c r="Y30" i="3"/>
  <c r="C19" i="3"/>
  <c r="C21" i="3"/>
  <c r="C27" i="3"/>
  <c r="G30" i="3"/>
  <c r="S30" i="3"/>
  <c r="AA30" i="3"/>
  <c r="I30" i="3"/>
  <c r="AD25" i="3"/>
  <c r="AF25" i="3" s="1"/>
  <c r="F31" i="3"/>
  <c r="H31" i="3" s="1"/>
  <c r="J31" i="3" s="1"/>
  <c r="L31" i="3" s="1"/>
  <c r="N31" i="3" s="1"/>
  <c r="P31" i="3" s="1"/>
  <c r="R31" i="3" s="1"/>
  <c r="T31" i="3" s="1"/>
  <c r="V31" i="3" s="1"/>
  <c r="X31" i="3" s="1"/>
  <c r="Z31" i="3" s="1"/>
  <c r="AB31" i="3" s="1"/>
  <c r="AC30" i="3" l="1"/>
  <c r="C30" i="3"/>
  <c r="AD30" i="3"/>
</calcChain>
</file>

<file path=xl/sharedStrings.xml><?xml version="1.0" encoding="utf-8"?>
<sst xmlns="http://schemas.openxmlformats.org/spreadsheetml/2006/main" count="3104" uniqueCount="864">
  <si>
    <t xml:space="preserve"> </t>
  </si>
  <si>
    <t>REVITALIZAÇÃO COM AMPLIAÇÃO DOS BLOCOS DA SEDE DO DETRAN/MT</t>
  </si>
  <si>
    <t>OBRA:     REVITALIZAÇÃO COM AMPLIAÇÃO DOS BLOCOS DA SEDE DO DETRAN/SEDE</t>
  </si>
  <si>
    <t>LOCAL:   AV.DR. HÉLIO RIBEIRO, 100               CEP 78048-910</t>
  </si>
  <si>
    <t xml:space="preserve">PREÇO BASE </t>
  </si>
  <si>
    <t xml:space="preserve">SINAP </t>
  </si>
  <si>
    <t xml:space="preserve">AGO/2020 </t>
  </si>
  <si>
    <t>DESONERADA</t>
  </si>
  <si>
    <t>ITEM</t>
  </si>
  <si>
    <t>CÓDIGO</t>
  </si>
  <si>
    <t>DESCRIÇÃO</t>
  </si>
  <si>
    <t>UNID</t>
  </si>
  <si>
    <t>QUANT</t>
  </si>
  <si>
    <t>V. UNIT SEM BDI</t>
  </si>
  <si>
    <t>V. UNIT COM BDI</t>
  </si>
  <si>
    <t xml:space="preserve"> TOTAL COM BDI</t>
  </si>
  <si>
    <t>SOMA TOTAL COM BDI</t>
  </si>
  <si>
    <t>TOTAL GERAL</t>
  </si>
  <si>
    <t>SERVIÇOS PRELIMINARES GERAL</t>
  </si>
  <si>
    <t>TOTAL DO ITEM</t>
  </si>
  <si>
    <t>1.0</t>
  </si>
  <si>
    <t>SERVIÇOS PRELIMINARES</t>
  </si>
  <si>
    <t>1.1</t>
  </si>
  <si>
    <t>EXECUÇÃO DE ESCRITÓRIO EM CANTEIRO DE OBRA EM CHAPA DE MADEIRA COMPENSADA, NÃO INCLUSO MOBILIÁRIO E EQUIPAMENTOS. AF_02/2016</t>
  </si>
  <si>
    <t>M2</t>
  </si>
  <si>
    <t>1.2</t>
  </si>
  <si>
    <t>EXECUÇÃO DE ALMOXARIFADO EM CANTEIRO DE OBRA EM CHAPA DE MADEIRA COMPENSADA, INCLUSO PRATELEIRAS. AF_02/2016</t>
  </si>
  <si>
    <t>EXECUÇÃO DE SANITÁRIO E VESTIÁRIO EM CANTEIRO DE OBRA EM CHAPA DE MADEIRA COMPENSADA, NÃO INCLUSO MOBILIÁRIO. AF_02/2016</t>
  </si>
  <si>
    <t>EXECUÇÃO DE REFEITÓRIO EM CANTEIRO DE OBRA EM ALVENARIA, NÃO INCLUSO OBILIÁRIO E EQUIPAMENTOS. AF_02/2016</t>
  </si>
  <si>
    <t>COMPOSIÇÃO 01</t>
  </si>
  <si>
    <t>PLACA DE OBRA (PARA CONSTRUCAO CIVIL) EM CHAPA GALVANIZADA *N. 22*, ADESIVADA, M2 300,00</t>
  </si>
  <si>
    <t>MARTELETE OU ROMPEDOR PNEUMÁTICO MANUAL, 28 KG, COM SILENCIADOR - DEPRECIAÇÃO. AF_07/2016</t>
  </si>
  <si>
    <t>H</t>
  </si>
  <si>
    <t>ENGENHEIRO/ARQUITETO TRAINEE/JUNIOR/AUXILIAR 4 HORAS NA OBRA DUAS VEZES POR SEMANA</t>
  </si>
  <si>
    <t>ENGENHEIRO CIVIL DE OBRA PLENO COM ENCARGOS COMPLEMENTARES</t>
  </si>
  <si>
    <t>ENCARREGADO GERAL COM ENCARGOS COMPLEMENTARES</t>
  </si>
  <si>
    <r>
      <t>BLOCO 1 - PRESIDÊNCIA                                                                                               414,33 m</t>
    </r>
    <r>
      <rPr>
        <sz val="10"/>
        <color indexed="10"/>
        <rFont val="Arial"/>
        <family val="2"/>
      </rPr>
      <t>²</t>
    </r>
  </si>
  <si>
    <t>OK OK</t>
  </si>
  <si>
    <t>DEMOLIÇÕES E RETIRADAS</t>
  </si>
  <si>
    <t>TOTAL DA ETAPA</t>
  </si>
  <si>
    <t>COMPOSIÇÃO 4</t>
  </si>
  <si>
    <t>DEMOLIÇÃO DE CONCRETO SIMPLES (CALÇADAE PISO WCS)</t>
  </si>
  <si>
    <t>M3</t>
  </si>
  <si>
    <t>DEMOLIÇÃO DE REVESTIMENTO CERÂMICO, DE FORMA MANUAL, SEM REAPROVEITAMENTO. AF_12/2017</t>
  </si>
  <si>
    <t>REMOÇÃO DE PORTAS, DE FORMA MANUAL, SEM REAPROVEITAMENTO. AF_12/2017</t>
  </si>
  <si>
    <t>UD</t>
  </si>
  <si>
    <t>REMOÇÃO DE LOUÇAS, DE FORMA MANUAL, SEM REAPROVEITAMENTO. AF_12/2017</t>
  </si>
  <si>
    <t>REMOÇÃO DE METAIS SANITÁRIOS, DE FORMA MANUAL, SEM REAPROVEITAMENTO. AF_12/2017</t>
  </si>
  <si>
    <t>DEMOLIÇÃO DE ALVENARIA DE BLOCO FURADO, DE FORMA MANUAL, COM REAPROVEITAMENTO. AF_12/2017</t>
  </si>
  <si>
    <t>COMPOSIÇÃO 5</t>
  </si>
  <si>
    <t>RETIRADA DE DIVISÓRIA DE GRANILITE</t>
  </si>
  <si>
    <t>RETIRADA DE DIVISORIAS EM CHAPAS DE MADEIRA, COM MONTANTES METALICOS</t>
  </si>
  <si>
    <t>ESQUDRIAS</t>
  </si>
  <si>
    <t>ESQUADRIAS MADEIRA</t>
  </si>
  <si>
    <t>KIT DE PORTA DE MADEIRA PARA PINTURA, SEMI-OCA (LEVE OU MÉDIA), PADRÃO MÉDIO, 80X210CM, ESPESSURA DE 3,5CM, ITENS INCLUSOS: DOBRADIÇAS, MONTAGEM E INSTALAÇÃO DO BATENTE, FECHADURA COM EXECUÇÃO DO FURO - FORNECIMENTO E INSTALAÇÃO. AF_08/2015</t>
  </si>
  <si>
    <t>VERGA PRÉ-MOLDADA PARA PORTAS COM ATÉ 1,5 M DE VÃO. AF_03/2016</t>
  </si>
  <si>
    <t>M</t>
  </si>
  <si>
    <t>1.3</t>
  </si>
  <si>
    <t>PORTA DE ALUMÍNIO DE ABRIR COM LAMBRI, COM GUARNIÇÃO, FIXAÇÃO COM PARA FUSOS - FORNECIMENTO E INSTALAÇÃO. AF_08/2015</t>
  </si>
  <si>
    <t>(0,80 X 2,10)+(0,70X2,10X6)</t>
  </si>
  <si>
    <t>BANHEIROS ALUMINIO E EXTERNA</t>
  </si>
  <si>
    <t>2.0</t>
  </si>
  <si>
    <t>REVESTIMENTO</t>
  </si>
  <si>
    <t>CARGA MANUAL DE ENTULHO EM CAMINHAO BASCULANTE 6 M3</t>
  </si>
  <si>
    <t>DEMOLIÇÃO DE ALVENARIA DE BLOCO FURADO, DE FORMA MANUAL, SEM REAPROVEITAMENTO. AF_12/2017</t>
  </si>
  <si>
    <t>2.1</t>
  </si>
  <si>
    <t>REVESTIMENTO CERÂMICO PARA PAREDES INTERNAS COM PLACAS TIPO GRÊS OU SEMI-GRÊS DE DIMENSÕES 20X20 CM APLICADAS EM AMBIENTES DE ÁREA MENOR QUE5 M² A MEIA ALTURA DAS PAREDES. AF_06/2014</t>
  </si>
  <si>
    <t>VER CAD</t>
  </si>
  <si>
    <t>VENTILAÇÃO</t>
  </si>
  <si>
    <t>DUTO DE VENTILAÇÃO</t>
  </si>
  <si>
    <t>2.2</t>
  </si>
  <si>
    <t>ALVENARIA DE VEDAÇÃO DE BLOCOS CERÂMICOS FURADOS NA VERTICAL DE 9X19X3 9CM (ESPESSURA 9CM) DE PAREDES COM ÁREA LÍQUIDA MAIOR OU IGUAL A 6M² EM VÃOS E ARGAMASSA DE ASSENTAMENTO COM PREPARO EM BETONEIRA. AF_06/20</t>
  </si>
  <si>
    <t>2,55X3X5</t>
  </si>
  <si>
    <t>2.3</t>
  </si>
  <si>
    <t>MASSA ÚNICA, PARA RECEBIMENTO DE PINTURA, EM ARGAMASSA TRAÇO 1:2:8,EPARO MECÂNICO COM BETONEIRA 400L, APLICADA MANUALMENTE EM TETO, ESPESSURA DE 10MM, COM EXECUÇÃO DE TALISCAS. AF_03/2015</t>
  </si>
  <si>
    <t>3.0</t>
  </si>
  <si>
    <t>PISOS E RODAPES</t>
  </si>
  <si>
    <t>DEMOLIÇÃO DE CALÇADAS, DE FORMA MANUAL, SEM REAPROVEITAMENTO. AF_12/2017</t>
  </si>
  <si>
    <t>3.1</t>
  </si>
  <si>
    <t>EXECUÇÃO DE PASSEIO (CALÇADA) OU PISO DE CONCRETO COM CONCRETO MOLDADO IN LOCO, USINADO, ACABAMENTO CONVENCIONAL, ESPESSURA 6 CM, ARMADO. AF_07/2016</t>
  </si>
  <si>
    <t>0,60 X 21,81 X 2</t>
  </si>
  <si>
    <t>PASSEIO DAS VALAS</t>
  </si>
  <si>
    <t>CONTRAPISO ACÚSTICO EM ARGAMASSA PRONTA, PREPARO MANUAL, APLICADO EM Á REAS SECAS MENORES QUE 15M2, ESPESSURA 6CM. AF_10/2014</t>
  </si>
  <si>
    <t>PISO EM GRANILITE, MARMORITE OU GRANITINA ESPESSURA 8 MM, INCLUSO JUNTAS DE DILATACAO PLASTICAS</t>
  </si>
  <si>
    <t>3.2</t>
  </si>
  <si>
    <t>REVESTIMENTO CERÂMICO PARA PISO COM PLACAS TIPO PORCELANATO DE DIMENSÕES 60X60 CM APLICADA EM AMBIENTES DE ÁREA ENTRE 5 M² E 10 M². AF_06/2014</t>
  </si>
  <si>
    <t>4.0</t>
  </si>
  <si>
    <t>VIDROS</t>
  </si>
  <si>
    <t>4.1</t>
  </si>
  <si>
    <t>VIDRO LISO COMUM TRANSPARENTE, ESPESSURA 4MM</t>
  </si>
  <si>
    <t>10 % DO TOTAL 36,80M2</t>
  </si>
  <si>
    <t>4.2</t>
  </si>
  <si>
    <t>MOLA HIDRAULICA DE PISO PARA PORTA DE VIDRO TEMPERADO</t>
  </si>
  <si>
    <t>CJ</t>
  </si>
  <si>
    <t>4.3</t>
  </si>
  <si>
    <t>JOGO DE FERRAGENS CROMADAS PARA PORTA DE VIDRO TEMPERADO, UMA FOLHA COMPOSTO DE DOBRADICAS SUPERIOR E INFERIOR, TRINCO, FECHADURA, CONTRA FE CHADURA COM CAPUCHINHO SEM MOLA E PUXADOR</t>
  </si>
  <si>
    <t>5.0</t>
  </si>
  <si>
    <t>PINTURA</t>
  </si>
  <si>
    <t>5.1</t>
  </si>
  <si>
    <t>APLICAÇÃO MANUAL DE PINTURA COM TINTA TEXTURIZADA ACRÍLICA EM PAREDES EXTERNAS DE CASAS, UMA COR. AF_06/2014</t>
  </si>
  <si>
    <t>(81,66 X 3,25)- VAOS(36,80)</t>
  </si>
  <si>
    <t>5.2</t>
  </si>
  <si>
    <t>APLICAÇÃO E LIXAMENTO DE MASSA LÁTEX EM TETO, DUAS DEMÃOS. AF_06/2014</t>
  </si>
  <si>
    <t>PROJETO   347,22</t>
  </si>
  <si>
    <t>5.3</t>
  </si>
  <si>
    <t>APLICAÇÃO MANUAL DE PINTURA COM TINTA LÁTEX ACRÍLICA EM TETO, DUAS DEMÃOS. AF_06/2014DEM</t>
  </si>
  <si>
    <t>5.4</t>
  </si>
  <si>
    <t>APLICAÇÃO E LIXAMENTO DE MASSA LÁTEX EM PAREDES, DUAS DEMÃOS. AF_06/20 (APENAS 30% DO TOTAL)</t>
  </si>
  <si>
    <t>(243,10 X 3,25)-VAOS(66,0) X 30%</t>
  </si>
  <si>
    <t>APLICAÇÃO MANUAL DE PINTURA COM TINTA LÁTEX ACRÍLICA EM PAREDES, DUAS DEMÃOS. AF_06/2014</t>
  </si>
  <si>
    <t>73739/001</t>
  </si>
  <si>
    <t>PINTURA ESMALTE ACETINADO EM MADEIRA, DUAS DEMAOS</t>
  </si>
  <si>
    <t>APLICAÇÃO MANUAL DE PINTURA COM TINTA LÁTEX ACRÍLICA EM PILARES E VIGAS APARENTES</t>
  </si>
  <si>
    <t>=3,28 X (1,3 + 0,3) X 12 UD</t>
  </si>
  <si>
    <t>PINTURA ESMALTE ALTO BRILHO, DUAS DEMAOS, SOBRE SUPERFICIE METALICA</t>
  </si>
  <si>
    <t>PINTURA ACRILICA PARA SINALIZAÇÃO HORIZONTAL EM PISO CIMENTADO</t>
  </si>
  <si>
    <t>1,6 X 21,81 X 2</t>
  </si>
  <si>
    <t>6.0</t>
  </si>
  <si>
    <t>INSTALAÇÕES ELÉTRICAS</t>
  </si>
  <si>
    <t>6.1</t>
  </si>
  <si>
    <t>CABO DE COBRE FLEXÍVEL ISOLADO, 10 MM², ANTI-CHAMA 450/750 V, PARA CIR MCUITOS TERMINAIS - FORNECIMENTO E INSTALAÇÃO. AF_12/2015</t>
  </si>
  <si>
    <t>6.2</t>
  </si>
  <si>
    <t>CABO DE COBRE FLEXÍVEL ISOLADO, 6 MM², ANTI-CHAMA 450/750 V, PARA CIRCUITOS TERMINAIS - FORNECIMENTO E INSTALAÇÃO. AF_12/2015</t>
  </si>
  <si>
    <t>6.3</t>
  </si>
  <si>
    <t>CABO DE COBRE ISOLADO PVC 450/750V 4MM2 RESISTENTE A CHAMA - FORNECIMENTO E INSTALACAO</t>
  </si>
  <si>
    <t>6.4</t>
  </si>
  <si>
    <t>CABO DE COBRE ISOLADO PVC 450/750V 2,5MM2 RESISTENTE A CHAMA - FORNECIMENTO E INSTALACAO</t>
  </si>
  <si>
    <t>6.5</t>
  </si>
  <si>
    <t>RASGO EM ALVENARIA PARA ELETRODUTOS COM DIAMETROS MENORES OU IGUAIS A 40 MM. AF_05/2015</t>
  </si>
  <si>
    <t>3 X 3 X 20</t>
  </si>
  <si>
    <t>6.6</t>
  </si>
  <si>
    <t>ELETRODUTO FLEXÍVEL CORRUGADO, PVC, DN 32 MM (1"), PARA CIRCUITOS TERMINAIS, INSTALADO EM FORRO - FORNECIMENTO E INSTALAÇÃO. AF_12/2015</t>
  </si>
  <si>
    <t>6.7</t>
  </si>
  <si>
    <t>ELETRODUTO RÍGIDO ROSCÁVEL, PVC, DN 40 MM (1 1/4"), PARA CIRCUITOS TERMINAIS, INSTALADO EM LAJE - FORNECIMENTO E INSTALAÇÃO. AF_12/2015</t>
  </si>
  <si>
    <t>6.8</t>
  </si>
  <si>
    <t>TOMADA DE EMBUTIR 2P+T 10A/250V C/ PLACA - FORNECIMENTO E INSTALACAO</t>
  </si>
  <si>
    <t>58+58+16</t>
  </si>
  <si>
    <t>6.9</t>
  </si>
  <si>
    <t>TOMADA DE EMBUTIR 2P+T 20A/250V C/ PLACA - FORNECIMENTO E INSTALACAO</t>
  </si>
  <si>
    <t>6.10</t>
  </si>
  <si>
    <t>INTERRUPTOR SIMPLES DE EMBUTIR 10A/250V 1 TECLA, COM PLACA - FORNECIMENTO E INSTALACAO</t>
  </si>
  <si>
    <t>NTERRUPTOR SIMPLES (2 MÓDULOS), 10A/250V, INCLUINDO SUPORTE E PLACA -FORNECIMENTO E INSTALAÇÃO. AF_12/2015</t>
  </si>
  <si>
    <t>DISJUNTOR MONOPOLAR TIPO DIN, CORRENTE NOMINAL DE 10A - FORNECIMENTO E INSTALAÇÃO. AF_04/2016</t>
  </si>
  <si>
    <t>DISJUNTOR MONOPOLAR TIPO DIN, CORRENTE NOMINAL DE 20A - FORNECIMENTO E INSTALAÇÃO. AF_04/2016</t>
  </si>
  <si>
    <t>DISJUNTOR MONOPOLAR TIPO DIN, CORRENTE NOMINAL DE 32A - FORNECIMENTO E INSTALAÇÃO. AF_04/2016</t>
  </si>
  <si>
    <t>DISJUNTOR BIPOLAR TIPO DIN, CORRENTE NOMINAL DE 10A - FORNECIMENTO E INSTALAÇÃO. AF_04/2016</t>
  </si>
  <si>
    <t>DISJUNTOR BIPOLAR TIPO DIN, CORRENTE NOMINAL DE 20A - FORNECIMENTO E INSTALAÇÃO. AF_04/2016</t>
  </si>
  <si>
    <t>DISJUNTOR BIPOLAR TIPO DIN, CORRENTE NOMINAL DE 32A - FORNECIMENTO E INSTALAÇÃO. AF_04/2016</t>
  </si>
  <si>
    <t>DISJUNTOR TRIPOLAR TIPO DIN, CORRENTE NOMINAL DE 50A - FORNECIMENTO E INSTALAÇÃO. AF_04/2016</t>
  </si>
  <si>
    <t>DISJUNTOR TRIPOLAR TIPO DIN, CORRENTE NOMINAL DE 10A - FORNECIMENTO E INSTALAÇÃO. AF_04/2016</t>
  </si>
  <si>
    <t>DISJUNTOR TRIPOLAR TIPO DIN, CORRENTE NOMINAL DE 20A - FORNECIMENTO E INSTALAÇÃO. AF_04/2016</t>
  </si>
  <si>
    <t>CAIXA RETANGULAR 4" X 2" BAIXA (0,30 M DO PISO), PVC, INSTALADA EM PAREDE - FORNECIMENTO E INSTALAÇÃO. AF_12/2015</t>
  </si>
  <si>
    <t>CAIXA RETANGULAR 4" X 4" BAIXA (0,30 M DO PISO), PVC, INSTALADA EM PAREDE - FORNECIMENTO E INSTALAÇÃO. AF_12/2015</t>
  </si>
  <si>
    <t>QUADRO DE DISTRIBUICAO DE ENERGIA EM CHAPA DE ACO GALVANIZADO, PARA 12 DISJUNTORES TERMOMAGNETICOS MONOPOLARES, COM BARRAMENTO TRIFASICO E NEUTRO - FORNECIMENTO E INSTALACAO</t>
  </si>
  <si>
    <t>74131/006</t>
  </si>
  <si>
    <t>QUADRO DE DISTRIBUICAO DE ENERGIA EM CHAPA DE ACO GALVANIZADO, PARA 32 DISJUNTORES TERMOMAGNETICOS MONOPOLARES, COM BARRAMENTO TRIFASICO E NEUTRO - FORNECIMENTO E INSTALACAO</t>
  </si>
  <si>
    <t>ELETRODUTO RÍGIDO ROSCÁVEL, PVC, DN 110 MM (4") - FORNECIMENTO E INSTALAÇÃO. AF_12/2015</t>
  </si>
  <si>
    <t>74131/007</t>
  </si>
  <si>
    <t>QUADRO DE DISTRIBUICAO DE ENERGIA DE EMBUTIR, EM CHAPA METALICA, PARA 40 DISJUNTORES TERMOMAGNETICOS MONOPOLARES, COM BARRAMENTO TRIFASICO E NEUTRO, FORNECIMENTO E INSTALACAO</t>
  </si>
  <si>
    <t>COMPOSIÇÃO2</t>
  </si>
  <si>
    <t>ELETROCALHA METÁLICA LISA  100 x 50 mm (ref. valemam ou equivalente técnica), CONTENDO PINTURA, TAMPA DE ENCAIXE, JUNÇÃO, DERIVAÇÕES, SUPORTE VERTICAL PARA FIXAÇÃO, FORNECIMENTO E INSTALAÇÃO.</t>
  </si>
  <si>
    <t>7.0</t>
  </si>
  <si>
    <t>INSTALAÇÃOES DE LÓGICA</t>
  </si>
  <si>
    <t>7.1</t>
  </si>
  <si>
    <t>7.2</t>
  </si>
  <si>
    <t>7.3</t>
  </si>
  <si>
    <t>7.4</t>
  </si>
  <si>
    <t>7.5</t>
  </si>
  <si>
    <t>7.6</t>
  </si>
  <si>
    <t>CONDULETE 3/4" EM LIGA DE ALUMÍNIO FUNDIDO TIPO "C" - FORNECIMENTO E INSTALACAO</t>
  </si>
  <si>
    <t>7.7</t>
  </si>
  <si>
    <t>CABO ELETRÔNICO CATEGORIA 5E, INSTALADO EM EDIFICAÇÃO RESIDENCIAL - FORNECIMENTO E INSTALAÇÃO. AF_03/2018</t>
  </si>
  <si>
    <t>7.8</t>
  </si>
  <si>
    <t>CABO ELETRÔNICO CATEGORIA 6, INSTALADO EM EDIFICAÇÃO RESIDENCIAL - FORNECIMENTO E INSTALAÇÃO. AF_03/2018</t>
  </si>
  <si>
    <t>7.9</t>
  </si>
  <si>
    <t>PATCH PANEL 24 PORTAS, CATEGORIA 6 - FORNECIMENTO E INSTALAÇÃO. AF_03/</t>
  </si>
  <si>
    <t>7.10</t>
  </si>
  <si>
    <t>PATCH PANEL 48 PORTAS, CATEGORIA 5E - FORNECIMENTO E INSTALAÇÃO. AF_04</t>
  </si>
  <si>
    <t>7.11</t>
  </si>
  <si>
    <t>COMPOSIÇÃO3</t>
  </si>
  <si>
    <t>RACK FECHADO 24UX19"X670MM, PORTA EM ACRILICO COM REGUA PARA 6 TOMADAS; 02 BANDEJAS, ORGANIZADOR DE CABOS E  PATCH PANEL 24 PORTAS – FORNECIMENTO E INSTALAÇÃO</t>
  </si>
  <si>
    <t>TOMADA PARA TELEFONE RJ11 - FORNECIMENTO E INSTALAÇÃO. AF_11/2019</t>
  </si>
  <si>
    <t>7.15</t>
  </si>
  <si>
    <t>TOMADA DE REDE RJ45 - FORNECIMENTO E INSTALAÇÃO. AF_03/2018</t>
  </si>
  <si>
    <t>7.16</t>
  </si>
  <si>
    <t>QUADRO DE DISTRIBUICAO PARA TELEFONE N.2, 20X20X12CM EM CHAPA METALICA, DE EMBUTIR, SEM ACESSORIOS, PADRAO TELEBRAS, FORNECIMENTO E INSTALACAO</t>
  </si>
  <si>
    <t>ud</t>
  </si>
  <si>
    <t>8.0</t>
  </si>
  <si>
    <t>INSTALAÇÃO HIDRÁULICA E SANITÁRIA</t>
  </si>
  <si>
    <t>8.1</t>
  </si>
  <si>
    <t xml:space="preserve">INSTALAÇÃO HIDRÁULICA  </t>
  </si>
  <si>
    <t>RASGO EM ALVENARIA PARA RAMAIS/ DISTRIBUIÇÃO COM DIAMETROS MENORES OU IGUAIS A 40 MM. AF_05/2015</t>
  </si>
  <si>
    <t>BANCADA DE GRANITO CINZA POLIDO PARA LAVATÓRIO 0,50 X 0,60 M - FORNECIMENTO E INSTALAÇÃO. AF_12/2013_P</t>
  </si>
  <si>
    <t>CUBA DE EMBUTIR OVAL EM LOUÇA BRANCA, 35 X 50CM OU EQUIVALENTE - FORNECIMENTO E INSTALAÇÃO. AF_12/2013</t>
  </si>
  <si>
    <t>TORNEIRA CROMADA DE MESA, 1/2" OU 3/4", PARA LAVATÓRIO, PADRÃO MÉDIO - FORNECIMENTO E INSTALAÇÃO. AF_12/2013</t>
  </si>
  <si>
    <t>VALVULA DESCARGA 1.1/2" COM REGISTRO, ACABAMENTO EM METAL CROMADO - FORNECIMENTO E INSTALACAO</t>
  </si>
  <si>
    <t>TUBO PVC, SERIE NORMAL, ESGOTO PREDIAL, DN 100 MM, FORNECIDO E INSTALADO EM RAMAL DE DESCARGA OU RAMAL DE ESGOTO SANITÁRIO. AF_12/2014</t>
  </si>
  <si>
    <t>TUBO PVC, SERIE NORMAL, ESGOTO PREDIAL, DN 50 MM, FORNECIDO E INSTALADO EM RAMAL DE DESCARGA OU RAMAL DE ESGOTO SANITÁRIO. AF_12/2014</t>
  </si>
  <si>
    <t xml:space="preserve"> JUNÇÃO SIMPLES, PVC, SERIE R, ÁGUA PLUVIAL, DN 100 X 100 MM, JUNTA ELÁSTICA, FORNECIDO E INSTALADO EM RAMAL DE ENCAMINHAMENTO. AF_12/2014</t>
  </si>
  <si>
    <t>JOELHO 90 GRAUS, PVC, SERIE NORMAL, ESGOTO PREDIAL, DN 50 MM, JUNTA ELÁSTICA, FORNECIDO E INSTALADO EM RAMAL DE DESCARGA OU RAMAL DE ESGOTOSANITÁRIO. AF_12/2014</t>
  </si>
  <si>
    <t>JOELHO 90 GRAUS, PVC, SERIE NORMAL, ESGOTO PREDIAL, DN 100 MM, JUNTA E LÁSTICA, FORNECIDO E INSTALADO EM RAMAL DE DESCARGA OU RAMAL DE ESGOTO SANITÁRIO. AF_12/2014</t>
  </si>
  <si>
    <t>8.2</t>
  </si>
  <si>
    <t>SANITÁRIA</t>
  </si>
  <si>
    <t>PAPELEIRA DE PAREDE EM METAL CROMADO SEM TAMPA, INCLUSO FIXAÇÃO. AF_10/2016</t>
  </si>
  <si>
    <t>SABONETEIRA DE PAREDE EM METAL CROMADO, INCLUSO FIXAÇÃO. AF_01/2020</t>
  </si>
  <si>
    <t>VASO SANITARIO SIFONADO CONVENCIONAL PARA PCD SEM FURO FRONTAL COM LOUÇA BRANCA SEM ASSENTO - FORNECIMENTO E INSTALAÇÃO. AF_01/2020</t>
  </si>
  <si>
    <t>VASO SANITARIO SIFONADO CONVENCIONAL COM LOUÇA BRANCA, INCLUSO CONJUNTO DE LIGAÇÃO PARA BACIA SANITÁRIA AJUSTÁVEL - FORNECIMENTO E INSTALAÇÃO. AF_10/2016</t>
  </si>
  <si>
    <t>9.0</t>
  </si>
  <si>
    <t>SERVIÇOS COMPLEMENTARES</t>
  </si>
  <si>
    <t>9.1</t>
  </si>
  <si>
    <t>9.3</t>
  </si>
  <si>
    <t>RECOLOCACAO DE DIVISORIAS TIPO CHAPAS OU TABUAS, INCLUSIVE ENTARUGAMENTO, CONSIDERANDO REAPROVEITAMENTO DO MATERIAL O. AF_10/2016</t>
  </si>
  <si>
    <t>10.0</t>
  </si>
  <si>
    <t>FORRO</t>
  </si>
  <si>
    <t>10.1</t>
  </si>
  <si>
    <t>FORRO EM DRYWALL, PARA AMBIENTES COMERCIAIS, INCLUSIVE ESTRUTURA DE FIXAÇÃO. AF_05/2017_P</t>
  </si>
  <si>
    <t>BLOCO2 - DIRETORIA SISTÊMICA - DAS                                                                       773,81 m²</t>
  </si>
  <si>
    <t>1.4</t>
  </si>
  <si>
    <t>1.5</t>
  </si>
  <si>
    <t>1.6</t>
  </si>
  <si>
    <t>1.7</t>
  </si>
  <si>
    <t>1.8</t>
  </si>
  <si>
    <t>ALVENARIA</t>
  </si>
  <si>
    <t>DIVISORIA EM GRANITO BRANCO POLIDO, ESP = 3CM, ASSENTADO COM ARGAMASSA TRACO 1:4, ARREMATE EM CIMENTO BRANCO, EXCLUSIVE FERRAGENS</t>
  </si>
  <si>
    <t>PAREDE COM PLACAS DE GESSO ACARTONADO (DRYWALL), PARA USO INTERNO, COM DUAS FACES SIMPLES E ESTRUTURA METÁLICA COM GUIAS SIMPLES, COM VÃOS A F_06/2017_P</t>
  </si>
  <si>
    <t>=40,65X3,3</t>
  </si>
  <si>
    <t>CHAPISCO APLICADO EM ALVENARIAS E ESTRUTURAS DE CONCRETO INTERNAS, COM COLHER DE PEDREIRO. ARGAMASSA TRAÇO 1:3 COM PREPARO EM BETONEIRA 400 L. AF_06/2014</t>
  </si>
  <si>
    <t>4.4</t>
  </si>
  <si>
    <t>40,65X3,3</t>
  </si>
  <si>
    <t>10 % DO TOTAL  49,45M2</t>
  </si>
  <si>
    <t>VIDRO TEMPERADO COLORIDO VERDE, ESPESSURA 10MM, FORNECIMENTO E INSTALACAO, INCLUSIVE MASSA PARA VEDACAO</t>
  </si>
  <si>
    <t>2,55 X 2,85</t>
  </si>
  <si>
    <t>APLICAÇÃO MANUAL DE PINTURA COM TINTA LÁTEX PVA EM TETO, DUAS DEMÃOS.AF_06/2014</t>
  </si>
  <si>
    <t>APLICAÇÃO E LIXAMENTO DE MASSA LÁTEX EM PAREDES, DUAS DEMÃOS. AF_06/20</t>
  </si>
  <si>
    <t>(243,10 X 3,25)-VAOS(66,0)</t>
  </si>
  <si>
    <t>PINTURA COM TINTA ALQUÍDICA DE FUNDO E ACABAMENTO (ESMALTE SINTÉTICO GRAFITE) PULVERIZADA SOBRE SUPERFÍCIES METÁLICAS (EXCETO PERFIL) EXECUTADO EM OBRA (POR DEMÃO). AF_01/2020</t>
  </si>
  <si>
    <t>APLICAÇÃO MANUAL DE TINTA LÁTEX ACRÍLICA EM PAREDE EXTERNAS DE CASAS, DUAS DEMÃOS. AF_11/2016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</si>
  <si>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</si>
  <si>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</si>
  <si>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</si>
  <si>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</si>
  <si>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</si>
  <si>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</si>
  <si>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</si>
  <si>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</si>
  <si>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</si>
  <si>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8.17</t>
  </si>
  <si>
    <t>8.18</t>
  </si>
  <si>
    <t>8.19</t>
  </si>
  <si>
    <t>8.20</t>
  </si>
  <si>
    <t>8.21</t>
  </si>
  <si>
    <t>8.22</t>
  </si>
  <si>
    <t>8.23</t>
  </si>
  <si>
    <t>9.2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</si>
  <si>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</si>
  <si>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</si>
  <si>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</si>
  <si>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</si>
  <si>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</si>
  <si>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</si>
  <si>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</si>
  <si>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</si>
  <si>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</si>
  <si>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</si>
  <si>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10.1.1</t>
  </si>
  <si>
    <t>10.1.2</t>
  </si>
  <si>
    <t>10.1.3</t>
  </si>
  <si>
    <t>BANCADA GRANITO CINZA 150 X 60 CM, COM CUBA DE EMBUTIR DE AÇO, VÁLVULA AMERICANA EM METAL, SIFÃO FLEXÍVEL EM PVC, ENGATE FLEXÍVEL 30 CM, TORNEIRA CROMADA LONGA, DE PAREDE, 1/2 OU 3/4, P/ COZINHA, PADRÃO POPULAR - FORNEC. E INSTALAÇÃO. AF_01/2020</t>
  </si>
  <si>
    <t>10.1.4</t>
  </si>
  <si>
    <t>BANCADA DE GRANITO CINZA POLIDO PARA PIA DE COZINHA 1,50 X 0,60 M - FORNECIMENTO E INSTALAÇÃO. AF_12/2013</t>
  </si>
  <si>
    <t>10.1.5</t>
  </si>
  <si>
    <t>10.1.6</t>
  </si>
  <si>
    <t>10.1.7</t>
  </si>
  <si>
    <t>10.1.8</t>
  </si>
  <si>
    <t>CHUVEIRO ELETRICO COMUM CORPO PLASTICO TIPO DUCHA, FORNECIMENTO E INSTALACAO</t>
  </si>
  <si>
    <t>10.1.9</t>
  </si>
  <si>
    <t>REGISTRO DE GAVETA BRUTO, LATÃO, ROSCÁVEL, 1/2", COM ACABAMENTO E CANOPLA CROMADOS. FORNECIDO E INSTALADO EM RAMAL DE ÁGUA. AF_12/2014</t>
  </si>
  <si>
    <t>10.1.10</t>
  </si>
  <si>
    <t>REGISTRO DE PRESSÃO BRUTO, LATÃO, ROSCÁVEL, 1/2", COM ACABAMENTO E CANOPLA CROMADOS. FORNECIDO E INSTALADO EM RAMAL DE ÁGUA. AF_12/2014</t>
  </si>
  <si>
    <t>10.2</t>
  </si>
  <si>
    <t>10.2.1</t>
  </si>
  <si>
    <t>VASO SANITARIO SIFONADO CONVENCIONAL PARA PCD SEM FURO FRONTAL COM LOUÇA BRANCA SEM ASSENTO, INCLUSO CONJUNTO DE LIGAÇÃO PARA BACIA SANITÁRIA AJUSTÁVEL - FORNECIMENTO E INSTALAÇÃO. AF_10/2016</t>
  </si>
  <si>
    <t>10.2.2</t>
  </si>
  <si>
    <t>10.2.3</t>
  </si>
  <si>
    <t>COMPOSIÇÃO 6</t>
  </si>
  <si>
    <t>LAVATÓRIO DE CANTO SUSPENSO PARA PCD 38,5X38,5 CM L76 DECA OU SIMILAR</t>
  </si>
  <si>
    <t>10.2.4</t>
  </si>
  <si>
    <t>SIFÃO DO TIPO GARRAFA EM METAL CROMADO 1 X 1.1/2" - FORNECIMENTO E INSTALAÇÃO. AF_12/2013</t>
  </si>
  <si>
    <t>10.2.5</t>
  </si>
  <si>
    <t>VÁLVULA EM METAL CROMADO 1.1/2" X 1.1/2" PARA TANQUE OU LAVATÓRIO, COM OU SEM LADRÃO - FORNECIMENTO E INSTALAÇÃO. AF_12/2013</t>
  </si>
  <si>
    <t>10.2.6</t>
  </si>
  <si>
    <t>ENGATE FLEXÍVEL EM INOX, 1/2 X 40CM - FORNECIMENTO E INSTALAÇÃO. AF_12/2013</t>
  </si>
  <si>
    <t>10.2.7</t>
  </si>
  <si>
    <t>CAIXA SIFONADA, PVC, DN 100 X 100 X 50 MM, JUNTA ELÁSTICA, FORNECIDA E INSTALADA EM RAMAL DE DESCARGA OU EM RAMAL DE ESGOTO SANITÁRIO. AF_12/2014</t>
  </si>
  <si>
    <t>10.2.8</t>
  </si>
  <si>
    <t>10.2.9</t>
  </si>
  <si>
    <t>10.2.10</t>
  </si>
  <si>
    <t>10.2.11</t>
  </si>
  <si>
    <t>10.2.13</t>
  </si>
  <si>
    <t>10.2.14</t>
  </si>
  <si>
    <t>11.0</t>
  </si>
  <si>
    <t>11.1</t>
  </si>
  <si>
    <t>11.3</t>
  </si>
  <si>
    <t>BLOCO 3 - PROTOCOLO                                                                                               311,46 m²</t>
  </si>
  <si>
    <t xml:space="preserve"> DEMOLIÇÃO DE ALVENARIA DE BLOCO FURADO, DE FORMA MANUAL, SEM REAPROVEITAMENTO. AF_12/2017</t>
  </si>
  <si>
    <t>M³</t>
  </si>
  <si>
    <t>M²</t>
  </si>
  <si>
    <t>ALVENARIA DE VEDAÇÃO DE BLOCOS CERÂMICOS FURADOS NA VERTICAL DE 9X19X3 9CM (ESPESSURA 9CM) DE PAREDES COM ÁREA LÍQUIDA MENOR QUE 6M² SEM VÃOS E ARGAMASSA DE ASSENTAMENTO COM PREPARO EM BETONEIRA. AF_06/2014</t>
  </si>
  <si>
    <t>7 PORTAS</t>
  </si>
  <si>
    <t>=0,80X2,1X8</t>
  </si>
  <si>
    <t>APLICAÇÃO E LIXAMENTO DE MASSA LÁTEX EM CONCRETO, DUAS DEMÃOS. AF_06/20</t>
  </si>
  <si>
    <t>=10*4*1,5</t>
  </si>
  <si>
    <t>7.14</t>
  </si>
  <si>
    <t>CUBA DE EMBUTIR DE AÇO INOXIDÁVEL MÉDIA - FORNECIMENTO E INSTALAÇÃO. AF_12/2013</t>
  </si>
  <si>
    <t>TORNEIRA CROMADA LONGA, DE PAREDE, 1/2" OU 3/4", PARA PIA DE COZINHA, PADRÃO MÉDIO - FORNECIMENTO E INSTALAÇÃO. AF_12/2013</t>
  </si>
  <si>
    <t>VÁLVULA EM METAL CROMADO TIPO AMERICANA 3.1/2" X 1.1/2" PARA PIA - FORNECIMENTO E INSTALAÇÃO. AF_12/2013</t>
  </si>
  <si>
    <t>15X3,3</t>
  </si>
  <si>
    <t>BLOCO 4 - AUDITORIO                                                                                                  267,52 m²</t>
  </si>
  <si>
    <t>DEMOLIÇÕES</t>
  </si>
  <si>
    <t>DEMOLIÇÃO DE CONCRETO SIMPLES (GRANILITE CONTRA PISO DOS WCS)</t>
  </si>
  <si>
    <t>ESQUADRIAS</t>
  </si>
  <si>
    <t>KIT DE PORTA DE MADEIRA PARA PINTURA, SEMI-OCA (LEVE OU MÉDIA), PADRÃOMÉDIO, 80X210CM, ESPESSURA DE 3,5CM, ITENS INCLUSOS: DOBRADIÇAS, MONTAGEM E INSTALAÇÃO DO BATENTE, FECHADURA COM EXECUÇÃO DO FURO - FORNECIMENTO E INSTALAÇÃO. AF_08/2015</t>
  </si>
  <si>
    <t>=0,8X2,10X8</t>
  </si>
  <si>
    <t>3.3</t>
  </si>
  <si>
    <t>3.4</t>
  </si>
  <si>
    <t>PORTA DE FERRO, DE ABRIR, TIPO GRADE COM CHAPA, 87X210CM, COM GUARNICOES</t>
  </si>
  <si>
    <t>=0,8X2,1</t>
  </si>
  <si>
    <t>MASSA ÚNICA, PARA RECEBIMENTO DE PINTURA, EM ARGAMASSA TRAÇO 1:2:8, PREPARO MECÂNICO COM BETONEIRA 400L, APLICADA MANUALMENTE EM FACES INTERNAS DE PAREDES, ESPESSURA DE 20MM, COM EXECUÇÃO DE TALISCAS. AF_06/2014</t>
  </si>
  <si>
    <t>REVESTIMENTO CERÂMICO PARA PAREDES INTERNAS COM PLACAS TIPO ESMALTADA EXTRA DE DIMENSÕES 20X20 CM APLICADAS EM AMBIENTES DE ÁREA MAIOR QUE 5M² NA ALTURA INTEIRA DAS PAREDES. AF_06/2014</t>
  </si>
  <si>
    <t>PISO VINÍLICO SEMI-FLEXÍVEL EM PLACAS, PADRÃO LISO, ESPESSURA 3,2 MM, FIXADO COM COLA. AF_06/2018</t>
  </si>
  <si>
    <t>CONTRAPISO EM ARGAMASSA TRAÇO 1:4 (CIMENTO E AREIA), PREPARO MECÂNICO COM BETONEIRA 400 L, APLICADO EM ÁREAS SECAS SOBRE LAJE, ADERIDO, ESPESSURA 2CM. AF_06/2014</t>
  </si>
  <si>
    <t>REVESTIMENTO CERÂMICO PARA PISO COM PLACAS TIPO PORCELANATO DE DIMENSÕES 60X60 CM APLICADA EM AMBIENTES DE ÁREA MAIOR QUE 10 M². AF_06/2014</t>
  </si>
  <si>
    <t>36 + 24</t>
  </si>
  <si>
    <t>TRATAMENTO EM CONCRETO COMLATEX E LIXAMENTO</t>
  </si>
  <si>
    <t>1,5X4X6</t>
  </si>
  <si>
    <t>73924/001</t>
  </si>
  <si>
    <t>CABO DE COBRE FLEXÍVEL ISOLADO, 16 MM², ANTI-CHAMA 450/750 V, PARA DISTRIBUIÇÃO - FORNECIMENTO E INSTALAÇÃO. AF_12/2015</t>
  </si>
  <si>
    <t>CABO DE COBRE FLEXÍVEL ISOLADO, 35 MM², ANTI-CHAMA 450/750 V, PARA DISTRIBUIÇÃO - FORNECIMENTO E INSTALAÇÃO. AF_12/2015</t>
  </si>
  <si>
    <t>TOMADA MÉDIA DE EMBUTIR (2 MÓDULOS), 2P+T 10 A, INCLUINDO SUPORTE E PLACA - FORNECIMENTO E INSTALAÇÃO. AF_12/2015</t>
  </si>
  <si>
    <t>TOMADA BAIXA DE EMBUTIR (2 MÓDULOS), 2P+T 10 A, INCLUINDO SUPORTE E PLACA - FORNECIMENTO E INSTALAÇÃO. AF_12/2015</t>
  </si>
  <si>
    <t>8.13</t>
  </si>
  <si>
    <t>8.14</t>
  </si>
  <si>
    <t>74130/004</t>
  </si>
  <si>
    <t>DISJUNTOR TERMOMAGNETICO TRIPOLAR PADRAO NEMA (AMERICANO) 10 A 50A 240V, FORNECIMENTO E INSTALACAO</t>
  </si>
  <si>
    <t>8.15</t>
  </si>
  <si>
    <t>74130/003</t>
  </si>
  <si>
    <t>DISJUNTOR TERMOMAGNETICO BIPOLAR PADRAO NEMA (AMERICANO) 10 A 50A 240V</t>
  </si>
  <si>
    <t>8.16</t>
  </si>
  <si>
    <t>74130/005</t>
  </si>
  <si>
    <t>DISJUNTOR TERMOMAGNETICO TRIPOLAR PADRAO NEMA (AMERICANO) 60 A 100A 240V, FORNECIMENTO E INSTALACAO</t>
  </si>
  <si>
    <t>74130/001</t>
  </si>
  <si>
    <t>DISJUNTOR TERMOMAGNETICO MONOPOLAR PADRAO NEMA (AMERICANO) 10 A 30A 240V, FORNECIMENTO E INSTALACAO</t>
  </si>
  <si>
    <t>74131/004</t>
  </si>
  <si>
    <t>QUADRO DE DISTRIBUICAO DE ENERGIA DE EMBUTIR, EM CHAPA METALICA, PARA 18 DISJUNTORES TERMOMAGNETICOS MONOPOLARES, COM BARRAMENTO TRIFASICO E NEUTRO, FORNECIMENTO E INSTALACAO</t>
  </si>
  <si>
    <t>ELETRODUTO RÍGIDO ROSCÁVEL, PVC, DN 50 MM (1 1/2") - FORNECIMENTO E INSTALAÇÃO. AF_12/2015</t>
  </si>
  <si>
    <t>ELETRODUTO FLEXÍVEL CORRUGADO, PVC, DN 25 MM (3/4"), PARA CIRCUITOS TERMINAIS, INSTALADO EM FORRO - FORNECIMENTO E INSTALAÇÃO. AF_12/2015</t>
  </si>
  <si>
    <t>ESCAVAÇÃO MANUAL DE VALA COM PROFUNDIDADE MENOR OU IGUAL A 1,30 M. AF_03/2016</t>
  </si>
  <si>
    <t>COMP. DETRAN</t>
  </si>
  <si>
    <t>SABONETEIRA DE SOBREPOR (FIXADA NA PAREDE), TIPO CONCHA, EM ACO INOXIDAVEL - FORNECIMENTO E INSTALACAO</t>
  </si>
  <si>
    <t>COMP.DETRAN</t>
  </si>
  <si>
    <t>IMPERMEABILIZAÇÃO DE SUPERFÍCIE COM IMPERMEABILIZANTE SEMI-FLEXIVEL (MAI), 3 DEMÃOS. AF_06/2018</t>
  </si>
  <si>
    <t>BLOCO 7 - ALMOXARIFADO                                                                                          495,65 m²</t>
  </si>
  <si>
    <t>14*,8*2,1</t>
  </si>
  <si>
    <t>0,8*2,1*2</t>
  </si>
  <si>
    <t>SO 30%</t>
  </si>
  <si>
    <t>74133/002</t>
  </si>
  <si>
    <t>EMASSAMENTO COM MASSA A OLEO, DUAS DEMAOS</t>
  </si>
  <si>
    <t>APLICAÇÃO MANUAL DE PINTURA COM TINTA LÁTEX ACRÍLICA EM CONCRETOPAREDES, DUAS DEMÃOS. AF_06/2014</t>
  </si>
  <si>
    <t>20X1,5X4</t>
  </si>
  <si>
    <t>8.12</t>
  </si>
  <si>
    <t>74130/010</t>
  </si>
  <si>
    <t>DISJUNTOR TERMOMAGNETICO TRIPOLAR EM CAIXA MOLDADA 175 A 225A 240V, FORNECIMENTO E INSTALACAO</t>
  </si>
  <si>
    <t>MICTORIO SIFONADO DE LOUCA BRANCA COM PERTENCES, COM REGISTRO DE PRESSAO 1/2" COM CANOPLA CROMADA ACABAMENTO SIMPLES E CONJUNTO PARA FIXACAO - FORNECIMENTO E INSTALACAO</t>
  </si>
  <si>
    <t>BANCADA DE GRANITO CINZA POLIDO PARA LAVATÓRIO 2,00X0,60 M - FORNECIMENTO E INSTALAÇÃO. AF_12/2013_P</t>
  </si>
  <si>
    <t>10.1.11</t>
  </si>
  <si>
    <t>10.1.12</t>
  </si>
  <si>
    <t>10.1.13</t>
  </si>
  <si>
    <t>10.1.14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</si>
  <si>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</si>
  <si>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</si>
  <si>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</si>
  <si>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</si>
  <si>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</si>
  <si>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</si>
  <si>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</si>
  <si>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</si>
  <si>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</si>
  <si>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</si>
  <si>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12.0</t>
  </si>
  <si>
    <t>12.1</t>
  </si>
  <si>
    <t>BLOCO 8 - CANTINA                                                                                                        45,81 m²</t>
  </si>
  <si>
    <t>0,8X2,1</t>
  </si>
  <si>
    <t>PORTA DE FERRO, DE ABRIR, TIPO GRADE COM CHAPA, COM GUARNIÇÕES. AF_12/2019</t>
  </si>
  <si>
    <t>0,8x2,1x2</t>
  </si>
  <si>
    <t>REVESTIMENTO CERÂMICO PARA PISO COM PLACAS TIPO ESMALTADA EXTRA DE DIMENSÕES 45X45 CM APLICADA EM AMBIENTES DE ÁREA MENOR QUE 5 M2. AF_06/2014</t>
  </si>
  <si>
    <t>4.5</t>
  </si>
  <si>
    <t>COMP DETRAN</t>
  </si>
  <si>
    <t>LUMINARIA DE EMBUTIR EM CHAPA DE ACO PARA 2 LAMPADAS LED ATÉ 20 W COM REFLETOR E ALETAS EM ALUMINIO INCLUINDO 02 LAMPADAS 20 W - INSTALADA</t>
  </si>
  <si>
    <t>UN</t>
  </si>
  <si>
    <t>TOMADA ALTA DE EMBUTIR 2P+T 20A/250V C/ PLACA - FORNECIMENTO E INSTALACAO</t>
  </si>
  <si>
    <t>73749/001</t>
  </si>
  <si>
    <t>CAIXA ENTERRADA PARA INSTALACOES TELEFONICAS TIPO R1 0,60X0,35X0,50M EM BLOCOS DE CONCRETO ESTRUTURAL</t>
  </si>
  <si>
    <t>TAMPAO FOFO P/ CAIXA R1 PADRAO TELEBRAS COMPLETO - FORNECIMENTO E INSTALACAO</t>
  </si>
  <si>
    <t>FORNECIMENTO E INSTALAÇÃO DE CONECTORES RJ45, 8 VIAS MACHO</t>
  </si>
  <si>
    <t xml:space="preserve">BLOCO 6 - CORREGEDORIA                                                                                          337,18 m²                                            </t>
  </si>
  <si>
    <t>=0,8*2,1*2</t>
  </si>
  <si>
    <t>30%</t>
  </si>
  <si>
    <t>PATCH CORD, CATEGORIA 5 E, EXTENSAO DE 1,50 M</t>
  </si>
  <si>
    <t>FORNECIMENTO E INSTALAÇÃO DE RACK FECHADO 36Ux19"x670mm, PORTA EM ACRILICO, SEGUNDO PLANO DE RECUO, REGUA PARA 5 TOMADAS, 02 VENTILADORES</t>
  </si>
  <si>
    <t>BLOCO 20 - AMPLIAÇÃO DO  DEPÓSITO                                                                      488,56 m²</t>
  </si>
  <si>
    <t>= 5 X 2,5</t>
  </si>
  <si>
    <t>CHP</t>
  </si>
  <si>
    <t>MOVIMENTO DE TERRA</t>
  </si>
  <si>
    <t>ESCAVAÇÃO MANUAL DE VALA PARA VIGA BALDRAME, SEM PREVISÃO DE FÔRMA. AF_06/2017</t>
  </si>
  <si>
    <t>TUBULÃO A CÉU ABERTO, DIÂMETRO DO FUSTE DE 70 CM, PROFUNDIDADE MENOR OU IGUAL A 5 M, ESCAVAÇÃO MANUAL, SEM ALARGAMENTO DE BASE, CONCRETO FEITO EM OBRA E LANÇADO COM JERICA. AF_01/2018</t>
  </si>
  <si>
    <t>ESCAVACAO, CARGA E TRANSPORTE DE MATERIAL DE 1A CATEGORIA COM TRATOR SOBRE ESTEIRAS 347 HP E CACAMBA 6M3, DMT 50 A 200M</t>
  </si>
  <si>
    <t>ESPALHAMENTO DE MATERIAL COM TRATOR DE ESTEIRAS. AF_11/2019</t>
  </si>
  <si>
    <t>74005/001</t>
  </si>
  <si>
    <t>COMPACTACAO MECANICA, SEM CONTROLE DO GC (C/COMPACTADOR PLACA 400 KG)</t>
  </si>
  <si>
    <t>REATERRO MANUAL APILOADO COM SOQUETE. AF_10/2017</t>
  </si>
  <si>
    <t>PREPARO DE FUNDO DE VALA COM LARGURA MENOR QUE 1,5 M, EM LOCAL COM NÍVEL BAIXO DE INTERFERÊNCIA. AF_06/2016</t>
  </si>
  <si>
    <t>FUNDAÇÕES</t>
  </si>
  <si>
    <t>CONCRETO MAGRO PARA LASTRO, TRAÇO 1:4,5:4,5 (CIMENTO/ AREIA MÉDIA/ BRITA 1) - PREPARO MECÂNICO COM BETONEIRA 400 L. AF_07/2016</t>
  </si>
  <si>
    <t>FORMA TABUA PARA CONCRETO EM FUNDACAO, C/ REAPROVEITAMENTO 2X</t>
  </si>
  <si>
    <t>CONCRETO FCK = 25MPA, TRAÇO 1:2,3:2,7 (CIMENTO/ AREIA MÉDIA/ BRITA 1)- PREPARO MECÂNICO COM BETONEIRA 400 L. AF_07/2016</t>
  </si>
  <si>
    <t>LANCAMENTO/APLICACAO MANUAL DE CONCRETO EM FUNDACOES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</si>
  <si>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</si>
  <si>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</si>
  <si>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ARMAÇÃO DE FUNDAÇÕES E ESTRUTURAS DE CONCRETO ARMADO, EXCETO VIGAS, PILARES E LAJES (DE EDIFÍCIOS DE MÚLTIPLOS PAVIMENTOS, EDIFICAÇÃO TÉRREAOU SOBRADO), UTILIZANDO AÇO CA-50 DE 6.3 MM - MONTAGEM. AF_12/2015</t>
  </si>
  <si>
    <t>IMPERMEABILIZACAO DE SUPERFICIE COM ARGAMASSA DE CIMENTO E AREIA (MEDIA), TRACO 1:3, COM ADITIVO IMPERMEABILIZANTE, E=2CM.</t>
  </si>
  <si>
    <t>ESTRUTURA</t>
  </si>
  <si>
    <t>LANÇAMENTO COM USO DE BALDES, ADENSAMENTO E ACABAMENTO DE CONCRETO EM ESTRUTURAS. AF_12/2015</t>
  </si>
  <si>
    <t>FABRICAÇÃO DE FÔRMA PARA PILARES E ESTRUTURAS SIMILARES, EM CHAPA DE MADEIRA COMPENSADA RESINADA, E = 17 MM. AF_12/2015</t>
  </si>
  <si>
    <t>ARMAÇÃO DE  ESTRUTURAS DE CONCRETO ARMADO, EXCETO VIGAS, PILARES E LAJES (DE EDIFÍCIOS DE MÚLTIPLOS PAVIMENTOS, EDIFICAÇÃO TÉRREAOU SOBRADO), UTILIZANDO AÇO CA-50 DE 10,0 MM - MONTAGEM. AF_12/2015</t>
  </si>
  <si>
    <t>74141/001</t>
  </si>
  <si>
    <t>LAJE PRE-MOLD BETA 11 P/1KN/M2 VAOS 4,40M/INCL VIGOTAS TIJOLOS ARMADURA NEGATIVA CAPEAMENTO 3CM CONCRETO 20MPA ESCORAMENTO MATERIAL E MAO DE OBRA.</t>
  </si>
  <si>
    <t>ALVENARIA DE VEDAÇÃO DE BLOCOS CERÂMICOS FURADOS NA HORIZONTAL DE 9X19X19CM (ESPESSURA 9CM) DE PAREDES COM ÁREA LÍQUIDA MENOR QUE 6M² SEM VÃOS E ARGAMASSA DE ASSENTAMENTO COM PREPARO MANUAL. AF_06/2014</t>
  </si>
  <si>
    <t>VERGA PRÉ-MOLDADA PARA JANELAS COM ATÉ 1,5 M DE VÃO. AF_03/2016</t>
  </si>
  <si>
    <t>COBERTURA</t>
  </si>
  <si>
    <t>TRAMA DE AÇO COMPOSTA POR TERÇAS PARA TELHADOS DE ATÉ 2 ÁGUAS PARA TELHA ONDULADA DE FIBROCIMENTO, METÁLICA, PLÁSTICA OU TERMOACÚSTICA, INCLUSO TRANSPORTE VERTICAL. AF_12/2015</t>
  </si>
  <si>
    <t>TELHAMENTO COM TELHA METÁLICA TERMOACÚSTICA E = 30 MM, COM ATÉ 2 ÁGUAS , INCLUSO IÇAMENTO. AF_06/2016</t>
  </si>
  <si>
    <t>RUFO EM CHAPA DE AÇO GALVANIZADO NÚMERO 24, CORTE DE 25 CM, INCLUSO TRANSPORTE VERTICAL. AF_06/2016</t>
  </si>
  <si>
    <t>CALHA EM CHAPA DE AÇO GALVANIZADO NÚMERO 24, DESENVOLVIMENTO DE 50 CM, INCLUSO TRANSPORTE VERTICAL. AF_06/2016</t>
  </si>
  <si>
    <t>PINGADEIRA EM CHAPA DE AÇO GALVANIZADO NÚMERO 24, CORTE DE 25 CM, INCLUSO TRANSPORTE VERTICAL. AF_06/2016</t>
  </si>
  <si>
    <t>JANELA DE AÇO BASCULANTE, FIXAÇÃO COM ARGAMASSA, SEM VIDROS, PADRONIZADA. AF_07/2016</t>
  </si>
  <si>
    <t>JANELA DE AÇO DE CORRER, 2 FOLHAS, FIXAÇÃO COM ARGAMASSA, COM VIDROS, PADRONIZADA. AF_07/2016</t>
  </si>
  <si>
    <t>CHAPISCO APLICADO TANTO EM PILARES E VIGAS DE CONCRETO COMO EM ALVENARIAS DE PAREDES INTERNAS, COM ROLO PARA TEXTURA ACRÍLICA. ARGAMASSA TRAÇO 1:4 E EMULSÃO POLIMÉRICA (ADESIVO) COM PREPARO EM BETONEIRA 400L. AF_06/2014</t>
  </si>
  <si>
    <t>MASSA ÚNICA, PAR RECEBIMENTO DE PINTURA, EM ARGAMASSA TRAÇO 1:2:8, PREPARO MANUAL, APLICADO MANUALMENTE EM FACES INTERNAS DE PAREDES DE AMBIENTES COM ÁREA MENOR QUE 5M2, ESPESSURA DE 20MM, COM EXECUÇÃO DE TALISCAS. AF_06/2014</t>
  </si>
  <si>
    <t>EXECUÇÃO DE PASSEIO (CALÇADA) OU PISO DE CONCRETO COM CONCRETO MOLDADO IN LOCO, USINADO, ACABAMENTO CONVENCIONAL, NÃO ARMADO. AF_07/2016 (6 CM DE ESPESSURA, CONTRAPISO SALAS COM GRANILITE)</t>
  </si>
  <si>
    <t>EXECUÇÃO DE PASSEIO (CALÇADA) OU PISO DE CONCRETO COM CONCRETO MOLDADO IN LOCO, FEITO EM OBRA, ACABAMENTO CONVENCIONAL, ESPESSURA 8 CM, ARMADO. AF_07/2016</t>
  </si>
  <si>
    <t>EXECUÇÃO DE PASSEIO (CALÇADA) OU PISO DE CONCRETO COM CONCRETO MOLDADO IN LOCO, USINADO, ACABAMENTO CONVENCIONAL, NÃO ARMADO. AF_07/2016 (6 CM DE ESPESSURA, CALÇADA EXTERNA)</t>
  </si>
  <si>
    <t>73850/001</t>
  </si>
  <si>
    <t>RODAPE EM MARMORITE, ALTURA 10CM</t>
  </si>
  <si>
    <t>APLICAÇÃO MANUAL DE FUNDO SELADOR ACRÍLICO EM PAREDES EXTERNAS DE CASAS. AF_06/2014</t>
  </si>
  <si>
    <t>74245/001</t>
  </si>
  <si>
    <t>PINTURA ACRILICA EM PISO CIMENTADO DUAS DEMAOS</t>
  </si>
  <si>
    <t>CAPTOR TIPO FRANKLIN PARA SPDA - FORNECIMENTO E INSTALAÇÃO. AF_12/2017</t>
  </si>
  <si>
    <t>TERMINAL AEREO EM ACO GALVANIZADO COM BASE DE FIXACAO H = 30CM</t>
  </si>
  <si>
    <t>SUPORTE ISOLADOR PARA CORDOALHA DE COBRE - FORNECIMENTO E INSTALAÇÃO AF_12/2017</t>
  </si>
  <si>
    <t>CORDOALHA DE COBRE NU 35 MM², NÃO ENTERRADA, COM ISOLADOR - FORNECIMENTO E INSTALAÇÃO. AF_12/2017</t>
  </si>
  <si>
    <t>CORDOALHA DE COBRE NU 50 MM², NÃO ENTERRADA, COM ISOLADOR - FORNECIMENTO E INSTALAÇÃO. AF_12/2017</t>
  </si>
  <si>
    <t>HASTE DE ATERRAMENTO 5/8 PARA SPDA - FORNECIMENTO E INSTALAÇÃO. AF_12/2017</t>
  </si>
  <si>
    <t>CONECTOR PARAFUSO FENDIDO SPLIT-BOLT - PARA CABO DE 35MM2 - FORNECIMENTO E INSTALACAO</t>
  </si>
  <si>
    <t xml:space="preserve"> TERMINAL OU CONECTOR DE PRESSAO - PARA CABO 50MM2 - FORNECIMENTO E INSTALACAO</t>
  </si>
  <si>
    <t>CAIXA DE PASSAGEM 30X30X40 COM TAMPA E DRENO BRITA</t>
  </si>
  <si>
    <t>CAIXA DE INSPEÇÃO EM CONCRETO PRÉ-MOLDADO DN 60CM COM TAMPA H= 60CM FORNECIMENTO E INSTALACAO</t>
  </si>
  <si>
    <t>CABO DE COBRE FLEXÍVEL ISOLADO, 35 MM², ANTI-CHAMA 0,6/1,0 KV, PARA DISTRIBUIÇÃO - FORNECIMENTO E INSTALAÇÃO. AF_12/2015</t>
  </si>
  <si>
    <t>ELETRODUTO FLEXÍVEL CORRUGADO, PVC, DN 25 MM (3/4"), PARA CIRCUITOS TERMINAIS, INSTALADO EM PAREDE - FORNECIMENTO E INSTALAÇÃO. AF_12/2015</t>
  </si>
  <si>
    <t>ELETRODUTO DE PVC RIGIDO ROSCAVEL DN 40MM (1 1/2") INCL CONEXOES, FORNECIMENTO E INSTALACAO</t>
  </si>
  <si>
    <t>ELETRODUTO RÍGIDO ROSCÁVEL, PVC, DN 60 MM (2") - FORNECIMENTO E INSTALAÇÃO. AF_12/2015</t>
  </si>
  <si>
    <t>TOMADA ALTA DE EMBUTIR (1 MÓDULO), 2P+T 20 A, INCLUINDO SUPORTE E PLACA - FORNECIMENTO E INSTALAÇÃO. AF_12/2015</t>
  </si>
  <si>
    <t>INTERRUPTOR SIMPLES (3 MÓDULOS), 10A/250V, INCLUINDO SUPORTE E PLACA FORNECIMENTO E INSTALAÇÃO. AF_12/2015</t>
  </si>
  <si>
    <t>LUMINÁRIA TIPO PLAFON, DE SOBREPOR, COM 1 LÂMPADA LED - FORNECIMENTO E INSTALAÇÃO. AF_11/2017</t>
  </si>
  <si>
    <t>LUMINARIA LED REFLETOR RETANGULAR BIVOLT, LUZ BRANCA, 100 W - FORNECIMENTO E INSTALAÇÃO</t>
  </si>
  <si>
    <t>DISJUNTOR TRIPOLAR TIPO DIN, CORRENTE NOMINAL DE 50A - FORNECIMENTO E UNINSTALAÇÃO. AF_04/2016</t>
  </si>
  <si>
    <t>DISJUNTOR MONOPOLAR TIPO DIN, CORRENTE NOMINAL DE 16A - FORNECIMENTO E INSTALAÇÃO. AF_04/2016</t>
  </si>
  <si>
    <t>DISJUNTOR BIPOLAR TIPO DIN, CORRENTE NOMINAL DE 25A - FORNECIMENTO E INSTALAÇÃO. AF_04/2016</t>
  </si>
  <si>
    <t>DISPOSITIVO DPS CLASSE II, 1 POLO, TENSAO MAXIMA DE 175 V, CORRENTE MAXIMA DE *45* KA (TIPO AC)</t>
  </si>
  <si>
    <t>DISPOSITIVO DR, 4 POLOS, SENSIBILIDADE DE 30 MA, CORRENTE DE 100 A, TIPO AC</t>
  </si>
  <si>
    <t>74131/005</t>
  </si>
  <si>
    <t>QUADRO DE DISTRIBUICAO DE ENERGIA DE EMBUTIR, EM CHAPA METALICA, PARA 24 DISJUNTORES TERMOMAGNETICOS MONOPOLARES, COM BARRAMENTO TRIFASICO E NEUTRO, FORNECIMENTO E INSTALACAO</t>
  </si>
  <si>
    <t>CAIXA DE INSPEÇÃO PARA ATERRAMENTO, CIRCULAR, EM POLIETILENO, DIÂMETRO INTERNO = 0,3 M. AF_05/2018</t>
  </si>
  <si>
    <t>RELE FOTOELETRICO P/ COMANDO DE ILUMINACAO EXTERNA 220V/1000W - FORNECIMENTO E INSTALACAO</t>
  </si>
  <si>
    <t>CAIXA DE PASSAGEM PARA TELEFONE 15X15X10CM (SOBREPOR), FORNECIMENTO E INSTALACAO.</t>
  </si>
  <si>
    <t>TANQUE DE LOUÇA BRANCA COM COLUNA, 30L OU EQUIVALENTE - FORNECIMENTO E INSTALAÇÃO. AF_12/2013</t>
  </si>
  <si>
    <t>TORNEIRA CROMADA 1/2" OU 3/4" PARA TANQUE, PADRÃO MÉDIO - FORNECIMENTO E INSTALAÇÃO. AF_12/2013</t>
  </si>
  <si>
    <t>REGISTRO DE GAVETA BRUTO, LATÃO, ROSCÁVEL, 1 1/2, INSTALADO EM RESERVAÇÃO DE ÁGUA DE EDIFICAÇÃO QUE POSSUA RESERVATÓRIO DE FIBRA/FIBROCIMENTO FORNECIMENTO E INSTALAÇÃO. AF_06/2016</t>
  </si>
  <si>
    <t>TUBO, PVC, SOLDÁVEL, DN 50MM, INSTALADO EM PRUMADA DE ÁGUA FORNECIMENTO E INSTALAÇÃO. AF_12/2014_P</t>
  </si>
  <si>
    <t>TUBO, PVC, SOLDÁVEL, DN 25MM, INSTALADO EM RAMAL DE DISTRIBUIÇÃO DE ÁGUA FORNECIMENTO E INSTALAÇÃO. AF_12/2014_P</t>
  </si>
  <si>
    <t>CAIXA DE INSPEÇÃO EM CONCRETO PRÉ-MOLDADO DN 60CM COM TAMPA H= 60CM -FORNECIMENTO E INSTALACAO</t>
  </si>
  <si>
    <t>TUBO PVC, SERIE NORMAL, ESGOTO PREDIAL, DN 50 MM, FORNECIDO E INSTALADO EM RAMAL DE DESCARGA OU RAMAL DE ESGOTO SANITÁRIO. AF_12/2014_P</t>
  </si>
  <si>
    <t>JOELHO 90 GRAUS, PVC, SERIE NORMAL, ESGOTO PREDIAL, DN 50 MM, JUNTA SOLDÁVEL, FORNECIDO E INSTALADO EM RAMAL DE DESCARGA OU RAMAL DE ESGOTO SANITÁRIO. AF_12/2014_P</t>
  </si>
  <si>
    <t>TOTAL GERAL  DA REFORMA COM AMPLIAÇÃO</t>
  </si>
  <si>
    <t>CRONOGRAMA FÍSICO FINANCEIRO</t>
  </si>
  <si>
    <t>ESPECIFICAÇÃO</t>
  </si>
  <si>
    <t>%</t>
  </si>
  <si>
    <t>TOTAL
DO ITEM</t>
  </si>
  <si>
    <t>DIAS</t>
  </si>
  <si>
    <t>TOTAL</t>
  </si>
  <si>
    <t>PRESIDENCIA</t>
  </si>
  <si>
    <t>DIRETORIA SISTEMICA - DAS</t>
  </si>
  <si>
    <t>PROTOCOLO</t>
  </si>
  <si>
    <t>AUDITORIO</t>
  </si>
  <si>
    <t>ALMOXARIFADO</t>
  </si>
  <si>
    <t>CORREGEDORIA</t>
  </si>
  <si>
    <t>CANTINA</t>
  </si>
  <si>
    <t>AMPLIAÇÃO DEPOSITO</t>
  </si>
  <si>
    <t>TOTAL MENSAL/ ACUMULADO</t>
  </si>
  <si>
    <t>PLACA DA OBRA</t>
  </si>
  <si>
    <t>INSUMO</t>
  </si>
  <si>
    <t>PLACA DE OBRA (PARA CONSTRUCAO CIVIL) EM CHAPA GALVANIZADA *N. 22*, ADESIVADA</t>
  </si>
  <si>
    <t>3992</t>
  </si>
  <si>
    <t>TABUA DE MADEIRA APARELHADA *2,5 X 30* CM, MACARANDUBA, ANGELIM OU EQUIVALENTE DA REGIAO</t>
  </si>
  <si>
    <t>1,6923000</t>
  </si>
  <si>
    <t>15,29</t>
  </si>
  <si>
    <t>4433</t>
  </si>
  <si>
    <t>PECA DE MADEIRA NAO APARELHADA *7,5 X 7,5* CM (3 X 3 ") MACARANDUBA, ANGELIM OU EQUIVALENTE DA REGIAO</t>
  </si>
  <si>
    <t>1,2273000</t>
  </si>
  <si>
    <t>6,89</t>
  </si>
  <si>
    <t>5061</t>
  </si>
  <si>
    <t>PREGO DE ACO POLIDO COM CABECA 18 X 27 (2 1/2 X 10)</t>
  </si>
  <si>
    <t>0,0428000</t>
  </si>
  <si>
    <t>11,40</t>
  </si>
  <si>
    <t>COMPOSICAO</t>
  </si>
  <si>
    <t>88239</t>
  </si>
  <si>
    <t>AJUDANTE DE CARPINTEIRO COM ENCARGOS COMPLEMENTARES</t>
  </si>
  <si>
    <t>0,2042000</t>
  </si>
  <si>
    <t>14,91</t>
  </si>
  <si>
    <t>88262</t>
  </si>
  <si>
    <t>CARPINTEIRO DE FORMAS COM ENCARGOS COMPLEMENTARES</t>
  </si>
  <si>
    <t>0,6127000</t>
  </si>
  <si>
    <t>17,64</t>
  </si>
  <si>
    <t>91692</t>
  </si>
  <si>
    <t>SERRA CIRCULAR DE BANCADA COM MOTOR ELÉTRICO POTÊNCIA DE 5HP, COM COIFA PARA DISCO 10" - CHP DIURNO. AF_08/2015</t>
  </si>
  <si>
    <t>0,0044000</t>
  </si>
  <si>
    <t>16,24</t>
  </si>
  <si>
    <t>COMPOSIÇÃO 02</t>
  </si>
  <si>
    <t>DUTO PERFURADO-ELETROCALHA CHAPA DE AÇO (50X100)MM</t>
  </si>
  <si>
    <t>Próprio</t>
  </si>
  <si>
    <t xml:space="preserve"> 8.0078 </t>
  </si>
  <si>
    <t>Eletrocalha metálica lisa 100 x 50 mm (ref. valemam ou equivalente técnica), contendo pintura, tampa de encaixe, junção para eletrocalha, derivações, suporte vertical para fixação. Todo o material necessário para instalação da eletrocalha. Fornecimento e instalação.</t>
  </si>
  <si>
    <t>71,77</t>
  </si>
  <si>
    <t>SINAPI</t>
  </si>
  <si>
    <t xml:space="preserve"> 88264 </t>
  </si>
  <si>
    <t>ELETRICISTA COM ENCARGOS COMPLEMENTARES</t>
  </si>
  <si>
    <t>0,6</t>
  </si>
  <si>
    <t xml:space="preserve"> 88247 </t>
  </si>
  <si>
    <t>AUXILIAR DE ELETRICISTA COM ENCARGOS COMPLEMENTARES</t>
  </si>
  <si>
    <t>SEINFRA</t>
  </si>
  <si>
    <t xml:space="preserve"> C1908 </t>
  </si>
  <si>
    <t>PINTURA EXTERNA DE RUFOS, CALHAS E CONDUTORES C/ESMALTE SINTÉTICO</t>
  </si>
  <si>
    <t>1,0</t>
  </si>
  <si>
    <t>10,80</t>
  </si>
  <si>
    <t xml:space="preserve"> I1048 </t>
  </si>
  <si>
    <t>35,50</t>
  </si>
  <si>
    <t>ORSE</t>
  </si>
  <si>
    <t xml:space="preserve"> 7490 </t>
  </si>
  <si>
    <t>Junção com aba 100 mm para eletrocalha metálica, Leitofort (ref.: Mopa ou similar)</t>
  </si>
  <si>
    <t>un</t>
  </si>
  <si>
    <t>0,5</t>
  </si>
  <si>
    <t>5,50</t>
  </si>
  <si>
    <t xml:space="preserve"> 3637 </t>
  </si>
  <si>
    <t>Suporte vertical  100 x 50 mm  para fixação de eletrocalha metálica ( ref.: Mopa ou similar)</t>
  </si>
  <si>
    <t>2,10</t>
  </si>
  <si>
    <t xml:space="preserve"> 3990 </t>
  </si>
  <si>
    <t>Tampa de encaixe 100 X3000 - Z para eletrocalha metálica (ref.: mopa ou similar)</t>
  </si>
  <si>
    <t>m</t>
  </si>
  <si>
    <t>0,33</t>
  </si>
  <si>
    <t>7,30</t>
  </si>
  <si>
    <t>COMPOSIÇÃO 03</t>
  </si>
  <si>
    <t>materiais</t>
  </si>
  <si>
    <t>00039594</t>
  </si>
  <si>
    <t>PATCH PANEL, 24 PORTAS, CATEGORIA 5E, COM RACKS DE 19" E 1 U DE ALTURA</t>
  </si>
  <si>
    <t>cotação</t>
  </si>
  <si>
    <t>Organizador de cabos horizontal com tampa frontal removível 19" X 1U</t>
  </si>
  <si>
    <t>Régua 1UX19" com 06 tomadas</t>
  </si>
  <si>
    <t>Fornecimento e instalação de rack fechado 24Ux19"x770mm, porta em acrilico, segundo plano de recuo, com fechadura.</t>
  </si>
  <si>
    <t>Bandeja Fixa para Rack 1U Curitiba 19Pol 700mm Preto</t>
  </si>
  <si>
    <t>mão de obra</t>
  </si>
  <si>
    <t>000088264</t>
  </si>
  <si>
    <t>eletricista</t>
  </si>
  <si>
    <t>h</t>
  </si>
  <si>
    <t>000088247</t>
  </si>
  <si>
    <t>auxiliar  de eletricista</t>
  </si>
  <si>
    <t>total</t>
  </si>
  <si>
    <t>preço de venda</t>
  </si>
  <si>
    <t>material cotado Macro Distribuidora mais conection tel 36483000</t>
  </si>
  <si>
    <t>COMPOSIÇÃO 04</t>
  </si>
  <si>
    <t>DEMOLIÇÃO DE CONCRETO SIMPLES</t>
  </si>
  <si>
    <t>Demolição de concreto simples</t>
  </si>
  <si>
    <t>pedreiro</t>
  </si>
  <si>
    <t>servente</t>
  </si>
  <si>
    <t>coeficientes retirados planilha secid</t>
  </si>
  <si>
    <t>COMPOSIÇÃO 05</t>
  </si>
  <si>
    <t>RETIRA DE DIVISÓRIA DE GRANILITE</t>
  </si>
  <si>
    <t>assentamento piso podotatil</t>
  </si>
  <si>
    <t>unid:m²</t>
  </si>
  <si>
    <t>Pdreiro</t>
  </si>
  <si>
    <t>Servente</t>
  </si>
  <si>
    <t>COMPOSIÇÃO 06</t>
  </si>
  <si>
    <t>LAVATÓRIO DE LOUÇA BRANCA  SUSPENSO, 38,5X38,5 CM OU EQUIVALENTE FORNECIMENTO E INSTALAÇÃO</t>
  </si>
  <si>
    <t>PARAFUSO NIQUELADO 3 1/2" COM ACABAMENTO CROMADO PAR FIXAR PEÇA SANITÁRIA, INCLUI PORCA CEGA ARRUELA E BUCHA DE NYLON TAMANHO S8</t>
  </si>
  <si>
    <t xml:space="preserve">REJUNTE EPOXI BRANCO </t>
  </si>
  <si>
    <t>TOTAL MATERIAL</t>
  </si>
  <si>
    <t>LAVATÓRIO COTADO NA INTERNET PADOVANI</t>
  </si>
  <si>
    <t>MAO DE OBRA</t>
  </si>
  <si>
    <t>ENCANADOR OU BOMBEIRO</t>
  </si>
  <si>
    <t>SERVENTE COM ENCARGOS</t>
  </si>
  <si>
    <t>Demolição de piso revestido em granilite</t>
  </si>
  <si>
    <t>LUMINARIA DE EMBUTIR EM CHAPA DE ACO PARA 2 LAMPADAS LED ATÉ 18/20 W COM REFLETOR E ALETAS EM ALUMINIO INCLUINDO 02 LAMPADAS LED 18/20 W – FORNECIMENTO E INSTALAÇÃO</t>
  </si>
  <si>
    <t>unid: unitario</t>
  </si>
  <si>
    <t>88264</t>
  </si>
  <si>
    <t>88247</t>
  </si>
  <si>
    <t>00012232</t>
  </si>
  <si>
    <t>LUMINARIA DE SOBREPOR EM CHAPA DE ACO PARA 2 LAMPADAS FLUORESCENTES DE *18* W, PERFIL COMERCIAL (NAO INCLUI REATOR E LAMPADAS)</t>
  </si>
  <si>
    <t>00039387</t>
  </si>
  <si>
    <t>LAMPADA LED TUBULAR BIVOLT 18/20 W, BASE G13</t>
  </si>
  <si>
    <t>Cabo utp – Fornecimento e Instalação</t>
  </si>
  <si>
    <t>unid: m</t>
  </si>
  <si>
    <t>00039598</t>
  </si>
  <si>
    <t>CABO DE PAR TRANCADO UTP, 4 PARES, CATEGORIA 5E</t>
  </si>
  <si>
    <t>obs: cabo cotado na Plug mais conection R$420,90 rolo com 305,00m</t>
  </si>
  <si>
    <t>fone 36485700</t>
  </si>
  <si>
    <t>13.23</t>
  </si>
  <si>
    <t>refletor led 100W  110/220 - 9000 lm, 6000K  + Fotocelula – Fornecimento e Instalação</t>
  </si>
  <si>
    <t>unid: m²</t>
  </si>
  <si>
    <t>refletor com  led  ref.9000 lm marca opus ou similar</t>
  </si>
  <si>
    <t xml:space="preserve">material cotado   Eletrofios tel. (65) 3618-2500 </t>
  </si>
  <si>
    <t>DISPOSITIVO DPS CLASSE II, 1 POLO, TENSAO MAXIMA DE 275 V, CORRENTE MAXIMA DE *45* - FORNECIMENTO E INSTALAÇÃO</t>
  </si>
  <si>
    <t>00039471</t>
  </si>
  <si>
    <t>DISPOSITIVO DPS CLASSE II, 1 POLO, TENSAO MAXIMA DE 275 V, CORRENTE MAXIMA DE *45*</t>
  </si>
  <si>
    <t>DISPOSITIVO DR, 4 POLOS, SENSIBILIDADE DE 30 MA, CORRENTE DE 100 A, TIPO AC FORNECIMENTO E INSTALAÇÃO</t>
  </si>
  <si>
    <t>00039464</t>
  </si>
  <si>
    <t>Fornecimento e instalação de conectores RJ45, 8 vias macho</t>
  </si>
  <si>
    <t>unid:ud</t>
  </si>
  <si>
    <t>00039602</t>
  </si>
  <si>
    <t>CONECTOR MACHO RJ - 45, CATEGORIA 5 E</t>
  </si>
  <si>
    <t>LIMPEZA GERAL</t>
  </si>
  <si>
    <t>LIMPEZA DE PISO CERÂMICO OU PORCELANATO COM VASSOURA A SECO. AF_04/201</t>
  </si>
  <si>
    <t>LIMPEZA DE REVESTIMENTO CERÂMICO EM PAREDE UTILIZANDO ÁCIDO MURIÁTICO.</t>
  </si>
  <si>
    <t>FORRO REBAIXADO DRY WALL, PARA AMBIENTES COMERCIAIS, INCLUSIVE ESTRUTURA DE FIXAÇÃO. AF_05/2017_PAF_04/2019</t>
  </si>
  <si>
    <t>CONTRAPISO EM ARGAMASSA TRAÇO 1:4 (CIMENTO E AREIA), PREPARO MECÂNICOCOM BETONEIRA 400 L, APLICADO EM ÁREAS SECAS SOBRE LAJE, ADERIDO, ESPE</t>
  </si>
  <si>
    <t>CAÇAMBA BOTA FORA 7,0 M³</t>
  </si>
  <si>
    <t>Locação de caçamba para bota fora de entulhos capacidade de 7,0m³</t>
  </si>
  <si>
    <t>Taxa de destinação final de resíduos sólidos da construção civil</t>
  </si>
  <si>
    <t>COMPOSIÇÃO 08</t>
  </si>
  <si>
    <t>COMPOSIÇÃO 07</t>
  </si>
  <si>
    <t>COMPOSIÇÃO 7</t>
  </si>
  <si>
    <t>BOTA FORA CAÇAMBA  7 M3</t>
  </si>
  <si>
    <t>APLICAÇÃO MANUAL DE PINTURA COM TINTA LÁTEX ACRÍLICA EM PAREDES, DUAS DEMÃOS. AF_06/2014 (INCLUSIVE PILARES E VIGAS)</t>
  </si>
  <si>
    <t>COMPOSIÇÃO 8</t>
  </si>
  <si>
    <t>COMPOSIÇÃO 09</t>
  </si>
  <si>
    <t>CPMPOSIÇÃO9</t>
  </si>
  <si>
    <t>COMPOSIÇÃO 10</t>
  </si>
  <si>
    <t>TUBO PVC, SERIE NORMAL, ESGOTO PREDIAL, DN 100 MM, FORNECIDO E INSTALADO EM RAMAL DE DESCARGA OU RAMAL DE ESGOTO SANITÁRIO. AF_12/2014_</t>
  </si>
  <si>
    <t>74151/001</t>
  </si>
  <si>
    <t>ALVENARIA DE VEDAÇÃO DE BLOCOS CERÂMICOS FURADOS NA HORIZONTAL DE 14X9X19CM (ESPESSURA 14CM, BLOCO DEITADO) DE PAREDES COM ÁREA LÍQUIDA MENO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</si>
  <si>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</si>
  <si>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</si>
  <si>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</si>
  <si>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</si>
  <si>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</si>
  <si>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</si>
  <si>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</si>
  <si>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</si>
  <si>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</si>
  <si>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COMPOSIÇÃO 11</t>
  </si>
  <si>
    <t>COMPOSIÇÃO11</t>
  </si>
  <si>
    <t>COMPOSIÇÃO 12</t>
  </si>
  <si>
    <t>LIMPEZA FINAL</t>
  </si>
  <si>
    <t>OK</t>
  </si>
  <si>
    <t>CANTEIRO DE OBRA E SERVIÇOS PRELIMINARES</t>
  </si>
  <si>
    <t>2.4</t>
  </si>
  <si>
    <t>2.5</t>
  </si>
  <si>
    <t>2.6</t>
  </si>
  <si>
    <t>3.5</t>
  </si>
  <si>
    <t>7.12</t>
  </si>
  <si>
    <t>7.13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</si>
  <si>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</si>
  <si>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</si>
  <si>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</si>
  <si>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</si>
  <si>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</si>
  <si>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</si>
  <si>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</si>
  <si>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</si>
  <si>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</si>
  <si>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</si>
  <si>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</si>
  <si>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</si>
  <si>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</si>
  <si>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</si>
  <si>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</si>
  <si>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</si>
  <si>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</si>
  <si>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</si>
  <si>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</si>
  <si>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</si>
  <si>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</si>
  <si>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9.2.1</t>
  </si>
  <si>
    <t>9.2.2</t>
  </si>
  <si>
    <t>9.2.3</t>
  </si>
  <si>
    <t>9.2.4</t>
  </si>
  <si>
    <t>8.24</t>
  </si>
  <si>
    <t>8.25</t>
  </si>
  <si>
    <t>8.26</t>
  </si>
  <si>
    <t>8.27</t>
  </si>
  <si>
    <t>10.2.12</t>
  </si>
  <si>
    <t>11.2</t>
  </si>
  <si>
    <t>14.0</t>
  </si>
  <si>
    <t>2.7</t>
  </si>
  <si>
    <t>7.28</t>
  </si>
  <si>
    <t>3.6</t>
  </si>
  <si>
    <t>3.7</t>
  </si>
  <si>
    <t>3.8</t>
  </si>
  <si>
    <t>4.6</t>
  </si>
  <si>
    <t>10.</t>
  </si>
  <si>
    <t>11.4</t>
  </si>
  <si>
    <t>11.5</t>
  </si>
  <si>
    <t>11.6</t>
  </si>
  <si>
    <t>11.7</t>
  </si>
  <si>
    <t>11.8</t>
  </si>
  <si>
    <t>11.9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</si>
  <si>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</si>
  <si>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</si>
  <si>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</si>
  <si>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</si>
  <si>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</si>
  <si>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</si>
  <si>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</si>
  <si>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</si>
  <si>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</si>
  <si>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</si>
  <si>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</si>
  <si>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</si>
  <si>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</si>
  <si>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</si>
  <si>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</si>
  <si>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</si>
  <si>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</si>
  <si>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</si>
  <si>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</si>
  <si>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</si>
  <si>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</si>
  <si>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</si>
  <si>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</si>
  <si>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</si>
  <si>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</si>
  <si>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</si>
  <si>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</si>
  <si>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</si>
  <si>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</si>
  <si>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</si>
  <si>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</si>
  <si>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</si>
  <si>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</si>
  <si>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</si>
  <si>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</si>
  <si>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</si>
  <si>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</si>
  <si>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</si>
  <si>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</si>
  <si>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</si>
  <si>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</si>
  <si>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</si>
  <si>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13.0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</si>
  <si>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</si>
  <si>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</si>
  <si>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</si>
  <si>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</si>
  <si>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</si>
  <si>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</si>
  <si>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</si>
  <si>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</si>
  <si>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</si>
  <si>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</si>
  <si>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</si>
  <si>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</si>
  <si>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14.1</t>
  </si>
  <si>
    <t>14.1.1</t>
  </si>
  <si>
    <t>14.1.2</t>
  </si>
  <si>
    <t>14.1.3</t>
  </si>
  <si>
    <t>14.1.4</t>
  </si>
  <si>
    <t>14.1.5</t>
  </si>
  <si>
    <t>14.1.6</t>
  </si>
  <si>
    <t>14.2</t>
  </si>
  <si>
    <t>14.2.1</t>
  </si>
  <si>
    <t>14.2.2</t>
  </si>
  <si>
    <t>14.2.3</t>
  </si>
  <si>
    <t>14.2.4</t>
  </si>
  <si>
    <t>15.0</t>
  </si>
  <si>
    <t>15.1</t>
  </si>
  <si>
    <t>16.1</t>
  </si>
  <si>
    <t>16.2</t>
  </si>
  <si>
    <t>16.3</t>
  </si>
  <si>
    <t>SERVIÇOS PRELIMINARES/ ADMINISTRAÇÃO</t>
  </si>
  <si>
    <t>COMPOSIÇÃO 13</t>
  </si>
  <si>
    <t>DEMOLIÇÃO EM PISO DE GRANILITE</t>
  </si>
  <si>
    <t>1.9</t>
  </si>
  <si>
    <t>=42X2X1</t>
  </si>
  <si>
    <t>=22X1,0X2</t>
  </si>
  <si>
    <t>LAVADORA DE ALTA PRESSAO (LAVA-JATO) PARA AGUA FRIA, PRESSAO DE OPERACAOENTRE 1400 E 1900 LIB/POL2, VAZAO MAXIMA ENTRE 400 E 700 L/H</t>
  </si>
  <si>
    <t>SERVENTE COM ENCARGOS COMPLEMENTARES</t>
  </si>
  <si>
    <t>COMPOSIÇÃO 14</t>
  </si>
  <si>
    <t>LAVAGEM DOS BRISES COM LAVADOURA DE ALTA PRESSÃO PARA PINTURA  H = 1,00m</t>
  </si>
  <si>
    <t>PINTURA ESMALTE ALTO BRILHO, DUAS DEMAOS, SOBRE SUPERFICIE METALICA ( JANELAS)</t>
  </si>
  <si>
    <t xml:space="preserve">PINTURA COM TINTA EPOXÍDICA DE FUNDO PULVERIZADA SOBRE PERFIL METÁLICO EXECUTADO EM FÁBRICA (POR DEMÃO). AF_01/2020 - (BRISES </t>
  </si>
  <si>
    <t>SERVENTE</t>
  </si>
  <si>
    <t>COTAÇÃO</t>
  </si>
  <si>
    <t>BARRA DE APOIO RETA, EM ACO INOX POLIDO, COMPRIMENTO 80CM, DIAMETRO MINIMO 3CM</t>
  </si>
  <si>
    <t>BARRA DE APOIO RETA, EM ACO INOX POLIDO, COMPRIMENTO 60CM, DIAMETRO MINIMO 3CM</t>
  </si>
  <si>
    <t>COMPOSIÇÃO 15</t>
  </si>
  <si>
    <t>COMPOSIÇÃO16</t>
  </si>
  <si>
    <t>COMPOSIÇÃO 16</t>
  </si>
  <si>
    <t>LIMPEZA DE BRISAS COM LAVAORA ALTA PRESSÃO</t>
  </si>
  <si>
    <t>MONTAGEM E DESMONTAGENS DE ANDAIMES</t>
  </si>
  <si>
    <t>1.1.10</t>
  </si>
  <si>
    <t>9.2.5</t>
  </si>
  <si>
    <t>9.2.6</t>
  </si>
  <si>
    <t>10.2.15</t>
  </si>
  <si>
    <t>10.2.16</t>
  </si>
  <si>
    <t>10.1.24</t>
  </si>
  <si>
    <t>10.1.25</t>
  </si>
  <si>
    <t>COMPOSIÇÃO DO BDI OBRAS</t>
  </si>
  <si>
    <t>GRUPO A</t>
  </si>
  <si>
    <t>A1</t>
  </si>
  <si>
    <r>
      <t xml:space="preserve">(AC) ADMINISTRAÇÃO CENTRAL - </t>
    </r>
    <r>
      <rPr>
        <sz val="12"/>
        <color indexed="8"/>
        <rFont val="Arial Narrow"/>
        <family val="2"/>
      </rPr>
      <t>VARIA CONFORME O PORTE DA NÚMERO DE OBRAS EM ANDAMENTO, VOLUME FINANCEIRO DAS OBRAS A INICIAREM, ETC,  EM CADA   EM CADA EMPRESA - (ACORDAO 2622/2013 - 3,0% A 5,5%)</t>
    </r>
  </si>
  <si>
    <t>TOTAL DO GRUPO A  =</t>
  </si>
  <si>
    <t>GRUPO B</t>
  </si>
  <si>
    <t>B1</t>
  </si>
  <si>
    <r>
      <t xml:space="preserve">(DF) DESPESAS FINANCEIRAS - </t>
    </r>
    <r>
      <rPr>
        <sz val="12"/>
        <color indexed="8"/>
        <rFont val="Arial Narrow"/>
        <family val="2"/>
      </rPr>
      <t>(ACORDAO 2622/2013 - 0,59% A 1,39%)</t>
    </r>
  </si>
  <si>
    <t>B2</t>
  </si>
  <si>
    <r>
      <t xml:space="preserve">(S)   SEGUROS - </t>
    </r>
    <r>
      <rPr>
        <sz val="12"/>
        <color indexed="8"/>
        <rFont val="Arial Narrow"/>
        <family val="2"/>
      </rPr>
      <t xml:space="preserve">(ACORDAO 2622/2013 </t>
    </r>
    <r>
      <rPr>
        <b/>
        <u/>
        <sz val="12"/>
        <color indexed="8"/>
        <rFont val="Arial Narrow"/>
        <family val="2"/>
      </rPr>
      <t>SEGURO + GARANTIA</t>
    </r>
    <r>
      <rPr>
        <b/>
        <sz val="12"/>
        <color indexed="8"/>
        <rFont val="Arial Narrow"/>
        <family val="2"/>
      </rPr>
      <t xml:space="preserve"> </t>
    </r>
    <r>
      <rPr>
        <sz val="12"/>
        <color indexed="8"/>
        <rFont val="Arial Narrow"/>
        <family val="2"/>
      </rPr>
      <t>- 0,8% A 1,0%)</t>
    </r>
  </si>
  <si>
    <r>
      <t xml:space="preserve">(G)   GARANTIAS - </t>
    </r>
    <r>
      <rPr>
        <sz val="12"/>
        <color indexed="8"/>
        <rFont val="Arial Narrow"/>
        <family val="2"/>
      </rPr>
      <t xml:space="preserve">(ACORDAO 2622/2013 </t>
    </r>
    <r>
      <rPr>
        <b/>
        <u/>
        <sz val="12"/>
        <color indexed="8"/>
        <rFont val="Arial Narrow"/>
        <family val="2"/>
      </rPr>
      <t>SEGURO + GARANTIA</t>
    </r>
    <r>
      <rPr>
        <sz val="12"/>
        <color indexed="8"/>
        <rFont val="Arial Narrow"/>
        <family val="2"/>
      </rPr>
      <t xml:space="preserve"> - 0,8% A 1,0%)</t>
    </r>
  </si>
  <si>
    <t>B3</t>
  </si>
  <si>
    <r>
      <t xml:space="preserve">(R)   TAXA DE RISCO E IMPREVISTOS - </t>
    </r>
    <r>
      <rPr>
        <sz val="12"/>
        <color indexed="8"/>
        <rFont val="Arial Narrow"/>
        <family val="2"/>
      </rPr>
      <t>(ACORDAO 2622/2013 0,97% A 1,27%)</t>
    </r>
  </si>
  <si>
    <t>B4</t>
  </si>
  <si>
    <r>
      <t xml:space="preserve">(L)    LUCRO </t>
    </r>
    <r>
      <rPr>
        <sz val="12"/>
        <color indexed="8"/>
        <rFont val="Arial Narrow"/>
        <family val="2"/>
      </rPr>
      <t>(ACORDAO 2622/2013 6,16% A 8,96%)</t>
    </r>
  </si>
  <si>
    <t>TOTAL DO GRUPO B  =</t>
  </si>
  <si>
    <t>GRUPO C</t>
  </si>
  <si>
    <t>C1</t>
  </si>
  <si>
    <r>
      <t xml:space="preserve">ISS - </t>
    </r>
    <r>
      <rPr>
        <sz val="12"/>
        <color indexed="8"/>
        <rFont val="Arial Narrow"/>
        <family val="2"/>
      </rPr>
      <t>(ISS% CONSIDERANDO 40% DE MATRIAL) - LEI do Múnicipio da Execução da Obra</t>
    </r>
  </si>
  <si>
    <t>C2</t>
  </si>
  <si>
    <t>%MÃO DE OBRA</t>
  </si>
  <si>
    <t>C3</t>
  </si>
  <si>
    <t>ISS DO MUNICÍPIO (Verificar la LEI do Múnicipio da Execução da Obra)</t>
  </si>
  <si>
    <t>C4</t>
  </si>
  <si>
    <t>SUBTOTAL ISS (C2 X C3) =</t>
  </si>
  <si>
    <t>C5</t>
  </si>
  <si>
    <t>PIS</t>
  </si>
  <si>
    <t>C6</t>
  </si>
  <si>
    <t>COFINS</t>
  </si>
  <si>
    <t>C7</t>
  </si>
  <si>
    <t>CPRB</t>
  </si>
  <si>
    <t>TOTAL DO GRUPO C  =</t>
  </si>
  <si>
    <t>TOTAL BDI (ACORDAO 2369/2011)</t>
  </si>
  <si>
    <r>
      <t xml:space="preserve"> BDI = </t>
    </r>
    <r>
      <rPr>
        <u/>
        <sz val="12"/>
        <color indexed="8"/>
        <rFont val="Cambria"/>
        <family val="1"/>
      </rPr>
      <t>(1+AC+S+R+G)x(1+DF)X(1+L))</t>
    </r>
    <r>
      <rPr>
        <sz val="12"/>
        <color indexed="8"/>
        <rFont val="Cambria"/>
        <family val="1"/>
      </rPr>
      <t xml:space="preserve">  -1
                                  1-I
Onde: 
AC = taxa representativa das despesas de rateio da Administração Central;
S = taxa representativa de Seguros;
R = taxa representativa de Riscos;
G = taxa representativa de Garantias;
DF = taxa representativa das Despesas Financeiras;
L = taxa representativa do Lucro;
I = taxa representativa da incidência de Impostos. 
 </t>
    </r>
  </si>
  <si>
    <t>Cuiabá , 07/10/2020</t>
  </si>
  <si>
    <t>Engenheiro Civil</t>
  </si>
  <si>
    <t>Dois milhões e trinta e três mil e cento e sessenta e três Reais e noventa e cinco centavos.</t>
  </si>
  <si>
    <t>EDNO MARTIMIANO DE CARVALHO</t>
  </si>
  <si>
    <t>BDI 26 %</t>
  </si>
  <si>
    <t>DATA</t>
  </si>
  <si>
    <t>DATA:   AGO/2020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</si>
</sst>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_(* #,##0.00_);_(* \(#,##0.00\);_(* &quot;-&quot;??_);_(@_)"/>
    <numFmt numFmtId="166" formatCode="_(* #,##0.00_);_(* \(#,##0.00\);_(* \-??_);_(@_)"/>
    <numFmt numFmtId="167" formatCode="0.00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rgb="FF00206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10"/>
      <name val="Courier New"/>
      <family val="3"/>
    </font>
    <font>
      <sz val="10"/>
      <name val="Courier New"/>
      <family val="3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10"/>
      <name val="Arial"/>
    </font>
    <font>
      <b/>
      <sz val="14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 Light"/>
      <family val="1"/>
      <scheme val="major"/>
    </font>
    <font>
      <u/>
      <sz val="12"/>
      <color indexed="8"/>
      <name val="Cambria"/>
      <family val="1"/>
    </font>
    <font>
      <sz val="12"/>
      <color indexed="8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6" fontId="2" fillId="0" borderId="0" applyFill="0" applyBorder="0" applyAlignment="0" applyProtection="0"/>
    <xf numFmtId="9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0" fillId="0" borderId="0"/>
  </cellStyleXfs>
  <cellXfs count="456">
    <xf numFmtId="0" fontId="0" fillId="0" borderId="0" xfId="0"/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/>
    </xf>
    <xf numFmtId="4" fontId="2" fillId="0" borderId="0" xfId="1" applyNumberFormat="1" applyFont="1" applyAlignment="1"/>
    <xf numFmtId="4" fontId="2" fillId="0" borderId="0" xfId="1" applyNumberFormat="1" applyFont="1"/>
    <xf numFmtId="2" fontId="2" fillId="0" borderId="0" xfId="1" applyNumberFormat="1" applyFont="1"/>
    <xf numFmtId="4" fontId="1" fillId="0" borderId="0" xfId="1" applyNumberFormat="1"/>
    <xf numFmtId="0" fontId="1" fillId="0" borderId="0" xfId="1"/>
    <xf numFmtId="4" fontId="4" fillId="0" borderId="0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center" vertical="top"/>
    </xf>
    <xf numFmtId="4" fontId="2" fillId="0" borderId="0" xfId="1" applyNumberFormat="1" applyFont="1" applyBorder="1" applyAlignment="1">
      <alignment vertical="center"/>
    </xf>
    <xf numFmtId="4" fontId="2" fillId="0" borderId="0" xfId="1" applyNumberFormat="1" applyFont="1" applyBorder="1" applyAlignment="1"/>
    <xf numFmtId="4" fontId="5" fillId="2" borderId="0" xfId="1" quotePrefix="1" applyNumberFormat="1" applyFont="1" applyFill="1" applyBorder="1" applyAlignment="1">
      <alignment horizontal="right" vertical="center"/>
    </xf>
    <xf numFmtId="164" fontId="2" fillId="0" borderId="0" xfId="1" applyNumberFormat="1" applyFont="1" applyAlignment="1"/>
    <xf numFmtId="4" fontId="6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wrapText="1"/>
    </xf>
    <xf numFmtId="4" fontId="2" fillId="0" borderId="0" xfId="1" applyNumberFormat="1" applyFont="1" applyBorder="1" applyAlignment="1">
      <alignment horizontal="center" vertical="center"/>
    </xf>
    <xf numFmtId="4" fontId="5" fillId="2" borderId="0" xfId="1" applyNumberFormat="1" applyFont="1" applyFill="1" applyBorder="1" applyAlignment="1">
      <alignment horizontal="right" vertical="center"/>
    </xf>
    <xf numFmtId="4" fontId="2" fillId="0" borderId="0" xfId="1" applyNumberFormat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" fontId="4" fillId="3" borderId="0" xfId="1" applyNumberFormat="1" applyFont="1" applyFill="1" applyBorder="1" applyAlignment="1"/>
    <xf numFmtId="4" fontId="4" fillId="0" borderId="0" xfId="1" applyNumberFormat="1" applyFont="1" applyBorder="1" applyAlignment="1"/>
    <xf numFmtId="4" fontId="4" fillId="0" borderId="0" xfId="1" applyNumberFormat="1" applyFont="1"/>
    <xf numFmtId="0" fontId="4" fillId="0" borderId="0" xfId="1" applyFont="1"/>
    <xf numFmtId="4" fontId="4" fillId="2" borderId="3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Border="1" applyAlignment="1"/>
    <xf numFmtId="4" fontId="8" fillId="2" borderId="3" xfId="1" applyNumberFormat="1" applyFont="1" applyFill="1" applyBorder="1" applyAlignment="1">
      <alignment vertical="center"/>
    </xf>
    <xf numFmtId="4" fontId="9" fillId="2" borderId="3" xfId="1" applyNumberFormat="1" applyFont="1" applyFill="1" applyBorder="1" applyAlignment="1">
      <alignment horizontal="center" vertical="center"/>
    </xf>
    <xf numFmtId="4" fontId="9" fillId="2" borderId="3" xfId="1" applyNumberFormat="1" applyFont="1" applyFill="1" applyBorder="1" applyAlignment="1">
      <alignment vertical="center"/>
    </xf>
    <xf numFmtId="4" fontId="9" fillId="2" borderId="4" xfId="1" applyNumberFormat="1" applyFont="1" applyFill="1" applyBorder="1" applyAlignment="1">
      <alignment vertical="center"/>
    </xf>
    <xf numFmtId="4" fontId="7" fillId="2" borderId="6" xfId="1" applyNumberFormat="1" applyFont="1" applyFill="1" applyBorder="1" applyAlignment="1">
      <alignment horizontal="right" vertical="center"/>
    </xf>
    <xf numFmtId="4" fontId="9" fillId="2" borderId="5" xfId="1" applyNumberFormat="1" applyFont="1" applyFill="1" applyBorder="1" applyAlignment="1">
      <alignment vertical="center"/>
    </xf>
    <xf numFmtId="4" fontId="10" fillId="2" borderId="6" xfId="1" applyNumberFormat="1" applyFont="1" applyFill="1" applyBorder="1" applyAlignment="1">
      <alignment horizontal="right" vertical="center"/>
    </xf>
    <xf numFmtId="4" fontId="2" fillId="4" borderId="0" xfId="1" applyNumberFormat="1" applyFont="1" applyFill="1" applyBorder="1"/>
    <xf numFmtId="4" fontId="11" fillId="2" borderId="3" xfId="1" applyNumberFormat="1" applyFont="1" applyFill="1" applyBorder="1" applyAlignment="1">
      <alignment vertical="center"/>
    </xf>
    <xf numFmtId="4" fontId="11" fillId="2" borderId="3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vertical="center"/>
    </xf>
    <xf numFmtId="4" fontId="12" fillId="2" borderId="6" xfId="1" applyNumberFormat="1" applyFont="1" applyFill="1" applyBorder="1" applyAlignment="1">
      <alignment horizontal="center" vertical="center"/>
    </xf>
    <xf numFmtId="4" fontId="6" fillId="4" borderId="0" xfId="1" applyNumberFormat="1" applyFont="1" applyFill="1" applyBorder="1" applyAlignment="1">
      <alignment vertical="center" wrapText="1"/>
    </xf>
    <xf numFmtId="4" fontId="11" fillId="4" borderId="6" xfId="1" applyNumberFormat="1" applyFont="1" applyFill="1" applyBorder="1" applyAlignment="1">
      <alignment horizontal="center" vertical="center"/>
    </xf>
    <xf numFmtId="0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vertical="center" wrapText="1"/>
    </xf>
    <xf numFmtId="4" fontId="6" fillId="4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>
      <alignment horizontal="right" vertical="center"/>
    </xf>
    <xf numFmtId="4" fontId="6" fillId="4" borderId="3" xfId="1" applyNumberFormat="1" applyFont="1" applyFill="1" applyBorder="1" applyAlignment="1">
      <alignment horizontal="right" vertical="center"/>
    </xf>
    <xf numFmtId="4" fontId="13" fillId="4" borderId="6" xfId="1" applyNumberFormat="1" applyFont="1" applyFill="1" applyBorder="1" applyAlignment="1">
      <alignment vertical="center" wrapText="1"/>
    </xf>
    <xf numFmtId="4" fontId="14" fillId="4" borderId="3" xfId="1" applyNumberFormat="1" applyFont="1" applyFill="1" applyBorder="1" applyAlignment="1">
      <alignment horizontal="right" vertical="center"/>
    </xf>
    <xf numFmtId="4" fontId="14" fillId="4" borderId="6" xfId="1" applyNumberFormat="1" applyFont="1" applyFill="1" applyBorder="1" applyAlignment="1">
      <alignment vertical="center" wrapText="1"/>
    </xf>
    <xf numFmtId="4" fontId="9" fillId="2" borderId="4" xfId="1" applyNumberFormat="1" applyFont="1" applyFill="1" applyBorder="1" applyAlignment="1">
      <alignment horizontal="center" vertical="center"/>
    </xf>
    <xf numFmtId="4" fontId="10" fillId="2" borderId="4" xfId="1" applyNumberFormat="1" applyFont="1" applyFill="1" applyBorder="1" applyAlignment="1">
      <alignment vertical="center"/>
    </xf>
    <xf numFmtId="4" fontId="10" fillId="2" borderId="5" xfId="1" applyNumberFormat="1" applyFont="1" applyFill="1" applyBorder="1" applyAlignment="1">
      <alignment vertical="center"/>
    </xf>
    <xf numFmtId="4" fontId="2" fillId="5" borderId="0" xfId="1" applyNumberFormat="1" applyFont="1" applyFill="1" applyBorder="1" applyAlignment="1">
      <alignment horizontal="center"/>
    </xf>
    <xf numFmtId="4" fontId="16" fillId="0" borderId="0" xfId="1" applyNumberFormat="1" applyFont="1" applyBorder="1" applyAlignment="1"/>
    <xf numFmtId="4" fontId="8" fillId="0" borderId="0" xfId="1" applyNumberFormat="1" applyFont="1" applyBorder="1" applyAlignment="1"/>
    <xf numFmtId="4" fontId="8" fillId="0" borderId="0" xfId="1" applyNumberFormat="1" applyFont="1" applyFill="1"/>
    <xf numFmtId="4" fontId="8" fillId="4" borderId="0" xfId="1" applyNumberFormat="1" applyFont="1" applyFill="1" applyBorder="1" applyAlignment="1" applyProtection="1">
      <alignment horizontal="right" vertical="top"/>
    </xf>
    <xf numFmtId="2" fontId="8" fillId="0" borderId="0" xfId="1" applyNumberFormat="1" applyFont="1" applyFill="1"/>
    <xf numFmtId="4" fontId="8" fillId="0" borderId="0" xfId="1" applyNumberFormat="1" applyFont="1"/>
    <xf numFmtId="0" fontId="8" fillId="0" borderId="0" xfId="1" applyFont="1" applyFill="1"/>
    <xf numFmtId="4" fontId="11" fillId="2" borderId="6" xfId="1" applyNumberFormat="1" applyFont="1" applyFill="1" applyBorder="1" applyAlignment="1">
      <alignment horizontal="center"/>
    </xf>
    <xf numFmtId="4" fontId="11" fillId="2" borderId="6" xfId="1" applyNumberFormat="1" applyFont="1" applyFill="1" applyBorder="1" applyAlignment="1">
      <alignment horizontal="right" vertical="center"/>
    </xf>
    <xf numFmtId="4" fontId="6" fillId="4" borderId="6" xfId="1" applyNumberFormat="1" applyFont="1" applyFill="1" applyBorder="1" applyAlignment="1">
      <alignment vertical="center"/>
    </xf>
    <xf numFmtId="4" fontId="10" fillId="4" borderId="6" xfId="1" applyNumberFormat="1" applyFont="1" applyFill="1" applyBorder="1" applyAlignment="1">
      <alignment horizontal="right" vertical="center"/>
    </xf>
    <xf numFmtId="4" fontId="6" fillId="4" borderId="3" xfId="1" applyNumberFormat="1" applyFont="1" applyFill="1" applyBorder="1" applyAlignment="1">
      <alignment horizontal="center" vertical="center"/>
    </xf>
    <xf numFmtId="1" fontId="6" fillId="4" borderId="6" xfId="1" applyNumberFormat="1" applyFont="1" applyFill="1" applyBorder="1" applyAlignment="1">
      <alignment horizontal="center"/>
    </xf>
    <xf numFmtId="1" fontId="6" fillId="4" borderId="6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" fontId="2" fillId="3" borderId="0" xfId="1" applyNumberFormat="1" applyFont="1" applyFill="1" applyBorder="1" applyAlignment="1"/>
    <xf numFmtId="4" fontId="11" fillId="0" borderId="6" xfId="1" applyNumberFormat="1" applyFont="1" applyFill="1" applyBorder="1" applyAlignment="1">
      <alignment horizontal="center" vertical="center"/>
    </xf>
    <xf numFmtId="4" fontId="11" fillId="0" borderId="6" xfId="1" applyNumberFormat="1" applyFont="1" applyFill="1" applyBorder="1" applyAlignment="1">
      <alignment vertical="center" wrapText="1"/>
    </xf>
    <xf numFmtId="4" fontId="6" fillId="0" borderId="6" xfId="1" applyNumberFormat="1" applyFont="1" applyFill="1" applyBorder="1" applyAlignment="1">
      <alignment vertical="center"/>
    </xf>
    <xf numFmtId="4" fontId="6" fillId="0" borderId="6" xfId="1" applyNumberFormat="1" applyFont="1" applyBorder="1" applyAlignment="1">
      <alignment vertical="center"/>
    </xf>
    <xf numFmtId="4" fontId="14" fillId="0" borderId="3" xfId="1" applyNumberFormat="1" applyFont="1" applyFill="1" applyBorder="1" applyAlignment="1">
      <alignment vertical="center"/>
    </xf>
    <xf numFmtId="4" fontId="14" fillId="0" borderId="6" xfId="1" applyNumberFormat="1" applyFont="1" applyBorder="1" applyAlignment="1">
      <alignment horizontal="center"/>
    </xf>
    <xf numFmtId="4" fontId="13" fillId="0" borderId="6" xfId="1" applyNumberFormat="1" applyFont="1" applyBorder="1" applyAlignment="1">
      <alignment horizontal="center"/>
    </xf>
    <xf numFmtId="4" fontId="13" fillId="6" borderId="6" xfId="1" applyNumberFormat="1" applyFont="1" applyFill="1" applyBorder="1" applyAlignment="1">
      <alignment horizontal="center"/>
    </xf>
    <xf numFmtId="4" fontId="2" fillId="6" borderId="0" xfId="1" applyNumberFormat="1" applyFont="1" applyFill="1" applyBorder="1" applyAlignment="1"/>
    <xf numFmtId="4" fontId="17" fillId="6" borderId="0" xfId="1" applyNumberFormat="1" applyFont="1" applyFill="1" applyBorder="1" applyAlignment="1"/>
    <xf numFmtId="4" fontId="2" fillId="6" borderId="0" xfId="1" applyNumberFormat="1" applyFont="1" applyFill="1"/>
    <xf numFmtId="2" fontId="2" fillId="6" borderId="0" xfId="1" applyNumberFormat="1" applyFont="1" applyFill="1"/>
    <xf numFmtId="4" fontId="4" fillId="6" borderId="0" xfId="1" applyNumberFormat="1" applyFont="1" applyFill="1"/>
    <xf numFmtId="4" fontId="1" fillId="6" borderId="0" xfId="1" applyNumberFormat="1" applyFill="1"/>
    <xf numFmtId="0" fontId="4" fillId="6" borderId="0" xfId="1" applyFont="1" applyFill="1"/>
    <xf numFmtId="4" fontId="11" fillId="4" borderId="6" xfId="1" applyNumberFormat="1" applyFont="1" applyFill="1" applyBorder="1" applyAlignment="1">
      <alignment horizontal="center"/>
    </xf>
    <xf numFmtId="4" fontId="14" fillId="6" borderId="6" xfId="1" applyNumberFormat="1" applyFont="1" applyFill="1" applyBorder="1" applyAlignment="1">
      <alignment horizontal="center"/>
    </xf>
    <xf numFmtId="4" fontId="14" fillId="6" borderId="6" xfId="1" applyNumberFormat="1" applyFont="1" applyFill="1" applyBorder="1" applyAlignment="1">
      <alignment horizontal="center" vertical="center"/>
    </xf>
    <xf numFmtId="4" fontId="2" fillId="6" borderId="0" xfId="1" quotePrefix="1" applyNumberFormat="1" applyFont="1" applyFill="1" applyBorder="1" applyAlignment="1"/>
    <xf numFmtId="4" fontId="14" fillId="0" borderId="6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/>
    <xf numFmtId="4" fontId="17" fillId="0" borderId="0" xfId="1" applyNumberFormat="1" applyFont="1" applyFill="1" applyBorder="1" applyAlignment="1"/>
    <xf numFmtId="4" fontId="2" fillId="0" borderId="0" xfId="1" applyNumberFormat="1" applyFont="1" applyFill="1"/>
    <xf numFmtId="4" fontId="4" fillId="0" borderId="0" xfId="1" applyNumberFormat="1" applyFont="1" applyFill="1"/>
    <xf numFmtId="4" fontId="1" fillId="0" borderId="0" xfId="1" applyNumberFormat="1" applyFill="1"/>
    <xf numFmtId="0" fontId="4" fillId="0" borderId="0" xfId="1" applyFont="1" applyFill="1"/>
    <xf numFmtId="0" fontId="6" fillId="4" borderId="6" xfId="1" applyFont="1" applyFill="1" applyBorder="1" applyAlignment="1">
      <alignment vertical="center" wrapText="1"/>
    </xf>
    <xf numFmtId="4" fontId="13" fillId="6" borderId="6" xfId="1" applyNumberFormat="1" applyFont="1" applyFill="1" applyBorder="1" applyAlignment="1">
      <alignment horizontal="center" vertical="center"/>
    </xf>
    <xf numFmtId="165" fontId="6" fillId="4" borderId="6" xfId="2" applyFont="1" applyFill="1" applyBorder="1" applyAlignment="1">
      <alignment vertical="center"/>
    </xf>
    <xf numFmtId="0" fontId="2" fillId="6" borderId="0" xfId="1" applyFont="1" applyFill="1"/>
    <xf numFmtId="4" fontId="6" fillId="4" borderId="6" xfId="1" applyNumberFormat="1" applyFont="1" applyFill="1" applyBorder="1" applyAlignment="1">
      <alignment horizontal="left" vertical="center" wrapText="1"/>
    </xf>
    <xf numFmtId="4" fontId="13" fillId="0" borderId="6" xfId="1" applyNumberFormat="1" applyFont="1" applyFill="1" applyBorder="1" applyAlignment="1">
      <alignment horizontal="center"/>
    </xf>
    <xf numFmtId="2" fontId="2" fillId="0" borderId="0" xfId="1" applyNumberFormat="1" applyFont="1" applyFill="1"/>
    <xf numFmtId="4" fontId="1" fillId="0" borderId="0" xfId="1" applyNumberFormat="1" applyFont="1" applyFill="1"/>
    <xf numFmtId="4" fontId="1" fillId="4" borderId="0" xfId="1" applyNumberFormat="1" applyFont="1" applyFill="1" applyBorder="1"/>
    <xf numFmtId="4" fontId="15" fillId="0" borderId="0" xfId="1" applyNumberFormat="1" applyFont="1" applyFill="1"/>
    <xf numFmtId="2" fontId="15" fillId="0" borderId="0" xfId="1" applyNumberFormat="1" applyFont="1" applyFill="1"/>
    <xf numFmtId="0" fontId="4" fillId="4" borderId="0" xfId="1" applyFont="1" applyFill="1" applyBorder="1"/>
    <xf numFmtId="0" fontId="12" fillId="0" borderId="6" xfId="1" applyFont="1" applyFill="1" applyBorder="1" applyAlignment="1">
      <alignment horizontal="center"/>
    </xf>
    <xf numFmtId="4" fontId="4" fillId="4" borderId="0" xfId="1" applyNumberFormat="1" applyFont="1" applyFill="1" applyBorder="1"/>
    <xf numFmtId="2" fontId="4" fillId="0" borderId="0" xfId="1" applyNumberFormat="1" applyFont="1"/>
    <xf numFmtId="0" fontId="2" fillId="0" borderId="0" xfId="1" applyFont="1" applyFill="1"/>
    <xf numFmtId="2" fontId="4" fillId="0" borderId="0" xfId="1" applyNumberFormat="1" applyFont="1" applyFill="1"/>
    <xf numFmtId="4" fontId="2" fillId="5" borderId="0" xfId="1" applyNumberFormat="1" applyFont="1" applyFill="1" applyBorder="1" applyAlignment="1"/>
    <xf numFmtId="0" fontId="6" fillId="4" borderId="6" xfId="1" applyNumberFormat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vertical="center"/>
    </xf>
    <xf numFmtId="0" fontId="6" fillId="4" borderId="6" xfId="1" applyNumberFormat="1" applyFont="1" applyFill="1" applyBorder="1" applyAlignment="1">
      <alignment horizontal="center"/>
    </xf>
    <xf numFmtId="4" fontId="6" fillId="4" borderId="6" xfId="1" applyNumberFormat="1" applyFont="1" applyFill="1" applyBorder="1" applyAlignment="1">
      <alignment wrapText="1"/>
    </xf>
    <xf numFmtId="4" fontId="6" fillId="4" borderId="6" xfId="1" applyNumberFormat="1" applyFont="1" applyFill="1" applyBorder="1" applyAlignment="1">
      <alignment horizontal="right"/>
    </xf>
    <xf numFmtId="2" fontId="4" fillId="6" borderId="0" xfId="1" applyNumberFormat="1" applyFont="1" applyFill="1"/>
    <xf numFmtId="4" fontId="11" fillId="2" borderId="6" xfId="1" applyNumberFormat="1" applyFont="1" applyFill="1" applyBorder="1" applyAlignment="1">
      <alignment horizontal="right"/>
    </xf>
    <xf numFmtId="4" fontId="11" fillId="0" borderId="6" xfId="1" applyNumberFormat="1" applyFont="1" applyFill="1" applyBorder="1" applyAlignment="1">
      <alignment vertical="center"/>
    </xf>
    <xf numFmtId="4" fontId="6" fillId="0" borderId="3" xfId="1" applyNumberFormat="1" applyFont="1" applyFill="1" applyBorder="1" applyAlignment="1">
      <alignment vertical="center"/>
    </xf>
    <xf numFmtId="4" fontId="13" fillId="0" borderId="6" xfId="1" applyNumberFormat="1" applyFont="1" applyBorder="1" applyAlignment="1">
      <alignment horizontal="center" vertical="center"/>
    </xf>
    <xf numFmtId="4" fontId="13" fillId="0" borderId="6" xfId="1" applyNumberFormat="1" applyFont="1" applyFill="1" applyBorder="1" applyAlignment="1">
      <alignment horizontal="center" vertical="center"/>
    </xf>
    <xf numFmtId="4" fontId="15" fillId="4" borderId="0" xfId="1" applyNumberFormat="1" applyFont="1" applyFill="1" applyBorder="1"/>
    <xf numFmtId="0" fontId="1" fillId="0" borderId="0" xfId="1" applyFill="1"/>
    <xf numFmtId="4" fontId="11" fillId="4" borderId="6" xfId="1" applyNumberFormat="1" applyFont="1" applyFill="1" applyBorder="1" applyAlignment="1">
      <alignment vertical="center"/>
    </xf>
    <xf numFmtId="4" fontId="18" fillId="4" borderId="0" xfId="1" applyNumberFormat="1" applyFont="1" applyFill="1" applyBorder="1" applyAlignment="1" applyProtection="1">
      <alignment horizontal="right" vertical="top"/>
    </xf>
    <xf numFmtId="4" fontId="13" fillId="4" borderId="6" xfId="1" applyNumberFormat="1" applyFont="1" applyFill="1" applyBorder="1" applyAlignment="1"/>
    <xf numFmtId="4" fontId="12" fillId="2" borderId="3" xfId="1" applyNumberFormat="1" applyFont="1" applyFill="1" applyBorder="1" applyAlignment="1">
      <alignment horizontal="right" vertical="center"/>
    </xf>
    <xf numFmtId="0" fontId="6" fillId="4" borderId="6" xfId="1" applyFont="1" applyFill="1" applyBorder="1" applyAlignment="1">
      <alignment wrapText="1"/>
    </xf>
    <xf numFmtId="4" fontId="11" fillId="4" borderId="6" xfId="1" applyNumberFormat="1" applyFont="1" applyFill="1" applyBorder="1" applyAlignment="1">
      <alignment horizontal="right"/>
    </xf>
    <xf numFmtId="4" fontId="6" fillId="4" borderId="3" xfId="1" applyNumberFormat="1" applyFont="1" applyFill="1" applyBorder="1" applyAlignment="1">
      <alignment vertical="center"/>
    </xf>
    <xf numFmtId="4" fontId="7" fillId="2" borderId="7" xfId="1" applyNumberFormat="1" applyFont="1" applyFill="1" applyBorder="1" applyAlignment="1">
      <alignment vertical="center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vertical="center"/>
    </xf>
    <xf numFmtId="4" fontId="11" fillId="2" borderId="7" xfId="1" applyNumberFormat="1" applyFont="1" applyFill="1" applyBorder="1" applyAlignment="1">
      <alignment vertical="center"/>
    </xf>
    <xf numFmtId="4" fontId="11" fillId="2" borderId="8" xfId="1" applyNumberFormat="1" applyFont="1" applyFill="1" applyBorder="1" applyAlignment="1">
      <alignment vertical="center" wrapText="1"/>
    </xf>
    <xf numFmtId="4" fontId="10" fillId="2" borderId="8" xfId="1" applyNumberFormat="1" applyFont="1" applyFill="1" applyBorder="1" applyAlignment="1">
      <alignment vertical="center" wrapText="1"/>
    </xf>
    <xf numFmtId="4" fontId="10" fillId="2" borderId="9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Border="1" applyAlignment="1" applyProtection="1">
      <alignment horizontal="right" vertical="top"/>
    </xf>
    <xf numFmtId="4" fontId="2" fillId="4" borderId="6" xfId="1" applyNumberFormat="1" applyFont="1" applyFill="1" applyBorder="1" applyAlignment="1">
      <alignment horizontal="center"/>
    </xf>
    <xf numFmtId="4" fontId="16" fillId="4" borderId="6" xfId="1" applyNumberFormat="1" applyFont="1" applyFill="1" applyBorder="1" applyAlignment="1"/>
    <xf numFmtId="4" fontId="8" fillId="4" borderId="6" xfId="1" applyNumberFormat="1" applyFont="1" applyFill="1" applyBorder="1" applyAlignment="1"/>
    <xf numFmtId="4" fontId="8" fillId="4" borderId="6" xfId="1" applyNumberFormat="1" applyFont="1" applyFill="1" applyBorder="1"/>
    <xf numFmtId="4" fontId="8" fillId="4" borderId="6" xfId="1" applyNumberFormat="1" applyFont="1" applyFill="1" applyBorder="1" applyAlignment="1" applyProtection="1">
      <alignment horizontal="right" vertical="top"/>
    </xf>
    <xf numFmtId="2" fontId="8" fillId="4" borderId="6" xfId="1" applyNumberFormat="1" applyFont="1" applyFill="1" applyBorder="1"/>
    <xf numFmtId="0" fontId="8" fillId="4" borderId="6" xfId="1" applyFont="1" applyFill="1" applyBorder="1"/>
    <xf numFmtId="4" fontId="13" fillId="6" borderId="6" xfId="1" applyNumberFormat="1" applyFont="1" applyFill="1" applyBorder="1" applyAlignment="1">
      <alignment vertical="center"/>
    </xf>
    <xf numFmtId="4" fontId="6" fillId="4" borderId="1" xfId="1" applyNumberFormat="1" applyFont="1" applyFill="1" applyBorder="1" applyAlignment="1">
      <alignment horizontal="right" vertical="center"/>
    </xf>
    <xf numFmtId="4" fontId="6" fillId="4" borderId="2" xfId="1" applyNumberFormat="1" applyFont="1" applyFill="1" applyBorder="1" applyAlignment="1">
      <alignment horizontal="right" vertical="center"/>
    </xf>
    <xf numFmtId="4" fontId="13" fillId="0" borderId="6" xfId="1" applyNumberFormat="1" applyFont="1" applyBorder="1" applyAlignment="1"/>
    <xf numFmtId="4" fontId="13" fillId="6" borderId="6" xfId="1" applyNumberFormat="1" applyFont="1" applyFill="1" applyBorder="1" applyAlignment="1"/>
    <xf numFmtId="4" fontId="13" fillId="0" borderId="6" xfId="1" applyNumberFormat="1" applyFont="1" applyFill="1" applyBorder="1" applyAlignment="1"/>
    <xf numFmtId="4" fontId="18" fillId="0" borderId="0" xfId="1" applyNumberFormat="1" applyFont="1" applyFill="1" applyBorder="1" applyAlignment="1" applyProtection="1">
      <alignment horizontal="right" vertical="top"/>
    </xf>
    <xf numFmtId="0" fontId="6" fillId="4" borderId="6" xfId="1" applyFont="1" applyFill="1" applyBorder="1"/>
    <xf numFmtId="4" fontId="11" fillId="6" borderId="6" xfId="1" applyNumberFormat="1" applyFont="1" applyFill="1" applyBorder="1" applyAlignment="1">
      <alignment vertical="center"/>
    </xf>
    <xf numFmtId="4" fontId="13" fillId="4" borderId="3" xfId="1" applyNumberFormat="1" applyFont="1" applyFill="1" applyBorder="1" applyAlignment="1"/>
    <xf numFmtId="4" fontId="7" fillId="2" borderId="3" xfId="1" applyNumberFormat="1" applyFont="1" applyFill="1" applyBorder="1" applyAlignment="1">
      <alignment vertical="center"/>
    </xf>
    <xf numFmtId="4" fontId="11" fillId="2" borderId="4" xfId="1" applyNumberFormat="1" applyFont="1" applyFill="1" applyBorder="1" applyAlignment="1">
      <alignment horizontal="center" vertical="center"/>
    </xf>
    <xf numFmtId="4" fontId="11" fillId="2" borderId="4" xfId="1" applyNumberFormat="1" applyFont="1" applyFill="1" applyBorder="1" applyAlignment="1">
      <alignment vertical="center"/>
    </xf>
    <xf numFmtId="4" fontId="19" fillId="0" borderId="0" xfId="1" applyNumberFormat="1" applyFont="1" applyBorder="1" applyAlignment="1"/>
    <xf numFmtId="4" fontId="20" fillId="2" borderId="3" xfId="1" applyNumberFormat="1" applyFont="1" applyFill="1" applyBorder="1" applyAlignment="1">
      <alignment vertical="center"/>
    </xf>
    <xf numFmtId="4" fontId="21" fillId="4" borderId="3" xfId="1" applyNumberFormat="1" applyFont="1" applyFill="1" applyBorder="1" applyAlignment="1">
      <alignment vertical="center"/>
    </xf>
    <xf numFmtId="4" fontId="2" fillId="4" borderId="0" xfId="1" applyNumberFormat="1" applyFont="1" applyFill="1" applyBorder="1" applyAlignment="1"/>
    <xf numFmtId="4" fontId="2" fillId="4" borderId="0" xfId="1" applyNumberFormat="1" applyFont="1" applyFill="1"/>
    <xf numFmtId="2" fontId="2" fillId="4" borderId="0" xfId="1" applyNumberFormat="1" applyFont="1" applyFill="1"/>
    <xf numFmtId="4" fontId="1" fillId="4" borderId="0" xfId="1" applyNumberFormat="1" applyFill="1"/>
    <xf numFmtId="0" fontId="1" fillId="4" borderId="0" xfId="1" applyFill="1"/>
    <xf numFmtId="4" fontId="20" fillId="4" borderId="3" xfId="1" applyNumberFormat="1" applyFont="1" applyFill="1" applyBorder="1" applyAlignment="1">
      <alignment vertical="center"/>
    </xf>
    <xf numFmtId="4" fontId="21" fillId="0" borderId="6" xfId="1" applyNumberFormat="1" applyFont="1" applyBorder="1" applyAlignment="1"/>
    <xf numFmtId="4" fontId="22" fillId="6" borderId="6" xfId="1" applyNumberFormat="1" applyFont="1" applyFill="1" applyBorder="1" applyAlignment="1"/>
    <xf numFmtId="4" fontId="2" fillId="0" borderId="0" xfId="1" quotePrefix="1" applyNumberFormat="1" applyFont="1" applyBorder="1" applyAlignment="1"/>
    <xf numFmtId="4" fontId="20" fillId="4" borderId="6" xfId="1" applyNumberFormat="1" applyFont="1" applyFill="1" applyBorder="1" applyAlignment="1">
      <alignment vertical="center"/>
    </xf>
    <xf numFmtId="4" fontId="21" fillId="4" borderId="6" xfId="1" applyNumberFormat="1" applyFont="1" applyFill="1" applyBorder="1" applyAlignment="1">
      <alignment vertical="center"/>
    </xf>
    <xf numFmtId="4" fontId="22" fillId="0" borderId="6" xfId="1" applyNumberFormat="1" applyFont="1" applyFill="1" applyBorder="1" applyAlignment="1"/>
    <xf numFmtId="4" fontId="20" fillId="2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horizontal="center"/>
    </xf>
    <xf numFmtId="4" fontId="22" fillId="0" borderId="6" xfId="1" applyNumberFormat="1" applyFont="1" applyFill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4" fontId="21" fillId="6" borderId="6" xfId="1" applyNumberFormat="1" applyFont="1" applyFill="1" applyBorder="1" applyAlignment="1">
      <alignment horizontal="center"/>
    </xf>
    <xf numFmtId="4" fontId="21" fillId="0" borderId="6" xfId="1" applyNumberFormat="1" applyFont="1" applyBorder="1" applyAlignment="1">
      <alignment horizontal="center" vertical="center"/>
    </xf>
    <xf numFmtId="4" fontId="22" fillId="0" borderId="6" xfId="1" applyNumberFormat="1" applyFont="1" applyFill="1" applyBorder="1" applyAlignment="1">
      <alignment horizontal="center" vertical="center"/>
    </xf>
    <xf numFmtId="4" fontId="11" fillId="6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4" borderId="6" xfId="1" applyNumberFormat="1" applyFont="1" applyFill="1" applyBorder="1" applyAlignment="1"/>
    <xf numFmtId="4" fontId="12" fillId="2" borderId="3" xfId="1" applyNumberFormat="1" applyFont="1" applyFill="1" applyBorder="1" applyAlignment="1">
      <alignment vertical="center"/>
    </xf>
    <xf numFmtId="4" fontId="13" fillId="4" borderId="3" xfId="1" applyNumberFormat="1" applyFont="1" applyFill="1" applyBorder="1" applyAlignment="1">
      <alignment vertical="center"/>
    </xf>
    <xf numFmtId="4" fontId="11" fillId="2" borderId="10" xfId="1" applyNumberFormat="1" applyFont="1" applyFill="1" applyBorder="1" applyAlignment="1">
      <alignment horizontal="center" vertical="center"/>
    </xf>
    <xf numFmtId="4" fontId="11" fillId="2" borderId="11" xfId="1" applyNumberFormat="1" applyFont="1" applyFill="1" applyBorder="1" applyAlignment="1">
      <alignment horizontal="center"/>
    </xf>
    <xf numFmtId="4" fontId="11" fillId="2" borderId="11" xfId="1" applyNumberFormat="1" applyFont="1" applyFill="1" applyBorder="1" applyAlignment="1">
      <alignment vertical="center"/>
    </xf>
    <xf numFmtId="4" fontId="11" fillId="2" borderId="12" xfId="1" applyNumberFormat="1" applyFont="1" applyFill="1" applyBorder="1" applyAlignment="1">
      <alignment vertical="center"/>
    </xf>
    <xf numFmtId="4" fontId="12" fillId="2" borderId="13" xfId="1" applyNumberFormat="1" applyFont="1" applyFill="1" applyBorder="1" applyAlignment="1">
      <alignment vertical="center"/>
    </xf>
    <xf numFmtId="4" fontId="6" fillId="4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vertical="center" wrapText="1"/>
    </xf>
    <xf numFmtId="4" fontId="13" fillId="0" borderId="1" xfId="1" applyNumberFormat="1" applyFont="1" applyBorder="1" applyAlignment="1"/>
    <xf numFmtId="4" fontId="13" fillId="6" borderId="3" xfId="1" applyNumberFormat="1" applyFont="1" applyFill="1" applyBorder="1" applyAlignment="1"/>
    <xf numFmtId="4" fontId="12" fillId="2" borderId="3" xfId="1" applyNumberFormat="1" applyFont="1" applyFill="1" applyBorder="1" applyAlignment="1">
      <alignment horizontal="right"/>
    </xf>
    <xf numFmtId="166" fontId="6" fillId="4" borderId="0" xfId="1" applyNumberFormat="1" applyFont="1" applyFill="1" applyBorder="1" applyAlignment="1">
      <alignment vertical="center" wrapText="1"/>
    </xf>
    <xf numFmtId="4" fontId="2" fillId="0" borderId="0" xfId="1" quotePrefix="1" applyNumberFormat="1" applyFont="1" applyFill="1" applyBorder="1" applyAlignment="1"/>
    <xf numFmtId="4" fontId="6" fillId="4" borderId="6" xfId="1" applyNumberFormat="1" applyFont="1" applyFill="1" applyBorder="1" applyAlignment="1">
      <alignment horizontal="left" wrapText="1"/>
    </xf>
    <xf numFmtId="4" fontId="5" fillId="2" borderId="4" xfId="1" applyNumberFormat="1" applyFont="1" applyFill="1" applyBorder="1" applyAlignment="1">
      <alignment vertical="center"/>
    </xf>
    <xf numFmtId="4" fontId="5" fillId="2" borderId="6" xfId="1" applyNumberFormat="1" applyFont="1" applyFill="1" applyBorder="1" applyAlignment="1">
      <alignment horizontal="right" vertical="center"/>
    </xf>
    <xf numFmtId="4" fontId="11" fillId="2" borderId="6" xfId="1" applyNumberFormat="1" applyFont="1" applyFill="1" applyBorder="1" applyAlignment="1">
      <alignment horizontal="left"/>
    </xf>
    <xf numFmtId="4" fontId="12" fillId="4" borderId="3" xfId="1" applyNumberFormat="1" applyFont="1" applyFill="1" applyBorder="1" applyAlignment="1">
      <alignment horizontal="right" vertical="center"/>
    </xf>
    <xf numFmtId="4" fontId="6" fillId="4" borderId="3" xfId="1" applyNumberFormat="1" applyFont="1" applyFill="1" applyBorder="1" applyAlignment="1">
      <alignment horizontal="right"/>
    </xf>
    <xf numFmtId="4" fontId="20" fillId="2" borderId="4" xfId="1" applyNumberFormat="1" applyFont="1" applyFill="1" applyBorder="1" applyAlignment="1">
      <alignment vertical="center"/>
    </xf>
    <xf numFmtId="4" fontId="7" fillId="5" borderId="0" xfId="1" applyNumberFormat="1" applyFont="1" applyFill="1" applyBorder="1" applyAlignment="1">
      <alignment horizontal="center"/>
    </xf>
    <xf numFmtId="4" fontId="20" fillId="2" borderId="6" xfId="1" applyNumberFormat="1" applyFont="1" applyFill="1" applyBorder="1" applyAlignment="1">
      <alignment vertical="center"/>
    </xf>
    <xf numFmtId="4" fontId="23" fillId="2" borderId="3" xfId="1" applyNumberFormat="1" applyFont="1" applyFill="1" applyBorder="1" applyAlignment="1">
      <alignment horizontal="right"/>
    </xf>
    <xf numFmtId="4" fontId="24" fillId="6" borderId="6" xfId="1" applyNumberFormat="1" applyFont="1" applyFill="1" applyBorder="1" applyAlignment="1">
      <alignment vertical="center"/>
    </xf>
    <xf numFmtId="4" fontId="24" fillId="6" borderId="6" xfId="1" applyNumberFormat="1" applyFont="1" applyFill="1" applyBorder="1" applyAlignment="1"/>
    <xf numFmtId="4" fontId="24" fillId="0" borderId="6" xfId="1" applyNumberFormat="1" applyFont="1" applyFill="1" applyBorder="1" applyAlignment="1"/>
    <xf numFmtId="4" fontId="23" fillId="2" borderId="3" xfId="1" applyNumberFormat="1" applyFont="1" applyFill="1" applyBorder="1" applyAlignment="1">
      <alignment vertical="center"/>
    </xf>
    <xf numFmtId="4" fontId="23" fillId="2" borderId="6" xfId="1" applyNumberFormat="1" applyFont="1" applyFill="1" applyBorder="1" applyAlignment="1">
      <alignment horizontal="center" vertical="center"/>
    </xf>
    <xf numFmtId="4" fontId="24" fillId="0" borderId="6" xfId="1" applyNumberFormat="1" applyFont="1" applyFill="1" applyBorder="1" applyAlignment="1">
      <alignment horizontal="center"/>
    </xf>
    <xf numFmtId="1" fontId="6" fillId="7" borderId="6" xfId="3" applyNumberFormat="1" applyFont="1" applyFill="1" applyBorder="1" applyAlignment="1">
      <alignment horizontal="center" vertical="center"/>
    </xf>
    <xf numFmtId="4" fontId="6" fillId="7" borderId="6" xfId="3" applyNumberFormat="1" applyFont="1" applyFill="1" applyBorder="1" applyAlignment="1">
      <alignment vertical="center" wrapText="1"/>
    </xf>
    <xf numFmtId="0" fontId="23" fillId="0" borderId="6" xfId="1" applyFont="1" applyFill="1" applyBorder="1" applyAlignment="1">
      <alignment horizontal="center"/>
    </xf>
    <xf numFmtId="4" fontId="24" fillId="6" borderId="6" xfId="1" applyNumberFormat="1" applyFont="1" applyFill="1" applyBorder="1" applyAlignment="1">
      <alignment horizontal="center"/>
    </xf>
    <xf numFmtId="4" fontId="24" fillId="0" borderId="6" xfId="1" applyNumberFormat="1" applyFont="1" applyBorder="1" applyAlignment="1">
      <alignment horizontal="center" vertical="center"/>
    </xf>
    <xf numFmtId="4" fontId="24" fillId="0" borderId="6" xfId="1" applyNumberFormat="1" applyFont="1" applyFill="1" applyBorder="1" applyAlignment="1">
      <alignment horizontal="center" vertical="center"/>
    </xf>
    <xf numFmtId="4" fontId="24" fillId="4" borderId="6" xfId="1" applyNumberFormat="1" applyFont="1" applyFill="1" applyBorder="1" applyAlignment="1"/>
    <xf numFmtId="4" fontId="24" fillId="4" borderId="3" xfId="1" applyNumberFormat="1" applyFont="1" applyFill="1" applyBorder="1" applyAlignment="1"/>
    <xf numFmtId="4" fontId="6" fillId="4" borderId="6" xfId="1" applyNumberFormat="1" applyFont="1" applyFill="1" applyBorder="1" applyAlignment="1">
      <alignment horizontal="center"/>
    </xf>
    <xf numFmtId="4" fontId="25" fillId="5" borderId="0" xfId="1" applyNumberFormat="1" applyFont="1" applyFill="1" applyBorder="1" applyAlignment="1">
      <alignment horizontal="center"/>
    </xf>
    <xf numFmtId="4" fontId="24" fillId="0" borderId="6" xfId="1" applyNumberFormat="1" applyFont="1" applyBorder="1" applyAlignment="1"/>
    <xf numFmtId="4" fontId="2" fillId="3" borderId="0" xfId="1" quotePrefix="1" applyNumberFormat="1" applyFont="1" applyFill="1" applyBorder="1" applyAlignment="1"/>
    <xf numFmtId="4" fontId="24" fillId="6" borderId="3" xfId="1" applyNumberFormat="1" applyFont="1" applyFill="1" applyBorder="1" applyAlignment="1"/>
    <xf numFmtId="4" fontId="23" fillId="2" borderId="6" xfId="1" applyNumberFormat="1" applyFont="1" applyFill="1" applyBorder="1" applyAlignment="1">
      <alignment horizontal="right" vertical="center"/>
    </xf>
    <xf numFmtId="4" fontId="13" fillId="0" borderId="6" xfId="1" applyNumberFormat="1" applyFont="1" applyFill="1" applyBorder="1" applyAlignment="1">
      <alignment horizontal="right"/>
    </xf>
    <xf numFmtId="0" fontId="6" fillId="4" borderId="6" xfId="1" applyFont="1" applyFill="1" applyBorder="1" applyAlignment="1">
      <alignment vertical="top" wrapText="1"/>
    </xf>
    <xf numFmtId="4" fontId="13" fillId="6" borderId="6" xfId="1" applyNumberFormat="1" applyFont="1" applyFill="1" applyBorder="1" applyAlignment="1">
      <alignment horizontal="right"/>
    </xf>
    <xf numFmtId="4" fontId="4" fillId="3" borderId="0" xfId="1" applyNumberFormat="1" applyFont="1" applyFill="1" applyBorder="1" applyAlignment="1">
      <alignment horizontal="left"/>
    </xf>
    <xf numFmtId="4" fontId="4" fillId="0" borderId="0" xfId="1" quotePrefix="1" applyNumberFormat="1" applyFont="1" applyBorder="1" applyAlignment="1"/>
    <xf numFmtId="4" fontId="2" fillId="6" borderId="0" xfId="1" applyNumberFormat="1" applyFont="1" applyFill="1" applyBorder="1" applyAlignment="1">
      <alignment horizontal="left"/>
    </xf>
    <xf numFmtId="4" fontId="2" fillId="3" borderId="0" xfId="1" applyNumberFormat="1" applyFont="1" applyFill="1" applyBorder="1" applyAlignment="1">
      <alignment horizontal="left"/>
    </xf>
    <xf numFmtId="166" fontId="2" fillId="6" borderId="6" xfId="4" applyFont="1" applyFill="1" applyBorder="1" applyAlignment="1">
      <alignment horizontal="center" vertical="top"/>
    </xf>
    <xf numFmtId="166" fontId="2" fillId="0" borderId="6" xfId="4" applyFont="1" applyFill="1" applyBorder="1" applyAlignment="1" applyProtection="1">
      <alignment vertical="top"/>
    </xf>
    <xf numFmtId="166" fontId="26" fillId="6" borderId="6" xfId="4" applyFont="1" applyFill="1" applyBorder="1" applyAlignment="1">
      <alignment horizontal="center" vertical="top"/>
    </xf>
    <xf numFmtId="166" fontId="2" fillId="6" borderId="0" xfId="4" applyFont="1" applyFill="1" applyBorder="1" applyAlignment="1">
      <alignment horizontal="center" vertical="top"/>
    </xf>
    <xf numFmtId="4" fontId="24" fillId="6" borderId="3" xfId="1" applyNumberFormat="1" applyFont="1" applyFill="1" applyBorder="1" applyAlignment="1">
      <alignment vertical="center"/>
    </xf>
    <xf numFmtId="4" fontId="17" fillId="6" borderId="0" xfId="1" applyNumberFormat="1" applyFont="1" applyFill="1"/>
    <xf numFmtId="166" fontId="2" fillId="0" borderId="6" xfId="4" applyFont="1" applyFill="1" applyBorder="1" applyAlignment="1">
      <alignment horizontal="center" vertical="top"/>
    </xf>
    <xf numFmtId="0" fontId="23" fillId="0" borderId="6" xfId="1" applyFont="1" applyFill="1" applyBorder="1"/>
    <xf numFmtId="4" fontId="2" fillId="0" borderId="0" xfId="1" applyNumberFormat="1" applyFont="1" applyFill="1" applyBorder="1" applyAlignment="1">
      <alignment horizontal="left"/>
    </xf>
    <xf numFmtId="3" fontId="6" fillId="4" borderId="6" xfId="1" applyNumberFormat="1" applyFont="1" applyFill="1" applyBorder="1" applyAlignment="1">
      <alignment vertical="center" wrapText="1"/>
    </xf>
    <xf numFmtId="4" fontId="27" fillId="4" borderId="3" xfId="1" applyNumberFormat="1" applyFont="1" applyFill="1" applyBorder="1" applyAlignment="1">
      <alignment horizontal="right" vertical="center"/>
    </xf>
    <xf numFmtId="4" fontId="23" fillId="6" borderId="6" xfId="1" applyNumberFormat="1" applyFont="1" applyFill="1" applyBorder="1"/>
    <xf numFmtId="4" fontId="23" fillId="4" borderId="3" xfId="1" applyNumberFormat="1" applyFont="1" applyFill="1" applyBorder="1" applyAlignment="1">
      <alignment vertical="center"/>
    </xf>
    <xf numFmtId="165" fontId="2" fillId="6" borderId="6" xfId="2" applyFont="1" applyFill="1" applyBorder="1" applyAlignment="1" applyProtection="1">
      <alignment horizontal="center" vertical="top"/>
    </xf>
    <xf numFmtId="4" fontId="27" fillId="5" borderId="0" xfId="1" applyNumberFormat="1" applyFont="1" applyFill="1" applyBorder="1" applyAlignment="1">
      <alignment horizontal="center" vertical="center"/>
    </xf>
    <xf numFmtId="4" fontId="17" fillId="0" borderId="0" xfId="1" applyNumberFormat="1" applyFont="1" applyFill="1" applyBorder="1" applyAlignment="1">
      <alignment horizontal="left"/>
    </xf>
    <xf numFmtId="4" fontId="6" fillId="7" borderId="6" xfId="3" applyNumberFormat="1" applyFont="1" applyFill="1" applyBorder="1" applyAlignment="1">
      <alignment wrapText="1"/>
    </xf>
    <xf numFmtId="4" fontId="11" fillId="2" borderId="6" xfId="1" applyNumberFormat="1" applyFont="1" applyFill="1" applyBorder="1" applyAlignment="1"/>
    <xf numFmtId="4" fontId="24" fillId="0" borderId="6" xfId="1" applyNumberFormat="1" applyFont="1" applyBorder="1" applyAlignment="1">
      <alignment vertical="center"/>
    </xf>
    <xf numFmtId="4" fontId="24" fillId="0" borderId="6" xfId="1" applyNumberFormat="1" applyFont="1" applyFill="1" applyBorder="1" applyAlignment="1">
      <alignment vertical="center"/>
    </xf>
    <xf numFmtId="4" fontId="2" fillId="0" borderId="0" xfId="1" applyNumberFormat="1" applyFont="1" applyFill="1" applyBorder="1"/>
    <xf numFmtId="4" fontId="2" fillId="0" borderId="0" xfId="2" applyNumberFormat="1" applyFont="1" applyFill="1" applyBorder="1" applyAlignment="1">
      <alignment horizontal="right" vertical="top"/>
    </xf>
    <xf numFmtId="0" fontId="6" fillId="4" borderId="4" xfId="1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vertical="center" wrapText="1"/>
    </xf>
    <xf numFmtId="4" fontId="6" fillId="4" borderId="4" xfId="1" applyNumberFormat="1" applyFont="1" applyFill="1" applyBorder="1" applyAlignment="1">
      <alignment horizontal="right" vertical="center"/>
    </xf>
    <xf numFmtId="4" fontId="2" fillId="6" borderId="0" xfId="1" applyNumberFormat="1" applyFont="1" applyFill="1" applyBorder="1" applyAlignment="1">
      <alignment horizontal="right"/>
    </xf>
    <xf numFmtId="4" fontId="13" fillId="0" borderId="3" xfId="1" applyNumberFormat="1" applyFont="1" applyFill="1" applyBorder="1" applyAlignment="1">
      <alignment horizontal="center" vertical="center"/>
    </xf>
    <xf numFmtId="4" fontId="28" fillId="2" borderId="6" xfId="1" applyNumberFormat="1" applyFont="1" applyFill="1" applyBorder="1" applyAlignment="1">
      <alignment horizontal="right" vertical="center"/>
    </xf>
    <xf numFmtId="4" fontId="28" fillId="2" borderId="6" xfId="1" applyNumberFormat="1" applyFont="1" applyFill="1" applyBorder="1" applyAlignment="1">
      <alignment horizontal="center" vertical="center"/>
    </xf>
    <xf numFmtId="4" fontId="4" fillId="4" borderId="0" xfId="1" applyNumberFormat="1" applyFont="1" applyFill="1" applyBorder="1" applyAlignment="1">
      <alignment vertical="center"/>
    </xf>
    <xf numFmtId="4" fontId="4" fillId="4" borderId="0" xfId="1" applyNumberFormat="1" applyFont="1" applyFill="1" applyBorder="1" applyAlignment="1">
      <alignment horizontal="center" vertical="center"/>
    </xf>
    <xf numFmtId="4" fontId="7" fillId="4" borderId="0" xfId="1" applyNumberFormat="1" applyFont="1" applyFill="1" applyBorder="1" applyAlignment="1">
      <alignment horizontal="right" vertical="center"/>
    </xf>
    <xf numFmtId="4" fontId="8" fillId="4" borderId="0" xfId="1" applyNumberFormat="1" applyFont="1" applyFill="1" applyBorder="1" applyAlignment="1"/>
    <xf numFmtId="0" fontId="1" fillId="0" borderId="0" xfId="1" applyAlignment="1">
      <alignment vertical="center"/>
    </xf>
    <xf numFmtId="4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wrapText="1"/>
    </xf>
    <xf numFmtId="4" fontId="2" fillId="0" borderId="0" xfId="1" applyNumberFormat="1" applyFont="1" applyAlignment="1">
      <alignment vertical="center"/>
    </xf>
    <xf numFmtId="4" fontId="2" fillId="0" borderId="0" xfId="1" applyNumberFormat="1" applyFont="1" applyFill="1" applyAlignment="1">
      <alignment horizontal="center"/>
    </xf>
    <xf numFmtId="10" fontId="2" fillId="0" borderId="0" xfId="1" applyNumberFormat="1" applyFont="1" applyFill="1"/>
    <xf numFmtId="0" fontId="1" fillId="0" borderId="0" xfId="1" applyFont="1"/>
    <xf numFmtId="10" fontId="1" fillId="0" borderId="0" xfId="1" applyNumberFormat="1"/>
    <xf numFmtId="4" fontId="29" fillId="0" borderId="0" xfId="1" applyNumberFormat="1" applyFont="1" applyAlignment="1">
      <alignment horizontal="center"/>
    </xf>
    <xf numFmtId="10" fontId="29" fillId="0" borderId="0" xfId="1" applyNumberFormat="1" applyFont="1" applyAlignment="1">
      <alignment horizontal="center"/>
    </xf>
    <xf numFmtId="4" fontId="30" fillId="0" borderId="0" xfId="1" applyNumberFormat="1" applyFont="1" applyAlignment="1"/>
    <xf numFmtId="4" fontId="30" fillId="0" borderId="0" xfId="1" applyNumberFormat="1" applyFont="1"/>
    <xf numFmtId="4" fontId="30" fillId="0" borderId="0" xfId="1" applyNumberFormat="1" applyFont="1" applyFill="1"/>
    <xf numFmtId="10" fontId="30" fillId="0" borderId="0" xfId="1" applyNumberFormat="1" applyFont="1" applyFill="1"/>
    <xf numFmtId="9" fontId="1" fillId="0" borderId="0" xfId="1" applyNumberFormat="1"/>
    <xf numFmtId="4" fontId="4" fillId="0" borderId="0" xfId="1" applyNumberFormat="1" applyFont="1" applyFill="1" applyAlignment="1"/>
    <xf numFmtId="10" fontId="31" fillId="2" borderId="17" xfId="1" applyNumberFormat="1" applyFont="1" applyFill="1" applyBorder="1"/>
    <xf numFmtId="0" fontId="31" fillId="0" borderId="0" xfId="1" applyFont="1"/>
    <xf numFmtId="10" fontId="31" fillId="0" borderId="0" xfId="1" applyNumberFormat="1" applyFont="1"/>
    <xf numFmtId="10" fontId="31" fillId="2" borderId="23" xfId="1" applyNumberFormat="1" applyFont="1" applyFill="1" applyBorder="1"/>
    <xf numFmtId="9" fontId="31" fillId="2" borderId="21" xfId="1" applyNumberFormat="1" applyFont="1" applyFill="1" applyBorder="1" applyAlignment="1">
      <alignment horizontal="center"/>
    </xf>
    <xf numFmtId="0" fontId="31" fillId="2" borderId="22" xfId="1" applyNumberFormat="1" applyFont="1" applyFill="1" applyBorder="1" applyAlignment="1">
      <alignment horizontal="center"/>
    </xf>
    <xf numFmtId="10" fontId="31" fillId="2" borderId="22" xfId="1" applyNumberFormat="1" applyFont="1" applyFill="1" applyBorder="1" applyAlignment="1">
      <alignment horizontal="center"/>
    </xf>
    <xf numFmtId="10" fontId="31" fillId="2" borderId="23" xfId="1" applyNumberFormat="1" applyFont="1" applyFill="1" applyBorder="1" applyAlignment="1">
      <alignment horizontal="center"/>
    </xf>
    <xf numFmtId="2" fontId="31" fillId="0" borderId="0" xfId="1" applyNumberFormat="1" applyFont="1"/>
    <xf numFmtId="4" fontId="32" fillId="0" borderId="6" xfId="1" applyNumberFormat="1" applyFont="1" applyBorder="1"/>
    <xf numFmtId="10" fontId="32" fillId="0" borderId="6" xfId="1" applyNumberFormat="1" applyFont="1" applyBorder="1"/>
    <xf numFmtId="9" fontId="32" fillId="0" borderId="6" xfId="1" applyNumberFormat="1" applyFont="1" applyFill="1" applyBorder="1"/>
    <xf numFmtId="4" fontId="32" fillId="0" borderId="6" xfId="1" applyNumberFormat="1" applyFont="1" applyFill="1" applyBorder="1"/>
    <xf numFmtId="10" fontId="32" fillId="0" borderId="6" xfId="1" applyNumberFormat="1" applyFont="1" applyFill="1" applyBorder="1"/>
    <xf numFmtId="165" fontId="32" fillId="0" borderId="6" xfId="2" applyFont="1" applyBorder="1"/>
    <xf numFmtId="0" fontId="32" fillId="0" borderId="0" xfId="1" applyFont="1"/>
    <xf numFmtId="10" fontId="32" fillId="0" borderId="0" xfId="1" applyNumberFormat="1" applyFont="1"/>
    <xf numFmtId="4" fontId="32" fillId="8" borderId="6" xfId="1" applyNumberFormat="1" applyFont="1" applyFill="1" applyBorder="1"/>
    <xf numFmtId="9" fontId="32" fillId="4" borderId="6" xfId="1" applyNumberFormat="1" applyFont="1" applyFill="1" applyBorder="1"/>
    <xf numFmtId="4" fontId="32" fillId="4" borderId="6" xfId="1" applyNumberFormat="1" applyFont="1" applyFill="1" applyBorder="1"/>
    <xf numFmtId="0" fontId="32" fillId="0" borderId="6" xfId="1" applyFont="1" applyBorder="1"/>
    <xf numFmtId="4" fontId="32" fillId="0" borderId="6" xfId="1" applyNumberFormat="1" applyFont="1" applyBorder="1" applyAlignment="1">
      <alignment wrapText="1"/>
    </xf>
    <xf numFmtId="9" fontId="33" fillId="8" borderId="6" xfId="1" applyNumberFormat="1" applyFont="1" applyFill="1" applyBorder="1"/>
    <xf numFmtId="4" fontId="33" fillId="8" borderId="6" xfId="1" applyNumberFormat="1" applyFont="1" applyFill="1" applyBorder="1"/>
    <xf numFmtId="10" fontId="33" fillId="8" borderId="6" xfId="1" applyNumberFormat="1" applyFont="1" applyFill="1" applyBorder="1"/>
    <xf numFmtId="0" fontId="32" fillId="6" borderId="6" xfId="1" applyFont="1" applyFill="1" applyBorder="1"/>
    <xf numFmtId="4" fontId="32" fillId="6" borderId="6" xfId="1" applyNumberFormat="1" applyFont="1" applyFill="1" applyBorder="1"/>
    <xf numFmtId="0" fontId="32" fillId="6" borderId="0" xfId="1" applyFont="1" applyFill="1"/>
    <xf numFmtId="10" fontId="32" fillId="6" borderId="0" xfId="1" applyNumberFormat="1" applyFont="1" applyFill="1"/>
    <xf numFmtId="10" fontId="32" fillId="0" borderId="6" xfId="5" applyNumberFormat="1" applyFont="1" applyFill="1" applyBorder="1"/>
    <xf numFmtId="9" fontId="32" fillId="0" borderId="6" xfId="5" applyFont="1" applyFill="1" applyBorder="1"/>
    <xf numFmtId="10" fontId="32" fillId="2" borderId="6" xfId="1" applyNumberFormat="1" applyFont="1" applyFill="1" applyBorder="1"/>
    <xf numFmtId="4" fontId="32" fillId="2" borderId="6" xfId="1" applyNumberFormat="1" applyFont="1" applyFill="1" applyBorder="1"/>
    <xf numFmtId="9" fontId="32" fillId="2" borderId="6" xfId="5" applyFont="1" applyFill="1" applyBorder="1"/>
    <xf numFmtId="10" fontId="1" fillId="0" borderId="0" xfId="1" applyNumberFormat="1" applyFill="1"/>
    <xf numFmtId="9" fontId="1" fillId="0" borderId="0" xfId="1" applyNumberFormat="1" applyFill="1"/>
    <xf numFmtId="0" fontId="2" fillId="0" borderId="0" xfId="1" applyFont="1"/>
    <xf numFmtId="0" fontId="26" fillId="9" borderId="0" xfId="1" applyFont="1" applyFill="1"/>
    <xf numFmtId="0" fontId="1" fillId="0" borderId="0" xfId="1" applyAlignment="1">
      <alignment horizontal="center" vertical="center"/>
    </xf>
    <xf numFmtId="0" fontId="1" fillId="10" borderId="0" xfId="1" applyFill="1" applyAlignment="1">
      <alignment horizontal="center" vertical="center"/>
    </xf>
    <xf numFmtId="0" fontId="34" fillId="10" borderId="0" xfId="1" applyFont="1" applyFill="1" applyAlignment="1">
      <alignment horizontal="left" vertical="center" wrapText="1"/>
    </xf>
    <xf numFmtId="0" fontId="35" fillId="10" borderId="0" xfId="1" applyFont="1" applyFill="1" applyAlignment="1">
      <alignment horizontal="center" vertical="center" wrapText="1"/>
    </xf>
    <xf numFmtId="2" fontId="34" fillId="10" borderId="0" xfId="1" applyNumberFormat="1" applyFont="1" applyFill="1" applyAlignment="1">
      <alignment horizontal="center" vertical="center" wrapText="1"/>
    </xf>
    <xf numFmtId="0" fontId="35" fillId="0" borderId="0" xfId="1" applyFont="1" applyAlignment="1">
      <alignment horizontal="center" vertical="center"/>
    </xf>
    <xf numFmtId="0" fontId="35" fillId="0" borderId="0" xfId="1" applyFont="1" applyAlignment="1">
      <alignment horizontal="left" vertical="center" wrapText="1"/>
    </xf>
    <xf numFmtId="0" fontId="35" fillId="0" borderId="0" xfId="1" applyFont="1" applyAlignment="1">
      <alignment horizontal="center" vertical="center" wrapText="1"/>
    </xf>
    <xf numFmtId="2" fontId="35" fillId="0" borderId="0" xfId="1" applyNumberFormat="1" applyFont="1" applyAlignment="1">
      <alignment horizontal="center" vertical="center" wrapText="1"/>
    </xf>
    <xf numFmtId="166" fontId="1" fillId="0" borderId="0" xfId="1" applyNumberFormat="1"/>
    <xf numFmtId="2" fontId="35" fillId="0" borderId="0" xfId="1" applyNumberFormat="1" applyFont="1" applyAlignment="1">
      <alignment horizontal="center" vertical="center"/>
    </xf>
    <xf numFmtId="0" fontId="1" fillId="10" borderId="0" xfId="1" applyFill="1"/>
    <xf numFmtId="0" fontId="35" fillId="10" borderId="0" xfId="1" applyFont="1" applyFill="1" applyAlignment="1">
      <alignment horizontal="center" vertical="center"/>
    </xf>
    <xf numFmtId="2" fontId="1" fillId="0" borderId="0" xfId="1" applyNumberFormat="1"/>
    <xf numFmtId="0" fontId="34" fillId="0" borderId="0" xfId="1" applyFont="1" applyAlignment="1">
      <alignment horizontal="left" vertical="center" wrapText="1"/>
    </xf>
    <xf numFmtId="49" fontId="20" fillId="11" borderId="0" xfId="1" applyNumberFormat="1" applyFont="1" applyFill="1" applyBorder="1" applyAlignment="1">
      <alignment horizontal="center" vertical="top"/>
    </xf>
    <xf numFmtId="0" fontId="20" fillId="11" borderId="0" xfId="1" applyFont="1" applyFill="1" applyBorder="1" applyAlignment="1">
      <alignment wrapText="1"/>
    </xf>
    <xf numFmtId="2" fontId="20" fillId="11" borderId="0" xfId="1" applyNumberFormat="1" applyFont="1" applyFill="1" applyBorder="1" applyAlignment="1">
      <alignment wrapText="1"/>
    </xf>
    <xf numFmtId="0" fontId="34" fillId="10" borderId="0" xfId="1" applyFont="1" applyFill="1" applyAlignment="1">
      <alignment horizontal="center" vertical="center" wrapText="1"/>
    </xf>
    <xf numFmtId="2" fontId="35" fillId="0" borderId="0" xfId="1" applyNumberFormat="1" applyFont="1" applyAlignment="1">
      <alignment horizontal="left" vertical="center" wrapText="1"/>
    </xf>
    <xf numFmtId="0" fontId="1" fillId="0" borderId="0" xfId="1" applyBorder="1"/>
    <xf numFmtId="0" fontId="20" fillId="12" borderId="14" xfId="1" applyFont="1" applyFill="1" applyBorder="1" applyAlignment="1">
      <alignment wrapText="1"/>
    </xf>
    <xf numFmtId="0" fontId="4" fillId="12" borderId="14" xfId="1" applyFont="1" applyFill="1" applyBorder="1" applyAlignment="1">
      <alignment horizontal="left" vertical="center"/>
    </xf>
    <xf numFmtId="49" fontId="2" fillId="13" borderId="25" xfId="1" applyNumberFormat="1" applyFont="1" applyFill="1" applyBorder="1" applyAlignment="1">
      <alignment horizontal="center"/>
    </xf>
    <xf numFmtId="0" fontId="21" fillId="0" borderId="14" xfId="1" applyFont="1" applyFill="1" applyBorder="1" applyAlignment="1">
      <alignment wrapText="1"/>
    </xf>
    <xf numFmtId="0" fontId="4" fillId="12" borderId="14" xfId="1" applyFont="1" applyFill="1" applyBorder="1" applyAlignment="1"/>
    <xf numFmtId="166" fontId="4" fillId="12" borderId="14" xfId="1" applyNumberFormat="1" applyFont="1" applyFill="1" applyBorder="1" applyAlignment="1">
      <alignment horizontal="right"/>
    </xf>
    <xf numFmtId="49" fontId="2" fillId="0" borderId="14" xfId="1" applyNumberFormat="1" applyFont="1" applyBorder="1"/>
    <xf numFmtId="0" fontId="21" fillId="12" borderId="14" xfId="1" applyFont="1" applyFill="1" applyBorder="1" applyAlignment="1">
      <alignment wrapText="1"/>
    </xf>
    <xf numFmtId="0" fontId="2" fillId="12" borderId="14" xfId="1" applyFont="1" applyFill="1" applyBorder="1" applyAlignment="1"/>
    <xf numFmtId="166" fontId="2" fillId="12" borderId="14" xfId="1" applyNumberFormat="1" applyFont="1" applyFill="1" applyBorder="1" applyAlignment="1">
      <alignment horizontal="right"/>
    </xf>
    <xf numFmtId="49" fontId="20" fillId="13" borderId="14" xfId="1" applyNumberFormat="1" applyFont="1" applyFill="1" applyBorder="1" applyAlignment="1">
      <alignment horizontal="center" vertical="top"/>
    </xf>
    <xf numFmtId="0" fontId="20" fillId="13" borderId="14" xfId="1" applyFont="1" applyFill="1" applyBorder="1" applyAlignment="1">
      <alignment wrapText="1"/>
    </xf>
    <xf numFmtId="2" fontId="20" fillId="13" borderId="14" xfId="1" applyNumberFormat="1" applyFont="1" applyFill="1" applyBorder="1" applyAlignment="1">
      <alignment wrapText="1"/>
    </xf>
    <xf numFmtId="49" fontId="4" fillId="0" borderId="14" xfId="1" applyNumberFormat="1" applyFont="1" applyBorder="1"/>
    <xf numFmtId="0" fontId="20" fillId="0" borderId="14" xfId="1" applyFont="1" applyFill="1" applyBorder="1" applyAlignment="1">
      <alignment wrapText="1"/>
    </xf>
    <xf numFmtId="166" fontId="4" fillId="12" borderId="26" xfId="1" applyNumberFormat="1" applyFont="1" applyFill="1" applyBorder="1" applyAlignment="1">
      <alignment horizontal="right"/>
    </xf>
    <xf numFmtId="0" fontId="2" fillId="0" borderId="14" xfId="1" applyFont="1" applyBorder="1"/>
    <xf numFmtId="0" fontId="2" fillId="0" borderId="14" xfId="1" applyFont="1" applyBorder="1" applyAlignment="1">
      <alignment horizontal="center"/>
    </xf>
    <xf numFmtId="166" fontId="2" fillId="0" borderId="14" xfId="4" applyFont="1" applyFill="1" applyBorder="1" applyAlignment="1" applyProtection="1">
      <alignment horizontal="center"/>
    </xf>
    <xf numFmtId="166" fontId="2" fillId="0" borderId="14" xfId="4" applyFont="1" applyFill="1" applyBorder="1" applyAlignment="1" applyProtection="1"/>
    <xf numFmtId="0" fontId="1" fillId="10" borderId="0" xfId="1" applyFill="1" applyAlignment="1">
      <alignment horizontal="center"/>
    </xf>
    <xf numFmtId="2" fontId="1" fillId="10" borderId="0" xfId="1" applyNumberFormat="1" applyFill="1"/>
    <xf numFmtId="2" fontId="34" fillId="0" borderId="0" xfId="1" applyNumberFormat="1" applyFont="1" applyAlignment="1">
      <alignment horizontal="left" vertical="center" wrapText="1"/>
    </xf>
    <xf numFmtId="4" fontId="7" fillId="2" borderId="6" xfId="1" applyNumberFormat="1" applyFont="1" applyFill="1" applyBorder="1" applyAlignment="1">
      <alignment vertical="center"/>
    </xf>
    <xf numFmtId="0" fontId="11" fillId="4" borderId="6" xfId="1" applyNumberFormat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/>
    </xf>
    <xf numFmtId="4" fontId="4" fillId="3" borderId="0" xfId="1" applyNumberFormat="1" applyFont="1" applyFill="1" applyBorder="1" applyAlignment="1">
      <alignment horizontal="right"/>
    </xf>
    <xf numFmtId="4" fontId="12" fillId="2" borderId="3" xfId="1" applyNumberFormat="1" applyFont="1" applyFill="1" applyBorder="1" applyAlignment="1">
      <alignment horizontal="center" vertical="center"/>
    </xf>
    <xf numFmtId="4" fontId="36" fillId="2" borderId="3" xfId="1" applyNumberFormat="1" applyFont="1" applyFill="1" applyBorder="1" applyAlignment="1">
      <alignment vertical="center"/>
    </xf>
    <xf numFmtId="0" fontId="1" fillId="4" borderId="0" xfId="1" applyFill="1" applyBorder="1"/>
    <xf numFmtId="4" fontId="1" fillId="6" borderId="0" xfId="1" quotePrefix="1" applyNumberFormat="1" applyFont="1" applyFill="1" applyBorder="1" applyAlignment="1"/>
    <xf numFmtId="8" fontId="1" fillId="0" borderId="0" xfId="1" applyNumberFormat="1"/>
    <xf numFmtId="4" fontId="6" fillId="4" borderId="6" xfId="1" applyNumberFormat="1" applyFont="1" applyFill="1" applyBorder="1" applyAlignment="1">
      <alignment horizontal="center" vertical="center" wrapText="1"/>
    </xf>
    <xf numFmtId="0" fontId="39" fillId="4" borderId="0" xfId="7" applyFont="1" applyFill="1" applyBorder="1" applyAlignment="1" applyProtection="1">
      <alignment horizontal="center" vertical="center" wrapText="1"/>
      <protection hidden="1"/>
    </xf>
    <xf numFmtId="0" fontId="39" fillId="4" borderId="0" xfId="7" applyFont="1" applyFill="1" applyBorder="1" applyAlignment="1" applyProtection="1">
      <alignment horizontal="left" vertical="center" wrapText="1"/>
      <protection hidden="1"/>
    </xf>
    <xf numFmtId="44" fontId="39" fillId="4" borderId="0" xfId="9" applyFont="1" applyFill="1" applyBorder="1" applyAlignment="1" applyProtection="1">
      <alignment horizontal="center" vertical="center"/>
      <protection hidden="1"/>
    </xf>
    <xf numFmtId="0" fontId="39" fillId="4" borderId="0" xfId="7" applyFont="1" applyFill="1" applyBorder="1" applyAlignment="1" applyProtection="1">
      <alignment horizontal="center" vertical="center"/>
      <protection hidden="1"/>
    </xf>
    <xf numFmtId="0" fontId="39" fillId="4" borderId="0" xfId="10" applyNumberFormat="1" applyFont="1" applyFill="1" applyBorder="1" applyAlignment="1" applyProtection="1">
      <alignment horizontal="center" vertical="center"/>
      <protection hidden="1"/>
    </xf>
    <xf numFmtId="4" fontId="39" fillId="4" borderId="0" xfId="10" applyNumberFormat="1" applyFont="1" applyFill="1" applyBorder="1" applyAlignment="1" applyProtection="1">
      <alignment horizontal="center" vertical="center"/>
      <protection hidden="1"/>
    </xf>
    <xf numFmtId="43" fontId="35" fillId="0" borderId="0" xfId="6" applyFont="1" applyAlignment="1">
      <alignment horizontal="left" vertical="center" wrapText="1"/>
    </xf>
    <xf numFmtId="4" fontId="1" fillId="14" borderId="2" xfId="0" applyNumberFormat="1" applyFont="1" applyFill="1" applyBorder="1" applyAlignment="1">
      <alignment horizontal="center" vertical="center"/>
    </xf>
    <xf numFmtId="0" fontId="38" fillId="4" borderId="0" xfId="7" applyFont="1" applyFill="1" applyBorder="1" applyAlignment="1" applyProtection="1">
      <alignment horizontal="center" vertical="center" wrapText="1"/>
      <protection hidden="1"/>
    </xf>
    <xf numFmtId="167" fontId="38" fillId="4" borderId="0" xfId="7" applyNumberFormat="1" applyFont="1" applyFill="1" applyBorder="1" applyAlignment="1" applyProtection="1">
      <alignment horizontal="center" vertical="center" wrapText="1"/>
      <protection hidden="1"/>
    </xf>
    <xf numFmtId="43" fontId="38" fillId="4" borderId="0" xfId="8" applyFont="1" applyFill="1" applyBorder="1" applyAlignment="1" applyProtection="1">
      <alignment horizontal="center" vertical="center" wrapText="1"/>
      <protection hidden="1"/>
    </xf>
    <xf numFmtId="43" fontId="1" fillId="0" borderId="0" xfId="1" applyNumberFormat="1"/>
    <xf numFmtId="43" fontId="34" fillId="10" borderId="0" xfId="1" applyNumberFormat="1" applyFont="1" applyFill="1" applyAlignment="1">
      <alignment horizontal="left" vertical="center" wrapText="1"/>
    </xf>
    <xf numFmtId="2" fontId="34" fillId="10" borderId="0" xfId="1" applyNumberFormat="1" applyFont="1" applyFill="1" applyAlignment="1">
      <alignment horizontal="left" vertical="center" wrapText="1"/>
    </xf>
    <xf numFmtId="1" fontId="38" fillId="4" borderId="0" xfId="7" applyNumberFormat="1" applyFont="1" applyFill="1" applyBorder="1" applyAlignment="1" applyProtection="1">
      <alignment horizontal="center" vertical="center" wrapText="1"/>
      <protection hidden="1"/>
    </xf>
    <xf numFmtId="0" fontId="38" fillId="4" borderId="0" xfId="7" applyFont="1" applyFill="1" applyBorder="1" applyAlignment="1" applyProtection="1">
      <alignment horizontal="center" vertical="center"/>
      <protection hidden="1"/>
    </xf>
    <xf numFmtId="44" fontId="38" fillId="4" borderId="0" xfId="11" applyFont="1" applyFill="1" applyBorder="1" applyAlignment="1" applyProtection="1">
      <alignment horizontal="right" vertical="center"/>
      <protection hidden="1"/>
    </xf>
    <xf numFmtId="0" fontId="35" fillId="4" borderId="0" xfId="1" applyFont="1" applyFill="1" applyAlignment="1">
      <alignment horizontal="left" vertical="center" wrapText="1"/>
    </xf>
    <xf numFmtId="0" fontId="40" fillId="0" borderId="0" xfId="12"/>
    <xf numFmtId="0" fontId="43" fillId="15" borderId="6" xfId="12" applyFont="1" applyFill="1" applyBorder="1" applyAlignment="1">
      <alignment horizontal="center" vertical="center"/>
    </xf>
    <xf numFmtId="10" fontId="44" fillId="4" borderId="6" xfId="5" applyNumberFormat="1" applyFont="1" applyFill="1" applyBorder="1" applyAlignment="1">
      <alignment horizontal="center"/>
    </xf>
    <xf numFmtId="0" fontId="45" fillId="4" borderId="6" xfId="12" applyFont="1" applyFill="1" applyBorder="1" applyAlignment="1">
      <alignment horizontal="center" vertical="center"/>
    </xf>
    <xf numFmtId="0" fontId="45" fillId="4" borderId="6" xfId="12" applyFont="1" applyFill="1" applyBorder="1" applyAlignment="1">
      <alignment vertical="center" wrapText="1"/>
    </xf>
    <xf numFmtId="10" fontId="45" fillId="4" borderId="6" xfId="5" applyNumberFormat="1" applyFont="1" applyFill="1" applyBorder="1" applyAlignment="1">
      <alignment horizontal="center" vertical="center"/>
    </xf>
    <xf numFmtId="0" fontId="45" fillId="4" borderId="6" xfId="12" applyFont="1" applyFill="1" applyBorder="1" applyAlignment="1">
      <alignment horizontal="right" vertical="center" wrapText="1"/>
    </xf>
    <xf numFmtId="10" fontId="40" fillId="0" borderId="0" xfId="12" applyNumberFormat="1"/>
    <xf numFmtId="0" fontId="45" fillId="4" borderId="6" xfId="12" applyFont="1" applyFill="1" applyBorder="1" applyAlignment="1">
      <alignment vertical="center"/>
    </xf>
    <xf numFmtId="0" fontId="44" fillId="4" borderId="6" xfId="12" applyFont="1" applyFill="1" applyBorder="1" applyAlignment="1">
      <alignment horizontal="right" vertical="center"/>
    </xf>
    <xf numFmtId="9" fontId="44" fillId="4" borderId="6" xfId="12" applyNumberFormat="1" applyFont="1" applyFill="1" applyBorder="1" applyAlignment="1">
      <alignment horizontal="right" vertical="center"/>
    </xf>
    <xf numFmtId="9" fontId="45" fillId="4" borderId="6" xfId="12" applyNumberFormat="1" applyFont="1" applyFill="1" applyBorder="1" applyAlignment="1">
      <alignment horizontal="right" vertical="center"/>
    </xf>
    <xf numFmtId="10" fontId="44" fillId="4" borderId="6" xfId="5" applyNumberFormat="1" applyFont="1" applyFill="1" applyBorder="1" applyAlignment="1">
      <alignment horizontal="center" vertical="center"/>
    </xf>
    <xf numFmtId="0" fontId="44" fillId="4" borderId="6" xfId="12" applyFont="1" applyFill="1" applyBorder="1" applyAlignment="1"/>
    <xf numFmtId="0" fontId="40" fillId="4" borderId="0" xfId="12" applyFill="1"/>
    <xf numFmtId="0" fontId="40" fillId="4" borderId="0" xfId="12" applyFill="1" applyAlignment="1">
      <alignment horizontal="right"/>
    </xf>
    <xf numFmtId="10" fontId="26" fillId="0" borderId="0" xfId="12" applyNumberFormat="1" applyFont="1"/>
    <xf numFmtId="4" fontId="1" fillId="0" borderId="0" xfId="1" applyNumberFormat="1" applyFont="1"/>
    <xf numFmtId="0" fontId="38" fillId="4" borderId="0" xfId="7" applyFont="1" applyFill="1" applyBorder="1" applyAlignment="1" applyProtection="1">
      <alignment horizontal="center" vertical="center"/>
      <protection hidden="1"/>
    </xf>
    <xf numFmtId="0" fontId="37" fillId="4" borderId="0" xfId="7" applyFont="1" applyFill="1" applyBorder="1" applyAlignment="1" applyProtection="1">
      <alignment horizontal="center"/>
      <protection hidden="1"/>
    </xf>
    <xf numFmtId="0" fontId="38" fillId="4" borderId="0" xfId="7" applyFont="1" applyFill="1" applyBorder="1" applyAlignment="1" applyProtection="1">
      <alignment horizontal="left" vertical="center" wrapText="1"/>
      <protection hidden="1"/>
    </xf>
    <xf numFmtId="4" fontId="31" fillId="2" borderId="20" xfId="1" applyNumberFormat="1" applyFont="1" applyFill="1" applyBorder="1" applyAlignment="1">
      <alignment horizontal="center"/>
    </xf>
    <xf numFmtId="4" fontId="31" fillId="2" borderId="24" xfId="1" applyNumberFormat="1" applyFont="1" applyFill="1" applyBorder="1" applyAlignment="1">
      <alignment horizontal="center"/>
    </xf>
    <xf numFmtId="4" fontId="32" fillId="2" borderId="3" xfId="1" applyNumberFormat="1" applyFont="1" applyFill="1" applyBorder="1" applyAlignment="1">
      <alignment horizontal="left"/>
    </xf>
    <xf numFmtId="4" fontId="32" fillId="2" borderId="5" xfId="1" applyNumberFormat="1" applyFont="1" applyFill="1" applyBorder="1" applyAlignment="1">
      <alignment horizontal="left"/>
    </xf>
    <xf numFmtId="4" fontId="3" fillId="0" borderId="0" xfId="1" applyNumberFormat="1" applyFont="1" applyAlignment="1">
      <alignment horizontal="center"/>
    </xf>
    <xf numFmtId="0" fontId="31" fillId="2" borderId="15" xfId="1" applyFont="1" applyFill="1" applyBorder="1" applyAlignment="1">
      <alignment horizontal="center"/>
    </xf>
    <xf numFmtId="0" fontId="31" fillId="2" borderId="21" xfId="1" applyFont="1" applyFill="1" applyBorder="1" applyAlignment="1">
      <alignment horizontal="center"/>
    </xf>
    <xf numFmtId="0" fontId="31" fillId="2" borderId="16" xfId="1" applyFont="1" applyFill="1" applyBorder="1" applyAlignment="1">
      <alignment horizontal="center"/>
    </xf>
    <xf numFmtId="0" fontId="31" fillId="2" borderId="22" xfId="1" applyFont="1" applyFill="1" applyBorder="1" applyAlignment="1">
      <alignment horizontal="center"/>
    </xf>
    <xf numFmtId="4" fontId="31" fillId="2" borderId="17" xfId="1" applyNumberFormat="1" applyFont="1" applyFill="1" applyBorder="1" applyAlignment="1">
      <alignment horizontal="center" wrapText="1"/>
    </xf>
    <xf numFmtId="4" fontId="31" fillId="2" borderId="23" xfId="1" applyNumberFormat="1" applyFont="1" applyFill="1" applyBorder="1" applyAlignment="1">
      <alignment horizontal="center"/>
    </xf>
    <xf numFmtId="0" fontId="31" fillId="2" borderId="18" xfId="1" applyFont="1" applyFill="1" applyBorder="1" applyAlignment="1">
      <alignment horizontal="center"/>
    </xf>
    <xf numFmtId="0" fontId="31" fillId="2" borderId="19" xfId="1" applyFont="1" applyFill="1" applyBorder="1" applyAlignment="1">
      <alignment horizontal="center"/>
    </xf>
    <xf numFmtId="0" fontId="31" fillId="2" borderId="20" xfId="1" applyFont="1" applyFill="1" applyBorder="1" applyAlignment="1">
      <alignment horizontal="center"/>
    </xf>
    <xf numFmtId="4" fontId="10" fillId="4" borderId="0" xfId="1" applyNumberFormat="1" applyFont="1" applyFill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top"/>
    </xf>
    <xf numFmtId="4" fontId="4" fillId="0" borderId="0" xfId="1" applyNumberFormat="1" applyFont="1" applyBorder="1" applyAlignment="1">
      <alignment horizontal="left" vertical="center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0" fontId="45" fillId="4" borderId="6" xfId="12" applyFont="1" applyFill="1" applyBorder="1" applyAlignment="1">
      <alignment horizontal="center" vertical="center"/>
    </xf>
    <xf numFmtId="0" fontId="41" fillId="0" borderId="7" xfId="12" applyFont="1" applyBorder="1" applyAlignment="1">
      <alignment horizontal="center" vertical="center"/>
    </xf>
    <xf numFmtId="0" fontId="41" fillId="0" borderId="8" xfId="12" applyFont="1" applyBorder="1" applyAlignment="1">
      <alignment horizontal="center" vertical="center"/>
    </xf>
    <xf numFmtId="0" fontId="41" fillId="0" borderId="27" xfId="12" applyFont="1" applyBorder="1" applyAlignment="1">
      <alignment horizontal="center" vertical="center"/>
    </xf>
    <xf numFmtId="0" fontId="41" fillId="0" borderId="28" xfId="12" applyFont="1" applyBorder="1" applyAlignment="1">
      <alignment horizontal="center" vertical="center"/>
    </xf>
    <xf numFmtId="0" fontId="41" fillId="0" borderId="0" xfId="12" applyFont="1" applyBorder="1" applyAlignment="1">
      <alignment horizontal="center" vertical="center"/>
    </xf>
    <xf numFmtId="0" fontId="41" fillId="0" borderId="29" xfId="12" applyFont="1" applyBorder="1" applyAlignment="1">
      <alignment horizontal="center" vertical="center"/>
    </xf>
    <xf numFmtId="0" fontId="42" fillId="15" borderId="6" xfId="12" applyFont="1" applyFill="1" applyBorder="1" applyAlignment="1">
      <alignment horizontal="center" vertical="center" wrapText="1"/>
    </xf>
    <xf numFmtId="0" fontId="42" fillId="4" borderId="6" xfId="12" applyFont="1" applyFill="1" applyBorder="1" applyAlignment="1">
      <alignment horizontal="center" vertical="center"/>
    </xf>
    <xf numFmtId="0" fontId="49" fillId="4" borderId="6" xfId="12" applyFont="1" applyFill="1" applyBorder="1" applyAlignment="1" applyProtection="1">
      <alignment horizontal="left" vertical="center" wrapText="1"/>
    </xf>
    <xf numFmtId="0" fontId="40" fillId="4" borderId="0" xfId="12" applyFill="1" applyAlignment="1">
      <alignment horizontal="center"/>
    </xf>
    <xf numFmtId="0" fontId="1" fillId="4" borderId="0" xfId="12" applyFont="1" applyFill="1" applyAlignment="1">
      <alignment horizontal="center"/>
    </xf>
  </cellXfs>
  <cellStyles count="13">
    <cellStyle name="Moeda 2 10" xfId="11"/>
    <cellStyle name="Moeda 2 2 14" xfId="9"/>
    <cellStyle name="Normal" xfId="0" builtinId="0"/>
    <cellStyle name="Normal 2" xfId="1"/>
    <cellStyle name="Normal 3" xfId="12"/>
    <cellStyle name="Normal 4" xfId="3"/>
    <cellStyle name="Normal 5 2 2" xfId="7"/>
    <cellStyle name="Porcentagem 2" xfId="5"/>
    <cellStyle name="Vírgula" xfId="6" builtinId="3"/>
    <cellStyle name="Vírgula 2" xfId="2"/>
    <cellStyle name="Vírgula 2 2" xfId="4"/>
    <cellStyle name="Vírgula 3" xfId="8"/>
    <cellStyle name="Vírgula 3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156</xdr:row>
      <xdr:rowOff>85725</xdr:rowOff>
    </xdr:from>
    <xdr:to>
      <xdr:col>18</xdr:col>
      <xdr:colOff>866775</xdr:colOff>
      <xdr:row>156</xdr:row>
      <xdr:rowOff>85725</xdr:rowOff>
    </xdr:to>
    <xdr:cxnSp macro="">
      <xdr:nvCxnSpPr>
        <xdr:cNvPr id="4" name="Conector reto 3">
          <a:extLst/>
        </xdr:cNvPr>
        <xdr:cNvCxnSpPr/>
      </xdr:nvCxnSpPr>
      <xdr:spPr>
        <a:xfrm>
          <a:off x="104775" y="185994675"/>
          <a:ext cx="7991475" cy="0"/>
        </a:xfrm>
        <a:prstGeom prst="line">
          <a:avLst/>
        </a:prstGeom>
        <a:ln w="9525"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164</xdr:row>
      <xdr:rowOff>85725</xdr:rowOff>
    </xdr:from>
    <xdr:to>
      <xdr:col>18</xdr:col>
      <xdr:colOff>866775</xdr:colOff>
      <xdr:row>164</xdr:row>
      <xdr:rowOff>85725</xdr:rowOff>
    </xdr:to>
    <xdr:cxnSp macro="">
      <xdr:nvCxnSpPr>
        <xdr:cNvPr id="5" name="Conector reto 4">
          <a:extLst/>
        </xdr:cNvPr>
        <xdr:cNvCxnSpPr/>
      </xdr:nvCxnSpPr>
      <xdr:spPr>
        <a:xfrm>
          <a:off x="104775" y="187985400"/>
          <a:ext cx="7991475" cy="0"/>
        </a:xfrm>
        <a:prstGeom prst="line">
          <a:avLst/>
        </a:prstGeom>
        <a:ln w="9525"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5</xdr:row>
      <xdr:rowOff>47625</xdr:rowOff>
    </xdr:from>
    <xdr:to>
      <xdr:col>3</xdr:col>
      <xdr:colOff>295275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600325" y="857250"/>
          <a:ext cx="355282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1971675</xdr:colOff>
          <xdr:row>0</xdr:row>
          <xdr:rowOff>0</xdr:rowOff>
        </xdr:from>
        <xdr:to>
          <xdr:col>2</xdr:col>
          <xdr:colOff>2600325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0</xdr:row>
          <xdr:rowOff>57150</xdr:rowOff>
        </xdr:from>
        <xdr:to>
          <xdr:col>5</xdr:col>
          <xdr:colOff>219075</xdr:colOff>
          <xdr:row>7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755</xdr:row>
      <xdr:rowOff>0</xdr:rowOff>
    </xdr:from>
    <xdr:to>
      <xdr:col>11</xdr:col>
      <xdr:colOff>304800</xdr:colOff>
      <xdr:row>758</xdr:row>
      <xdr:rowOff>0</xdr:rowOff>
    </xdr:to>
    <xdr:sp macro="" textlink="">
      <xdr:nvSpPr>
        <xdr:cNvPr id="5" name="AutoShape 1816" descr="Resultado de imagem para tabela pesos armaÃ§Ã£o"/>
        <xdr:cNvSpPr>
          <a:spLocks noChangeAspect="1" noChangeArrowheads="1"/>
        </xdr:cNvSpPr>
      </xdr:nvSpPr>
      <xdr:spPr bwMode="auto">
        <a:xfrm>
          <a:off x="14506575" y="63369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755</xdr:row>
      <xdr:rowOff>0</xdr:rowOff>
    </xdr:from>
    <xdr:to>
      <xdr:col>11</xdr:col>
      <xdr:colOff>304800</xdr:colOff>
      <xdr:row>758</xdr:row>
      <xdr:rowOff>0</xdr:rowOff>
    </xdr:to>
    <xdr:sp macro="" textlink="">
      <xdr:nvSpPr>
        <xdr:cNvPr id="6" name="AutoShape 1817" descr="Resultado de imagem para tabela pesos armaÃ§Ã£o"/>
        <xdr:cNvSpPr>
          <a:spLocks noChangeAspect="1" noChangeArrowheads="1"/>
        </xdr:cNvSpPr>
      </xdr:nvSpPr>
      <xdr:spPr bwMode="auto">
        <a:xfrm>
          <a:off x="14506575" y="63369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755</xdr:row>
      <xdr:rowOff>0</xdr:rowOff>
    </xdr:from>
    <xdr:to>
      <xdr:col>11</xdr:col>
      <xdr:colOff>304800</xdr:colOff>
      <xdr:row>758</xdr:row>
      <xdr:rowOff>0</xdr:rowOff>
    </xdr:to>
    <xdr:sp macro="" textlink="">
      <xdr:nvSpPr>
        <xdr:cNvPr id="7" name="AutoShape 1818" descr="https://www.acad.eng.br/wp-content/uploads/2018/09/tab-4-300x243.jpg"/>
        <xdr:cNvSpPr>
          <a:spLocks noChangeAspect="1" noChangeArrowheads="1"/>
        </xdr:cNvSpPr>
      </xdr:nvSpPr>
      <xdr:spPr bwMode="auto">
        <a:xfrm>
          <a:off x="14506575" y="63369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892</xdr:row>
      <xdr:rowOff>0</xdr:rowOff>
    </xdr:from>
    <xdr:to>
      <xdr:col>11</xdr:col>
      <xdr:colOff>304800</xdr:colOff>
      <xdr:row>895</xdr:row>
      <xdr:rowOff>47626</xdr:rowOff>
    </xdr:to>
    <xdr:sp macro="" textlink="">
      <xdr:nvSpPr>
        <xdr:cNvPr id="8" name="AutoShape 1816" descr="Resultado de imagem para tabela pesos armaÃ§Ã£o"/>
        <xdr:cNvSpPr>
          <a:spLocks noChangeAspect="1" noChangeArrowheads="1"/>
        </xdr:cNvSpPr>
      </xdr:nvSpPr>
      <xdr:spPr bwMode="auto">
        <a:xfrm>
          <a:off x="14506575" y="63750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892</xdr:row>
      <xdr:rowOff>0</xdr:rowOff>
    </xdr:from>
    <xdr:to>
      <xdr:col>11</xdr:col>
      <xdr:colOff>304800</xdr:colOff>
      <xdr:row>895</xdr:row>
      <xdr:rowOff>47626</xdr:rowOff>
    </xdr:to>
    <xdr:sp macro="" textlink="">
      <xdr:nvSpPr>
        <xdr:cNvPr id="9" name="AutoShape 1817" descr="Resultado de imagem para tabela pesos armaÃ§Ã£o"/>
        <xdr:cNvSpPr>
          <a:spLocks noChangeAspect="1" noChangeArrowheads="1"/>
        </xdr:cNvSpPr>
      </xdr:nvSpPr>
      <xdr:spPr bwMode="auto">
        <a:xfrm>
          <a:off x="14506575" y="63750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892</xdr:row>
      <xdr:rowOff>0</xdr:rowOff>
    </xdr:from>
    <xdr:to>
      <xdr:col>11</xdr:col>
      <xdr:colOff>304800</xdr:colOff>
      <xdr:row>895</xdr:row>
      <xdr:rowOff>47626</xdr:rowOff>
    </xdr:to>
    <xdr:sp macro="" textlink="">
      <xdr:nvSpPr>
        <xdr:cNvPr id="10" name="AutoShape 1818" descr="https://www.acad.eng.br/wp-content/uploads/2018/09/tab-4-300x243.jpg"/>
        <xdr:cNvSpPr>
          <a:spLocks noChangeAspect="1" noChangeArrowheads="1"/>
        </xdr:cNvSpPr>
      </xdr:nvSpPr>
      <xdr:spPr bwMode="auto">
        <a:xfrm>
          <a:off x="14506575" y="63750825"/>
          <a:ext cx="304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0</xdr:row>
          <xdr:rowOff>57150</xdr:rowOff>
        </xdr:from>
        <xdr:to>
          <xdr:col>1</xdr:col>
          <xdr:colOff>4848225</xdr:colOff>
          <xdr:row>7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I%20ETAPA/EXPURGO/PLANILHA%20III%20ETAPA%2028-09-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202\coordenadoria%20de%20engenharia%20de%20transito\0001%20-%20GERAL%20DETRAN\004%20-COORDENADORIA%20DE%20OBRAS%202019\050%20-%20REFORMA%2044&#170;%20CIRETRAN%20NOVA%20MUTUM\PLANILHAS%20EMREITEIROS\PLANILHA%20-%20CONSTRUE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RONOGRAMA"/>
      <sheetName val="COMPOSIÇÃO"/>
    </sheetNames>
    <sheetDataSet>
      <sheetData sheetId="0" refreshError="1">
        <row r="11">
          <cell r="A11" t="str">
            <v>OBRA:     REVITALIZAÇÃO COM AMPLIAÇÃO DOS BLOCOS DA SEDE DO DETRAN/SEDE</v>
          </cell>
        </row>
        <row r="12">
          <cell r="A12" t="str">
            <v>LOCAL:   AV.DR. HÉLIO RIBEIRO, 100               CEP 78048-910</v>
          </cell>
        </row>
      </sheetData>
      <sheetData sheetId="1" refreshError="1"/>
      <sheetData sheetId="2" refreshError="1">
        <row r="2">
          <cell r="G2">
            <v>441.32788999999997</v>
          </cell>
        </row>
        <row r="12">
          <cell r="G12">
            <v>73.088999999999999</v>
          </cell>
        </row>
        <row r="41">
          <cell r="G41">
            <v>216.762</v>
          </cell>
        </row>
        <row r="49">
          <cell r="G49">
            <v>16.424099999999999</v>
          </cell>
        </row>
        <row r="57">
          <cell r="G57">
            <v>690.19490500000006</v>
          </cell>
        </row>
        <row r="168">
          <cell r="G168">
            <v>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ORÇAMENTO"/>
      <sheetName val="CADERNO DE COMPOSIÇÕES"/>
      <sheetName val="CRONOGRAMA"/>
      <sheetName val="ESCALA SALARIAL"/>
      <sheetName val="ENCARGOS SOCIAIS"/>
      <sheetName val="BDI"/>
      <sheetName val="COMPOSIÇÕES"/>
    </sheetNames>
    <sheetDataSet>
      <sheetData sheetId="0">
        <row r="51">
          <cell r="A51" t="str">
            <v>___________________________________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Documento_do_Microsoft_Word.docx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package" Target="../embeddings/Documento_do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0"/>
  <sheetViews>
    <sheetView topLeftCell="B1" workbookViewId="0">
      <selection activeCell="J4" sqref="J4"/>
    </sheetView>
  </sheetViews>
  <sheetFormatPr defaultRowHeight="12.75" x14ac:dyDescent="0.2"/>
  <cols>
    <col min="1" max="1" width="14.7109375" style="7" customWidth="1"/>
    <col min="2" max="2" width="9.140625" style="7"/>
    <col min="3" max="3" width="57.28515625" style="7" customWidth="1"/>
    <col min="4" max="4" width="9.140625" style="7"/>
    <col min="5" max="5" width="15.28515625" style="7" customWidth="1"/>
    <col min="6" max="6" width="11.28515625" style="7" customWidth="1"/>
    <col min="7" max="7" width="12.42578125" style="7" customWidth="1"/>
    <col min="8" max="256" width="9.140625" style="7"/>
    <col min="257" max="257" width="14.7109375" style="7" customWidth="1"/>
    <col min="258" max="258" width="9.140625" style="7"/>
    <col min="259" max="259" width="57.28515625" style="7" customWidth="1"/>
    <col min="260" max="260" width="9.140625" style="7"/>
    <col min="261" max="261" width="15.28515625" style="7" customWidth="1"/>
    <col min="262" max="262" width="11.28515625" style="7" customWidth="1"/>
    <col min="263" max="263" width="12.42578125" style="7" customWidth="1"/>
    <col min="264" max="512" width="9.140625" style="7"/>
    <col min="513" max="513" width="14.7109375" style="7" customWidth="1"/>
    <col min="514" max="514" width="9.140625" style="7"/>
    <col min="515" max="515" width="57.28515625" style="7" customWidth="1"/>
    <col min="516" max="516" width="9.140625" style="7"/>
    <col min="517" max="517" width="15.28515625" style="7" customWidth="1"/>
    <col min="518" max="518" width="11.28515625" style="7" customWidth="1"/>
    <col min="519" max="519" width="12.42578125" style="7" customWidth="1"/>
    <col min="520" max="768" width="9.140625" style="7"/>
    <col min="769" max="769" width="14.7109375" style="7" customWidth="1"/>
    <col min="770" max="770" width="9.140625" style="7"/>
    <col min="771" max="771" width="57.28515625" style="7" customWidth="1"/>
    <col min="772" max="772" width="9.140625" style="7"/>
    <col min="773" max="773" width="15.28515625" style="7" customWidth="1"/>
    <col min="774" max="774" width="11.28515625" style="7" customWidth="1"/>
    <col min="775" max="775" width="12.42578125" style="7" customWidth="1"/>
    <col min="776" max="1024" width="9.140625" style="7"/>
    <col min="1025" max="1025" width="14.7109375" style="7" customWidth="1"/>
    <col min="1026" max="1026" width="9.140625" style="7"/>
    <col min="1027" max="1027" width="57.28515625" style="7" customWidth="1"/>
    <col min="1028" max="1028" width="9.140625" style="7"/>
    <col min="1029" max="1029" width="15.28515625" style="7" customWidth="1"/>
    <col min="1030" max="1030" width="11.28515625" style="7" customWidth="1"/>
    <col min="1031" max="1031" width="12.42578125" style="7" customWidth="1"/>
    <col min="1032" max="1280" width="9.140625" style="7"/>
    <col min="1281" max="1281" width="14.7109375" style="7" customWidth="1"/>
    <col min="1282" max="1282" width="9.140625" style="7"/>
    <col min="1283" max="1283" width="57.28515625" style="7" customWidth="1"/>
    <col min="1284" max="1284" width="9.140625" style="7"/>
    <col min="1285" max="1285" width="15.28515625" style="7" customWidth="1"/>
    <col min="1286" max="1286" width="11.28515625" style="7" customWidth="1"/>
    <col min="1287" max="1287" width="12.42578125" style="7" customWidth="1"/>
    <col min="1288" max="1536" width="9.140625" style="7"/>
    <col min="1537" max="1537" width="14.7109375" style="7" customWidth="1"/>
    <col min="1538" max="1538" width="9.140625" style="7"/>
    <col min="1539" max="1539" width="57.28515625" style="7" customWidth="1"/>
    <col min="1540" max="1540" width="9.140625" style="7"/>
    <col min="1541" max="1541" width="15.28515625" style="7" customWidth="1"/>
    <col min="1542" max="1542" width="11.28515625" style="7" customWidth="1"/>
    <col min="1543" max="1543" width="12.42578125" style="7" customWidth="1"/>
    <col min="1544" max="1792" width="9.140625" style="7"/>
    <col min="1793" max="1793" width="14.7109375" style="7" customWidth="1"/>
    <col min="1794" max="1794" width="9.140625" style="7"/>
    <col min="1795" max="1795" width="57.28515625" style="7" customWidth="1"/>
    <col min="1796" max="1796" width="9.140625" style="7"/>
    <col min="1797" max="1797" width="15.28515625" style="7" customWidth="1"/>
    <col min="1798" max="1798" width="11.28515625" style="7" customWidth="1"/>
    <col min="1799" max="1799" width="12.42578125" style="7" customWidth="1"/>
    <col min="1800" max="2048" width="9.140625" style="7"/>
    <col min="2049" max="2049" width="14.7109375" style="7" customWidth="1"/>
    <col min="2050" max="2050" width="9.140625" style="7"/>
    <col min="2051" max="2051" width="57.28515625" style="7" customWidth="1"/>
    <col min="2052" max="2052" width="9.140625" style="7"/>
    <col min="2053" max="2053" width="15.28515625" style="7" customWidth="1"/>
    <col min="2054" max="2054" width="11.28515625" style="7" customWidth="1"/>
    <col min="2055" max="2055" width="12.42578125" style="7" customWidth="1"/>
    <col min="2056" max="2304" width="9.140625" style="7"/>
    <col min="2305" max="2305" width="14.7109375" style="7" customWidth="1"/>
    <col min="2306" max="2306" width="9.140625" style="7"/>
    <col min="2307" max="2307" width="57.28515625" style="7" customWidth="1"/>
    <col min="2308" max="2308" width="9.140625" style="7"/>
    <col min="2309" max="2309" width="15.28515625" style="7" customWidth="1"/>
    <col min="2310" max="2310" width="11.28515625" style="7" customWidth="1"/>
    <col min="2311" max="2311" width="12.42578125" style="7" customWidth="1"/>
    <col min="2312" max="2560" width="9.140625" style="7"/>
    <col min="2561" max="2561" width="14.7109375" style="7" customWidth="1"/>
    <col min="2562" max="2562" width="9.140625" style="7"/>
    <col min="2563" max="2563" width="57.28515625" style="7" customWidth="1"/>
    <col min="2564" max="2564" width="9.140625" style="7"/>
    <col min="2565" max="2565" width="15.28515625" style="7" customWidth="1"/>
    <col min="2566" max="2566" width="11.28515625" style="7" customWidth="1"/>
    <col min="2567" max="2567" width="12.42578125" style="7" customWidth="1"/>
    <col min="2568" max="2816" width="9.140625" style="7"/>
    <col min="2817" max="2817" width="14.7109375" style="7" customWidth="1"/>
    <col min="2818" max="2818" width="9.140625" style="7"/>
    <col min="2819" max="2819" width="57.28515625" style="7" customWidth="1"/>
    <col min="2820" max="2820" width="9.140625" style="7"/>
    <col min="2821" max="2821" width="15.28515625" style="7" customWidth="1"/>
    <col min="2822" max="2822" width="11.28515625" style="7" customWidth="1"/>
    <col min="2823" max="2823" width="12.42578125" style="7" customWidth="1"/>
    <col min="2824" max="3072" width="9.140625" style="7"/>
    <col min="3073" max="3073" width="14.7109375" style="7" customWidth="1"/>
    <col min="3074" max="3074" width="9.140625" style="7"/>
    <col min="3075" max="3075" width="57.28515625" style="7" customWidth="1"/>
    <col min="3076" max="3076" width="9.140625" style="7"/>
    <col min="3077" max="3077" width="15.28515625" style="7" customWidth="1"/>
    <col min="3078" max="3078" width="11.28515625" style="7" customWidth="1"/>
    <col min="3079" max="3079" width="12.42578125" style="7" customWidth="1"/>
    <col min="3080" max="3328" width="9.140625" style="7"/>
    <col min="3329" max="3329" width="14.7109375" style="7" customWidth="1"/>
    <col min="3330" max="3330" width="9.140625" style="7"/>
    <col min="3331" max="3331" width="57.28515625" style="7" customWidth="1"/>
    <col min="3332" max="3332" width="9.140625" style="7"/>
    <col min="3333" max="3333" width="15.28515625" style="7" customWidth="1"/>
    <col min="3334" max="3334" width="11.28515625" style="7" customWidth="1"/>
    <col min="3335" max="3335" width="12.42578125" style="7" customWidth="1"/>
    <col min="3336" max="3584" width="9.140625" style="7"/>
    <col min="3585" max="3585" width="14.7109375" style="7" customWidth="1"/>
    <col min="3586" max="3586" width="9.140625" style="7"/>
    <col min="3587" max="3587" width="57.28515625" style="7" customWidth="1"/>
    <col min="3588" max="3588" width="9.140625" style="7"/>
    <col min="3589" max="3589" width="15.28515625" style="7" customWidth="1"/>
    <col min="3590" max="3590" width="11.28515625" style="7" customWidth="1"/>
    <col min="3591" max="3591" width="12.42578125" style="7" customWidth="1"/>
    <col min="3592" max="3840" width="9.140625" style="7"/>
    <col min="3841" max="3841" width="14.7109375" style="7" customWidth="1"/>
    <col min="3842" max="3842" width="9.140625" style="7"/>
    <col min="3843" max="3843" width="57.28515625" style="7" customWidth="1"/>
    <col min="3844" max="3844" width="9.140625" style="7"/>
    <col min="3845" max="3845" width="15.28515625" style="7" customWidth="1"/>
    <col min="3846" max="3846" width="11.28515625" style="7" customWidth="1"/>
    <col min="3847" max="3847" width="12.42578125" style="7" customWidth="1"/>
    <col min="3848" max="4096" width="9.140625" style="7"/>
    <col min="4097" max="4097" width="14.7109375" style="7" customWidth="1"/>
    <col min="4098" max="4098" width="9.140625" style="7"/>
    <col min="4099" max="4099" width="57.28515625" style="7" customWidth="1"/>
    <col min="4100" max="4100" width="9.140625" style="7"/>
    <col min="4101" max="4101" width="15.28515625" style="7" customWidth="1"/>
    <col min="4102" max="4102" width="11.28515625" style="7" customWidth="1"/>
    <col min="4103" max="4103" width="12.42578125" style="7" customWidth="1"/>
    <col min="4104" max="4352" width="9.140625" style="7"/>
    <col min="4353" max="4353" width="14.7109375" style="7" customWidth="1"/>
    <col min="4354" max="4354" width="9.140625" style="7"/>
    <col min="4355" max="4355" width="57.28515625" style="7" customWidth="1"/>
    <col min="4356" max="4356" width="9.140625" style="7"/>
    <col min="4357" max="4357" width="15.28515625" style="7" customWidth="1"/>
    <col min="4358" max="4358" width="11.28515625" style="7" customWidth="1"/>
    <col min="4359" max="4359" width="12.42578125" style="7" customWidth="1"/>
    <col min="4360" max="4608" width="9.140625" style="7"/>
    <col min="4609" max="4609" width="14.7109375" style="7" customWidth="1"/>
    <col min="4610" max="4610" width="9.140625" style="7"/>
    <col min="4611" max="4611" width="57.28515625" style="7" customWidth="1"/>
    <col min="4612" max="4612" width="9.140625" style="7"/>
    <col min="4613" max="4613" width="15.28515625" style="7" customWidth="1"/>
    <col min="4614" max="4614" width="11.28515625" style="7" customWidth="1"/>
    <col min="4615" max="4615" width="12.42578125" style="7" customWidth="1"/>
    <col min="4616" max="4864" width="9.140625" style="7"/>
    <col min="4865" max="4865" width="14.7109375" style="7" customWidth="1"/>
    <col min="4866" max="4866" width="9.140625" style="7"/>
    <col min="4867" max="4867" width="57.28515625" style="7" customWidth="1"/>
    <col min="4868" max="4868" width="9.140625" style="7"/>
    <col min="4869" max="4869" width="15.28515625" style="7" customWidth="1"/>
    <col min="4870" max="4870" width="11.28515625" style="7" customWidth="1"/>
    <col min="4871" max="4871" width="12.42578125" style="7" customWidth="1"/>
    <col min="4872" max="5120" width="9.140625" style="7"/>
    <col min="5121" max="5121" width="14.7109375" style="7" customWidth="1"/>
    <col min="5122" max="5122" width="9.140625" style="7"/>
    <col min="5123" max="5123" width="57.28515625" style="7" customWidth="1"/>
    <col min="5124" max="5124" width="9.140625" style="7"/>
    <col min="5125" max="5125" width="15.28515625" style="7" customWidth="1"/>
    <col min="5126" max="5126" width="11.28515625" style="7" customWidth="1"/>
    <col min="5127" max="5127" width="12.42578125" style="7" customWidth="1"/>
    <col min="5128" max="5376" width="9.140625" style="7"/>
    <col min="5377" max="5377" width="14.7109375" style="7" customWidth="1"/>
    <col min="5378" max="5378" width="9.140625" style="7"/>
    <col min="5379" max="5379" width="57.28515625" style="7" customWidth="1"/>
    <col min="5380" max="5380" width="9.140625" style="7"/>
    <col min="5381" max="5381" width="15.28515625" style="7" customWidth="1"/>
    <col min="5382" max="5382" width="11.28515625" style="7" customWidth="1"/>
    <col min="5383" max="5383" width="12.42578125" style="7" customWidth="1"/>
    <col min="5384" max="5632" width="9.140625" style="7"/>
    <col min="5633" max="5633" width="14.7109375" style="7" customWidth="1"/>
    <col min="5634" max="5634" width="9.140625" style="7"/>
    <col min="5635" max="5635" width="57.28515625" style="7" customWidth="1"/>
    <col min="5636" max="5636" width="9.140625" style="7"/>
    <col min="5637" max="5637" width="15.28515625" style="7" customWidth="1"/>
    <col min="5638" max="5638" width="11.28515625" style="7" customWidth="1"/>
    <col min="5639" max="5639" width="12.42578125" style="7" customWidth="1"/>
    <col min="5640" max="5888" width="9.140625" style="7"/>
    <col min="5889" max="5889" width="14.7109375" style="7" customWidth="1"/>
    <col min="5890" max="5890" width="9.140625" style="7"/>
    <col min="5891" max="5891" width="57.28515625" style="7" customWidth="1"/>
    <col min="5892" max="5892" width="9.140625" style="7"/>
    <col min="5893" max="5893" width="15.28515625" style="7" customWidth="1"/>
    <col min="5894" max="5894" width="11.28515625" style="7" customWidth="1"/>
    <col min="5895" max="5895" width="12.42578125" style="7" customWidth="1"/>
    <col min="5896" max="6144" width="9.140625" style="7"/>
    <col min="6145" max="6145" width="14.7109375" style="7" customWidth="1"/>
    <col min="6146" max="6146" width="9.140625" style="7"/>
    <col min="6147" max="6147" width="57.28515625" style="7" customWidth="1"/>
    <col min="6148" max="6148" width="9.140625" style="7"/>
    <col min="6149" max="6149" width="15.28515625" style="7" customWidth="1"/>
    <col min="6150" max="6150" width="11.28515625" style="7" customWidth="1"/>
    <col min="6151" max="6151" width="12.42578125" style="7" customWidth="1"/>
    <col min="6152" max="6400" width="9.140625" style="7"/>
    <col min="6401" max="6401" width="14.7109375" style="7" customWidth="1"/>
    <col min="6402" max="6402" width="9.140625" style="7"/>
    <col min="6403" max="6403" width="57.28515625" style="7" customWidth="1"/>
    <col min="6404" max="6404" width="9.140625" style="7"/>
    <col min="6405" max="6405" width="15.28515625" style="7" customWidth="1"/>
    <col min="6406" max="6406" width="11.28515625" style="7" customWidth="1"/>
    <col min="6407" max="6407" width="12.42578125" style="7" customWidth="1"/>
    <col min="6408" max="6656" width="9.140625" style="7"/>
    <col min="6657" max="6657" width="14.7109375" style="7" customWidth="1"/>
    <col min="6658" max="6658" width="9.140625" style="7"/>
    <col min="6659" max="6659" width="57.28515625" style="7" customWidth="1"/>
    <col min="6660" max="6660" width="9.140625" style="7"/>
    <col min="6661" max="6661" width="15.28515625" style="7" customWidth="1"/>
    <col min="6662" max="6662" width="11.28515625" style="7" customWidth="1"/>
    <col min="6663" max="6663" width="12.42578125" style="7" customWidth="1"/>
    <col min="6664" max="6912" width="9.140625" style="7"/>
    <col min="6913" max="6913" width="14.7109375" style="7" customWidth="1"/>
    <col min="6914" max="6914" width="9.140625" style="7"/>
    <col min="6915" max="6915" width="57.28515625" style="7" customWidth="1"/>
    <col min="6916" max="6916" width="9.140625" style="7"/>
    <col min="6917" max="6917" width="15.28515625" style="7" customWidth="1"/>
    <col min="6918" max="6918" width="11.28515625" style="7" customWidth="1"/>
    <col min="6919" max="6919" width="12.42578125" style="7" customWidth="1"/>
    <col min="6920" max="7168" width="9.140625" style="7"/>
    <col min="7169" max="7169" width="14.7109375" style="7" customWidth="1"/>
    <col min="7170" max="7170" width="9.140625" style="7"/>
    <col min="7171" max="7171" width="57.28515625" style="7" customWidth="1"/>
    <col min="7172" max="7172" width="9.140625" style="7"/>
    <col min="7173" max="7173" width="15.28515625" style="7" customWidth="1"/>
    <col min="7174" max="7174" width="11.28515625" style="7" customWidth="1"/>
    <col min="7175" max="7175" width="12.42578125" style="7" customWidth="1"/>
    <col min="7176" max="7424" width="9.140625" style="7"/>
    <col min="7425" max="7425" width="14.7109375" style="7" customWidth="1"/>
    <col min="7426" max="7426" width="9.140625" style="7"/>
    <col min="7427" max="7427" width="57.28515625" style="7" customWidth="1"/>
    <col min="7428" max="7428" width="9.140625" style="7"/>
    <col min="7429" max="7429" width="15.28515625" style="7" customWidth="1"/>
    <col min="7430" max="7430" width="11.28515625" style="7" customWidth="1"/>
    <col min="7431" max="7431" width="12.42578125" style="7" customWidth="1"/>
    <col min="7432" max="7680" width="9.140625" style="7"/>
    <col min="7681" max="7681" width="14.7109375" style="7" customWidth="1"/>
    <col min="7682" max="7682" width="9.140625" style="7"/>
    <col min="7683" max="7683" width="57.28515625" style="7" customWidth="1"/>
    <col min="7684" max="7684" width="9.140625" style="7"/>
    <col min="7685" max="7685" width="15.28515625" style="7" customWidth="1"/>
    <col min="7686" max="7686" width="11.28515625" style="7" customWidth="1"/>
    <col min="7687" max="7687" width="12.42578125" style="7" customWidth="1"/>
    <col min="7688" max="7936" width="9.140625" style="7"/>
    <col min="7937" max="7937" width="14.7109375" style="7" customWidth="1"/>
    <col min="7938" max="7938" width="9.140625" style="7"/>
    <col min="7939" max="7939" width="57.28515625" style="7" customWidth="1"/>
    <col min="7940" max="7940" width="9.140625" style="7"/>
    <col min="7941" max="7941" width="15.28515625" style="7" customWidth="1"/>
    <col min="7942" max="7942" width="11.28515625" style="7" customWidth="1"/>
    <col min="7943" max="7943" width="12.42578125" style="7" customWidth="1"/>
    <col min="7944" max="8192" width="9.140625" style="7"/>
    <col min="8193" max="8193" width="14.7109375" style="7" customWidth="1"/>
    <col min="8194" max="8194" width="9.140625" style="7"/>
    <col min="8195" max="8195" width="57.28515625" style="7" customWidth="1"/>
    <col min="8196" max="8196" width="9.140625" style="7"/>
    <col min="8197" max="8197" width="15.28515625" style="7" customWidth="1"/>
    <col min="8198" max="8198" width="11.28515625" style="7" customWidth="1"/>
    <col min="8199" max="8199" width="12.42578125" style="7" customWidth="1"/>
    <col min="8200" max="8448" width="9.140625" style="7"/>
    <col min="8449" max="8449" width="14.7109375" style="7" customWidth="1"/>
    <col min="8450" max="8450" width="9.140625" style="7"/>
    <col min="8451" max="8451" width="57.28515625" style="7" customWidth="1"/>
    <col min="8452" max="8452" width="9.140625" style="7"/>
    <col min="8453" max="8453" width="15.28515625" style="7" customWidth="1"/>
    <col min="8454" max="8454" width="11.28515625" style="7" customWidth="1"/>
    <col min="8455" max="8455" width="12.42578125" style="7" customWidth="1"/>
    <col min="8456" max="8704" width="9.140625" style="7"/>
    <col min="8705" max="8705" width="14.7109375" style="7" customWidth="1"/>
    <col min="8706" max="8706" width="9.140625" style="7"/>
    <col min="8707" max="8707" width="57.28515625" style="7" customWidth="1"/>
    <col min="8708" max="8708" width="9.140625" style="7"/>
    <col min="8709" max="8709" width="15.28515625" style="7" customWidth="1"/>
    <col min="8710" max="8710" width="11.28515625" style="7" customWidth="1"/>
    <col min="8711" max="8711" width="12.42578125" style="7" customWidth="1"/>
    <col min="8712" max="8960" width="9.140625" style="7"/>
    <col min="8961" max="8961" width="14.7109375" style="7" customWidth="1"/>
    <col min="8962" max="8962" width="9.140625" style="7"/>
    <col min="8963" max="8963" width="57.28515625" style="7" customWidth="1"/>
    <col min="8964" max="8964" width="9.140625" style="7"/>
    <col min="8965" max="8965" width="15.28515625" style="7" customWidth="1"/>
    <col min="8966" max="8966" width="11.28515625" style="7" customWidth="1"/>
    <col min="8967" max="8967" width="12.42578125" style="7" customWidth="1"/>
    <col min="8968" max="9216" width="9.140625" style="7"/>
    <col min="9217" max="9217" width="14.7109375" style="7" customWidth="1"/>
    <col min="9218" max="9218" width="9.140625" style="7"/>
    <col min="9219" max="9219" width="57.28515625" style="7" customWidth="1"/>
    <col min="9220" max="9220" width="9.140625" style="7"/>
    <col min="9221" max="9221" width="15.28515625" style="7" customWidth="1"/>
    <col min="9222" max="9222" width="11.28515625" style="7" customWidth="1"/>
    <col min="9223" max="9223" width="12.42578125" style="7" customWidth="1"/>
    <col min="9224" max="9472" width="9.140625" style="7"/>
    <col min="9473" max="9473" width="14.7109375" style="7" customWidth="1"/>
    <col min="9474" max="9474" width="9.140625" style="7"/>
    <col min="9475" max="9475" width="57.28515625" style="7" customWidth="1"/>
    <col min="9476" max="9476" width="9.140625" style="7"/>
    <col min="9477" max="9477" width="15.28515625" style="7" customWidth="1"/>
    <col min="9478" max="9478" width="11.28515625" style="7" customWidth="1"/>
    <col min="9479" max="9479" width="12.42578125" style="7" customWidth="1"/>
    <col min="9480" max="9728" width="9.140625" style="7"/>
    <col min="9729" max="9729" width="14.7109375" style="7" customWidth="1"/>
    <col min="9730" max="9730" width="9.140625" style="7"/>
    <col min="9731" max="9731" width="57.28515625" style="7" customWidth="1"/>
    <col min="9732" max="9732" width="9.140625" style="7"/>
    <col min="9733" max="9733" width="15.28515625" style="7" customWidth="1"/>
    <col min="9734" max="9734" width="11.28515625" style="7" customWidth="1"/>
    <col min="9735" max="9735" width="12.42578125" style="7" customWidth="1"/>
    <col min="9736" max="9984" width="9.140625" style="7"/>
    <col min="9985" max="9985" width="14.7109375" style="7" customWidth="1"/>
    <col min="9986" max="9986" width="9.140625" style="7"/>
    <col min="9987" max="9987" width="57.28515625" style="7" customWidth="1"/>
    <col min="9988" max="9988" width="9.140625" style="7"/>
    <col min="9989" max="9989" width="15.28515625" style="7" customWidth="1"/>
    <col min="9990" max="9990" width="11.28515625" style="7" customWidth="1"/>
    <col min="9991" max="9991" width="12.42578125" style="7" customWidth="1"/>
    <col min="9992" max="10240" width="9.140625" style="7"/>
    <col min="10241" max="10241" width="14.7109375" style="7" customWidth="1"/>
    <col min="10242" max="10242" width="9.140625" style="7"/>
    <col min="10243" max="10243" width="57.28515625" style="7" customWidth="1"/>
    <col min="10244" max="10244" width="9.140625" style="7"/>
    <col min="10245" max="10245" width="15.28515625" style="7" customWidth="1"/>
    <col min="10246" max="10246" width="11.28515625" style="7" customWidth="1"/>
    <col min="10247" max="10247" width="12.42578125" style="7" customWidth="1"/>
    <col min="10248" max="10496" width="9.140625" style="7"/>
    <col min="10497" max="10497" width="14.7109375" style="7" customWidth="1"/>
    <col min="10498" max="10498" width="9.140625" style="7"/>
    <col min="10499" max="10499" width="57.28515625" style="7" customWidth="1"/>
    <col min="10500" max="10500" width="9.140625" style="7"/>
    <col min="10501" max="10501" width="15.28515625" style="7" customWidth="1"/>
    <col min="10502" max="10502" width="11.28515625" style="7" customWidth="1"/>
    <col min="10503" max="10503" width="12.42578125" style="7" customWidth="1"/>
    <col min="10504" max="10752" width="9.140625" style="7"/>
    <col min="10753" max="10753" width="14.7109375" style="7" customWidth="1"/>
    <col min="10754" max="10754" width="9.140625" style="7"/>
    <col min="10755" max="10755" width="57.28515625" style="7" customWidth="1"/>
    <col min="10756" max="10756" width="9.140625" style="7"/>
    <col min="10757" max="10757" width="15.28515625" style="7" customWidth="1"/>
    <col min="10758" max="10758" width="11.28515625" style="7" customWidth="1"/>
    <col min="10759" max="10759" width="12.42578125" style="7" customWidth="1"/>
    <col min="10760" max="11008" width="9.140625" style="7"/>
    <col min="11009" max="11009" width="14.7109375" style="7" customWidth="1"/>
    <col min="11010" max="11010" width="9.140625" style="7"/>
    <col min="11011" max="11011" width="57.28515625" style="7" customWidth="1"/>
    <col min="11012" max="11012" width="9.140625" style="7"/>
    <col min="11013" max="11013" width="15.28515625" style="7" customWidth="1"/>
    <col min="11014" max="11014" width="11.28515625" style="7" customWidth="1"/>
    <col min="11015" max="11015" width="12.42578125" style="7" customWidth="1"/>
    <col min="11016" max="11264" width="9.140625" style="7"/>
    <col min="11265" max="11265" width="14.7109375" style="7" customWidth="1"/>
    <col min="11266" max="11266" width="9.140625" style="7"/>
    <col min="11267" max="11267" width="57.28515625" style="7" customWidth="1"/>
    <col min="11268" max="11268" width="9.140625" style="7"/>
    <col min="11269" max="11269" width="15.28515625" style="7" customWidth="1"/>
    <col min="11270" max="11270" width="11.28515625" style="7" customWidth="1"/>
    <col min="11271" max="11271" width="12.42578125" style="7" customWidth="1"/>
    <col min="11272" max="11520" width="9.140625" style="7"/>
    <col min="11521" max="11521" width="14.7109375" style="7" customWidth="1"/>
    <col min="11522" max="11522" width="9.140625" style="7"/>
    <col min="11523" max="11523" width="57.28515625" style="7" customWidth="1"/>
    <col min="11524" max="11524" width="9.140625" style="7"/>
    <col min="11525" max="11525" width="15.28515625" style="7" customWidth="1"/>
    <col min="11526" max="11526" width="11.28515625" style="7" customWidth="1"/>
    <col min="11527" max="11527" width="12.42578125" style="7" customWidth="1"/>
    <col min="11528" max="11776" width="9.140625" style="7"/>
    <col min="11777" max="11777" width="14.7109375" style="7" customWidth="1"/>
    <col min="11778" max="11778" width="9.140625" style="7"/>
    <col min="11779" max="11779" width="57.28515625" style="7" customWidth="1"/>
    <col min="11780" max="11780" width="9.140625" style="7"/>
    <col min="11781" max="11781" width="15.28515625" style="7" customWidth="1"/>
    <col min="11782" max="11782" width="11.28515625" style="7" customWidth="1"/>
    <col min="11783" max="11783" width="12.42578125" style="7" customWidth="1"/>
    <col min="11784" max="12032" width="9.140625" style="7"/>
    <col min="12033" max="12033" width="14.7109375" style="7" customWidth="1"/>
    <col min="12034" max="12034" width="9.140625" style="7"/>
    <col min="12035" max="12035" width="57.28515625" style="7" customWidth="1"/>
    <col min="12036" max="12036" width="9.140625" style="7"/>
    <col min="12037" max="12037" width="15.28515625" style="7" customWidth="1"/>
    <col min="12038" max="12038" width="11.28515625" style="7" customWidth="1"/>
    <col min="12039" max="12039" width="12.42578125" style="7" customWidth="1"/>
    <col min="12040" max="12288" width="9.140625" style="7"/>
    <col min="12289" max="12289" width="14.7109375" style="7" customWidth="1"/>
    <col min="12290" max="12290" width="9.140625" style="7"/>
    <col min="12291" max="12291" width="57.28515625" style="7" customWidth="1"/>
    <col min="12292" max="12292" width="9.140625" style="7"/>
    <col min="12293" max="12293" width="15.28515625" style="7" customWidth="1"/>
    <col min="12294" max="12294" width="11.28515625" style="7" customWidth="1"/>
    <col min="12295" max="12295" width="12.42578125" style="7" customWidth="1"/>
    <col min="12296" max="12544" width="9.140625" style="7"/>
    <col min="12545" max="12545" width="14.7109375" style="7" customWidth="1"/>
    <col min="12546" max="12546" width="9.140625" style="7"/>
    <col min="12547" max="12547" width="57.28515625" style="7" customWidth="1"/>
    <col min="12548" max="12548" width="9.140625" style="7"/>
    <col min="12549" max="12549" width="15.28515625" style="7" customWidth="1"/>
    <col min="12550" max="12550" width="11.28515625" style="7" customWidth="1"/>
    <col min="12551" max="12551" width="12.42578125" style="7" customWidth="1"/>
    <col min="12552" max="12800" width="9.140625" style="7"/>
    <col min="12801" max="12801" width="14.7109375" style="7" customWidth="1"/>
    <col min="12802" max="12802" width="9.140625" style="7"/>
    <col min="12803" max="12803" width="57.28515625" style="7" customWidth="1"/>
    <col min="12804" max="12804" width="9.140625" style="7"/>
    <col min="12805" max="12805" width="15.28515625" style="7" customWidth="1"/>
    <col min="12806" max="12806" width="11.28515625" style="7" customWidth="1"/>
    <col min="12807" max="12807" width="12.42578125" style="7" customWidth="1"/>
    <col min="12808" max="13056" width="9.140625" style="7"/>
    <col min="13057" max="13057" width="14.7109375" style="7" customWidth="1"/>
    <col min="13058" max="13058" width="9.140625" style="7"/>
    <col min="13059" max="13059" width="57.28515625" style="7" customWidth="1"/>
    <col min="13060" max="13060" width="9.140625" style="7"/>
    <col min="13061" max="13061" width="15.28515625" style="7" customWidth="1"/>
    <col min="13062" max="13062" width="11.28515625" style="7" customWidth="1"/>
    <col min="13063" max="13063" width="12.42578125" style="7" customWidth="1"/>
    <col min="13064" max="13312" width="9.140625" style="7"/>
    <col min="13313" max="13313" width="14.7109375" style="7" customWidth="1"/>
    <col min="13314" max="13314" width="9.140625" style="7"/>
    <col min="13315" max="13315" width="57.28515625" style="7" customWidth="1"/>
    <col min="13316" max="13316" width="9.140625" style="7"/>
    <col min="13317" max="13317" width="15.28515625" style="7" customWidth="1"/>
    <col min="13318" max="13318" width="11.28515625" style="7" customWidth="1"/>
    <col min="13319" max="13319" width="12.42578125" style="7" customWidth="1"/>
    <col min="13320" max="13568" width="9.140625" style="7"/>
    <col min="13569" max="13569" width="14.7109375" style="7" customWidth="1"/>
    <col min="13570" max="13570" width="9.140625" style="7"/>
    <col min="13571" max="13571" width="57.28515625" style="7" customWidth="1"/>
    <col min="13572" max="13572" width="9.140625" style="7"/>
    <col min="13573" max="13573" width="15.28515625" style="7" customWidth="1"/>
    <col min="13574" max="13574" width="11.28515625" style="7" customWidth="1"/>
    <col min="13575" max="13575" width="12.42578125" style="7" customWidth="1"/>
    <col min="13576" max="13824" width="9.140625" style="7"/>
    <col min="13825" max="13825" width="14.7109375" style="7" customWidth="1"/>
    <col min="13826" max="13826" width="9.140625" style="7"/>
    <col min="13827" max="13827" width="57.28515625" style="7" customWidth="1"/>
    <col min="13828" max="13828" width="9.140625" style="7"/>
    <col min="13829" max="13829" width="15.28515625" style="7" customWidth="1"/>
    <col min="13830" max="13830" width="11.28515625" style="7" customWidth="1"/>
    <col min="13831" max="13831" width="12.42578125" style="7" customWidth="1"/>
    <col min="13832" max="14080" width="9.140625" style="7"/>
    <col min="14081" max="14081" width="14.7109375" style="7" customWidth="1"/>
    <col min="14082" max="14082" width="9.140625" style="7"/>
    <col min="14083" max="14083" width="57.28515625" style="7" customWidth="1"/>
    <col min="14084" max="14084" width="9.140625" style="7"/>
    <col min="14085" max="14085" width="15.28515625" style="7" customWidth="1"/>
    <col min="14086" max="14086" width="11.28515625" style="7" customWidth="1"/>
    <col min="14087" max="14087" width="12.42578125" style="7" customWidth="1"/>
    <col min="14088" max="14336" width="9.140625" style="7"/>
    <col min="14337" max="14337" width="14.7109375" style="7" customWidth="1"/>
    <col min="14338" max="14338" width="9.140625" style="7"/>
    <col min="14339" max="14339" width="57.28515625" style="7" customWidth="1"/>
    <col min="14340" max="14340" width="9.140625" style="7"/>
    <col min="14341" max="14341" width="15.28515625" style="7" customWidth="1"/>
    <col min="14342" max="14342" width="11.28515625" style="7" customWidth="1"/>
    <col min="14343" max="14343" width="12.42578125" style="7" customWidth="1"/>
    <col min="14344" max="14592" width="9.140625" style="7"/>
    <col min="14593" max="14593" width="14.7109375" style="7" customWidth="1"/>
    <col min="14594" max="14594" width="9.140625" style="7"/>
    <col min="14595" max="14595" width="57.28515625" style="7" customWidth="1"/>
    <col min="14596" max="14596" width="9.140625" style="7"/>
    <col min="14597" max="14597" width="15.28515625" style="7" customWidth="1"/>
    <col min="14598" max="14598" width="11.28515625" style="7" customWidth="1"/>
    <col min="14599" max="14599" width="12.42578125" style="7" customWidth="1"/>
    <col min="14600" max="14848" width="9.140625" style="7"/>
    <col min="14849" max="14849" width="14.7109375" style="7" customWidth="1"/>
    <col min="14850" max="14850" width="9.140625" style="7"/>
    <col min="14851" max="14851" width="57.28515625" style="7" customWidth="1"/>
    <col min="14852" max="14852" width="9.140625" style="7"/>
    <col min="14853" max="14853" width="15.28515625" style="7" customWidth="1"/>
    <col min="14854" max="14854" width="11.28515625" style="7" customWidth="1"/>
    <col min="14855" max="14855" width="12.42578125" style="7" customWidth="1"/>
    <col min="14856" max="15104" width="9.140625" style="7"/>
    <col min="15105" max="15105" width="14.7109375" style="7" customWidth="1"/>
    <col min="15106" max="15106" width="9.140625" style="7"/>
    <col min="15107" max="15107" width="57.28515625" style="7" customWidth="1"/>
    <col min="15108" max="15108" width="9.140625" style="7"/>
    <col min="15109" max="15109" width="15.28515625" style="7" customWidth="1"/>
    <col min="15110" max="15110" width="11.28515625" style="7" customWidth="1"/>
    <col min="15111" max="15111" width="12.42578125" style="7" customWidth="1"/>
    <col min="15112" max="15360" width="9.140625" style="7"/>
    <col min="15361" max="15361" width="14.7109375" style="7" customWidth="1"/>
    <col min="15362" max="15362" width="9.140625" style="7"/>
    <col min="15363" max="15363" width="57.28515625" style="7" customWidth="1"/>
    <col min="15364" max="15364" width="9.140625" style="7"/>
    <col min="15365" max="15365" width="15.28515625" style="7" customWidth="1"/>
    <col min="15366" max="15366" width="11.28515625" style="7" customWidth="1"/>
    <col min="15367" max="15367" width="12.42578125" style="7" customWidth="1"/>
    <col min="15368" max="15616" width="9.140625" style="7"/>
    <col min="15617" max="15617" width="14.7109375" style="7" customWidth="1"/>
    <col min="15618" max="15618" width="9.140625" style="7"/>
    <col min="15619" max="15619" width="57.28515625" style="7" customWidth="1"/>
    <col min="15620" max="15620" width="9.140625" style="7"/>
    <col min="15621" max="15621" width="15.28515625" style="7" customWidth="1"/>
    <col min="15622" max="15622" width="11.28515625" style="7" customWidth="1"/>
    <col min="15623" max="15623" width="12.42578125" style="7" customWidth="1"/>
    <col min="15624" max="15872" width="9.140625" style="7"/>
    <col min="15873" max="15873" width="14.7109375" style="7" customWidth="1"/>
    <col min="15874" max="15874" width="9.140625" style="7"/>
    <col min="15875" max="15875" width="57.28515625" style="7" customWidth="1"/>
    <col min="15876" max="15876" width="9.140625" style="7"/>
    <col min="15877" max="15877" width="15.28515625" style="7" customWidth="1"/>
    <col min="15878" max="15878" width="11.28515625" style="7" customWidth="1"/>
    <col min="15879" max="15879" width="12.42578125" style="7" customWidth="1"/>
    <col min="15880" max="16128" width="9.140625" style="7"/>
    <col min="16129" max="16129" width="14.7109375" style="7" customWidth="1"/>
    <col min="16130" max="16130" width="9.140625" style="7"/>
    <col min="16131" max="16131" width="57.28515625" style="7" customWidth="1"/>
    <col min="16132" max="16132" width="9.140625" style="7"/>
    <col min="16133" max="16133" width="15.28515625" style="7" customWidth="1"/>
    <col min="16134" max="16134" width="11.28515625" style="7" customWidth="1"/>
    <col min="16135" max="16135" width="12.42578125" style="7" customWidth="1"/>
    <col min="16136" max="16384" width="9.140625" style="7"/>
  </cols>
  <sheetData>
    <row r="1" spans="1:8" x14ac:dyDescent="0.2">
      <c r="A1" s="331" t="s">
        <v>29</v>
      </c>
      <c r="B1" s="331" t="s">
        <v>29</v>
      </c>
      <c r="C1" s="331"/>
      <c r="D1" s="331"/>
      <c r="E1" s="331"/>
      <c r="F1" s="331"/>
      <c r="G1" s="331"/>
    </row>
    <row r="2" spans="1:8" ht="13.5" x14ac:dyDescent="0.2">
      <c r="A2" s="332"/>
      <c r="B2" s="333"/>
      <c r="C2" s="334" t="s">
        <v>508</v>
      </c>
      <c r="D2" s="333"/>
      <c r="E2" s="333"/>
      <c r="F2" s="335" t="s">
        <v>24</v>
      </c>
      <c r="G2" s="336">
        <f>SUM(G3:G11)</f>
        <v>441.32788999999997</v>
      </c>
    </row>
    <row r="3" spans="1:8" ht="27" x14ac:dyDescent="0.2">
      <c r="A3" s="337" t="s">
        <v>509</v>
      </c>
      <c r="B3" s="47">
        <v>4813</v>
      </c>
      <c r="C3" s="338" t="s">
        <v>510</v>
      </c>
      <c r="D3" s="339" t="s">
        <v>24</v>
      </c>
      <c r="E3" s="339">
        <v>1.05</v>
      </c>
      <c r="F3" s="339">
        <v>373.89</v>
      </c>
      <c r="G3" s="340">
        <f t="shared" ref="G3:G9" si="0">E3*F3</f>
        <v>392.58449999999999</v>
      </c>
      <c r="H3" s="341"/>
    </row>
    <row r="4" spans="1:8" ht="27" x14ac:dyDescent="0.2">
      <c r="A4" s="337" t="s">
        <v>509</v>
      </c>
      <c r="B4" s="337" t="s">
        <v>511</v>
      </c>
      <c r="C4" s="338" t="s">
        <v>512</v>
      </c>
      <c r="D4" s="337" t="s">
        <v>56</v>
      </c>
      <c r="E4" s="337" t="s">
        <v>513</v>
      </c>
      <c r="F4" s="337" t="s">
        <v>514</v>
      </c>
      <c r="G4" s="342">
        <f t="shared" si="0"/>
        <v>25.875266999999997</v>
      </c>
      <c r="H4" s="341"/>
    </row>
    <row r="5" spans="1:8" ht="40.5" x14ac:dyDescent="0.2">
      <c r="A5" s="337" t="s">
        <v>509</v>
      </c>
      <c r="B5" s="337" t="s">
        <v>515</v>
      </c>
      <c r="C5" s="338" t="s">
        <v>516</v>
      </c>
      <c r="D5" s="337" t="s">
        <v>56</v>
      </c>
      <c r="E5" s="337" t="s">
        <v>517</v>
      </c>
      <c r="F5" s="337" t="s">
        <v>518</v>
      </c>
      <c r="G5" s="342">
        <f t="shared" si="0"/>
        <v>8.4560969999999998</v>
      </c>
      <c r="H5" s="341"/>
    </row>
    <row r="6" spans="1:8" ht="27" x14ac:dyDescent="0.2">
      <c r="A6" s="337" t="s">
        <v>509</v>
      </c>
      <c r="B6" s="337" t="s">
        <v>519</v>
      </c>
      <c r="C6" s="338" t="s">
        <v>520</v>
      </c>
      <c r="D6" s="337" t="s">
        <v>427</v>
      </c>
      <c r="E6" s="337" t="s">
        <v>521</v>
      </c>
      <c r="F6" s="337" t="s">
        <v>522</v>
      </c>
      <c r="G6" s="342">
        <f t="shared" si="0"/>
        <v>0.48791999999999996</v>
      </c>
      <c r="H6" s="341"/>
    </row>
    <row r="7" spans="1:8" ht="27" x14ac:dyDescent="0.2">
      <c r="A7" s="337" t="s">
        <v>523</v>
      </c>
      <c r="B7" s="337" t="s">
        <v>524</v>
      </c>
      <c r="C7" s="338" t="s">
        <v>525</v>
      </c>
      <c r="D7" s="337" t="s">
        <v>32</v>
      </c>
      <c r="E7" s="337" t="s">
        <v>526</v>
      </c>
      <c r="F7" s="337" t="s">
        <v>527</v>
      </c>
      <c r="G7" s="342">
        <f t="shared" si="0"/>
        <v>3.0446219999999999</v>
      </c>
      <c r="H7" s="341"/>
    </row>
    <row r="8" spans="1:8" ht="27" x14ac:dyDescent="0.2">
      <c r="A8" s="337" t="s">
        <v>523</v>
      </c>
      <c r="B8" s="337" t="s">
        <v>528</v>
      </c>
      <c r="C8" s="338" t="s">
        <v>529</v>
      </c>
      <c r="D8" s="337" t="s">
        <v>32</v>
      </c>
      <c r="E8" s="337" t="s">
        <v>530</v>
      </c>
      <c r="F8" s="337" t="s">
        <v>531</v>
      </c>
      <c r="G8" s="342">
        <f t="shared" si="0"/>
        <v>10.808028</v>
      </c>
      <c r="H8" s="341"/>
    </row>
    <row r="9" spans="1:8" ht="40.5" x14ac:dyDescent="0.2">
      <c r="A9" s="337" t="s">
        <v>523</v>
      </c>
      <c r="B9" s="337" t="s">
        <v>532</v>
      </c>
      <c r="C9" s="338" t="s">
        <v>533</v>
      </c>
      <c r="D9" s="337" t="s">
        <v>411</v>
      </c>
      <c r="E9" s="337" t="s">
        <v>534</v>
      </c>
      <c r="F9" s="337" t="s">
        <v>535</v>
      </c>
      <c r="G9" s="342">
        <f t="shared" si="0"/>
        <v>7.1455999999999992E-2</v>
      </c>
      <c r="H9" s="341"/>
    </row>
    <row r="10" spans="1:8" ht="13.5" x14ac:dyDescent="0.2">
      <c r="A10" s="337"/>
      <c r="B10" s="337"/>
      <c r="C10" s="338"/>
      <c r="D10" s="337"/>
      <c r="E10" s="337"/>
      <c r="F10" s="337"/>
      <c r="G10" s="342"/>
      <c r="H10" s="341"/>
    </row>
    <row r="11" spans="1:8" x14ac:dyDescent="0.2">
      <c r="A11" s="331" t="s">
        <v>29</v>
      </c>
      <c r="B11" s="331" t="s">
        <v>536</v>
      </c>
      <c r="C11" s="331"/>
      <c r="D11" s="331"/>
      <c r="E11" s="331"/>
      <c r="F11" s="331"/>
      <c r="G11" s="331"/>
      <c r="H11" s="341"/>
    </row>
    <row r="12" spans="1:8" ht="27" x14ac:dyDescent="0.2">
      <c r="B12" s="343"/>
      <c r="C12" s="334" t="s">
        <v>537</v>
      </c>
      <c r="D12" s="343"/>
      <c r="E12" s="343"/>
      <c r="F12" s="344" t="s">
        <v>56</v>
      </c>
      <c r="G12" s="336">
        <f>G13</f>
        <v>73.088999999999999</v>
      </c>
    </row>
    <row r="13" spans="1:8" ht="94.5" x14ac:dyDescent="0.2">
      <c r="A13" s="337" t="s">
        <v>538</v>
      </c>
      <c r="B13" s="337" t="s">
        <v>539</v>
      </c>
      <c r="C13" s="338" t="s">
        <v>540</v>
      </c>
      <c r="D13" s="337" t="s">
        <v>56</v>
      </c>
      <c r="E13" s="339">
        <v>1</v>
      </c>
      <c r="F13" s="339" t="s">
        <v>541</v>
      </c>
      <c r="G13" s="342">
        <f>SUM(G14:G20)</f>
        <v>73.088999999999999</v>
      </c>
    </row>
    <row r="14" spans="1:8" ht="13.5" x14ac:dyDescent="0.2">
      <c r="A14" s="337" t="s">
        <v>542</v>
      </c>
      <c r="B14" s="337" t="s">
        <v>543</v>
      </c>
      <c r="C14" s="338" t="s">
        <v>544</v>
      </c>
      <c r="D14" s="337" t="s">
        <v>32</v>
      </c>
      <c r="E14" s="339" t="s">
        <v>545</v>
      </c>
      <c r="F14" s="337" t="s">
        <v>531</v>
      </c>
      <c r="G14" s="342">
        <f t="shared" ref="G14:G20" si="1">E14*F14</f>
        <v>10.584</v>
      </c>
    </row>
    <row r="15" spans="1:8" ht="27" x14ac:dyDescent="0.2">
      <c r="A15" s="337" t="s">
        <v>542</v>
      </c>
      <c r="B15" s="337" t="s">
        <v>546</v>
      </c>
      <c r="C15" s="338" t="s">
        <v>547</v>
      </c>
      <c r="D15" s="337" t="s">
        <v>32</v>
      </c>
      <c r="E15" s="339" t="s">
        <v>545</v>
      </c>
      <c r="F15" s="337" t="s">
        <v>527</v>
      </c>
      <c r="G15" s="342">
        <f t="shared" si="1"/>
        <v>8.9459999999999997</v>
      </c>
    </row>
    <row r="16" spans="1:8" ht="27" x14ac:dyDescent="0.2">
      <c r="A16" s="337" t="s">
        <v>548</v>
      </c>
      <c r="B16" s="337" t="s">
        <v>549</v>
      </c>
      <c r="C16" s="338" t="s">
        <v>550</v>
      </c>
      <c r="D16" s="337" t="s">
        <v>56</v>
      </c>
      <c r="E16" s="339" t="s">
        <v>551</v>
      </c>
      <c r="F16" s="339" t="s">
        <v>552</v>
      </c>
      <c r="G16" s="342">
        <f t="shared" si="1"/>
        <v>10.8</v>
      </c>
    </row>
    <row r="17" spans="1:8" ht="27" x14ac:dyDescent="0.2">
      <c r="A17" s="337" t="s">
        <v>548</v>
      </c>
      <c r="B17" s="337" t="s">
        <v>553</v>
      </c>
      <c r="C17" s="338" t="s">
        <v>537</v>
      </c>
      <c r="D17" s="337" t="s">
        <v>56</v>
      </c>
      <c r="E17" s="339" t="s">
        <v>551</v>
      </c>
      <c r="F17" s="339" t="s">
        <v>554</v>
      </c>
      <c r="G17" s="342">
        <f t="shared" si="1"/>
        <v>35.5</v>
      </c>
    </row>
    <row r="18" spans="1:8" ht="27" x14ac:dyDescent="0.2">
      <c r="A18" s="337" t="s">
        <v>555</v>
      </c>
      <c r="B18" s="337" t="s">
        <v>556</v>
      </c>
      <c r="C18" s="338" t="s">
        <v>557</v>
      </c>
      <c r="D18" s="337" t="s">
        <v>558</v>
      </c>
      <c r="E18" s="339" t="s">
        <v>559</v>
      </c>
      <c r="F18" s="339" t="s">
        <v>560</v>
      </c>
      <c r="G18" s="342">
        <f t="shared" si="1"/>
        <v>2.75</v>
      </c>
    </row>
    <row r="19" spans="1:8" ht="27" x14ac:dyDescent="0.2">
      <c r="A19" s="337" t="s">
        <v>555</v>
      </c>
      <c r="B19" s="337" t="s">
        <v>561</v>
      </c>
      <c r="C19" s="338" t="s">
        <v>562</v>
      </c>
      <c r="D19" s="337" t="s">
        <v>558</v>
      </c>
      <c r="E19" s="339" t="s">
        <v>551</v>
      </c>
      <c r="F19" s="339" t="s">
        <v>563</v>
      </c>
      <c r="G19" s="342">
        <f t="shared" si="1"/>
        <v>2.1</v>
      </c>
    </row>
    <row r="20" spans="1:8" ht="27" x14ac:dyDescent="0.2">
      <c r="A20" s="337" t="s">
        <v>555</v>
      </c>
      <c r="B20" s="337" t="s">
        <v>564</v>
      </c>
      <c r="C20" s="338" t="s">
        <v>565</v>
      </c>
      <c r="D20" s="337" t="s">
        <v>566</v>
      </c>
      <c r="E20" s="339" t="s">
        <v>567</v>
      </c>
      <c r="F20" s="339" t="s">
        <v>568</v>
      </c>
      <c r="G20" s="342">
        <f t="shared" si="1"/>
        <v>2.4090000000000003</v>
      </c>
      <c r="H20" s="345"/>
    </row>
    <row r="22" spans="1:8" x14ac:dyDescent="0.2">
      <c r="B22" s="331" t="s">
        <v>569</v>
      </c>
      <c r="C22" s="331"/>
      <c r="D22" s="331"/>
      <c r="E22" s="331"/>
      <c r="F22" s="331"/>
      <c r="G22" s="331"/>
    </row>
    <row r="23" spans="1:8" ht="54" x14ac:dyDescent="0.2">
      <c r="B23" s="343"/>
      <c r="C23" s="334" t="s">
        <v>180</v>
      </c>
      <c r="D23" s="343"/>
      <c r="E23" s="343"/>
      <c r="F23" s="344" t="s">
        <v>45</v>
      </c>
      <c r="G23" s="336">
        <f>G36</f>
        <v>1488.24</v>
      </c>
    </row>
    <row r="24" spans="1:8" ht="13.5" x14ac:dyDescent="0.2">
      <c r="B24" s="338"/>
      <c r="C24" s="346" t="s">
        <v>570</v>
      </c>
      <c r="D24" s="338"/>
      <c r="E24" s="338"/>
      <c r="F24" s="338"/>
      <c r="G24" s="338"/>
    </row>
    <row r="25" spans="1:8" ht="27" x14ac:dyDescent="0.2">
      <c r="B25" s="338" t="s">
        <v>571</v>
      </c>
      <c r="C25" s="338" t="s">
        <v>572</v>
      </c>
      <c r="D25" s="339" t="s">
        <v>186</v>
      </c>
      <c r="E25" s="339">
        <v>1</v>
      </c>
      <c r="F25" s="339">
        <v>164.45</v>
      </c>
      <c r="G25" s="339">
        <f>(E25*F25)</f>
        <v>164.45</v>
      </c>
    </row>
    <row r="26" spans="1:8" ht="27" x14ac:dyDescent="0.2">
      <c r="B26" s="338" t="s">
        <v>573</v>
      </c>
      <c r="C26" s="338" t="s">
        <v>574</v>
      </c>
      <c r="D26" s="339" t="s">
        <v>186</v>
      </c>
      <c r="E26" s="339">
        <v>1</v>
      </c>
      <c r="F26" s="339">
        <v>75.58</v>
      </c>
      <c r="G26" s="339">
        <f>(E26*F26)</f>
        <v>75.58</v>
      </c>
    </row>
    <row r="27" spans="1:8" ht="13.5" x14ac:dyDescent="0.2">
      <c r="B27" s="338" t="s">
        <v>573</v>
      </c>
      <c r="C27" s="338" t="s">
        <v>575</v>
      </c>
      <c r="D27" s="339" t="s">
        <v>186</v>
      </c>
      <c r="E27" s="339">
        <v>1</v>
      </c>
      <c r="F27" s="339">
        <v>62.69</v>
      </c>
      <c r="G27" s="339">
        <f>(E27*F27)</f>
        <v>62.69</v>
      </c>
    </row>
    <row r="28" spans="1:8" ht="40.5" x14ac:dyDescent="0.2">
      <c r="B28" s="338" t="s">
        <v>573</v>
      </c>
      <c r="C28" s="338" t="s">
        <v>576</v>
      </c>
      <c r="D28" s="339" t="s">
        <v>186</v>
      </c>
      <c r="E28" s="339">
        <v>1</v>
      </c>
      <c r="F28" s="339">
        <v>922.58</v>
      </c>
      <c r="G28" s="339">
        <f>E28*F28</f>
        <v>922.58</v>
      </c>
    </row>
    <row r="29" spans="1:8" ht="27" x14ac:dyDescent="0.2">
      <c r="B29" s="338" t="s">
        <v>573</v>
      </c>
      <c r="C29" s="338" t="s">
        <v>577</v>
      </c>
      <c r="D29" s="339" t="s">
        <v>186</v>
      </c>
      <c r="E29" s="339">
        <v>2</v>
      </c>
      <c r="F29" s="339">
        <v>66.37</v>
      </c>
      <c r="G29" s="339">
        <f>E29*F29</f>
        <v>132.74</v>
      </c>
    </row>
    <row r="30" spans="1:8" ht="13.5" x14ac:dyDescent="0.2">
      <c r="B30" s="338"/>
      <c r="C30" s="346" t="s">
        <v>578</v>
      </c>
      <c r="D30" s="339"/>
      <c r="E30" s="339"/>
      <c r="F30" s="339"/>
      <c r="G30" s="339"/>
    </row>
    <row r="31" spans="1:8" ht="27" x14ac:dyDescent="0.2">
      <c r="B31" s="338" t="s">
        <v>579</v>
      </c>
      <c r="C31" s="338" t="s">
        <v>580</v>
      </c>
      <c r="D31" s="339" t="s">
        <v>581</v>
      </c>
      <c r="E31" s="339">
        <v>4</v>
      </c>
      <c r="F31" s="337" t="s">
        <v>531</v>
      </c>
      <c r="G31" s="339">
        <f>E31*F31</f>
        <v>70.56</v>
      </c>
    </row>
    <row r="32" spans="1:8" ht="27" x14ac:dyDescent="0.2">
      <c r="B32" s="338" t="s">
        <v>582</v>
      </c>
      <c r="C32" s="338" t="s">
        <v>583</v>
      </c>
      <c r="D32" s="339" t="s">
        <v>581</v>
      </c>
      <c r="E32" s="339">
        <v>4</v>
      </c>
      <c r="F32" s="337" t="s">
        <v>527</v>
      </c>
      <c r="G32" s="339">
        <f>E32*F32</f>
        <v>59.64</v>
      </c>
    </row>
    <row r="33" spans="2:7" ht="13.5" x14ac:dyDescent="0.2">
      <c r="B33" s="338"/>
      <c r="C33" s="338" t="s">
        <v>584</v>
      </c>
      <c r="D33" s="339"/>
      <c r="E33" s="339"/>
      <c r="F33" s="339"/>
      <c r="G33" s="339">
        <f>G32+G31</f>
        <v>130.19999999999999</v>
      </c>
    </row>
    <row r="34" spans="2:7" ht="13.5" x14ac:dyDescent="0.2">
      <c r="B34" s="338"/>
      <c r="C34" s="338"/>
      <c r="D34" s="339"/>
      <c r="E34" s="339"/>
      <c r="F34" s="339"/>
      <c r="G34" s="339"/>
    </row>
    <row r="35" spans="2:7" ht="13.5" x14ac:dyDescent="0.2">
      <c r="B35" s="338"/>
      <c r="C35" s="338" t="s">
        <v>584</v>
      </c>
      <c r="D35" s="339"/>
      <c r="E35" s="339"/>
      <c r="F35" s="339"/>
      <c r="G35" s="339">
        <f>SUM(G25:G29)</f>
        <v>1358.04</v>
      </c>
    </row>
    <row r="36" spans="2:7" ht="13.5" x14ac:dyDescent="0.2">
      <c r="B36" s="338"/>
      <c r="C36" s="338" t="s">
        <v>585</v>
      </c>
      <c r="D36" s="339"/>
      <c r="E36" s="339"/>
      <c r="F36" s="339"/>
      <c r="G36" s="339">
        <f>G33+G35</f>
        <v>1488.24</v>
      </c>
    </row>
    <row r="37" spans="2:7" ht="27" x14ac:dyDescent="0.2">
      <c r="B37" s="338"/>
      <c r="C37" s="338" t="s">
        <v>586</v>
      </c>
      <c r="D37" s="339"/>
      <c r="E37" s="339"/>
      <c r="F37" s="339"/>
      <c r="G37" s="339"/>
    </row>
    <row r="39" spans="2:7" ht="15" x14ac:dyDescent="0.25">
      <c r="B39" s="347"/>
      <c r="C39" s="348"/>
      <c r="D39" s="348"/>
      <c r="E39" s="349"/>
      <c r="F39" s="348"/>
      <c r="G39" s="348"/>
    </row>
    <row r="40" spans="2:7" x14ac:dyDescent="0.2">
      <c r="B40" s="331" t="s">
        <v>587</v>
      </c>
      <c r="C40" s="331"/>
      <c r="D40" s="331"/>
      <c r="E40" s="331"/>
      <c r="F40" s="331"/>
      <c r="G40" s="331"/>
    </row>
    <row r="41" spans="2:7" ht="13.5" x14ac:dyDescent="0.2">
      <c r="B41" s="343"/>
      <c r="C41" s="334" t="s">
        <v>588</v>
      </c>
      <c r="D41" s="334"/>
      <c r="E41" s="334"/>
      <c r="F41" s="350" t="s">
        <v>42</v>
      </c>
      <c r="G41" s="336">
        <f>G45</f>
        <v>216.762</v>
      </c>
    </row>
    <row r="42" spans="2:7" ht="13.5" x14ac:dyDescent="0.2">
      <c r="B42" s="338"/>
      <c r="C42" s="338" t="s">
        <v>589</v>
      </c>
      <c r="D42" s="338"/>
      <c r="E42" s="338"/>
      <c r="F42" s="338"/>
      <c r="G42" s="351"/>
    </row>
    <row r="43" spans="2:7" ht="13.5" x14ac:dyDescent="0.2">
      <c r="B43" s="338"/>
      <c r="C43" s="338" t="s">
        <v>590</v>
      </c>
      <c r="D43" s="339" t="s">
        <v>581</v>
      </c>
      <c r="E43" s="339">
        <v>1.3</v>
      </c>
      <c r="F43" s="337" t="s">
        <v>531</v>
      </c>
      <c r="G43" s="340">
        <f>E43*F43</f>
        <v>22.932000000000002</v>
      </c>
    </row>
    <row r="44" spans="2:7" ht="13.5" x14ac:dyDescent="0.2">
      <c r="B44" s="338"/>
      <c r="C44" s="338" t="s">
        <v>591</v>
      </c>
      <c r="D44" s="339" t="s">
        <v>581</v>
      </c>
      <c r="E44" s="339">
        <v>13</v>
      </c>
      <c r="F44" s="337" t="s">
        <v>527</v>
      </c>
      <c r="G44" s="340">
        <f>E44*F44</f>
        <v>193.83</v>
      </c>
    </row>
    <row r="45" spans="2:7" ht="13.5" x14ac:dyDescent="0.2">
      <c r="B45" s="338"/>
      <c r="C45" s="338" t="s">
        <v>585</v>
      </c>
      <c r="D45" s="339"/>
      <c r="E45" s="339"/>
      <c r="F45" s="339"/>
      <c r="G45" s="340">
        <f>G44+G43</f>
        <v>216.762</v>
      </c>
    </row>
    <row r="46" spans="2:7" ht="13.5" x14ac:dyDescent="0.2">
      <c r="B46" s="338"/>
      <c r="C46" s="338" t="s">
        <v>592</v>
      </c>
      <c r="D46" s="338"/>
      <c r="E46" s="338"/>
      <c r="F46" s="338"/>
      <c r="G46" s="351"/>
    </row>
    <row r="48" spans="2:7" x14ac:dyDescent="0.2">
      <c r="B48" s="331" t="s">
        <v>593</v>
      </c>
      <c r="C48" s="331"/>
      <c r="D48" s="331"/>
      <c r="E48" s="331"/>
      <c r="F48" s="331"/>
      <c r="G48" s="331"/>
    </row>
    <row r="49" spans="2:7" ht="13.5" x14ac:dyDescent="0.2">
      <c r="B49" s="343"/>
      <c r="C49" s="334" t="s">
        <v>594</v>
      </c>
      <c r="D49" s="334"/>
      <c r="E49" s="334"/>
      <c r="F49" s="350" t="s">
        <v>24</v>
      </c>
      <c r="G49" s="336">
        <f>G54</f>
        <v>16.424099999999999</v>
      </c>
    </row>
    <row r="50" spans="2:7" ht="13.5" x14ac:dyDescent="0.2">
      <c r="B50" s="338"/>
      <c r="C50" s="338" t="s">
        <v>595</v>
      </c>
      <c r="D50" s="339"/>
      <c r="E50" s="339"/>
      <c r="F50" s="339"/>
      <c r="G50" s="339"/>
    </row>
    <row r="51" spans="2:7" ht="13.5" x14ac:dyDescent="0.2">
      <c r="B51" s="338"/>
      <c r="C51" s="338" t="s">
        <v>596</v>
      </c>
      <c r="D51" s="339"/>
      <c r="E51" s="339"/>
      <c r="F51" s="339"/>
      <c r="G51" s="339"/>
    </row>
    <row r="52" spans="2:7" ht="13.5" x14ac:dyDescent="0.2">
      <c r="B52" s="338"/>
      <c r="C52" s="338" t="s">
        <v>597</v>
      </c>
      <c r="D52" s="339" t="s">
        <v>581</v>
      </c>
      <c r="E52" s="339">
        <v>0.5</v>
      </c>
      <c r="F52" s="337" t="s">
        <v>531</v>
      </c>
      <c r="G52" s="339">
        <f>E52*F52</f>
        <v>8.82</v>
      </c>
    </row>
    <row r="53" spans="2:7" ht="13.5" x14ac:dyDescent="0.2">
      <c r="B53" s="338"/>
      <c r="C53" s="338" t="s">
        <v>598</v>
      </c>
      <c r="D53" s="339" t="s">
        <v>581</v>
      </c>
      <c r="E53" s="339">
        <v>0.51</v>
      </c>
      <c r="F53" s="337" t="s">
        <v>527</v>
      </c>
      <c r="G53" s="340">
        <f>E53*F53</f>
        <v>7.6040999999999999</v>
      </c>
    </row>
    <row r="54" spans="2:7" ht="13.5" x14ac:dyDescent="0.2">
      <c r="B54" s="338"/>
      <c r="C54" s="338" t="s">
        <v>585</v>
      </c>
      <c r="D54" s="339"/>
      <c r="E54" s="339"/>
      <c r="F54" s="339"/>
      <c r="G54" s="340">
        <f>G52+G53</f>
        <v>16.424099999999999</v>
      </c>
    </row>
    <row r="55" spans="2:7" ht="13.5" x14ac:dyDescent="0.2">
      <c r="B55" s="338"/>
      <c r="C55" s="338"/>
      <c r="D55" s="339"/>
      <c r="E55" s="339"/>
      <c r="F55" s="339"/>
      <c r="G55" s="339"/>
    </row>
    <row r="56" spans="2:7" x14ac:dyDescent="0.2">
      <c r="B56" s="331" t="s">
        <v>599</v>
      </c>
      <c r="C56" s="331"/>
      <c r="D56" s="331"/>
      <c r="E56" s="331"/>
      <c r="F56" s="331"/>
      <c r="G56" s="331"/>
    </row>
    <row r="57" spans="2:7" ht="27" x14ac:dyDescent="0.2">
      <c r="B57" s="343"/>
      <c r="C57" s="334" t="s">
        <v>600</v>
      </c>
      <c r="D57" s="334"/>
      <c r="E57" s="334"/>
      <c r="F57" s="350" t="s">
        <v>45</v>
      </c>
      <c r="G57" s="336">
        <f>G61+G66</f>
        <v>690.19490500000006</v>
      </c>
    </row>
    <row r="58" spans="2:7" ht="40.5" x14ac:dyDescent="0.2">
      <c r="B58" s="338">
        <v>4384</v>
      </c>
      <c r="C58" s="338" t="s">
        <v>601</v>
      </c>
      <c r="D58" s="339" t="s">
        <v>45</v>
      </c>
      <c r="E58" s="339">
        <v>2</v>
      </c>
      <c r="F58" s="339">
        <v>16.309999999999999</v>
      </c>
      <c r="G58" s="340">
        <f>E58*F58</f>
        <v>32.619999999999997</v>
      </c>
    </row>
    <row r="59" spans="2:7" ht="27" x14ac:dyDescent="0.2">
      <c r="B59" s="338"/>
      <c r="C59" s="338" t="s">
        <v>285</v>
      </c>
      <c r="D59" s="339" t="s">
        <v>45</v>
      </c>
      <c r="E59" s="339">
        <v>1</v>
      </c>
      <c r="F59" s="339">
        <v>647.71</v>
      </c>
      <c r="G59" s="340">
        <f>E59*F59</f>
        <v>647.71</v>
      </c>
    </row>
    <row r="60" spans="2:7" ht="13.5" x14ac:dyDescent="0.2">
      <c r="B60" s="338">
        <v>34356</v>
      </c>
      <c r="C60" s="338" t="s">
        <v>602</v>
      </c>
      <c r="D60" s="339" t="s">
        <v>427</v>
      </c>
      <c r="E60" s="339">
        <v>5.0700000000000002E-2</v>
      </c>
      <c r="F60" s="339">
        <v>3.15</v>
      </c>
      <c r="G60" s="340">
        <f>E60*F60</f>
        <v>0.15970500000000001</v>
      </c>
    </row>
    <row r="61" spans="2:7" ht="13.5" x14ac:dyDescent="0.2">
      <c r="B61" s="338"/>
      <c r="C61" s="338" t="s">
        <v>603</v>
      </c>
      <c r="D61" s="339"/>
      <c r="E61" s="339"/>
      <c r="F61" s="339"/>
      <c r="G61" s="340">
        <f>G58+G59+G60</f>
        <v>680.48970500000007</v>
      </c>
    </row>
    <row r="62" spans="2:7" ht="13.5" x14ac:dyDescent="0.2">
      <c r="B62" s="338"/>
      <c r="C62" s="338" t="s">
        <v>604</v>
      </c>
      <c r="D62" s="339"/>
      <c r="E62" s="339"/>
      <c r="F62" s="339"/>
      <c r="G62" s="340"/>
    </row>
    <row r="63" spans="2:7" ht="13.5" x14ac:dyDescent="0.2">
      <c r="B63" s="338"/>
      <c r="C63" s="346" t="s">
        <v>605</v>
      </c>
      <c r="D63" s="339"/>
      <c r="E63" s="339"/>
      <c r="F63" s="339"/>
      <c r="G63" s="340"/>
    </row>
    <row r="64" spans="2:7" ht="13.5" x14ac:dyDescent="0.2">
      <c r="B64" s="338"/>
      <c r="C64" s="338" t="s">
        <v>606</v>
      </c>
      <c r="D64" s="339" t="s">
        <v>32</v>
      </c>
      <c r="E64" s="339">
        <v>0.39</v>
      </c>
      <c r="F64" s="339">
        <v>17.86</v>
      </c>
      <c r="G64" s="340">
        <f>E64*F64</f>
        <v>6.9653999999999998</v>
      </c>
    </row>
    <row r="65" spans="2:7" ht="13.5" x14ac:dyDescent="0.2">
      <c r="B65" s="338"/>
      <c r="C65" s="338" t="s">
        <v>607</v>
      </c>
      <c r="D65" s="339" t="s">
        <v>32</v>
      </c>
      <c r="E65" s="339">
        <v>0.19</v>
      </c>
      <c r="F65" s="339">
        <v>14.42</v>
      </c>
      <c r="G65" s="340">
        <f>E65*F65</f>
        <v>2.7398000000000002</v>
      </c>
    </row>
    <row r="66" spans="2:7" ht="13.5" x14ac:dyDescent="0.2">
      <c r="B66" s="338"/>
      <c r="C66" s="338" t="s">
        <v>498</v>
      </c>
      <c r="D66" s="339"/>
      <c r="E66" s="339"/>
      <c r="F66" s="339"/>
      <c r="G66" s="340">
        <f>G64+G65</f>
        <v>9.7051999999999996</v>
      </c>
    </row>
    <row r="67" spans="2:7" ht="13.5" x14ac:dyDescent="0.2">
      <c r="B67" s="338"/>
      <c r="C67" s="338"/>
      <c r="D67" s="338"/>
      <c r="E67" s="338"/>
      <c r="F67" s="338"/>
      <c r="G67" s="338"/>
    </row>
    <row r="68" spans="2:7" x14ac:dyDescent="0.2">
      <c r="B68" s="331" t="s">
        <v>646</v>
      </c>
      <c r="C68" s="331"/>
      <c r="D68" s="331"/>
      <c r="E68" s="331"/>
      <c r="F68" s="331"/>
      <c r="G68" s="331"/>
    </row>
    <row r="69" spans="2:7" ht="13.5" x14ac:dyDescent="0.2">
      <c r="B69" s="343"/>
      <c r="C69" s="334" t="s">
        <v>642</v>
      </c>
      <c r="D69" s="373" t="s">
        <v>45</v>
      </c>
      <c r="E69" s="343"/>
      <c r="F69" s="373" t="s">
        <v>45</v>
      </c>
      <c r="G69" s="374">
        <f>G72</f>
        <v>397</v>
      </c>
    </row>
    <row r="70" spans="2:7" ht="27" x14ac:dyDescent="0.2">
      <c r="B70" s="338"/>
      <c r="C70" s="338" t="s">
        <v>643</v>
      </c>
      <c r="D70" s="339" t="s">
        <v>45</v>
      </c>
      <c r="E70" s="340">
        <v>1</v>
      </c>
      <c r="F70" s="340">
        <v>327</v>
      </c>
      <c r="G70" s="340">
        <v>327</v>
      </c>
    </row>
    <row r="71" spans="2:7" ht="27" x14ac:dyDescent="0.2">
      <c r="B71" s="338"/>
      <c r="C71" s="338" t="s">
        <v>644</v>
      </c>
      <c r="D71" s="339" t="s">
        <v>45</v>
      </c>
      <c r="E71" s="340">
        <v>7</v>
      </c>
      <c r="F71" s="340">
        <v>10</v>
      </c>
      <c r="G71" s="340">
        <v>70</v>
      </c>
    </row>
    <row r="72" spans="2:7" ht="13.5" x14ac:dyDescent="0.2">
      <c r="B72" s="338"/>
      <c r="C72" s="338"/>
      <c r="D72" s="339"/>
      <c r="E72" s="340"/>
      <c r="F72" s="340"/>
      <c r="G72" s="340">
        <v>397</v>
      </c>
    </row>
    <row r="73" spans="2:7" x14ac:dyDescent="0.2">
      <c r="B73" s="331" t="s">
        <v>645</v>
      </c>
      <c r="C73" s="331"/>
      <c r="D73" s="331"/>
      <c r="E73" s="331"/>
      <c r="F73" s="331"/>
      <c r="G73" s="331"/>
    </row>
    <row r="74" spans="2:7" ht="54" x14ac:dyDescent="0.2">
      <c r="B74" s="343"/>
      <c r="C74" s="334" t="s">
        <v>609</v>
      </c>
      <c r="D74" s="343"/>
      <c r="E74" s="334"/>
      <c r="F74" s="343" t="s">
        <v>45</v>
      </c>
      <c r="G74" s="334">
        <f>G84</f>
        <v>112.464</v>
      </c>
    </row>
    <row r="75" spans="2:7" ht="13.5" x14ac:dyDescent="0.2">
      <c r="B75" s="338"/>
      <c r="C75" s="338" t="s">
        <v>610</v>
      </c>
      <c r="D75" s="339"/>
      <c r="E75" s="339"/>
      <c r="F75" s="339"/>
      <c r="G75" s="339"/>
    </row>
    <row r="76" spans="2:7" ht="13.5" x14ac:dyDescent="0.2">
      <c r="B76" s="338"/>
      <c r="C76" s="338" t="s">
        <v>578</v>
      </c>
      <c r="D76" s="339"/>
      <c r="E76" s="339"/>
      <c r="F76" s="339"/>
      <c r="G76" s="339"/>
    </row>
    <row r="77" spans="2:7" ht="13.5" x14ac:dyDescent="0.2">
      <c r="B77" s="338" t="s">
        <v>611</v>
      </c>
      <c r="C77" s="338" t="s">
        <v>580</v>
      </c>
      <c r="D77" s="339" t="s">
        <v>581</v>
      </c>
      <c r="E77" s="339">
        <v>0.60000000000000009</v>
      </c>
      <c r="F77" s="339">
        <v>18.45</v>
      </c>
      <c r="G77" s="339">
        <f>E77*F77</f>
        <v>11.070000000000002</v>
      </c>
    </row>
    <row r="78" spans="2:7" ht="13.5" x14ac:dyDescent="0.2">
      <c r="B78" s="338" t="s">
        <v>612</v>
      </c>
      <c r="C78" s="338" t="s">
        <v>583</v>
      </c>
      <c r="D78" s="339" t="s">
        <v>581</v>
      </c>
      <c r="E78" s="339">
        <v>0.60000000000000009</v>
      </c>
      <c r="F78" s="339">
        <v>14.39</v>
      </c>
      <c r="G78" s="339">
        <f>E78*F78</f>
        <v>8.6340000000000021</v>
      </c>
    </row>
    <row r="79" spans="2:7" ht="13.5" x14ac:dyDescent="0.2">
      <c r="B79" s="338"/>
      <c r="C79" s="338" t="s">
        <v>584</v>
      </c>
      <c r="D79" s="339"/>
      <c r="E79" s="339"/>
      <c r="F79" s="339"/>
      <c r="G79" s="340">
        <f>SUM(G77:G78)</f>
        <v>19.704000000000004</v>
      </c>
    </row>
    <row r="80" spans="2:7" ht="13.5" x14ac:dyDescent="0.2">
      <c r="B80" s="338"/>
      <c r="C80" s="338" t="s">
        <v>570</v>
      </c>
      <c r="D80" s="339"/>
      <c r="E80" s="339"/>
      <c r="F80" s="339"/>
      <c r="G80" s="339"/>
    </row>
    <row r="81" spans="2:7" ht="40.5" x14ac:dyDescent="0.2">
      <c r="B81" s="338" t="s">
        <v>613</v>
      </c>
      <c r="C81" s="338" t="s">
        <v>614</v>
      </c>
      <c r="D81" s="339" t="s">
        <v>186</v>
      </c>
      <c r="E81" s="339">
        <v>1</v>
      </c>
      <c r="F81" s="339">
        <v>13.96</v>
      </c>
      <c r="G81" s="339">
        <f>(E81*F81)</f>
        <v>13.96</v>
      </c>
    </row>
    <row r="82" spans="2:7" ht="27" x14ac:dyDescent="0.2">
      <c r="B82" s="338" t="s">
        <v>615</v>
      </c>
      <c r="C82" s="338" t="s">
        <v>616</v>
      </c>
      <c r="D82" s="339" t="s">
        <v>186</v>
      </c>
      <c r="E82" s="339">
        <v>2</v>
      </c>
      <c r="F82" s="339">
        <v>39.4</v>
      </c>
      <c r="G82" s="339">
        <f>(E82*F82)</f>
        <v>78.8</v>
      </c>
    </row>
    <row r="83" spans="2:7" ht="13.5" x14ac:dyDescent="0.2">
      <c r="B83" s="338"/>
      <c r="C83" s="338" t="s">
        <v>584</v>
      </c>
      <c r="D83" s="339"/>
      <c r="E83" s="339"/>
      <c r="F83" s="339"/>
      <c r="G83" s="339">
        <f>SUM(G81:G82)</f>
        <v>92.759999999999991</v>
      </c>
    </row>
    <row r="84" spans="2:7" ht="13.5" x14ac:dyDescent="0.2">
      <c r="B84" s="338"/>
      <c r="C84" s="338" t="s">
        <v>585</v>
      </c>
      <c r="D84" s="339"/>
      <c r="E84" s="339"/>
      <c r="F84" s="339"/>
      <c r="G84" s="340">
        <f>G83+G79</f>
        <v>112.464</v>
      </c>
    </row>
    <row r="85" spans="2:7" x14ac:dyDescent="0.2">
      <c r="B85" s="352"/>
      <c r="C85" s="45"/>
      <c r="D85" s="352"/>
      <c r="E85" s="352"/>
      <c r="F85" s="352"/>
      <c r="G85" s="352"/>
    </row>
    <row r="86" spans="2:7" x14ac:dyDescent="0.2">
      <c r="B86" s="331" t="s">
        <v>651</v>
      </c>
      <c r="C86" s="331"/>
      <c r="D86" s="331"/>
      <c r="E86" s="331"/>
      <c r="F86" s="331"/>
      <c r="G86" s="331"/>
    </row>
    <row r="87" spans="2:7" ht="27" x14ac:dyDescent="0.2">
      <c r="B87" s="334"/>
      <c r="C87" s="334" t="s">
        <v>633</v>
      </c>
      <c r="D87" s="334"/>
      <c r="E87" s="334"/>
      <c r="F87" s="334"/>
      <c r="G87" s="334">
        <f>G96</f>
        <v>5.0950000000000006</v>
      </c>
    </row>
    <row r="88" spans="2:7" ht="13.5" x14ac:dyDescent="0.2">
      <c r="B88" s="338"/>
      <c r="C88" s="338" t="s">
        <v>634</v>
      </c>
      <c r="D88" s="338"/>
      <c r="E88" s="338"/>
      <c r="F88" s="338"/>
      <c r="G88" s="338"/>
    </row>
    <row r="89" spans="2:7" ht="13.5" x14ac:dyDescent="0.2">
      <c r="B89" s="338"/>
      <c r="C89" s="346" t="s">
        <v>578</v>
      </c>
      <c r="D89" s="338"/>
      <c r="E89" s="338"/>
      <c r="F89" s="338"/>
      <c r="G89" s="338"/>
    </row>
    <row r="90" spans="2:7" ht="27" x14ac:dyDescent="0.2">
      <c r="B90" s="338" t="s">
        <v>579</v>
      </c>
      <c r="C90" s="338" t="s">
        <v>580</v>
      </c>
      <c r="D90" s="338" t="s">
        <v>581</v>
      </c>
      <c r="E90" s="338">
        <v>0.125</v>
      </c>
      <c r="F90" s="338">
        <v>18.45</v>
      </c>
      <c r="G90" s="351">
        <f>E90*F90</f>
        <v>2.3062499999999999</v>
      </c>
    </row>
    <row r="91" spans="2:7" ht="27" x14ac:dyDescent="0.2">
      <c r="B91" s="338" t="s">
        <v>582</v>
      </c>
      <c r="C91" s="338" t="s">
        <v>583</v>
      </c>
      <c r="D91" s="338" t="s">
        <v>581</v>
      </c>
      <c r="E91" s="338">
        <v>0.125</v>
      </c>
      <c r="F91" s="338">
        <v>14.39</v>
      </c>
      <c r="G91" s="351">
        <f>E91*F91</f>
        <v>1.7987500000000001</v>
      </c>
    </row>
    <row r="92" spans="2:7" ht="13.5" x14ac:dyDescent="0.2">
      <c r="B92" s="338"/>
      <c r="C92" s="338" t="s">
        <v>584</v>
      </c>
      <c r="D92" s="338"/>
      <c r="E92" s="338"/>
      <c r="F92" s="338"/>
      <c r="G92" s="351">
        <f>G90+G91</f>
        <v>4.1050000000000004</v>
      </c>
    </row>
    <row r="93" spans="2:7" ht="13.5" x14ac:dyDescent="0.2">
      <c r="B93" s="338"/>
      <c r="C93" s="346" t="s">
        <v>570</v>
      </c>
      <c r="D93" s="338"/>
      <c r="E93" s="338"/>
      <c r="F93" s="338"/>
      <c r="G93" s="338"/>
    </row>
    <row r="94" spans="2:7" ht="27" x14ac:dyDescent="0.2">
      <c r="B94" s="338" t="s">
        <v>635</v>
      </c>
      <c r="C94" s="338" t="s">
        <v>636</v>
      </c>
      <c r="D94" s="338" t="s">
        <v>186</v>
      </c>
      <c r="E94" s="338">
        <v>1</v>
      </c>
      <c r="F94" s="338">
        <v>0.99</v>
      </c>
      <c r="G94" s="338">
        <f>E94*F94</f>
        <v>0.99</v>
      </c>
    </row>
    <row r="95" spans="2:7" ht="13.5" x14ac:dyDescent="0.2">
      <c r="B95" s="338"/>
      <c r="C95" s="338" t="s">
        <v>584</v>
      </c>
      <c r="D95" s="338"/>
      <c r="E95" s="338"/>
      <c r="F95" s="338"/>
      <c r="G95" s="338">
        <f>G94</f>
        <v>0.99</v>
      </c>
    </row>
    <row r="96" spans="2:7" ht="13.5" x14ac:dyDescent="0.2">
      <c r="B96" s="338"/>
      <c r="C96" s="338" t="s">
        <v>585</v>
      </c>
      <c r="D96" s="338"/>
      <c r="E96" s="338"/>
      <c r="F96" s="338"/>
      <c r="G96" s="351">
        <f>G95+G92</f>
        <v>5.0950000000000006</v>
      </c>
    </row>
    <row r="97" spans="2:7" ht="13.5" x14ac:dyDescent="0.2">
      <c r="B97" s="338"/>
      <c r="C97" s="338"/>
      <c r="D97" s="338"/>
      <c r="E97" s="338"/>
      <c r="F97" s="338"/>
      <c r="G97" s="338"/>
    </row>
    <row r="98" spans="2:7" x14ac:dyDescent="0.2">
      <c r="B98" s="331" t="s">
        <v>653</v>
      </c>
      <c r="C98" s="331"/>
      <c r="D98" s="331"/>
      <c r="E98" s="331"/>
      <c r="F98" s="331"/>
      <c r="G98" s="331"/>
    </row>
    <row r="99" spans="2:7" ht="13.5" x14ac:dyDescent="0.2">
      <c r="B99" s="334"/>
      <c r="C99" s="334" t="s">
        <v>617</v>
      </c>
      <c r="D99" s="334"/>
      <c r="E99" s="334"/>
      <c r="F99" s="334"/>
      <c r="G99" s="334">
        <f>G108</f>
        <v>3.6472000000000002</v>
      </c>
    </row>
    <row r="100" spans="2:7" ht="13.5" x14ac:dyDescent="0.2">
      <c r="B100" s="338"/>
      <c r="C100" s="338" t="s">
        <v>618</v>
      </c>
      <c r="D100" s="338"/>
      <c r="E100" s="338"/>
      <c r="F100" s="338"/>
      <c r="G100" s="338"/>
    </row>
    <row r="101" spans="2:7" ht="13.5" x14ac:dyDescent="0.2">
      <c r="B101" s="346"/>
      <c r="C101" s="346" t="s">
        <v>578</v>
      </c>
      <c r="D101" s="346"/>
      <c r="E101" s="346"/>
      <c r="F101" s="346"/>
      <c r="G101" s="346"/>
    </row>
    <row r="102" spans="2:7" ht="27" x14ac:dyDescent="0.2">
      <c r="B102" s="338" t="s">
        <v>579</v>
      </c>
      <c r="C102" s="338" t="s">
        <v>580</v>
      </c>
      <c r="D102" s="338" t="s">
        <v>581</v>
      </c>
      <c r="E102" s="338">
        <v>0.08</v>
      </c>
      <c r="F102" s="338">
        <v>18.45</v>
      </c>
      <c r="G102" s="351">
        <f>E102*F102</f>
        <v>1.476</v>
      </c>
    </row>
    <row r="103" spans="2:7" ht="27" x14ac:dyDescent="0.2">
      <c r="B103" s="338" t="s">
        <v>582</v>
      </c>
      <c r="C103" s="338" t="s">
        <v>583</v>
      </c>
      <c r="D103" s="338" t="s">
        <v>581</v>
      </c>
      <c r="E103" s="338">
        <v>0.08</v>
      </c>
      <c r="F103" s="338">
        <v>14.39</v>
      </c>
      <c r="G103" s="351">
        <f>E103*F103</f>
        <v>1.1512</v>
      </c>
    </row>
    <row r="104" spans="2:7" ht="13.5" x14ac:dyDescent="0.2">
      <c r="B104" s="338"/>
      <c r="C104" s="338" t="s">
        <v>584</v>
      </c>
      <c r="D104" s="338"/>
      <c r="E104" s="338"/>
      <c r="F104" s="338"/>
      <c r="G104" s="351">
        <f>G102+G103</f>
        <v>2.6272000000000002</v>
      </c>
    </row>
    <row r="105" spans="2:7" ht="13.5" x14ac:dyDescent="0.2">
      <c r="B105" s="346"/>
      <c r="C105" s="346" t="s">
        <v>570</v>
      </c>
      <c r="D105" s="346"/>
      <c r="E105" s="346"/>
      <c r="F105" s="346"/>
      <c r="G105" s="375"/>
    </row>
    <row r="106" spans="2:7" ht="27" x14ac:dyDescent="0.2">
      <c r="B106" s="338" t="s">
        <v>619</v>
      </c>
      <c r="C106" s="338" t="s">
        <v>620</v>
      </c>
      <c r="D106" s="338" t="s">
        <v>566</v>
      </c>
      <c r="E106" s="338">
        <v>1</v>
      </c>
      <c r="F106" s="338">
        <v>1.02</v>
      </c>
      <c r="G106" s="351">
        <f>E106*F106</f>
        <v>1.02</v>
      </c>
    </row>
    <row r="107" spans="2:7" ht="13.5" x14ac:dyDescent="0.2">
      <c r="B107" s="338"/>
      <c r="C107" s="338" t="s">
        <v>584</v>
      </c>
      <c r="D107" s="338"/>
      <c r="E107" s="338"/>
      <c r="F107" s="338"/>
      <c r="G107" s="351">
        <f>(G106)</f>
        <v>1.02</v>
      </c>
    </row>
    <row r="108" spans="2:7" ht="13.5" x14ac:dyDescent="0.2">
      <c r="B108" s="346"/>
      <c r="C108" s="346" t="s">
        <v>585</v>
      </c>
      <c r="D108" s="346"/>
      <c r="E108" s="346"/>
      <c r="F108" s="346"/>
      <c r="G108" s="375">
        <f>G104+G107</f>
        <v>3.6472000000000002</v>
      </c>
    </row>
    <row r="109" spans="2:7" ht="27" x14ac:dyDescent="0.2">
      <c r="B109" s="338"/>
      <c r="C109" s="338" t="s">
        <v>621</v>
      </c>
      <c r="D109" s="338"/>
      <c r="E109" s="338"/>
      <c r="F109" s="338"/>
      <c r="G109" s="338"/>
    </row>
    <row r="110" spans="2:7" ht="13.5" x14ac:dyDescent="0.2">
      <c r="B110" s="338"/>
      <c r="C110" s="338" t="s">
        <v>622</v>
      </c>
      <c r="D110" s="338"/>
      <c r="E110" s="338"/>
      <c r="F110" s="338"/>
      <c r="G110" s="338"/>
    </row>
    <row r="111" spans="2:7" ht="13.5" x14ac:dyDescent="0.2">
      <c r="B111" s="338"/>
      <c r="C111" s="338"/>
      <c r="D111" s="338"/>
      <c r="E111" s="338"/>
      <c r="F111" s="338"/>
      <c r="G111" s="338"/>
    </row>
    <row r="112" spans="2:7" x14ac:dyDescent="0.2">
      <c r="B112" s="331" t="s">
        <v>666</v>
      </c>
      <c r="C112" s="331"/>
      <c r="D112" s="331"/>
      <c r="E112" s="331"/>
      <c r="F112" s="331"/>
      <c r="G112" s="331"/>
    </row>
    <row r="113" spans="2:7" ht="40.5" x14ac:dyDescent="0.2">
      <c r="B113" s="334"/>
      <c r="C113" s="334" t="s">
        <v>628</v>
      </c>
      <c r="D113" s="334">
        <v>1</v>
      </c>
      <c r="E113" s="334"/>
      <c r="F113" s="334"/>
      <c r="G113" s="334">
        <f>G122</f>
        <v>80.105000000000004</v>
      </c>
    </row>
    <row r="114" spans="2:7" ht="13.5" x14ac:dyDescent="0.2">
      <c r="B114" s="338"/>
      <c r="C114" s="338" t="s">
        <v>625</v>
      </c>
      <c r="D114" s="338"/>
      <c r="E114" s="338"/>
      <c r="F114" s="338"/>
      <c r="G114" s="338"/>
    </row>
    <row r="115" spans="2:7" ht="13.5" x14ac:dyDescent="0.2">
      <c r="B115" s="338"/>
      <c r="C115" s="338" t="s">
        <v>578</v>
      </c>
      <c r="D115" s="338"/>
      <c r="E115" s="338"/>
      <c r="F115" s="338"/>
      <c r="G115" s="338"/>
    </row>
    <row r="116" spans="2:7" ht="13.5" x14ac:dyDescent="0.2">
      <c r="B116" s="338" t="s">
        <v>611</v>
      </c>
      <c r="C116" s="338" t="s">
        <v>580</v>
      </c>
      <c r="D116" s="338" t="s">
        <v>581</v>
      </c>
      <c r="E116" s="338">
        <v>0.125</v>
      </c>
      <c r="F116" s="338">
        <v>18.45</v>
      </c>
      <c r="G116" s="351">
        <f>E116*F116</f>
        <v>2.3062499999999999</v>
      </c>
    </row>
    <row r="117" spans="2:7" ht="13.5" x14ac:dyDescent="0.2">
      <c r="B117" s="338" t="s">
        <v>612</v>
      </c>
      <c r="C117" s="338" t="s">
        <v>583</v>
      </c>
      <c r="D117" s="338"/>
      <c r="E117" s="338">
        <v>0.125</v>
      </c>
      <c r="F117" s="338">
        <v>14.39</v>
      </c>
      <c r="G117" s="351">
        <f>E117*F117</f>
        <v>1.7987500000000001</v>
      </c>
    </row>
    <row r="118" spans="2:7" ht="13.5" x14ac:dyDescent="0.2">
      <c r="B118" s="338"/>
      <c r="C118" s="338" t="s">
        <v>584</v>
      </c>
      <c r="D118" s="338"/>
      <c r="E118" s="338"/>
      <c r="F118" s="338"/>
      <c r="G118" s="351">
        <f>(G116+G117)</f>
        <v>4.1050000000000004</v>
      </c>
    </row>
    <row r="119" spans="2:7" ht="13.5" x14ac:dyDescent="0.2">
      <c r="B119" s="338"/>
      <c r="C119" s="338" t="s">
        <v>570</v>
      </c>
      <c r="D119" s="338"/>
      <c r="E119" s="338"/>
      <c r="F119" s="338"/>
      <c r="G119" s="351"/>
    </row>
    <row r="120" spans="2:7" ht="27" x14ac:dyDescent="0.2">
      <c r="B120" s="338" t="s">
        <v>629</v>
      </c>
      <c r="C120" s="338" t="s">
        <v>630</v>
      </c>
      <c r="D120" s="338" t="s">
        <v>186</v>
      </c>
      <c r="E120" s="338">
        <v>1</v>
      </c>
      <c r="F120" s="338">
        <v>76</v>
      </c>
      <c r="G120" s="351">
        <f>(E120*F120)</f>
        <v>76</v>
      </c>
    </row>
    <row r="121" spans="2:7" ht="13.5" x14ac:dyDescent="0.2">
      <c r="B121" s="338"/>
      <c r="C121" s="338" t="s">
        <v>584</v>
      </c>
      <c r="D121" s="338"/>
      <c r="E121" s="338"/>
      <c r="F121" s="338"/>
      <c r="G121" s="351">
        <f>G120</f>
        <v>76</v>
      </c>
    </row>
    <row r="122" spans="2:7" ht="13.5" x14ac:dyDescent="0.2">
      <c r="B122" s="338"/>
      <c r="C122" s="338" t="s">
        <v>585</v>
      </c>
      <c r="D122" s="338"/>
      <c r="E122" s="338"/>
      <c r="F122" s="338"/>
      <c r="G122" s="351">
        <f>G121+G118</f>
        <v>80.105000000000004</v>
      </c>
    </row>
    <row r="123" spans="2:7" ht="13.5" x14ac:dyDescent="0.2">
      <c r="B123" s="338"/>
      <c r="C123" s="338"/>
      <c r="D123" s="338"/>
      <c r="E123" s="338"/>
      <c r="F123" s="338"/>
      <c r="G123" s="338"/>
    </row>
    <row r="124" spans="2:7" x14ac:dyDescent="0.2">
      <c r="B124" s="331" t="s">
        <v>668</v>
      </c>
      <c r="C124" s="331"/>
      <c r="D124" s="331"/>
      <c r="E124" s="331"/>
      <c r="F124" s="331"/>
      <c r="G124" s="331"/>
    </row>
    <row r="125" spans="2:7" ht="40.5" x14ac:dyDescent="0.2">
      <c r="B125" s="334"/>
      <c r="C125" s="334" t="s">
        <v>631</v>
      </c>
      <c r="D125" s="334">
        <v>1</v>
      </c>
      <c r="E125" s="334"/>
      <c r="F125" s="334"/>
      <c r="G125" s="334">
        <f>G134</f>
        <v>392.30600000000004</v>
      </c>
    </row>
    <row r="126" spans="2:7" ht="13.5" x14ac:dyDescent="0.2">
      <c r="B126" s="338"/>
      <c r="C126" s="338" t="s">
        <v>625</v>
      </c>
      <c r="D126" s="338"/>
      <c r="E126" s="338"/>
      <c r="F126" s="338"/>
      <c r="G126" s="338"/>
    </row>
    <row r="127" spans="2:7" ht="13.5" x14ac:dyDescent="0.2">
      <c r="B127" s="338"/>
      <c r="C127" s="338" t="s">
        <v>578</v>
      </c>
      <c r="D127" s="338"/>
      <c r="E127" s="338"/>
      <c r="F127" s="338"/>
      <c r="G127" s="338"/>
    </row>
    <row r="128" spans="2:7" ht="27" x14ac:dyDescent="0.2">
      <c r="B128" s="338" t="s">
        <v>579</v>
      </c>
      <c r="C128" s="338" t="s">
        <v>580</v>
      </c>
      <c r="D128" s="338" t="s">
        <v>581</v>
      </c>
      <c r="E128" s="338">
        <v>0.4</v>
      </c>
      <c r="F128" s="338">
        <v>18.45</v>
      </c>
      <c r="G128" s="351">
        <f>E128*F128</f>
        <v>7.38</v>
      </c>
    </row>
    <row r="129" spans="2:10" ht="27" x14ac:dyDescent="0.2">
      <c r="B129" s="338" t="s">
        <v>582</v>
      </c>
      <c r="C129" s="338" t="s">
        <v>583</v>
      </c>
      <c r="D129" s="338"/>
      <c r="E129" s="338">
        <v>0.4</v>
      </c>
      <c r="F129" s="338">
        <v>14.39</v>
      </c>
      <c r="G129" s="351">
        <f>E129*F129</f>
        <v>5.7560000000000002</v>
      </c>
    </row>
    <row r="130" spans="2:10" ht="13.5" x14ac:dyDescent="0.2">
      <c r="B130" s="338"/>
      <c r="C130" s="338" t="s">
        <v>584</v>
      </c>
      <c r="D130" s="338"/>
      <c r="E130" s="338"/>
      <c r="F130" s="338"/>
      <c r="G130" s="351">
        <f>(G128+G129)</f>
        <v>13.135999999999999</v>
      </c>
    </row>
    <row r="131" spans="2:10" ht="13.5" x14ac:dyDescent="0.2">
      <c r="B131" s="338"/>
      <c r="C131" s="338" t="s">
        <v>570</v>
      </c>
      <c r="D131" s="338"/>
      <c r="E131" s="338"/>
      <c r="F131" s="338"/>
      <c r="G131" s="351"/>
    </row>
    <row r="132" spans="2:10" ht="27" x14ac:dyDescent="0.2">
      <c r="B132" s="338" t="s">
        <v>632</v>
      </c>
      <c r="C132" s="338" t="s">
        <v>478</v>
      </c>
      <c r="D132" s="338" t="s">
        <v>186</v>
      </c>
      <c r="E132" s="338">
        <v>1</v>
      </c>
      <c r="F132" s="338">
        <v>379.17</v>
      </c>
      <c r="G132" s="351">
        <f>(E132*F132)</f>
        <v>379.17</v>
      </c>
    </row>
    <row r="133" spans="2:10" ht="13.5" x14ac:dyDescent="0.2">
      <c r="B133" s="338"/>
      <c r="C133" s="338" t="s">
        <v>584</v>
      </c>
      <c r="D133" s="338"/>
      <c r="E133" s="338"/>
      <c r="F133" s="338"/>
      <c r="G133" s="351">
        <f>G132</f>
        <v>379.17</v>
      </c>
    </row>
    <row r="134" spans="2:10" ht="13.5" x14ac:dyDescent="0.2">
      <c r="B134" s="338"/>
      <c r="C134" s="338" t="s">
        <v>585</v>
      </c>
      <c r="D134" s="338"/>
      <c r="E134" s="338"/>
      <c r="F134" s="338"/>
      <c r="G134" s="351">
        <f>G133+G130</f>
        <v>392.30600000000004</v>
      </c>
    </row>
    <row r="135" spans="2:10" ht="13.5" x14ac:dyDescent="0.2">
      <c r="B135" s="338"/>
      <c r="C135" s="338"/>
      <c r="D135" s="338"/>
      <c r="E135" s="338"/>
      <c r="F135" s="338"/>
      <c r="G135" s="338"/>
    </row>
    <row r="136" spans="2:10" x14ac:dyDescent="0.2">
      <c r="B136" s="331" t="s">
        <v>796</v>
      </c>
      <c r="C136" s="331"/>
      <c r="D136" s="331"/>
      <c r="E136" s="331"/>
      <c r="F136" s="331"/>
      <c r="G136" s="331"/>
      <c r="H136" s="382"/>
      <c r="I136" s="382"/>
      <c r="J136" s="382"/>
    </row>
    <row r="137" spans="2:10" ht="45.75" customHeight="1" x14ac:dyDescent="0.2">
      <c r="B137" s="334"/>
      <c r="C137" s="334" t="s">
        <v>608</v>
      </c>
      <c r="D137" s="334" t="s">
        <v>24</v>
      </c>
      <c r="E137" s="334"/>
      <c r="F137" s="334"/>
      <c r="G137" s="334">
        <f>G140</f>
        <v>23.321200000000001</v>
      </c>
      <c r="H137" s="382"/>
      <c r="I137" s="382"/>
      <c r="J137" s="382"/>
    </row>
    <row r="138" spans="2:10" ht="13.5" x14ac:dyDescent="0.2">
      <c r="B138" s="338"/>
      <c r="C138" s="338" t="s">
        <v>590</v>
      </c>
      <c r="D138" s="338" t="s">
        <v>581</v>
      </c>
      <c r="E138" s="338">
        <v>0.14000000000000001</v>
      </c>
      <c r="F138" s="338">
        <v>18.28</v>
      </c>
      <c r="G138" s="351">
        <f>E138*F138</f>
        <v>2.5592000000000006</v>
      </c>
      <c r="H138" s="382"/>
      <c r="I138" s="382"/>
      <c r="J138" s="382"/>
    </row>
    <row r="139" spans="2:10" ht="13.5" x14ac:dyDescent="0.2">
      <c r="B139" s="338"/>
      <c r="C139" s="338" t="s">
        <v>591</v>
      </c>
      <c r="D139" s="338" t="s">
        <v>581</v>
      </c>
      <c r="E139" s="338">
        <v>1.4</v>
      </c>
      <c r="F139" s="338">
        <v>14.83</v>
      </c>
      <c r="G139" s="351">
        <f>E139*F139</f>
        <v>20.762</v>
      </c>
      <c r="H139" s="382"/>
      <c r="I139" s="382"/>
      <c r="J139" s="382"/>
    </row>
    <row r="140" spans="2:10" ht="13.5" x14ac:dyDescent="0.2">
      <c r="B140" s="338"/>
      <c r="C140" s="338" t="s">
        <v>585</v>
      </c>
      <c r="D140" s="338"/>
      <c r="E140" s="338"/>
      <c r="F140" s="338"/>
      <c r="G140" s="351">
        <f>G139+G138</f>
        <v>23.321200000000001</v>
      </c>
      <c r="H140" s="382"/>
      <c r="I140" s="382"/>
      <c r="J140" s="382"/>
    </row>
    <row r="142" spans="2:10" x14ac:dyDescent="0.2">
      <c r="B142" s="331" t="s">
        <v>803</v>
      </c>
      <c r="C142" s="331"/>
      <c r="D142" s="331"/>
      <c r="E142" s="331"/>
      <c r="F142" s="331"/>
      <c r="G142" s="331"/>
    </row>
    <row r="143" spans="2:10" ht="13.5" x14ac:dyDescent="0.2">
      <c r="B143" s="334"/>
      <c r="C143" s="334" t="s">
        <v>814</v>
      </c>
      <c r="D143" s="334" t="s">
        <v>24</v>
      </c>
      <c r="E143" s="334"/>
      <c r="F143" s="334"/>
      <c r="G143" s="334">
        <f>G147</f>
        <v>8.9265500000000007</v>
      </c>
    </row>
    <row r="144" spans="2:10" ht="40.5" x14ac:dyDescent="0.2">
      <c r="B144" s="338"/>
      <c r="C144" s="338" t="s">
        <v>801</v>
      </c>
      <c r="D144" s="338" t="s">
        <v>398</v>
      </c>
      <c r="E144" s="338">
        <v>4.2499999999999998E-4</v>
      </c>
      <c r="F144" s="338">
        <v>3446</v>
      </c>
      <c r="G144" s="351">
        <f>E144*F144</f>
        <v>1.46455</v>
      </c>
    </row>
    <row r="145" spans="2:21" ht="13.5" x14ac:dyDescent="0.2">
      <c r="B145" s="338"/>
      <c r="C145" s="338" t="s">
        <v>815</v>
      </c>
      <c r="D145" s="338" t="s">
        <v>581</v>
      </c>
      <c r="E145" s="338">
        <v>0.2</v>
      </c>
      <c r="F145" s="338">
        <v>23</v>
      </c>
      <c r="G145" s="351">
        <f>E145*F145</f>
        <v>4.6000000000000005</v>
      </c>
    </row>
    <row r="146" spans="2:21" ht="13.5" x14ac:dyDescent="0.2">
      <c r="B146" s="338"/>
      <c r="C146" s="338" t="s">
        <v>802</v>
      </c>
      <c r="D146" s="338" t="s">
        <v>581</v>
      </c>
      <c r="E146" s="338">
        <v>0.2</v>
      </c>
      <c r="F146" s="338">
        <v>14.31</v>
      </c>
      <c r="G146" s="351">
        <f>E146*F146</f>
        <v>2.8620000000000001</v>
      </c>
      <c r="I146" s="384"/>
      <c r="J146" s="384"/>
      <c r="T146" s="384"/>
      <c r="U146" s="384"/>
    </row>
    <row r="147" spans="2:21" ht="13.5" x14ac:dyDescent="0.2">
      <c r="B147" s="338"/>
      <c r="C147" s="338" t="s">
        <v>585</v>
      </c>
      <c r="D147" s="338"/>
      <c r="E147" s="338"/>
      <c r="F147" s="338"/>
      <c r="G147" s="351">
        <f>G146+G144+G145</f>
        <v>8.9265500000000007</v>
      </c>
      <c r="I147" s="384"/>
      <c r="J147" s="384"/>
      <c r="T147" s="384"/>
      <c r="U147" s="384"/>
    </row>
    <row r="149" spans="2:21" ht="36" customHeight="1" x14ac:dyDescent="0.2">
      <c r="B149" s="331" t="s">
        <v>811</v>
      </c>
      <c r="C149" s="331"/>
      <c r="D149" s="331"/>
      <c r="E149" s="331"/>
      <c r="F149" s="331"/>
      <c r="G149" s="331"/>
      <c r="K149" s="400"/>
      <c r="L149" s="424"/>
      <c r="M149" s="424"/>
      <c r="N149" s="424"/>
      <c r="O149" s="424"/>
      <c r="P149" s="424"/>
      <c r="Q149" s="424"/>
      <c r="R149" s="424"/>
      <c r="S149" s="401"/>
    </row>
    <row r="150" spans="2:21" ht="27" x14ac:dyDescent="0.2">
      <c r="B150" s="334"/>
      <c r="C150" s="334" t="s">
        <v>809</v>
      </c>
      <c r="D150" s="334" t="s">
        <v>45</v>
      </c>
      <c r="E150" s="334"/>
      <c r="F150" s="334"/>
      <c r="G150" s="399">
        <f>G154</f>
        <v>234.42800800000003</v>
      </c>
      <c r="K150" s="394"/>
      <c r="L150" s="394"/>
      <c r="M150" s="394"/>
      <c r="N150" s="394"/>
      <c r="O150" s="394"/>
      <c r="P150" s="395"/>
      <c r="Q150" s="394"/>
      <c r="R150" s="396"/>
      <c r="S150" s="394"/>
    </row>
    <row r="151" spans="2:21" ht="13.5" x14ac:dyDescent="0.2">
      <c r="B151" s="386">
        <v>88316</v>
      </c>
      <c r="C151" s="338" t="s">
        <v>807</v>
      </c>
      <c r="D151" s="386" t="s">
        <v>581</v>
      </c>
      <c r="E151" s="386">
        <v>0.1</v>
      </c>
      <c r="F151" s="386">
        <v>14.73</v>
      </c>
      <c r="G151" s="392">
        <f t="shared" ref="G151:G153" si="2">E151*F151</f>
        <v>1.4730000000000001</v>
      </c>
      <c r="K151" s="394"/>
      <c r="L151" s="394"/>
      <c r="M151" s="394"/>
      <c r="N151" s="394"/>
      <c r="O151" s="394"/>
      <c r="P151" s="395"/>
      <c r="Q151" s="394"/>
      <c r="R151" s="396"/>
      <c r="S151" s="394"/>
    </row>
    <row r="152" spans="2:21" ht="13.5" x14ac:dyDescent="0.2">
      <c r="B152" s="386">
        <v>88309</v>
      </c>
      <c r="C152" s="338" t="s">
        <v>590</v>
      </c>
      <c r="D152" s="386" t="s">
        <v>581</v>
      </c>
      <c r="E152" s="386">
        <v>0.24560000000000001</v>
      </c>
      <c r="F152" s="386">
        <v>18.18</v>
      </c>
      <c r="G152" s="392">
        <f t="shared" si="2"/>
        <v>4.4650080000000001</v>
      </c>
      <c r="K152" s="386"/>
      <c r="L152" s="386"/>
      <c r="M152" s="386"/>
      <c r="N152" s="387"/>
      <c r="O152" s="386"/>
      <c r="P152" s="386"/>
      <c r="Q152" s="386"/>
      <c r="R152" s="388"/>
      <c r="S152" s="388"/>
    </row>
    <row r="153" spans="2:21" ht="27" x14ac:dyDescent="0.2">
      <c r="B153" s="389" t="s">
        <v>808</v>
      </c>
      <c r="C153" s="403" t="s">
        <v>809</v>
      </c>
      <c r="D153" s="389" t="s">
        <v>398</v>
      </c>
      <c r="E153" s="390">
        <v>1</v>
      </c>
      <c r="F153" s="391">
        <v>228.49</v>
      </c>
      <c r="G153" s="392">
        <f t="shared" si="2"/>
        <v>228.49</v>
      </c>
      <c r="K153" s="386"/>
      <c r="L153" s="386"/>
      <c r="M153" s="386"/>
      <c r="N153" s="387"/>
      <c r="O153" s="386"/>
      <c r="P153" s="386"/>
      <c r="Q153" s="386"/>
      <c r="R153" s="388"/>
      <c r="S153" s="388"/>
    </row>
    <row r="154" spans="2:21" ht="24.75" customHeight="1" x14ac:dyDescent="0.2">
      <c r="G154" s="397">
        <f>G153+G152+G151</f>
        <v>234.42800800000003</v>
      </c>
      <c r="K154" s="386"/>
      <c r="L154" s="389"/>
      <c r="M154" s="389"/>
      <c r="N154" s="387"/>
      <c r="O154" s="389"/>
      <c r="P154" s="390"/>
      <c r="Q154" s="391"/>
      <c r="R154" s="388"/>
      <c r="S154" s="388"/>
    </row>
    <row r="155" spans="2:21" x14ac:dyDescent="0.2">
      <c r="B155" s="331" t="s">
        <v>813</v>
      </c>
      <c r="C155" s="331"/>
      <c r="D155" s="331"/>
      <c r="E155" s="331"/>
      <c r="F155" s="331"/>
      <c r="G155" s="331"/>
      <c r="K155" s="422"/>
      <c r="L155" s="422"/>
      <c r="M155" s="422"/>
      <c r="N155" s="422"/>
      <c r="O155" s="422"/>
      <c r="P155" s="422"/>
      <c r="Q155" s="422"/>
      <c r="R155" s="422"/>
      <c r="S155" s="402"/>
    </row>
    <row r="156" spans="2:21" ht="27" x14ac:dyDescent="0.2">
      <c r="B156" s="334"/>
      <c r="C156" s="334" t="s">
        <v>810</v>
      </c>
      <c r="D156" s="334" t="s">
        <v>24</v>
      </c>
      <c r="E156" s="334"/>
      <c r="F156" s="334"/>
      <c r="G156" s="398">
        <f>G160</f>
        <v>198.88800800000001</v>
      </c>
      <c r="K156" s="422"/>
      <c r="L156" s="422"/>
      <c r="M156" s="422"/>
      <c r="N156" s="422"/>
      <c r="O156" s="422"/>
      <c r="P156" s="422"/>
      <c r="Q156" s="422"/>
      <c r="R156" s="422"/>
      <c r="S156" s="402"/>
    </row>
    <row r="157" spans="2:21" ht="15" x14ac:dyDescent="0.25">
      <c r="B157" s="386">
        <v>88316</v>
      </c>
      <c r="C157" s="338" t="s">
        <v>807</v>
      </c>
      <c r="D157" s="386" t="s">
        <v>581</v>
      </c>
      <c r="E157" s="386">
        <v>0.1</v>
      </c>
      <c r="F157" s="386">
        <v>14.73</v>
      </c>
      <c r="G157" s="392">
        <f t="shared" ref="G157:G159" si="3">E157*F157</f>
        <v>1.4730000000000001</v>
      </c>
      <c r="K157" s="423"/>
      <c r="L157" s="423"/>
      <c r="M157" s="423"/>
      <c r="N157" s="423"/>
      <c r="O157" s="423"/>
      <c r="P157" s="423"/>
      <c r="Q157" s="423"/>
      <c r="R157" s="423"/>
      <c r="S157" s="423"/>
    </row>
    <row r="158" spans="2:21" ht="36" customHeight="1" x14ac:dyDescent="0.2">
      <c r="B158" s="386">
        <v>88309</v>
      </c>
      <c r="C158" s="338" t="s">
        <v>590</v>
      </c>
      <c r="D158" s="386" t="s">
        <v>581</v>
      </c>
      <c r="E158" s="386">
        <v>0.24560000000000001</v>
      </c>
      <c r="F158" s="386">
        <v>18.18</v>
      </c>
      <c r="G158" s="392">
        <f t="shared" si="3"/>
        <v>4.4650080000000001</v>
      </c>
      <c r="K158" s="400"/>
      <c r="L158" s="424"/>
      <c r="M158" s="424"/>
      <c r="N158" s="424"/>
      <c r="O158" s="424"/>
      <c r="P158" s="424"/>
      <c r="Q158" s="424"/>
      <c r="R158" s="424"/>
      <c r="S158" s="401"/>
    </row>
    <row r="159" spans="2:21" ht="27" x14ac:dyDescent="0.2">
      <c r="B159" s="389" t="s">
        <v>808</v>
      </c>
      <c r="C159" s="403" t="s">
        <v>809</v>
      </c>
      <c r="D159" s="389" t="s">
        <v>398</v>
      </c>
      <c r="E159" s="390">
        <v>1</v>
      </c>
      <c r="F159" s="391">
        <v>192.95</v>
      </c>
      <c r="G159" s="392">
        <f t="shared" si="3"/>
        <v>192.95</v>
      </c>
      <c r="K159" s="394"/>
      <c r="L159" s="394"/>
      <c r="M159" s="394"/>
      <c r="N159" s="394"/>
      <c r="O159" s="394"/>
      <c r="P159" s="395"/>
      <c r="Q159" s="394"/>
      <c r="R159" s="396"/>
      <c r="S159" s="394"/>
    </row>
    <row r="160" spans="2:21" x14ac:dyDescent="0.2">
      <c r="G160" s="397">
        <f>G159+G158+G157</f>
        <v>198.88800800000001</v>
      </c>
      <c r="K160" s="386"/>
      <c r="L160" s="386"/>
      <c r="M160" s="386"/>
      <c r="N160" s="387"/>
      <c r="O160" s="386"/>
      <c r="P160" s="386"/>
      <c r="Q160" s="386"/>
      <c r="R160" s="388"/>
      <c r="S160" s="388"/>
    </row>
    <row r="161" spans="10:21" x14ac:dyDescent="0.2">
      <c r="K161" s="386"/>
      <c r="L161" s="386"/>
      <c r="M161" s="386"/>
      <c r="N161" s="387"/>
      <c r="O161" s="386"/>
      <c r="P161" s="386"/>
      <c r="Q161" s="386"/>
      <c r="R161" s="388"/>
      <c r="S161" s="388"/>
    </row>
    <row r="162" spans="10:21" ht="72" customHeight="1" x14ac:dyDescent="0.2">
      <c r="K162" s="386"/>
      <c r="L162" s="389"/>
      <c r="M162" s="389"/>
      <c r="N162" s="387"/>
      <c r="O162" s="389"/>
      <c r="P162" s="390"/>
      <c r="Q162" s="391"/>
      <c r="R162" s="388"/>
      <c r="S162" s="388"/>
    </row>
    <row r="163" spans="10:21" x14ac:dyDescent="0.2">
      <c r="K163" s="422"/>
      <c r="L163" s="422"/>
      <c r="M163" s="422"/>
      <c r="N163" s="422"/>
      <c r="O163" s="422"/>
      <c r="P163" s="422"/>
      <c r="Q163" s="422"/>
      <c r="R163" s="422"/>
      <c r="S163" s="402"/>
    </row>
    <row r="164" spans="10:21" x14ac:dyDescent="0.2">
      <c r="K164" s="422"/>
      <c r="L164" s="422"/>
      <c r="M164" s="422"/>
      <c r="N164" s="422"/>
      <c r="O164" s="422"/>
      <c r="P164" s="422"/>
      <c r="Q164" s="422"/>
      <c r="R164" s="422"/>
      <c r="S164" s="402"/>
    </row>
    <row r="165" spans="10:21" ht="15" x14ac:dyDescent="0.25">
      <c r="K165" s="423"/>
      <c r="L165" s="423"/>
      <c r="M165" s="423"/>
      <c r="N165" s="423"/>
      <c r="O165" s="423"/>
      <c r="P165" s="423"/>
      <c r="Q165" s="423"/>
      <c r="R165" s="423"/>
      <c r="S165" s="423"/>
    </row>
    <row r="166" spans="10:21" x14ac:dyDescent="0.2">
      <c r="K166" s="382"/>
      <c r="L166" s="382"/>
      <c r="M166" s="382"/>
      <c r="N166" s="382"/>
      <c r="O166" s="382"/>
      <c r="P166" s="382"/>
      <c r="Q166" s="382"/>
      <c r="R166" s="382"/>
      <c r="S166" s="382"/>
    </row>
    <row r="167" spans="10:21" x14ac:dyDescent="0.2">
      <c r="K167" s="382"/>
      <c r="L167" s="382"/>
      <c r="M167" s="382"/>
      <c r="N167" s="382"/>
      <c r="O167" s="382"/>
      <c r="P167" s="382"/>
      <c r="Q167" s="382"/>
      <c r="R167" s="382"/>
      <c r="S167" s="382"/>
    </row>
    <row r="175" spans="10:21" x14ac:dyDescent="0.2">
      <c r="J175" s="384"/>
      <c r="U175" s="384"/>
    </row>
    <row r="176" spans="10:21" x14ac:dyDescent="0.2">
      <c r="J176" s="384"/>
      <c r="U176" s="384"/>
    </row>
    <row r="183" spans="2:7" ht="15.75" thickBot="1" x14ac:dyDescent="0.3">
      <c r="B183" s="363"/>
      <c r="C183" s="364"/>
      <c r="D183" s="364"/>
      <c r="E183" s="365"/>
      <c r="F183" s="364"/>
      <c r="G183" s="364"/>
    </row>
    <row r="184" spans="2:7" ht="13.5" thickBot="1" x14ac:dyDescent="0.25">
      <c r="B184" s="355"/>
      <c r="C184" s="355"/>
      <c r="D184" s="355"/>
      <c r="E184" s="355"/>
      <c r="F184" s="355"/>
      <c r="G184" s="355"/>
    </row>
    <row r="185" spans="2:7" ht="30" x14ac:dyDescent="0.25">
      <c r="B185" s="366" t="s">
        <v>623</v>
      </c>
      <c r="C185" s="367" t="s">
        <v>624</v>
      </c>
      <c r="D185" s="357">
        <v>1</v>
      </c>
      <c r="E185" s="357"/>
      <c r="F185" s="357"/>
      <c r="G185" s="368"/>
    </row>
    <row r="186" spans="2:7" x14ac:dyDescent="0.2">
      <c r="B186" s="359"/>
      <c r="C186" s="354" t="s">
        <v>625</v>
      </c>
      <c r="D186" s="357"/>
      <c r="E186" s="357"/>
      <c r="F186" s="357"/>
      <c r="G186" s="358"/>
    </row>
    <row r="187" spans="2:7" ht="15" x14ac:dyDescent="0.25">
      <c r="B187" s="359"/>
      <c r="C187" s="353" t="s">
        <v>578</v>
      </c>
      <c r="D187" s="357"/>
      <c r="E187" s="357"/>
      <c r="F187" s="357"/>
      <c r="G187" s="358"/>
    </row>
    <row r="188" spans="2:7" ht="14.25" x14ac:dyDescent="0.2">
      <c r="B188" s="359" t="s">
        <v>579</v>
      </c>
      <c r="C188" s="360" t="s">
        <v>580</v>
      </c>
      <c r="D188" s="361" t="s">
        <v>581</v>
      </c>
      <c r="E188" s="361">
        <v>1</v>
      </c>
      <c r="F188" s="360">
        <v>18.45</v>
      </c>
      <c r="G188" s="362">
        <f>E188*F188</f>
        <v>18.45</v>
      </c>
    </row>
    <row r="189" spans="2:7" ht="14.25" x14ac:dyDescent="0.2">
      <c r="B189" s="359" t="s">
        <v>582</v>
      </c>
      <c r="C189" s="360" t="s">
        <v>583</v>
      </c>
      <c r="D189" s="361"/>
      <c r="E189" s="361">
        <v>0.8</v>
      </c>
      <c r="F189" s="360">
        <v>14.39</v>
      </c>
      <c r="G189" s="362">
        <f>E189*F189</f>
        <v>11.512</v>
      </c>
    </row>
    <row r="190" spans="2:7" ht="15" x14ac:dyDescent="0.25">
      <c r="B190" s="359"/>
      <c r="C190" s="353" t="s">
        <v>584</v>
      </c>
      <c r="D190" s="357"/>
      <c r="E190" s="357"/>
      <c r="F190" s="357"/>
      <c r="G190" s="358">
        <f>(G188+G189)</f>
        <v>29.962</v>
      </c>
    </row>
    <row r="191" spans="2:7" ht="15" x14ac:dyDescent="0.25">
      <c r="B191" s="359"/>
      <c r="C191" s="353" t="s">
        <v>570</v>
      </c>
      <c r="D191" s="357"/>
      <c r="E191" s="357"/>
      <c r="F191" s="357"/>
      <c r="G191" s="358"/>
    </row>
    <row r="192" spans="2:7" ht="14.25" x14ac:dyDescent="0.2">
      <c r="B192" s="359"/>
      <c r="C192" s="356" t="s">
        <v>626</v>
      </c>
      <c r="D192" s="361" t="s">
        <v>186</v>
      </c>
      <c r="E192" s="361">
        <v>1</v>
      </c>
      <c r="F192" s="361">
        <v>236.9</v>
      </c>
      <c r="G192" s="362">
        <v>276.89999999999998</v>
      </c>
    </row>
    <row r="193" spans="2:7" ht="15" x14ac:dyDescent="0.25">
      <c r="B193" s="359"/>
      <c r="C193" s="353" t="s">
        <v>584</v>
      </c>
      <c r="D193" s="357"/>
      <c r="E193" s="357"/>
      <c r="F193" s="357"/>
      <c r="G193" s="358">
        <f>G192</f>
        <v>276.89999999999998</v>
      </c>
    </row>
    <row r="194" spans="2:7" ht="15" x14ac:dyDescent="0.25">
      <c r="B194" s="359"/>
      <c r="C194" s="353" t="s">
        <v>585</v>
      </c>
      <c r="D194" s="357"/>
      <c r="E194" s="357"/>
      <c r="F194" s="357"/>
      <c r="G194" s="358">
        <f>G193+G190</f>
        <v>306.86199999999997</v>
      </c>
    </row>
    <row r="195" spans="2:7" ht="14.25" x14ac:dyDescent="0.2">
      <c r="B195" s="359"/>
      <c r="C195" s="360" t="s">
        <v>627</v>
      </c>
      <c r="D195" s="357"/>
      <c r="E195" s="357"/>
      <c r="F195" s="357"/>
      <c r="G195" s="358"/>
    </row>
    <row r="196" spans="2:7" ht="13.5" thickBot="1" x14ac:dyDescent="0.25">
      <c r="B196" s="359"/>
      <c r="C196" s="369"/>
      <c r="D196" s="370"/>
      <c r="E196" s="371"/>
      <c r="F196" s="372"/>
      <c r="G196" s="372"/>
    </row>
    <row r="197" spans="2:7" ht="13.5" thickBot="1" x14ac:dyDescent="0.25">
      <c r="B197" s="355"/>
      <c r="C197" s="355"/>
      <c r="D197" s="355"/>
      <c r="E197" s="355"/>
      <c r="F197" s="355"/>
      <c r="G197" s="355"/>
    </row>
    <row r="219" spans="2:7" ht="13.5" thickBot="1" x14ac:dyDescent="0.25"/>
    <row r="220" spans="2:7" ht="13.5" thickBot="1" x14ac:dyDescent="0.25">
      <c r="B220" s="355"/>
      <c r="C220" s="355"/>
      <c r="D220" s="355"/>
      <c r="E220" s="355"/>
      <c r="F220" s="355"/>
      <c r="G220" s="355"/>
    </row>
  </sheetData>
  <mergeCells count="8">
    <mergeCell ref="K163:R163"/>
    <mergeCell ref="K164:R164"/>
    <mergeCell ref="K165:S165"/>
    <mergeCell ref="L149:R149"/>
    <mergeCell ref="K155:R155"/>
    <mergeCell ref="K156:R156"/>
    <mergeCell ref="K157:S157"/>
    <mergeCell ref="L158:R158"/>
  </mergeCells>
  <pageMargins left="0.43307086614173229" right="3.937007874015748E-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zoomScale="120" zoomScaleNormal="120" workbookViewId="0">
      <selection activeCell="B17" sqref="B17"/>
    </sheetView>
  </sheetViews>
  <sheetFormatPr defaultRowHeight="12.75" x14ac:dyDescent="0.2"/>
  <cols>
    <col min="1" max="1" width="4.7109375" style="7" customWidth="1"/>
    <col min="2" max="2" width="27.5703125" style="7" customWidth="1"/>
    <col min="3" max="3" width="6.140625" style="292" bestFit="1" customWidth="1"/>
    <col min="4" max="4" width="9.85546875" style="6" customWidth="1"/>
    <col min="5" max="5" width="5.7109375" style="131" customWidth="1"/>
    <col min="6" max="6" width="10.7109375" style="6" customWidth="1"/>
    <col min="7" max="7" width="5.7109375" style="283" customWidth="1"/>
    <col min="8" max="8" width="10.7109375" style="4" customWidth="1"/>
    <col min="9" max="9" width="5.7109375" style="283" customWidth="1"/>
    <col min="10" max="10" width="10.7109375" style="4" customWidth="1"/>
    <col min="11" max="11" width="5.7109375" style="283" customWidth="1"/>
    <col min="12" max="12" width="10.7109375" style="4" customWidth="1"/>
    <col min="13" max="13" width="5.7109375" style="116" customWidth="1"/>
    <col min="14" max="14" width="10.7109375" style="4" customWidth="1"/>
    <col min="15" max="15" width="5.7109375" style="131" customWidth="1"/>
    <col min="16" max="16" width="10.7109375" style="6" customWidth="1"/>
    <col min="17" max="17" width="5.7109375" style="6" customWidth="1"/>
    <col min="18" max="18" width="10.7109375" style="6" customWidth="1"/>
    <col min="19" max="19" width="5.7109375" style="6" customWidth="1"/>
    <col min="20" max="20" width="10.7109375" style="6" customWidth="1"/>
    <col min="21" max="21" width="5.7109375" style="6" customWidth="1"/>
    <col min="22" max="22" width="10.7109375" style="6" customWidth="1"/>
    <col min="23" max="23" width="5.7109375" style="6" customWidth="1"/>
    <col min="24" max="24" width="10.7109375" style="6" customWidth="1"/>
    <col min="25" max="25" width="5.7109375" style="6" customWidth="1"/>
    <col min="26" max="26" width="10.7109375" style="6" customWidth="1"/>
    <col min="27" max="27" width="5.7109375" style="6" customWidth="1"/>
    <col min="28" max="28" width="10.7109375" style="6" customWidth="1"/>
    <col min="29" max="29" width="8.28515625" style="6" customWidth="1"/>
    <col min="30" max="30" width="10.5703125" style="6" bestFit="1" customWidth="1"/>
    <col min="31" max="31" width="9.140625" style="7"/>
    <col min="32" max="32" width="14.42578125" style="330" customWidth="1"/>
    <col min="33" max="33" width="9.140625" style="285"/>
    <col min="34" max="256" width="9.140625" style="7"/>
    <col min="257" max="257" width="4.7109375" style="7" customWidth="1"/>
    <col min="258" max="258" width="23" style="7" customWidth="1"/>
    <col min="259" max="259" width="6.140625" style="7" bestFit="1" customWidth="1"/>
    <col min="260" max="260" width="9.85546875" style="7" customWidth="1"/>
    <col min="261" max="261" width="5.7109375" style="7" customWidth="1"/>
    <col min="262" max="262" width="10.7109375" style="7" customWidth="1"/>
    <col min="263" max="263" width="5.7109375" style="7" customWidth="1"/>
    <col min="264" max="264" width="10.7109375" style="7" customWidth="1"/>
    <col min="265" max="265" width="5.7109375" style="7" customWidth="1"/>
    <col min="266" max="266" width="10.7109375" style="7" customWidth="1"/>
    <col min="267" max="267" width="5.7109375" style="7" customWidth="1"/>
    <col min="268" max="268" width="10.7109375" style="7" customWidth="1"/>
    <col min="269" max="269" width="5.7109375" style="7" customWidth="1"/>
    <col min="270" max="270" width="10.7109375" style="7" customWidth="1"/>
    <col min="271" max="271" width="5.7109375" style="7" customWidth="1"/>
    <col min="272" max="272" width="10.7109375" style="7" customWidth="1"/>
    <col min="273" max="273" width="5.7109375" style="7" customWidth="1"/>
    <col min="274" max="274" width="10.7109375" style="7" customWidth="1"/>
    <col min="275" max="275" width="5.7109375" style="7" customWidth="1"/>
    <col min="276" max="276" width="10.7109375" style="7" customWidth="1"/>
    <col min="277" max="277" width="5.7109375" style="7" customWidth="1"/>
    <col min="278" max="278" width="10.7109375" style="7" customWidth="1"/>
    <col min="279" max="279" width="5.7109375" style="7" customWidth="1"/>
    <col min="280" max="280" width="10.7109375" style="7" customWidth="1"/>
    <col min="281" max="281" width="5.7109375" style="7" customWidth="1"/>
    <col min="282" max="282" width="10.7109375" style="7" customWidth="1"/>
    <col min="283" max="283" width="5.7109375" style="7" customWidth="1"/>
    <col min="284" max="284" width="10.7109375" style="7" customWidth="1"/>
    <col min="285" max="285" width="8.28515625" style="7" customWidth="1"/>
    <col min="286" max="286" width="10.5703125" style="7" bestFit="1" customWidth="1"/>
    <col min="287" max="287" width="9.140625" style="7"/>
    <col min="288" max="288" width="14.42578125" style="7" customWidth="1"/>
    <col min="289" max="512" width="9.140625" style="7"/>
    <col min="513" max="513" width="4.7109375" style="7" customWidth="1"/>
    <col min="514" max="514" width="23" style="7" customWidth="1"/>
    <col min="515" max="515" width="6.140625" style="7" bestFit="1" customWidth="1"/>
    <col min="516" max="516" width="9.85546875" style="7" customWidth="1"/>
    <col min="517" max="517" width="5.7109375" style="7" customWidth="1"/>
    <col min="518" max="518" width="10.7109375" style="7" customWidth="1"/>
    <col min="519" max="519" width="5.7109375" style="7" customWidth="1"/>
    <col min="520" max="520" width="10.7109375" style="7" customWidth="1"/>
    <col min="521" max="521" width="5.7109375" style="7" customWidth="1"/>
    <col min="522" max="522" width="10.7109375" style="7" customWidth="1"/>
    <col min="523" max="523" width="5.7109375" style="7" customWidth="1"/>
    <col min="524" max="524" width="10.7109375" style="7" customWidth="1"/>
    <col min="525" max="525" width="5.7109375" style="7" customWidth="1"/>
    <col min="526" max="526" width="10.7109375" style="7" customWidth="1"/>
    <col min="527" max="527" width="5.7109375" style="7" customWidth="1"/>
    <col min="528" max="528" width="10.7109375" style="7" customWidth="1"/>
    <col min="529" max="529" width="5.7109375" style="7" customWidth="1"/>
    <col min="530" max="530" width="10.7109375" style="7" customWidth="1"/>
    <col min="531" max="531" width="5.7109375" style="7" customWidth="1"/>
    <col min="532" max="532" width="10.7109375" style="7" customWidth="1"/>
    <col min="533" max="533" width="5.7109375" style="7" customWidth="1"/>
    <col min="534" max="534" width="10.7109375" style="7" customWidth="1"/>
    <col min="535" max="535" width="5.7109375" style="7" customWidth="1"/>
    <col min="536" max="536" width="10.7109375" style="7" customWidth="1"/>
    <col min="537" max="537" width="5.7109375" style="7" customWidth="1"/>
    <col min="538" max="538" width="10.7109375" style="7" customWidth="1"/>
    <col min="539" max="539" width="5.7109375" style="7" customWidth="1"/>
    <col min="540" max="540" width="10.7109375" style="7" customWidth="1"/>
    <col min="541" max="541" width="8.28515625" style="7" customWidth="1"/>
    <col min="542" max="542" width="10.5703125" style="7" bestFit="1" customWidth="1"/>
    <col min="543" max="543" width="9.140625" style="7"/>
    <col min="544" max="544" width="14.42578125" style="7" customWidth="1"/>
    <col min="545" max="768" width="9.140625" style="7"/>
    <col min="769" max="769" width="4.7109375" style="7" customWidth="1"/>
    <col min="770" max="770" width="23" style="7" customWidth="1"/>
    <col min="771" max="771" width="6.140625" style="7" bestFit="1" customWidth="1"/>
    <col min="772" max="772" width="9.85546875" style="7" customWidth="1"/>
    <col min="773" max="773" width="5.7109375" style="7" customWidth="1"/>
    <col min="774" max="774" width="10.7109375" style="7" customWidth="1"/>
    <col min="775" max="775" width="5.7109375" style="7" customWidth="1"/>
    <col min="776" max="776" width="10.7109375" style="7" customWidth="1"/>
    <col min="777" max="777" width="5.7109375" style="7" customWidth="1"/>
    <col min="778" max="778" width="10.7109375" style="7" customWidth="1"/>
    <col min="779" max="779" width="5.7109375" style="7" customWidth="1"/>
    <col min="780" max="780" width="10.7109375" style="7" customWidth="1"/>
    <col min="781" max="781" width="5.7109375" style="7" customWidth="1"/>
    <col min="782" max="782" width="10.7109375" style="7" customWidth="1"/>
    <col min="783" max="783" width="5.7109375" style="7" customWidth="1"/>
    <col min="784" max="784" width="10.7109375" style="7" customWidth="1"/>
    <col min="785" max="785" width="5.7109375" style="7" customWidth="1"/>
    <col min="786" max="786" width="10.7109375" style="7" customWidth="1"/>
    <col min="787" max="787" width="5.7109375" style="7" customWidth="1"/>
    <col min="788" max="788" width="10.7109375" style="7" customWidth="1"/>
    <col min="789" max="789" width="5.7109375" style="7" customWidth="1"/>
    <col min="790" max="790" width="10.7109375" style="7" customWidth="1"/>
    <col min="791" max="791" width="5.7109375" style="7" customWidth="1"/>
    <col min="792" max="792" width="10.7109375" style="7" customWidth="1"/>
    <col min="793" max="793" width="5.7109375" style="7" customWidth="1"/>
    <col min="794" max="794" width="10.7109375" style="7" customWidth="1"/>
    <col min="795" max="795" width="5.7109375" style="7" customWidth="1"/>
    <col min="796" max="796" width="10.7109375" style="7" customWidth="1"/>
    <col min="797" max="797" width="8.28515625" style="7" customWidth="1"/>
    <col min="798" max="798" width="10.5703125" style="7" bestFit="1" customWidth="1"/>
    <col min="799" max="799" width="9.140625" style="7"/>
    <col min="800" max="800" width="14.42578125" style="7" customWidth="1"/>
    <col min="801" max="1024" width="9.140625" style="7"/>
    <col min="1025" max="1025" width="4.7109375" style="7" customWidth="1"/>
    <col min="1026" max="1026" width="23" style="7" customWidth="1"/>
    <col min="1027" max="1027" width="6.140625" style="7" bestFit="1" customWidth="1"/>
    <col min="1028" max="1028" width="9.85546875" style="7" customWidth="1"/>
    <col min="1029" max="1029" width="5.7109375" style="7" customWidth="1"/>
    <col min="1030" max="1030" width="10.7109375" style="7" customWidth="1"/>
    <col min="1031" max="1031" width="5.7109375" style="7" customWidth="1"/>
    <col min="1032" max="1032" width="10.7109375" style="7" customWidth="1"/>
    <col min="1033" max="1033" width="5.7109375" style="7" customWidth="1"/>
    <col min="1034" max="1034" width="10.7109375" style="7" customWidth="1"/>
    <col min="1035" max="1035" width="5.7109375" style="7" customWidth="1"/>
    <col min="1036" max="1036" width="10.7109375" style="7" customWidth="1"/>
    <col min="1037" max="1037" width="5.7109375" style="7" customWidth="1"/>
    <col min="1038" max="1038" width="10.7109375" style="7" customWidth="1"/>
    <col min="1039" max="1039" width="5.7109375" style="7" customWidth="1"/>
    <col min="1040" max="1040" width="10.7109375" style="7" customWidth="1"/>
    <col min="1041" max="1041" width="5.7109375" style="7" customWidth="1"/>
    <col min="1042" max="1042" width="10.7109375" style="7" customWidth="1"/>
    <col min="1043" max="1043" width="5.7109375" style="7" customWidth="1"/>
    <col min="1044" max="1044" width="10.7109375" style="7" customWidth="1"/>
    <col min="1045" max="1045" width="5.7109375" style="7" customWidth="1"/>
    <col min="1046" max="1046" width="10.7109375" style="7" customWidth="1"/>
    <col min="1047" max="1047" width="5.7109375" style="7" customWidth="1"/>
    <col min="1048" max="1048" width="10.7109375" style="7" customWidth="1"/>
    <col min="1049" max="1049" width="5.7109375" style="7" customWidth="1"/>
    <col min="1050" max="1050" width="10.7109375" style="7" customWidth="1"/>
    <col min="1051" max="1051" width="5.7109375" style="7" customWidth="1"/>
    <col min="1052" max="1052" width="10.7109375" style="7" customWidth="1"/>
    <col min="1053" max="1053" width="8.28515625" style="7" customWidth="1"/>
    <col min="1054" max="1054" width="10.5703125" style="7" bestFit="1" customWidth="1"/>
    <col min="1055" max="1055" width="9.140625" style="7"/>
    <col min="1056" max="1056" width="14.42578125" style="7" customWidth="1"/>
    <col min="1057" max="1280" width="9.140625" style="7"/>
    <col min="1281" max="1281" width="4.7109375" style="7" customWidth="1"/>
    <col min="1282" max="1282" width="23" style="7" customWidth="1"/>
    <col min="1283" max="1283" width="6.140625" style="7" bestFit="1" customWidth="1"/>
    <col min="1284" max="1284" width="9.85546875" style="7" customWidth="1"/>
    <col min="1285" max="1285" width="5.7109375" style="7" customWidth="1"/>
    <col min="1286" max="1286" width="10.7109375" style="7" customWidth="1"/>
    <col min="1287" max="1287" width="5.7109375" style="7" customWidth="1"/>
    <col min="1288" max="1288" width="10.7109375" style="7" customWidth="1"/>
    <col min="1289" max="1289" width="5.7109375" style="7" customWidth="1"/>
    <col min="1290" max="1290" width="10.7109375" style="7" customWidth="1"/>
    <col min="1291" max="1291" width="5.7109375" style="7" customWidth="1"/>
    <col min="1292" max="1292" width="10.7109375" style="7" customWidth="1"/>
    <col min="1293" max="1293" width="5.7109375" style="7" customWidth="1"/>
    <col min="1294" max="1294" width="10.7109375" style="7" customWidth="1"/>
    <col min="1295" max="1295" width="5.7109375" style="7" customWidth="1"/>
    <col min="1296" max="1296" width="10.7109375" style="7" customWidth="1"/>
    <col min="1297" max="1297" width="5.7109375" style="7" customWidth="1"/>
    <col min="1298" max="1298" width="10.7109375" style="7" customWidth="1"/>
    <col min="1299" max="1299" width="5.7109375" style="7" customWidth="1"/>
    <col min="1300" max="1300" width="10.7109375" style="7" customWidth="1"/>
    <col min="1301" max="1301" width="5.7109375" style="7" customWidth="1"/>
    <col min="1302" max="1302" width="10.7109375" style="7" customWidth="1"/>
    <col min="1303" max="1303" width="5.7109375" style="7" customWidth="1"/>
    <col min="1304" max="1304" width="10.7109375" style="7" customWidth="1"/>
    <col min="1305" max="1305" width="5.7109375" style="7" customWidth="1"/>
    <col min="1306" max="1306" width="10.7109375" style="7" customWidth="1"/>
    <col min="1307" max="1307" width="5.7109375" style="7" customWidth="1"/>
    <col min="1308" max="1308" width="10.7109375" style="7" customWidth="1"/>
    <col min="1309" max="1309" width="8.28515625" style="7" customWidth="1"/>
    <col min="1310" max="1310" width="10.5703125" style="7" bestFit="1" customWidth="1"/>
    <col min="1311" max="1311" width="9.140625" style="7"/>
    <col min="1312" max="1312" width="14.42578125" style="7" customWidth="1"/>
    <col min="1313" max="1536" width="9.140625" style="7"/>
    <col min="1537" max="1537" width="4.7109375" style="7" customWidth="1"/>
    <col min="1538" max="1538" width="23" style="7" customWidth="1"/>
    <col min="1539" max="1539" width="6.140625" style="7" bestFit="1" customWidth="1"/>
    <col min="1540" max="1540" width="9.85546875" style="7" customWidth="1"/>
    <col min="1541" max="1541" width="5.7109375" style="7" customWidth="1"/>
    <col min="1542" max="1542" width="10.7109375" style="7" customWidth="1"/>
    <col min="1543" max="1543" width="5.7109375" style="7" customWidth="1"/>
    <col min="1544" max="1544" width="10.7109375" style="7" customWidth="1"/>
    <col min="1545" max="1545" width="5.7109375" style="7" customWidth="1"/>
    <col min="1546" max="1546" width="10.7109375" style="7" customWidth="1"/>
    <col min="1547" max="1547" width="5.7109375" style="7" customWidth="1"/>
    <col min="1548" max="1548" width="10.7109375" style="7" customWidth="1"/>
    <col min="1549" max="1549" width="5.7109375" style="7" customWidth="1"/>
    <col min="1550" max="1550" width="10.7109375" style="7" customWidth="1"/>
    <col min="1551" max="1551" width="5.7109375" style="7" customWidth="1"/>
    <col min="1552" max="1552" width="10.7109375" style="7" customWidth="1"/>
    <col min="1553" max="1553" width="5.7109375" style="7" customWidth="1"/>
    <col min="1554" max="1554" width="10.7109375" style="7" customWidth="1"/>
    <col min="1555" max="1555" width="5.7109375" style="7" customWidth="1"/>
    <col min="1556" max="1556" width="10.7109375" style="7" customWidth="1"/>
    <col min="1557" max="1557" width="5.7109375" style="7" customWidth="1"/>
    <col min="1558" max="1558" width="10.7109375" style="7" customWidth="1"/>
    <col min="1559" max="1559" width="5.7109375" style="7" customWidth="1"/>
    <col min="1560" max="1560" width="10.7109375" style="7" customWidth="1"/>
    <col min="1561" max="1561" width="5.7109375" style="7" customWidth="1"/>
    <col min="1562" max="1562" width="10.7109375" style="7" customWidth="1"/>
    <col min="1563" max="1563" width="5.7109375" style="7" customWidth="1"/>
    <col min="1564" max="1564" width="10.7109375" style="7" customWidth="1"/>
    <col min="1565" max="1565" width="8.28515625" style="7" customWidth="1"/>
    <col min="1566" max="1566" width="10.5703125" style="7" bestFit="1" customWidth="1"/>
    <col min="1567" max="1567" width="9.140625" style="7"/>
    <col min="1568" max="1568" width="14.42578125" style="7" customWidth="1"/>
    <col min="1569" max="1792" width="9.140625" style="7"/>
    <col min="1793" max="1793" width="4.7109375" style="7" customWidth="1"/>
    <col min="1794" max="1794" width="23" style="7" customWidth="1"/>
    <col min="1795" max="1795" width="6.140625" style="7" bestFit="1" customWidth="1"/>
    <col min="1796" max="1796" width="9.85546875" style="7" customWidth="1"/>
    <col min="1797" max="1797" width="5.7109375" style="7" customWidth="1"/>
    <col min="1798" max="1798" width="10.7109375" style="7" customWidth="1"/>
    <col min="1799" max="1799" width="5.7109375" style="7" customWidth="1"/>
    <col min="1800" max="1800" width="10.7109375" style="7" customWidth="1"/>
    <col min="1801" max="1801" width="5.7109375" style="7" customWidth="1"/>
    <col min="1802" max="1802" width="10.7109375" style="7" customWidth="1"/>
    <col min="1803" max="1803" width="5.7109375" style="7" customWidth="1"/>
    <col min="1804" max="1804" width="10.7109375" style="7" customWidth="1"/>
    <col min="1805" max="1805" width="5.7109375" style="7" customWidth="1"/>
    <col min="1806" max="1806" width="10.7109375" style="7" customWidth="1"/>
    <col min="1807" max="1807" width="5.7109375" style="7" customWidth="1"/>
    <col min="1808" max="1808" width="10.7109375" style="7" customWidth="1"/>
    <col min="1809" max="1809" width="5.7109375" style="7" customWidth="1"/>
    <col min="1810" max="1810" width="10.7109375" style="7" customWidth="1"/>
    <col min="1811" max="1811" width="5.7109375" style="7" customWidth="1"/>
    <col min="1812" max="1812" width="10.7109375" style="7" customWidth="1"/>
    <col min="1813" max="1813" width="5.7109375" style="7" customWidth="1"/>
    <col min="1814" max="1814" width="10.7109375" style="7" customWidth="1"/>
    <col min="1815" max="1815" width="5.7109375" style="7" customWidth="1"/>
    <col min="1816" max="1816" width="10.7109375" style="7" customWidth="1"/>
    <col min="1817" max="1817" width="5.7109375" style="7" customWidth="1"/>
    <col min="1818" max="1818" width="10.7109375" style="7" customWidth="1"/>
    <col min="1819" max="1819" width="5.7109375" style="7" customWidth="1"/>
    <col min="1820" max="1820" width="10.7109375" style="7" customWidth="1"/>
    <col min="1821" max="1821" width="8.28515625" style="7" customWidth="1"/>
    <col min="1822" max="1822" width="10.5703125" style="7" bestFit="1" customWidth="1"/>
    <col min="1823" max="1823" width="9.140625" style="7"/>
    <col min="1824" max="1824" width="14.42578125" style="7" customWidth="1"/>
    <col min="1825" max="2048" width="9.140625" style="7"/>
    <col min="2049" max="2049" width="4.7109375" style="7" customWidth="1"/>
    <col min="2050" max="2050" width="23" style="7" customWidth="1"/>
    <col min="2051" max="2051" width="6.140625" style="7" bestFit="1" customWidth="1"/>
    <col min="2052" max="2052" width="9.85546875" style="7" customWidth="1"/>
    <col min="2053" max="2053" width="5.7109375" style="7" customWidth="1"/>
    <col min="2054" max="2054" width="10.7109375" style="7" customWidth="1"/>
    <col min="2055" max="2055" width="5.7109375" style="7" customWidth="1"/>
    <col min="2056" max="2056" width="10.7109375" style="7" customWidth="1"/>
    <col min="2057" max="2057" width="5.7109375" style="7" customWidth="1"/>
    <col min="2058" max="2058" width="10.7109375" style="7" customWidth="1"/>
    <col min="2059" max="2059" width="5.7109375" style="7" customWidth="1"/>
    <col min="2060" max="2060" width="10.7109375" style="7" customWidth="1"/>
    <col min="2061" max="2061" width="5.7109375" style="7" customWidth="1"/>
    <col min="2062" max="2062" width="10.7109375" style="7" customWidth="1"/>
    <col min="2063" max="2063" width="5.7109375" style="7" customWidth="1"/>
    <col min="2064" max="2064" width="10.7109375" style="7" customWidth="1"/>
    <col min="2065" max="2065" width="5.7109375" style="7" customWidth="1"/>
    <col min="2066" max="2066" width="10.7109375" style="7" customWidth="1"/>
    <col min="2067" max="2067" width="5.7109375" style="7" customWidth="1"/>
    <col min="2068" max="2068" width="10.7109375" style="7" customWidth="1"/>
    <col min="2069" max="2069" width="5.7109375" style="7" customWidth="1"/>
    <col min="2070" max="2070" width="10.7109375" style="7" customWidth="1"/>
    <col min="2071" max="2071" width="5.7109375" style="7" customWidth="1"/>
    <col min="2072" max="2072" width="10.7109375" style="7" customWidth="1"/>
    <col min="2073" max="2073" width="5.7109375" style="7" customWidth="1"/>
    <col min="2074" max="2074" width="10.7109375" style="7" customWidth="1"/>
    <col min="2075" max="2075" width="5.7109375" style="7" customWidth="1"/>
    <col min="2076" max="2076" width="10.7109375" style="7" customWidth="1"/>
    <col min="2077" max="2077" width="8.28515625" style="7" customWidth="1"/>
    <col min="2078" max="2078" width="10.5703125" style="7" bestFit="1" customWidth="1"/>
    <col min="2079" max="2079" width="9.140625" style="7"/>
    <col min="2080" max="2080" width="14.42578125" style="7" customWidth="1"/>
    <col min="2081" max="2304" width="9.140625" style="7"/>
    <col min="2305" max="2305" width="4.7109375" style="7" customWidth="1"/>
    <col min="2306" max="2306" width="23" style="7" customWidth="1"/>
    <col min="2307" max="2307" width="6.140625" style="7" bestFit="1" customWidth="1"/>
    <col min="2308" max="2308" width="9.85546875" style="7" customWidth="1"/>
    <col min="2309" max="2309" width="5.7109375" style="7" customWidth="1"/>
    <col min="2310" max="2310" width="10.7109375" style="7" customWidth="1"/>
    <col min="2311" max="2311" width="5.7109375" style="7" customWidth="1"/>
    <col min="2312" max="2312" width="10.7109375" style="7" customWidth="1"/>
    <col min="2313" max="2313" width="5.7109375" style="7" customWidth="1"/>
    <col min="2314" max="2314" width="10.7109375" style="7" customWidth="1"/>
    <col min="2315" max="2315" width="5.7109375" style="7" customWidth="1"/>
    <col min="2316" max="2316" width="10.7109375" style="7" customWidth="1"/>
    <col min="2317" max="2317" width="5.7109375" style="7" customWidth="1"/>
    <col min="2318" max="2318" width="10.7109375" style="7" customWidth="1"/>
    <col min="2319" max="2319" width="5.7109375" style="7" customWidth="1"/>
    <col min="2320" max="2320" width="10.7109375" style="7" customWidth="1"/>
    <col min="2321" max="2321" width="5.7109375" style="7" customWidth="1"/>
    <col min="2322" max="2322" width="10.7109375" style="7" customWidth="1"/>
    <col min="2323" max="2323" width="5.7109375" style="7" customWidth="1"/>
    <col min="2324" max="2324" width="10.7109375" style="7" customWidth="1"/>
    <col min="2325" max="2325" width="5.7109375" style="7" customWidth="1"/>
    <col min="2326" max="2326" width="10.7109375" style="7" customWidth="1"/>
    <col min="2327" max="2327" width="5.7109375" style="7" customWidth="1"/>
    <col min="2328" max="2328" width="10.7109375" style="7" customWidth="1"/>
    <col min="2329" max="2329" width="5.7109375" style="7" customWidth="1"/>
    <col min="2330" max="2330" width="10.7109375" style="7" customWidth="1"/>
    <col min="2331" max="2331" width="5.7109375" style="7" customWidth="1"/>
    <col min="2332" max="2332" width="10.7109375" style="7" customWidth="1"/>
    <col min="2333" max="2333" width="8.28515625" style="7" customWidth="1"/>
    <col min="2334" max="2334" width="10.5703125" style="7" bestFit="1" customWidth="1"/>
    <col min="2335" max="2335" width="9.140625" style="7"/>
    <col min="2336" max="2336" width="14.42578125" style="7" customWidth="1"/>
    <col min="2337" max="2560" width="9.140625" style="7"/>
    <col min="2561" max="2561" width="4.7109375" style="7" customWidth="1"/>
    <col min="2562" max="2562" width="23" style="7" customWidth="1"/>
    <col min="2563" max="2563" width="6.140625" style="7" bestFit="1" customWidth="1"/>
    <col min="2564" max="2564" width="9.85546875" style="7" customWidth="1"/>
    <col min="2565" max="2565" width="5.7109375" style="7" customWidth="1"/>
    <col min="2566" max="2566" width="10.7109375" style="7" customWidth="1"/>
    <col min="2567" max="2567" width="5.7109375" style="7" customWidth="1"/>
    <col min="2568" max="2568" width="10.7109375" style="7" customWidth="1"/>
    <col min="2569" max="2569" width="5.7109375" style="7" customWidth="1"/>
    <col min="2570" max="2570" width="10.7109375" style="7" customWidth="1"/>
    <col min="2571" max="2571" width="5.7109375" style="7" customWidth="1"/>
    <col min="2572" max="2572" width="10.7109375" style="7" customWidth="1"/>
    <col min="2573" max="2573" width="5.7109375" style="7" customWidth="1"/>
    <col min="2574" max="2574" width="10.7109375" style="7" customWidth="1"/>
    <col min="2575" max="2575" width="5.7109375" style="7" customWidth="1"/>
    <col min="2576" max="2576" width="10.7109375" style="7" customWidth="1"/>
    <col min="2577" max="2577" width="5.7109375" style="7" customWidth="1"/>
    <col min="2578" max="2578" width="10.7109375" style="7" customWidth="1"/>
    <col min="2579" max="2579" width="5.7109375" style="7" customWidth="1"/>
    <col min="2580" max="2580" width="10.7109375" style="7" customWidth="1"/>
    <col min="2581" max="2581" width="5.7109375" style="7" customWidth="1"/>
    <col min="2582" max="2582" width="10.7109375" style="7" customWidth="1"/>
    <col min="2583" max="2583" width="5.7109375" style="7" customWidth="1"/>
    <col min="2584" max="2584" width="10.7109375" style="7" customWidth="1"/>
    <col min="2585" max="2585" width="5.7109375" style="7" customWidth="1"/>
    <col min="2586" max="2586" width="10.7109375" style="7" customWidth="1"/>
    <col min="2587" max="2587" width="5.7109375" style="7" customWidth="1"/>
    <col min="2588" max="2588" width="10.7109375" style="7" customWidth="1"/>
    <col min="2589" max="2589" width="8.28515625" style="7" customWidth="1"/>
    <col min="2590" max="2590" width="10.5703125" style="7" bestFit="1" customWidth="1"/>
    <col min="2591" max="2591" width="9.140625" style="7"/>
    <col min="2592" max="2592" width="14.42578125" style="7" customWidth="1"/>
    <col min="2593" max="2816" width="9.140625" style="7"/>
    <col min="2817" max="2817" width="4.7109375" style="7" customWidth="1"/>
    <col min="2818" max="2818" width="23" style="7" customWidth="1"/>
    <col min="2819" max="2819" width="6.140625" style="7" bestFit="1" customWidth="1"/>
    <col min="2820" max="2820" width="9.85546875" style="7" customWidth="1"/>
    <col min="2821" max="2821" width="5.7109375" style="7" customWidth="1"/>
    <col min="2822" max="2822" width="10.7109375" style="7" customWidth="1"/>
    <col min="2823" max="2823" width="5.7109375" style="7" customWidth="1"/>
    <col min="2824" max="2824" width="10.7109375" style="7" customWidth="1"/>
    <col min="2825" max="2825" width="5.7109375" style="7" customWidth="1"/>
    <col min="2826" max="2826" width="10.7109375" style="7" customWidth="1"/>
    <col min="2827" max="2827" width="5.7109375" style="7" customWidth="1"/>
    <col min="2828" max="2828" width="10.7109375" style="7" customWidth="1"/>
    <col min="2829" max="2829" width="5.7109375" style="7" customWidth="1"/>
    <col min="2830" max="2830" width="10.7109375" style="7" customWidth="1"/>
    <col min="2831" max="2831" width="5.7109375" style="7" customWidth="1"/>
    <col min="2832" max="2832" width="10.7109375" style="7" customWidth="1"/>
    <col min="2833" max="2833" width="5.7109375" style="7" customWidth="1"/>
    <col min="2834" max="2834" width="10.7109375" style="7" customWidth="1"/>
    <col min="2835" max="2835" width="5.7109375" style="7" customWidth="1"/>
    <col min="2836" max="2836" width="10.7109375" style="7" customWidth="1"/>
    <col min="2837" max="2837" width="5.7109375" style="7" customWidth="1"/>
    <col min="2838" max="2838" width="10.7109375" style="7" customWidth="1"/>
    <col min="2839" max="2839" width="5.7109375" style="7" customWidth="1"/>
    <col min="2840" max="2840" width="10.7109375" style="7" customWidth="1"/>
    <col min="2841" max="2841" width="5.7109375" style="7" customWidth="1"/>
    <col min="2842" max="2842" width="10.7109375" style="7" customWidth="1"/>
    <col min="2843" max="2843" width="5.7109375" style="7" customWidth="1"/>
    <col min="2844" max="2844" width="10.7109375" style="7" customWidth="1"/>
    <col min="2845" max="2845" width="8.28515625" style="7" customWidth="1"/>
    <col min="2846" max="2846" width="10.5703125" style="7" bestFit="1" customWidth="1"/>
    <col min="2847" max="2847" width="9.140625" style="7"/>
    <col min="2848" max="2848" width="14.42578125" style="7" customWidth="1"/>
    <col min="2849" max="3072" width="9.140625" style="7"/>
    <col min="3073" max="3073" width="4.7109375" style="7" customWidth="1"/>
    <col min="3074" max="3074" width="23" style="7" customWidth="1"/>
    <col min="3075" max="3075" width="6.140625" style="7" bestFit="1" customWidth="1"/>
    <col min="3076" max="3076" width="9.85546875" style="7" customWidth="1"/>
    <col min="3077" max="3077" width="5.7109375" style="7" customWidth="1"/>
    <col min="3078" max="3078" width="10.7109375" style="7" customWidth="1"/>
    <col min="3079" max="3079" width="5.7109375" style="7" customWidth="1"/>
    <col min="3080" max="3080" width="10.7109375" style="7" customWidth="1"/>
    <col min="3081" max="3081" width="5.7109375" style="7" customWidth="1"/>
    <col min="3082" max="3082" width="10.7109375" style="7" customWidth="1"/>
    <col min="3083" max="3083" width="5.7109375" style="7" customWidth="1"/>
    <col min="3084" max="3084" width="10.7109375" style="7" customWidth="1"/>
    <col min="3085" max="3085" width="5.7109375" style="7" customWidth="1"/>
    <col min="3086" max="3086" width="10.7109375" style="7" customWidth="1"/>
    <col min="3087" max="3087" width="5.7109375" style="7" customWidth="1"/>
    <col min="3088" max="3088" width="10.7109375" style="7" customWidth="1"/>
    <col min="3089" max="3089" width="5.7109375" style="7" customWidth="1"/>
    <col min="3090" max="3090" width="10.7109375" style="7" customWidth="1"/>
    <col min="3091" max="3091" width="5.7109375" style="7" customWidth="1"/>
    <col min="3092" max="3092" width="10.7109375" style="7" customWidth="1"/>
    <col min="3093" max="3093" width="5.7109375" style="7" customWidth="1"/>
    <col min="3094" max="3094" width="10.7109375" style="7" customWidth="1"/>
    <col min="3095" max="3095" width="5.7109375" style="7" customWidth="1"/>
    <col min="3096" max="3096" width="10.7109375" style="7" customWidth="1"/>
    <col min="3097" max="3097" width="5.7109375" style="7" customWidth="1"/>
    <col min="3098" max="3098" width="10.7109375" style="7" customWidth="1"/>
    <col min="3099" max="3099" width="5.7109375" style="7" customWidth="1"/>
    <col min="3100" max="3100" width="10.7109375" style="7" customWidth="1"/>
    <col min="3101" max="3101" width="8.28515625" style="7" customWidth="1"/>
    <col min="3102" max="3102" width="10.5703125" style="7" bestFit="1" customWidth="1"/>
    <col min="3103" max="3103" width="9.140625" style="7"/>
    <col min="3104" max="3104" width="14.42578125" style="7" customWidth="1"/>
    <col min="3105" max="3328" width="9.140625" style="7"/>
    <col min="3329" max="3329" width="4.7109375" style="7" customWidth="1"/>
    <col min="3330" max="3330" width="23" style="7" customWidth="1"/>
    <col min="3331" max="3331" width="6.140625" style="7" bestFit="1" customWidth="1"/>
    <col min="3332" max="3332" width="9.85546875" style="7" customWidth="1"/>
    <col min="3333" max="3333" width="5.7109375" style="7" customWidth="1"/>
    <col min="3334" max="3334" width="10.7109375" style="7" customWidth="1"/>
    <col min="3335" max="3335" width="5.7109375" style="7" customWidth="1"/>
    <col min="3336" max="3336" width="10.7109375" style="7" customWidth="1"/>
    <col min="3337" max="3337" width="5.7109375" style="7" customWidth="1"/>
    <col min="3338" max="3338" width="10.7109375" style="7" customWidth="1"/>
    <col min="3339" max="3339" width="5.7109375" style="7" customWidth="1"/>
    <col min="3340" max="3340" width="10.7109375" style="7" customWidth="1"/>
    <col min="3341" max="3341" width="5.7109375" style="7" customWidth="1"/>
    <col min="3342" max="3342" width="10.7109375" style="7" customWidth="1"/>
    <col min="3343" max="3343" width="5.7109375" style="7" customWidth="1"/>
    <col min="3344" max="3344" width="10.7109375" style="7" customWidth="1"/>
    <col min="3345" max="3345" width="5.7109375" style="7" customWidth="1"/>
    <col min="3346" max="3346" width="10.7109375" style="7" customWidth="1"/>
    <col min="3347" max="3347" width="5.7109375" style="7" customWidth="1"/>
    <col min="3348" max="3348" width="10.7109375" style="7" customWidth="1"/>
    <col min="3349" max="3349" width="5.7109375" style="7" customWidth="1"/>
    <col min="3350" max="3350" width="10.7109375" style="7" customWidth="1"/>
    <col min="3351" max="3351" width="5.7109375" style="7" customWidth="1"/>
    <col min="3352" max="3352" width="10.7109375" style="7" customWidth="1"/>
    <col min="3353" max="3353" width="5.7109375" style="7" customWidth="1"/>
    <col min="3354" max="3354" width="10.7109375" style="7" customWidth="1"/>
    <col min="3355" max="3355" width="5.7109375" style="7" customWidth="1"/>
    <col min="3356" max="3356" width="10.7109375" style="7" customWidth="1"/>
    <col min="3357" max="3357" width="8.28515625" style="7" customWidth="1"/>
    <col min="3358" max="3358" width="10.5703125" style="7" bestFit="1" customWidth="1"/>
    <col min="3359" max="3359" width="9.140625" style="7"/>
    <col min="3360" max="3360" width="14.42578125" style="7" customWidth="1"/>
    <col min="3361" max="3584" width="9.140625" style="7"/>
    <col min="3585" max="3585" width="4.7109375" style="7" customWidth="1"/>
    <col min="3586" max="3586" width="23" style="7" customWidth="1"/>
    <col min="3587" max="3587" width="6.140625" style="7" bestFit="1" customWidth="1"/>
    <col min="3588" max="3588" width="9.85546875" style="7" customWidth="1"/>
    <col min="3589" max="3589" width="5.7109375" style="7" customWidth="1"/>
    <col min="3590" max="3590" width="10.7109375" style="7" customWidth="1"/>
    <col min="3591" max="3591" width="5.7109375" style="7" customWidth="1"/>
    <col min="3592" max="3592" width="10.7109375" style="7" customWidth="1"/>
    <col min="3593" max="3593" width="5.7109375" style="7" customWidth="1"/>
    <col min="3594" max="3594" width="10.7109375" style="7" customWidth="1"/>
    <col min="3595" max="3595" width="5.7109375" style="7" customWidth="1"/>
    <col min="3596" max="3596" width="10.7109375" style="7" customWidth="1"/>
    <col min="3597" max="3597" width="5.7109375" style="7" customWidth="1"/>
    <col min="3598" max="3598" width="10.7109375" style="7" customWidth="1"/>
    <col min="3599" max="3599" width="5.7109375" style="7" customWidth="1"/>
    <col min="3600" max="3600" width="10.7109375" style="7" customWidth="1"/>
    <col min="3601" max="3601" width="5.7109375" style="7" customWidth="1"/>
    <col min="3602" max="3602" width="10.7109375" style="7" customWidth="1"/>
    <col min="3603" max="3603" width="5.7109375" style="7" customWidth="1"/>
    <col min="3604" max="3604" width="10.7109375" style="7" customWidth="1"/>
    <col min="3605" max="3605" width="5.7109375" style="7" customWidth="1"/>
    <col min="3606" max="3606" width="10.7109375" style="7" customWidth="1"/>
    <col min="3607" max="3607" width="5.7109375" style="7" customWidth="1"/>
    <col min="3608" max="3608" width="10.7109375" style="7" customWidth="1"/>
    <col min="3609" max="3609" width="5.7109375" style="7" customWidth="1"/>
    <col min="3610" max="3610" width="10.7109375" style="7" customWidth="1"/>
    <col min="3611" max="3611" width="5.7109375" style="7" customWidth="1"/>
    <col min="3612" max="3612" width="10.7109375" style="7" customWidth="1"/>
    <col min="3613" max="3613" width="8.28515625" style="7" customWidth="1"/>
    <col min="3614" max="3614" width="10.5703125" style="7" bestFit="1" customWidth="1"/>
    <col min="3615" max="3615" width="9.140625" style="7"/>
    <col min="3616" max="3616" width="14.42578125" style="7" customWidth="1"/>
    <col min="3617" max="3840" width="9.140625" style="7"/>
    <col min="3841" max="3841" width="4.7109375" style="7" customWidth="1"/>
    <col min="3842" max="3842" width="23" style="7" customWidth="1"/>
    <col min="3843" max="3843" width="6.140625" style="7" bestFit="1" customWidth="1"/>
    <col min="3844" max="3844" width="9.85546875" style="7" customWidth="1"/>
    <col min="3845" max="3845" width="5.7109375" style="7" customWidth="1"/>
    <col min="3846" max="3846" width="10.7109375" style="7" customWidth="1"/>
    <col min="3847" max="3847" width="5.7109375" style="7" customWidth="1"/>
    <col min="3848" max="3848" width="10.7109375" style="7" customWidth="1"/>
    <col min="3849" max="3849" width="5.7109375" style="7" customWidth="1"/>
    <col min="3850" max="3850" width="10.7109375" style="7" customWidth="1"/>
    <col min="3851" max="3851" width="5.7109375" style="7" customWidth="1"/>
    <col min="3852" max="3852" width="10.7109375" style="7" customWidth="1"/>
    <col min="3853" max="3853" width="5.7109375" style="7" customWidth="1"/>
    <col min="3854" max="3854" width="10.7109375" style="7" customWidth="1"/>
    <col min="3855" max="3855" width="5.7109375" style="7" customWidth="1"/>
    <col min="3856" max="3856" width="10.7109375" style="7" customWidth="1"/>
    <col min="3857" max="3857" width="5.7109375" style="7" customWidth="1"/>
    <col min="3858" max="3858" width="10.7109375" style="7" customWidth="1"/>
    <col min="3859" max="3859" width="5.7109375" style="7" customWidth="1"/>
    <col min="3860" max="3860" width="10.7109375" style="7" customWidth="1"/>
    <col min="3861" max="3861" width="5.7109375" style="7" customWidth="1"/>
    <col min="3862" max="3862" width="10.7109375" style="7" customWidth="1"/>
    <col min="3863" max="3863" width="5.7109375" style="7" customWidth="1"/>
    <col min="3864" max="3864" width="10.7109375" style="7" customWidth="1"/>
    <col min="3865" max="3865" width="5.7109375" style="7" customWidth="1"/>
    <col min="3866" max="3866" width="10.7109375" style="7" customWidth="1"/>
    <col min="3867" max="3867" width="5.7109375" style="7" customWidth="1"/>
    <col min="3868" max="3868" width="10.7109375" style="7" customWidth="1"/>
    <col min="3869" max="3869" width="8.28515625" style="7" customWidth="1"/>
    <col min="3870" max="3870" width="10.5703125" style="7" bestFit="1" customWidth="1"/>
    <col min="3871" max="3871" width="9.140625" style="7"/>
    <col min="3872" max="3872" width="14.42578125" style="7" customWidth="1"/>
    <col min="3873" max="4096" width="9.140625" style="7"/>
    <col min="4097" max="4097" width="4.7109375" style="7" customWidth="1"/>
    <col min="4098" max="4098" width="23" style="7" customWidth="1"/>
    <col min="4099" max="4099" width="6.140625" style="7" bestFit="1" customWidth="1"/>
    <col min="4100" max="4100" width="9.85546875" style="7" customWidth="1"/>
    <col min="4101" max="4101" width="5.7109375" style="7" customWidth="1"/>
    <col min="4102" max="4102" width="10.7109375" style="7" customWidth="1"/>
    <col min="4103" max="4103" width="5.7109375" style="7" customWidth="1"/>
    <col min="4104" max="4104" width="10.7109375" style="7" customWidth="1"/>
    <col min="4105" max="4105" width="5.7109375" style="7" customWidth="1"/>
    <col min="4106" max="4106" width="10.7109375" style="7" customWidth="1"/>
    <col min="4107" max="4107" width="5.7109375" style="7" customWidth="1"/>
    <col min="4108" max="4108" width="10.7109375" style="7" customWidth="1"/>
    <col min="4109" max="4109" width="5.7109375" style="7" customWidth="1"/>
    <col min="4110" max="4110" width="10.7109375" style="7" customWidth="1"/>
    <col min="4111" max="4111" width="5.7109375" style="7" customWidth="1"/>
    <col min="4112" max="4112" width="10.7109375" style="7" customWidth="1"/>
    <col min="4113" max="4113" width="5.7109375" style="7" customWidth="1"/>
    <col min="4114" max="4114" width="10.7109375" style="7" customWidth="1"/>
    <col min="4115" max="4115" width="5.7109375" style="7" customWidth="1"/>
    <col min="4116" max="4116" width="10.7109375" style="7" customWidth="1"/>
    <col min="4117" max="4117" width="5.7109375" style="7" customWidth="1"/>
    <col min="4118" max="4118" width="10.7109375" style="7" customWidth="1"/>
    <col min="4119" max="4119" width="5.7109375" style="7" customWidth="1"/>
    <col min="4120" max="4120" width="10.7109375" style="7" customWidth="1"/>
    <col min="4121" max="4121" width="5.7109375" style="7" customWidth="1"/>
    <col min="4122" max="4122" width="10.7109375" style="7" customWidth="1"/>
    <col min="4123" max="4123" width="5.7109375" style="7" customWidth="1"/>
    <col min="4124" max="4124" width="10.7109375" style="7" customWidth="1"/>
    <col min="4125" max="4125" width="8.28515625" style="7" customWidth="1"/>
    <col min="4126" max="4126" width="10.5703125" style="7" bestFit="1" customWidth="1"/>
    <col min="4127" max="4127" width="9.140625" style="7"/>
    <col min="4128" max="4128" width="14.42578125" style="7" customWidth="1"/>
    <col min="4129" max="4352" width="9.140625" style="7"/>
    <col min="4353" max="4353" width="4.7109375" style="7" customWidth="1"/>
    <col min="4354" max="4354" width="23" style="7" customWidth="1"/>
    <col min="4355" max="4355" width="6.140625" style="7" bestFit="1" customWidth="1"/>
    <col min="4356" max="4356" width="9.85546875" style="7" customWidth="1"/>
    <col min="4357" max="4357" width="5.7109375" style="7" customWidth="1"/>
    <col min="4358" max="4358" width="10.7109375" style="7" customWidth="1"/>
    <col min="4359" max="4359" width="5.7109375" style="7" customWidth="1"/>
    <col min="4360" max="4360" width="10.7109375" style="7" customWidth="1"/>
    <col min="4361" max="4361" width="5.7109375" style="7" customWidth="1"/>
    <col min="4362" max="4362" width="10.7109375" style="7" customWidth="1"/>
    <col min="4363" max="4363" width="5.7109375" style="7" customWidth="1"/>
    <col min="4364" max="4364" width="10.7109375" style="7" customWidth="1"/>
    <col min="4365" max="4365" width="5.7109375" style="7" customWidth="1"/>
    <col min="4366" max="4366" width="10.7109375" style="7" customWidth="1"/>
    <col min="4367" max="4367" width="5.7109375" style="7" customWidth="1"/>
    <col min="4368" max="4368" width="10.7109375" style="7" customWidth="1"/>
    <col min="4369" max="4369" width="5.7109375" style="7" customWidth="1"/>
    <col min="4370" max="4370" width="10.7109375" style="7" customWidth="1"/>
    <col min="4371" max="4371" width="5.7109375" style="7" customWidth="1"/>
    <col min="4372" max="4372" width="10.7109375" style="7" customWidth="1"/>
    <col min="4373" max="4373" width="5.7109375" style="7" customWidth="1"/>
    <col min="4374" max="4374" width="10.7109375" style="7" customWidth="1"/>
    <col min="4375" max="4375" width="5.7109375" style="7" customWidth="1"/>
    <col min="4376" max="4376" width="10.7109375" style="7" customWidth="1"/>
    <col min="4377" max="4377" width="5.7109375" style="7" customWidth="1"/>
    <col min="4378" max="4378" width="10.7109375" style="7" customWidth="1"/>
    <col min="4379" max="4379" width="5.7109375" style="7" customWidth="1"/>
    <col min="4380" max="4380" width="10.7109375" style="7" customWidth="1"/>
    <col min="4381" max="4381" width="8.28515625" style="7" customWidth="1"/>
    <col min="4382" max="4382" width="10.5703125" style="7" bestFit="1" customWidth="1"/>
    <col min="4383" max="4383" width="9.140625" style="7"/>
    <col min="4384" max="4384" width="14.42578125" style="7" customWidth="1"/>
    <col min="4385" max="4608" width="9.140625" style="7"/>
    <col min="4609" max="4609" width="4.7109375" style="7" customWidth="1"/>
    <col min="4610" max="4610" width="23" style="7" customWidth="1"/>
    <col min="4611" max="4611" width="6.140625" style="7" bestFit="1" customWidth="1"/>
    <col min="4612" max="4612" width="9.85546875" style="7" customWidth="1"/>
    <col min="4613" max="4613" width="5.7109375" style="7" customWidth="1"/>
    <col min="4614" max="4614" width="10.7109375" style="7" customWidth="1"/>
    <col min="4615" max="4615" width="5.7109375" style="7" customWidth="1"/>
    <col min="4616" max="4616" width="10.7109375" style="7" customWidth="1"/>
    <col min="4617" max="4617" width="5.7109375" style="7" customWidth="1"/>
    <col min="4618" max="4618" width="10.7109375" style="7" customWidth="1"/>
    <col min="4619" max="4619" width="5.7109375" style="7" customWidth="1"/>
    <col min="4620" max="4620" width="10.7109375" style="7" customWidth="1"/>
    <col min="4621" max="4621" width="5.7109375" style="7" customWidth="1"/>
    <col min="4622" max="4622" width="10.7109375" style="7" customWidth="1"/>
    <col min="4623" max="4623" width="5.7109375" style="7" customWidth="1"/>
    <col min="4624" max="4624" width="10.7109375" style="7" customWidth="1"/>
    <col min="4625" max="4625" width="5.7109375" style="7" customWidth="1"/>
    <col min="4626" max="4626" width="10.7109375" style="7" customWidth="1"/>
    <col min="4627" max="4627" width="5.7109375" style="7" customWidth="1"/>
    <col min="4628" max="4628" width="10.7109375" style="7" customWidth="1"/>
    <col min="4629" max="4629" width="5.7109375" style="7" customWidth="1"/>
    <col min="4630" max="4630" width="10.7109375" style="7" customWidth="1"/>
    <col min="4631" max="4631" width="5.7109375" style="7" customWidth="1"/>
    <col min="4632" max="4632" width="10.7109375" style="7" customWidth="1"/>
    <col min="4633" max="4633" width="5.7109375" style="7" customWidth="1"/>
    <col min="4634" max="4634" width="10.7109375" style="7" customWidth="1"/>
    <col min="4635" max="4635" width="5.7109375" style="7" customWidth="1"/>
    <col min="4636" max="4636" width="10.7109375" style="7" customWidth="1"/>
    <col min="4637" max="4637" width="8.28515625" style="7" customWidth="1"/>
    <col min="4638" max="4638" width="10.5703125" style="7" bestFit="1" customWidth="1"/>
    <col min="4639" max="4639" width="9.140625" style="7"/>
    <col min="4640" max="4640" width="14.42578125" style="7" customWidth="1"/>
    <col min="4641" max="4864" width="9.140625" style="7"/>
    <col min="4865" max="4865" width="4.7109375" style="7" customWidth="1"/>
    <col min="4866" max="4866" width="23" style="7" customWidth="1"/>
    <col min="4867" max="4867" width="6.140625" style="7" bestFit="1" customWidth="1"/>
    <col min="4868" max="4868" width="9.85546875" style="7" customWidth="1"/>
    <col min="4869" max="4869" width="5.7109375" style="7" customWidth="1"/>
    <col min="4870" max="4870" width="10.7109375" style="7" customWidth="1"/>
    <col min="4871" max="4871" width="5.7109375" style="7" customWidth="1"/>
    <col min="4872" max="4872" width="10.7109375" style="7" customWidth="1"/>
    <col min="4873" max="4873" width="5.7109375" style="7" customWidth="1"/>
    <col min="4874" max="4874" width="10.7109375" style="7" customWidth="1"/>
    <col min="4875" max="4875" width="5.7109375" style="7" customWidth="1"/>
    <col min="4876" max="4876" width="10.7109375" style="7" customWidth="1"/>
    <col min="4877" max="4877" width="5.7109375" style="7" customWidth="1"/>
    <col min="4878" max="4878" width="10.7109375" style="7" customWidth="1"/>
    <col min="4879" max="4879" width="5.7109375" style="7" customWidth="1"/>
    <col min="4880" max="4880" width="10.7109375" style="7" customWidth="1"/>
    <col min="4881" max="4881" width="5.7109375" style="7" customWidth="1"/>
    <col min="4882" max="4882" width="10.7109375" style="7" customWidth="1"/>
    <col min="4883" max="4883" width="5.7109375" style="7" customWidth="1"/>
    <col min="4884" max="4884" width="10.7109375" style="7" customWidth="1"/>
    <col min="4885" max="4885" width="5.7109375" style="7" customWidth="1"/>
    <col min="4886" max="4886" width="10.7109375" style="7" customWidth="1"/>
    <col min="4887" max="4887" width="5.7109375" style="7" customWidth="1"/>
    <col min="4888" max="4888" width="10.7109375" style="7" customWidth="1"/>
    <col min="4889" max="4889" width="5.7109375" style="7" customWidth="1"/>
    <col min="4890" max="4890" width="10.7109375" style="7" customWidth="1"/>
    <col min="4891" max="4891" width="5.7109375" style="7" customWidth="1"/>
    <col min="4892" max="4892" width="10.7109375" style="7" customWidth="1"/>
    <col min="4893" max="4893" width="8.28515625" style="7" customWidth="1"/>
    <col min="4894" max="4894" width="10.5703125" style="7" bestFit="1" customWidth="1"/>
    <col min="4895" max="4895" width="9.140625" style="7"/>
    <col min="4896" max="4896" width="14.42578125" style="7" customWidth="1"/>
    <col min="4897" max="5120" width="9.140625" style="7"/>
    <col min="5121" max="5121" width="4.7109375" style="7" customWidth="1"/>
    <col min="5122" max="5122" width="23" style="7" customWidth="1"/>
    <col min="5123" max="5123" width="6.140625" style="7" bestFit="1" customWidth="1"/>
    <col min="5124" max="5124" width="9.85546875" style="7" customWidth="1"/>
    <col min="5125" max="5125" width="5.7109375" style="7" customWidth="1"/>
    <col min="5126" max="5126" width="10.7109375" style="7" customWidth="1"/>
    <col min="5127" max="5127" width="5.7109375" style="7" customWidth="1"/>
    <col min="5128" max="5128" width="10.7109375" style="7" customWidth="1"/>
    <col min="5129" max="5129" width="5.7109375" style="7" customWidth="1"/>
    <col min="5130" max="5130" width="10.7109375" style="7" customWidth="1"/>
    <col min="5131" max="5131" width="5.7109375" style="7" customWidth="1"/>
    <col min="5132" max="5132" width="10.7109375" style="7" customWidth="1"/>
    <col min="5133" max="5133" width="5.7109375" style="7" customWidth="1"/>
    <col min="5134" max="5134" width="10.7109375" style="7" customWidth="1"/>
    <col min="5135" max="5135" width="5.7109375" style="7" customWidth="1"/>
    <col min="5136" max="5136" width="10.7109375" style="7" customWidth="1"/>
    <col min="5137" max="5137" width="5.7109375" style="7" customWidth="1"/>
    <col min="5138" max="5138" width="10.7109375" style="7" customWidth="1"/>
    <col min="5139" max="5139" width="5.7109375" style="7" customWidth="1"/>
    <col min="5140" max="5140" width="10.7109375" style="7" customWidth="1"/>
    <col min="5141" max="5141" width="5.7109375" style="7" customWidth="1"/>
    <col min="5142" max="5142" width="10.7109375" style="7" customWidth="1"/>
    <col min="5143" max="5143" width="5.7109375" style="7" customWidth="1"/>
    <col min="5144" max="5144" width="10.7109375" style="7" customWidth="1"/>
    <col min="5145" max="5145" width="5.7109375" style="7" customWidth="1"/>
    <col min="5146" max="5146" width="10.7109375" style="7" customWidth="1"/>
    <col min="5147" max="5147" width="5.7109375" style="7" customWidth="1"/>
    <col min="5148" max="5148" width="10.7109375" style="7" customWidth="1"/>
    <col min="5149" max="5149" width="8.28515625" style="7" customWidth="1"/>
    <col min="5150" max="5150" width="10.5703125" style="7" bestFit="1" customWidth="1"/>
    <col min="5151" max="5151" width="9.140625" style="7"/>
    <col min="5152" max="5152" width="14.42578125" style="7" customWidth="1"/>
    <col min="5153" max="5376" width="9.140625" style="7"/>
    <col min="5377" max="5377" width="4.7109375" style="7" customWidth="1"/>
    <col min="5378" max="5378" width="23" style="7" customWidth="1"/>
    <col min="5379" max="5379" width="6.140625" style="7" bestFit="1" customWidth="1"/>
    <col min="5380" max="5380" width="9.85546875" style="7" customWidth="1"/>
    <col min="5381" max="5381" width="5.7109375" style="7" customWidth="1"/>
    <col min="5382" max="5382" width="10.7109375" style="7" customWidth="1"/>
    <col min="5383" max="5383" width="5.7109375" style="7" customWidth="1"/>
    <col min="5384" max="5384" width="10.7109375" style="7" customWidth="1"/>
    <col min="5385" max="5385" width="5.7109375" style="7" customWidth="1"/>
    <col min="5386" max="5386" width="10.7109375" style="7" customWidth="1"/>
    <col min="5387" max="5387" width="5.7109375" style="7" customWidth="1"/>
    <col min="5388" max="5388" width="10.7109375" style="7" customWidth="1"/>
    <col min="5389" max="5389" width="5.7109375" style="7" customWidth="1"/>
    <col min="5390" max="5390" width="10.7109375" style="7" customWidth="1"/>
    <col min="5391" max="5391" width="5.7109375" style="7" customWidth="1"/>
    <col min="5392" max="5392" width="10.7109375" style="7" customWidth="1"/>
    <col min="5393" max="5393" width="5.7109375" style="7" customWidth="1"/>
    <col min="5394" max="5394" width="10.7109375" style="7" customWidth="1"/>
    <col min="5395" max="5395" width="5.7109375" style="7" customWidth="1"/>
    <col min="5396" max="5396" width="10.7109375" style="7" customWidth="1"/>
    <col min="5397" max="5397" width="5.7109375" style="7" customWidth="1"/>
    <col min="5398" max="5398" width="10.7109375" style="7" customWidth="1"/>
    <col min="5399" max="5399" width="5.7109375" style="7" customWidth="1"/>
    <col min="5400" max="5400" width="10.7109375" style="7" customWidth="1"/>
    <col min="5401" max="5401" width="5.7109375" style="7" customWidth="1"/>
    <col min="5402" max="5402" width="10.7109375" style="7" customWidth="1"/>
    <col min="5403" max="5403" width="5.7109375" style="7" customWidth="1"/>
    <col min="5404" max="5404" width="10.7109375" style="7" customWidth="1"/>
    <col min="5405" max="5405" width="8.28515625" style="7" customWidth="1"/>
    <col min="5406" max="5406" width="10.5703125" style="7" bestFit="1" customWidth="1"/>
    <col min="5407" max="5407" width="9.140625" style="7"/>
    <col min="5408" max="5408" width="14.42578125" style="7" customWidth="1"/>
    <col min="5409" max="5632" width="9.140625" style="7"/>
    <col min="5633" max="5633" width="4.7109375" style="7" customWidth="1"/>
    <col min="5634" max="5634" width="23" style="7" customWidth="1"/>
    <col min="5635" max="5635" width="6.140625" style="7" bestFit="1" customWidth="1"/>
    <col min="5636" max="5636" width="9.85546875" style="7" customWidth="1"/>
    <col min="5637" max="5637" width="5.7109375" style="7" customWidth="1"/>
    <col min="5638" max="5638" width="10.7109375" style="7" customWidth="1"/>
    <col min="5639" max="5639" width="5.7109375" style="7" customWidth="1"/>
    <col min="5640" max="5640" width="10.7109375" style="7" customWidth="1"/>
    <col min="5641" max="5641" width="5.7109375" style="7" customWidth="1"/>
    <col min="5642" max="5642" width="10.7109375" style="7" customWidth="1"/>
    <col min="5643" max="5643" width="5.7109375" style="7" customWidth="1"/>
    <col min="5644" max="5644" width="10.7109375" style="7" customWidth="1"/>
    <col min="5645" max="5645" width="5.7109375" style="7" customWidth="1"/>
    <col min="5646" max="5646" width="10.7109375" style="7" customWidth="1"/>
    <col min="5647" max="5647" width="5.7109375" style="7" customWidth="1"/>
    <col min="5648" max="5648" width="10.7109375" style="7" customWidth="1"/>
    <col min="5649" max="5649" width="5.7109375" style="7" customWidth="1"/>
    <col min="5650" max="5650" width="10.7109375" style="7" customWidth="1"/>
    <col min="5651" max="5651" width="5.7109375" style="7" customWidth="1"/>
    <col min="5652" max="5652" width="10.7109375" style="7" customWidth="1"/>
    <col min="5653" max="5653" width="5.7109375" style="7" customWidth="1"/>
    <col min="5654" max="5654" width="10.7109375" style="7" customWidth="1"/>
    <col min="5655" max="5655" width="5.7109375" style="7" customWidth="1"/>
    <col min="5656" max="5656" width="10.7109375" style="7" customWidth="1"/>
    <col min="5657" max="5657" width="5.7109375" style="7" customWidth="1"/>
    <col min="5658" max="5658" width="10.7109375" style="7" customWidth="1"/>
    <col min="5659" max="5659" width="5.7109375" style="7" customWidth="1"/>
    <col min="5660" max="5660" width="10.7109375" style="7" customWidth="1"/>
    <col min="5661" max="5661" width="8.28515625" style="7" customWidth="1"/>
    <col min="5662" max="5662" width="10.5703125" style="7" bestFit="1" customWidth="1"/>
    <col min="5663" max="5663" width="9.140625" style="7"/>
    <col min="5664" max="5664" width="14.42578125" style="7" customWidth="1"/>
    <col min="5665" max="5888" width="9.140625" style="7"/>
    <col min="5889" max="5889" width="4.7109375" style="7" customWidth="1"/>
    <col min="5890" max="5890" width="23" style="7" customWidth="1"/>
    <col min="5891" max="5891" width="6.140625" style="7" bestFit="1" customWidth="1"/>
    <col min="5892" max="5892" width="9.85546875" style="7" customWidth="1"/>
    <col min="5893" max="5893" width="5.7109375" style="7" customWidth="1"/>
    <col min="5894" max="5894" width="10.7109375" style="7" customWidth="1"/>
    <col min="5895" max="5895" width="5.7109375" style="7" customWidth="1"/>
    <col min="5896" max="5896" width="10.7109375" style="7" customWidth="1"/>
    <col min="5897" max="5897" width="5.7109375" style="7" customWidth="1"/>
    <col min="5898" max="5898" width="10.7109375" style="7" customWidth="1"/>
    <col min="5899" max="5899" width="5.7109375" style="7" customWidth="1"/>
    <col min="5900" max="5900" width="10.7109375" style="7" customWidth="1"/>
    <col min="5901" max="5901" width="5.7109375" style="7" customWidth="1"/>
    <col min="5902" max="5902" width="10.7109375" style="7" customWidth="1"/>
    <col min="5903" max="5903" width="5.7109375" style="7" customWidth="1"/>
    <col min="5904" max="5904" width="10.7109375" style="7" customWidth="1"/>
    <col min="5905" max="5905" width="5.7109375" style="7" customWidth="1"/>
    <col min="5906" max="5906" width="10.7109375" style="7" customWidth="1"/>
    <col min="5907" max="5907" width="5.7109375" style="7" customWidth="1"/>
    <col min="5908" max="5908" width="10.7109375" style="7" customWidth="1"/>
    <col min="5909" max="5909" width="5.7109375" style="7" customWidth="1"/>
    <col min="5910" max="5910" width="10.7109375" style="7" customWidth="1"/>
    <col min="5911" max="5911" width="5.7109375" style="7" customWidth="1"/>
    <col min="5912" max="5912" width="10.7109375" style="7" customWidth="1"/>
    <col min="5913" max="5913" width="5.7109375" style="7" customWidth="1"/>
    <col min="5914" max="5914" width="10.7109375" style="7" customWidth="1"/>
    <col min="5915" max="5915" width="5.7109375" style="7" customWidth="1"/>
    <col min="5916" max="5916" width="10.7109375" style="7" customWidth="1"/>
    <col min="5917" max="5917" width="8.28515625" style="7" customWidth="1"/>
    <col min="5918" max="5918" width="10.5703125" style="7" bestFit="1" customWidth="1"/>
    <col min="5919" max="5919" width="9.140625" style="7"/>
    <col min="5920" max="5920" width="14.42578125" style="7" customWidth="1"/>
    <col min="5921" max="6144" width="9.140625" style="7"/>
    <col min="6145" max="6145" width="4.7109375" style="7" customWidth="1"/>
    <col min="6146" max="6146" width="23" style="7" customWidth="1"/>
    <col min="6147" max="6147" width="6.140625" style="7" bestFit="1" customWidth="1"/>
    <col min="6148" max="6148" width="9.85546875" style="7" customWidth="1"/>
    <col min="6149" max="6149" width="5.7109375" style="7" customWidth="1"/>
    <col min="6150" max="6150" width="10.7109375" style="7" customWidth="1"/>
    <col min="6151" max="6151" width="5.7109375" style="7" customWidth="1"/>
    <col min="6152" max="6152" width="10.7109375" style="7" customWidth="1"/>
    <col min="6153" max="6153" width="5.7109375" style="7" customWidth="1"/>
    <col min="6154" max="6154" width="10.7109375" style="7" customWidth="1"/>
    <col min="6155" max="6155" width="5.7109375" style="7" customWidth="1"/>
    <col min="6156" max="6156" width="10.7109375" style="7" customWidth="1"/>
    <col min="6157" max="6157" width="5.7109375" style="7" customWidth="1"/>
    <col min="6158" max="6158" width="10.7109375" style="7" customWidth="1"/>
    <col min="6159" max="6159" width="5.7109375" style="7" customWidth="1"/>
    <col min="6160" max="6160" width="10.7109375" style="7" customWidth="1"/>
    <col min="6161" max="6161" width="5.7109375" style="7" customWidth="1"/>
    <col min="6162" max="6162" width="10.7109375" style="7" customWidth="1"/>
    <col min="6163" max="6163" width="5.7109375" style="7" customWidth="1"/>
    <col min="6164" max="6164" width="10.7109375" style="7" customWidth="1"/>
    <col min="6165" max="6165" width="5.7109375" style="7" customWidth="1"/>
    <col min="6166" max="6166" width="10.7109375" style="7" customWidth="1"/>
    <col min="6167" max="6167" width="5.7109375" style="7" customWidth="1"/>
    <col min="6168" max="6168" width="10.7109375" style="7" customWidth="1"/>
    <col min="6169" max="6169" width="5.7109375" style="7" customWidth="1"/>
    <col min="6170" max="6170" width="10.7109375" style="7" customWidth="1"/>
    <col min="6171" max="6171" width="5.7109375" style="7" customWidth="1"/>
    <col min="6172" max="6172" width="10.7109375" style="7" customWidth="1"/>
    <col min="6173" max="6173" width="8.28515625" style="7" customWidth="1"/>
    <col min="6174" max="6174" width="10.5703125" style="7" bestFit="1" customWidth="1"/>
    <col min="6175" max="6175" width="9.140625" style="7"/>
    <col min="6176" max="6176" width="14.42578125" style="7" customWidth="1"/>
    <col min="6177" max="6400" width="9.140625" style="7"/>
    <col min="6401" max="6401" width="4.7109375" style="7" customWidth="1"/>
    <col min="6402" max="6402" width="23" style="7" customWidth="1"/>
    <col min="6403" max="6403" width="6.140625" style="7" bestFit="1" customWidth="1"/>
    <col min="6404" max="6404" width="9.85546875" style="7" customWidth="1"/>
    <col min="6405" max="6405" width="5.7109375" style="7" customWidth="1"/>
    <col min="6406" max="6406" width="10.7109375" style="7" customWidth="1"/>
    <col min="6407" max="6407" width="5.7109375" style="7" customWidth="1"/>
    <col min="6408" max="6408" width="10.7109375" style="7" customWidth="1"/>
    <col min="6409" max="6409" width="5.7109375" style="7" customWidth="1"/>
    <col min="6410" max="6410" width="10.7109375" style="7" customWidth="1"/>
    <col min="6411" max="6411" width="5.7109375" style="7" customWidth="1"/>
    <col min="6412" max="6412" width="10.7109375" style="7" customWidth="1"/>
    <col min="6413" max="6413" width="5.7109375" style="7" customWidth="1"/>
    <col min="6414" max="6414" width="10.7109375" style="7" customWidth="1"/>
    <col min="6415" max="6415" width="5.7109375" style="7" customWidth="1"/>
    <col min="6416" max="6416" width="10.7109375" style="7" customWidth="1"/>
    <col min="6417" max="6417" width="5.7109375" style="7" customWidth="1"/>
    <col min="6418" max="6418" width="10.7109375" style="7" customWidth="1"/>
    <col min="6419" max="6419" width="5.7109375" style="7" customWidth="1"/>
    <col min="6420" max="6420" width="10.7109375" style="7" customWidth="1"/>
    <col min="6421" max="6421" width="5.7109375" style="7" customWidth="1"/>
    <col min="6422" max="6422" width="10.7109375" style="7" customWidth="1"/>
    <col min="6423" max="6423" width="5.7109375" style="7" customWidth="1"/>
    <col min="6424" max="6424" width="10.7109375" style="7" customWidth="1"/>
    <col min="6425" max="6425" width="5.7109375" style="7" customWidth="1"/>
    <col min="6426" max="6426" width="10.7109375" style="7" customWidth="1"/>
    <col min="6427" max="6427" width="5.7109375" style="7" customWidth="1"/>
    <col min="6428" max="6428" width="10.7109375" style="7" customWidth="1"/>
    <col min="6429" max="6429" width="8.28515625" style="7" customWidth="1"/>
    <col min="6430" max="6430" width="10.5703125" style="7" bestFit="1" customWidth="1"/>
    <col min="6431" max="6431" width="9.140625" style="7"/>
    <col min="6432" max="6432" width="14.42578125" style="7" customWidth="1"/>
    <col min="6433" max="6656" width="9.140625" style="7"/>
    <col min="6657" max="6657" width="4.7109375" style="7" customWidth="1"/>
    <col min="6658" max="6658" width="23" style="7" customWidth="1"/>
    <col min="6659" max="6659" width="6.140625" style="7" bestFit="1" customWidth="1"/>
    <col min="6660" max="6660" width="9.85546875" style="7" customWidth="1"/>
    <col min="6661" max="6661" width="5.7109375" style="7" customWidth="1"/>
    <col min="6662" max="6662" width="10.7109375" style="7" customWidth="1"/>
    <col min="6663" max="6663" width="5.7109375" style="7" customWidth="1"/>
    <col min="6664" max="6664" width="10.7109375" style="7" customWidth="1"/>
    <col min="6665" max="6665" width="5.7109375" style="7" customWidth="1"/>
    <col min="6666" max="6666" width="10.7109375" style="7" customWidth="1"/>
    <col min="6667" max="6667" width="5.7109375" style="7" customWidth="1"/>
    <col min="6668" max="6668" width="10.7109375" style="7" customWidth="1"/>
    <col min="6669" max="6669" width="5.7109375" style="7" customWidth="1"/>
    <col min="6670" max="6670" width="10.7109375" style="7" customWidth="1"/>
    <col min="6671" max="6671" width="5.7109375" style="7" customWidth="1"/>
    <col min="6672" max="6672" width="10.7109375" style="7" customWidth="1"/>
    <col min="6673" max="6673" width="5.7109375" style="7" customWidth="1"/>
    <col min="6674" max="6674" width="10.7109375" style="7" customWidth="1"/>
    <col min="6675" max="6675" width="5.7109375" style="7" customWidth="1"/>
    <col min="6676" max="6676" width="10.7109375" style="7" customWidth="1"/>
    <col min="6677" max="6677" width="5.7109375" style="7" customWidth="1"/>
    <col min="6678" max="6678" width="10.7109375" style="7" customWidth="1"/>
    <col min="6679" max="6679" width="5.7109375" style="7" customWidth="1"/>
    <col min="6680" max="6680" width="10.7109375" style="7" customWidth="1"/>
    <col min="6681" max="6681" width="5.7109375" style="7" customWidth="1"/>
    <col min="6682" max="6682" width="10.7109375" style="7" customWidth="1"/>
    <col min="6683" max="6683" width="5.7109375" style="7" customWidth="1"/>
    <col min="6684" max="6684" width="10.7109375" style="7" customWidth="1"/>
    <col min="6685" max="6685" width="8.28515625" style="7" customWidth="1"/>
    <col min="6686" max="6686" width="10.5703125" style="7" bestFit="1" customWidth="1"/>
    <col min="6687" max="6687" width="9.140625" style="7"/>
    <col min="6688" max="6688" width="14.42578125" style="7" customWidth="1"/>
    <col min="6689" max="6912" width="9.140625" style="7"/>
    <col min="6913" max="6913" width="4.7109375" style="7" customWidth="1"/>
    <col min="6914" max="6914" width="23" style="7" customWidth="1"/>
    <col min="6915" max="6915" width="6.140625" style="7" bestFit="1" customWidth="1"/>
    <col min="6916" max="6916" width="9.85546875" style="7" customWidth="1"/>
    <col min="6917" max="6917" width="5.7109375" style="7" customWidth="1"/>
    <col min="6918" max="6918" width="10.7109375" style="7" customWidth="1"/>
    <col min="6919" max="6919" width="5.7109375" style="7" customWidth="1"/>
    <col min="6920" max="6920" width="10.7109375" style="7" customWidth="1"/>
    <col min="6921" max="6921" width="5.7109375" style="7" customWidth="1"/>
    <col min="6922" max="6922" width="10.7109375" style="7" customWidth="1"/>
    <col min="6923" max="6923" width="5.7109375" style="7" customWidth="1"/>
    <col min="6924" max="6924" width="10.7109375" style="7" customWidth="1"/>
    <col min="6925" max="6925" width="5.7109375" style="7" customWidth="1"/>
    <col min="6926" max="6926" width="10.7109375" style="7" customWidth="1"/>
    <col min="6927" max="6927" width="5.7109375" style="7" customWidth="1"/>
    <col min="6928" max="6928" width="10.7109375" style="7" customWidth="1"/>
    <col min="6929" max="6929" width="5.7109375" style="7" customWidth="1"/>
    <col min="6930" max="6930" width="10.7109375" style="7" customWidth="1"/>
    <col min="6931" max="6931" width="5.7109375" style="7" customWidth="1"/>
    <col min="6932" max="6932" width="10.7109375" style="7" customWidth="1"/>
    <col min="6933" max="6933" width="5.7109375" style="7" customWidth="1"/>
    <col min="6934" max="6934" width="10.7109375" style="7" customWidth="1"/>
    <col min="6935" max="6935" width="5.7109375" style="7" customWidth="1"/>
    <col min="6936" max="6936" width="10.7109375" style="7" customWidth="1"/>
    <col min="6937" max="6937" width="5.7109375" style="7" customWidth="1"/>
    <col min="6938" max="6938" width="10.7109375" style="7" customWidth="1"/>
    <col min="6939" max="6939" width="5.7109375" style="7" customWidth="1"/>
    <col min="6940" max="6940" width="10.7109375" style="7" customWidth="1"/>
    <col min="6941" max="6941" width="8.28515625" style="7" customWidth="1"/>
    <col min="6942" max="6942" width="10.5703125" style="7" bestFit="1" customWidth="1"/>
    <col min="6943" max="6943" width="9.140625" style="7"/>
    <col min="6944" max="6944" width="14.42578125" style="7" customWidth="1"/>
    <col min="6945" max="7168" width="9.140625" style="7"/>
    <col min="7169" max="7169" width="4.7109375" style="7" customWidth="1"/>
    <col min="7170" max="7170" width="23" style="7" customWidth="1"/>
    <col min="7171" max="7171" width="6.140625" style="7" bestFit="1" customWidth="1"/>
    <col min="7172" max="7172" width="9.85546875" style="7" customWidth="1"/>
    <col min="7173" max="7173" width="5.7109375" style="7" customWidth="1"/>
    <col min="7174" max="7174" width="10.7109375" style="7" customWidth="1"/>
    <col min="7175" max="7175" width="5.7109375" style="7" customWidth="1"/>
    <col min="7176" max="7176" width="10.7109375" style="7" customWidth="1"/>
    <col min="7177" max="7177" width="5.7109375" style="7" customWidth="1"/>
    <col min="7178" max="7178" width="10.7109375" style="7" customWidth="1"/>
    <col min="7179" max="7179" width="5.7109375" style="7" customWidth="1"/>
    <col min="7180" max="7180" width="10.7109375" style="7" customWidth="1"/>
    <col min="7181" max="7181" width="5.7109375" style="7" customWidth="1"/>
    <col min="7182" max="7182" width="10.7109375" style="7" customWidth="1"/>
    <col min="7183" max="7183" width="5.7109375" style="7" customWidth="1"/>
    <col min="7184" max="7184" width="10.7109375" style="7" customWidth="1"/>
    <col min="7185" max="7185" width="5.7109375" style="7" customWidth="1"/>
    <col min="7186" max="7186" width="10.7109375" style="7" customWidth="1"/>
    <col min="7187" max="7187" width="5.7109375" style="7" customWidth="1"/>
    <col min="7188" max="7188" width="10.7109375" style="7" customWidth="1"/>
    <col min="7189" max="7189" width="5.7109375" style="7" customWidth="1"/>
    <col min="7190" max="7190" width="10.7109375" style="7" customWidth="1"/>
    <col min="7191" max="7191" width="5.7109375" style="7" customWidth="1"/>
    <col min="7192" max="7192" width="10.7109375" style="7" customWidth="1"/>
    <col min="7193" max="7193" width="5.7109375" style="7" customWidth="1"/>
    <col min="7194" max="7194" width="10.7109375" style="7" customWidth="1"/>
    <col min="7195" max="7195" width="5.7109375" style="7" customWidth="1"/>
    <col min="7196" max="7196" width="10.7109375" style="7" customWidth="1"/>
    <col min="7197" max="7197" width="8.28515625" style="7" customWidth="1"/>
    <col min="7198" max="7198" width="10.5703125" style="7" bestFit="1" customWidth="1"/>
    <col min="7199" max="7199" width="9.140625" style="7"/>
    <col min="7200" max="7200" width="14.42578125" style="7" customWidth="1"/>
    <col min="7201" max="7424" width="9.140625" style="7"/>
    <col min="7425" max="7425" width="4.7109375" style="7" customWidth="1"/>
    <col min="7426" max="7426" width="23" style="7" customWidth="1"/>
    <col min="7427" max="7427" width="6.140625" style="7" bestFit="1" customWidth="1"/>
    <col min="7428" max="7428" width="9.85546875" style="7" customWidth="1"/>
    <col min="7429" max="7429" width="5.7109375" style="7" customWidth="1"/>
    <col min="7430" max="7430" width="10.7109375" style="7" customWidth="1"/>
    <col min="7431" max="7431" width="5.7109375" style="7" customWidth="1"/>
    <col min="7432" max="7432" width="10.7109375" style="7" customWidth="1"/>
    <col min="7433" max="7433" width="5.7109375" style="7" customWidth="1"/>
    <col min="7434" max="7434" width="10.7109375" style="7" customWidth="1"/>
    <col min="7435" max="7435" width="5.7109375" style="7" customWidth="1"/>
    <col min="7436" max="7436" width="10.7109375" style="7" customWidth="1"/>
    <col min="7437" max="7437" width="5.7109375" style="7" customWidth="1"/>
    <col min="7438" max="7438" width="10.7109375" style="7" customWidth="1"/>
    <col min="7439" max="7439" width="5.7109375" style="7" customWidth="1"/>
    <col min="7440" max="7440" width="10.7109375" style="7" customWidth="1"/>
    <col min="7441" max="7441" width="5.7109375" style="7" customWidth="1"/>
    <col min="7442" max="7442" width="10.7109375" style="7" customWidth="1"/>
    <col min="7443" max="7443" width="5.7109375" style="7" customWidth="1"/>
    <col min="7444" max="7444" width="10.7109375" style="7" customWidth="1"/>
    <col min="7445" max="7445" width="5.7109375" style="7" customWidth="1"/>
    <col min="7446" max="7446" width="10.7109375" style="7" customWidth="1"/>
    <col min="7447" max="7447" width="5.7109375" style="7" customWidth="1"/>
    <col min="7448" max="7448" width="10.7109375" style="7" customWidth="1"/>
    <col min="7449" max="7449" width="5.7109375" style="7" customWidth="1"/>
    <col min="7450" max="7450" width="10.7109375" style="7" customWidth="1"/>
    <col min="7451" max="7451" width="5.7109375" style="7" customWidth="1"/>
    <col min="7452" max="7452" width="10.7109375" style="7" customWidth="1"/>
    <col min="7453" max="7453" width="8.28515625" style="7" customWidth="1"/>
    <col min="7454" max="7454" width="10.5703125" style="7" bestFit="1" customWidth="1"/>
    <col min="7455" max="7455" width="9.140625" style="7"/>
    <col min="7456" max="7456" width="14.42578125" style="7" customWidth="1"/>
    <col min="7457" max="7680" width="9.140625" style="7"/>
    <col min="7681" max="7681" width="4.7109375" style="7" customWidth="1"/>
    <col min="7682" max="7682" width="23" style="7" customWidth="1"/>
    <col min="7683" max="7683" width="6.140625" style="7" bestFit="1" customWidth="1"/>
    <col min="7684" max="7684" width="9.85546875" style="7" customWidth="1"/>
    <col min="7685" max="7685" width="5.7109375" style="7" customWidth="1"/>
    <col min="7686" max="7686" width="10.7109375" style="7" customWidth="1"/>
    <col min="7687" max="7687" width="5.7109375" style="7" customWidth="1"/>
    <col min="7688" max="7688" width="10.7109375" style="7" customWidth="1"/>
    <col min="7689" max="7689" width="5.7109375" style="7" customWidth="1"/>
    <col min="7690" max="7690" width="10.7109375" style="7" customWidth="1"/>
    <col min="7691" max="7691" width="5.7109375" style="7" customWidth="1"/>
    <col min="7692" max="7692" width="10.7109375" style="7" customWidth="1"/>
    <col min="7693" max="7693" width="5.7109375" style="7" customWidth="1"/>
    <col min="7694" max="7694" width="10.7109375" style="7" customWidth="1"/>
    <col min="7695" max="7695" width="5.7109375" style="7" customWidth="1"/>
    <col min="7696" max="7696" width="10.7109375" style="7" customWidth="1"/>
    <col min="7697" max="7697" width="5.7109375" style="7" customWidth="1"/>
    <col min="7698" max="7698" width="10.7109375" style="7" customWidth="1"/>
    <col min="7699" max="7699" width="5.7109375" style="7" customWidth="1"/>
    <col min="7700" max="7700" width="10.7109375" style="7" customWidth="1"/>
    <col min="7701" max="7701" width="5.7109375" style="7" customWidth="1"/>
    <col min="7702" max="7702" width="10.7109375" style="7" customWidth="1"/>
    <col min="7703" max="7703" width="5.7109375" style="7" customWidth="1"/>
    <col min="7704" max="7704" width="10.7109375" style="7" customWidth="1"/>
    <col min="7705" max="7705" width="5.7109375" style="7" customWidth="1"/>
    <col min="7706" max="7706" width="10.7109375" style="7" customWidth="1"/>
    <col min="7707" max="7707" width="5.7109375" style="7" customWidth="1"/>
    <col min="7708" max="7708" width="10.7109375" style="7" customWidth="1"/>
    <col min="7709" max="7709" width="8.28515625" style="7" customWidth="1"/>
    <col min="7710" max="7710" width="10.5703125" style="7" bestFit="1" customWidth="1"/>
    <col min="7711" max="7711" width="9.140625" style="7"/>
    <col min="7712" max="7712" width="14.42578125" style="7" customWidth="1"/>
    <col min="7713" max="7936" width="9.140625" style="7"/>
    <col min="7937" max="7937" width="4.7109375" style="7" customWidth="1"/>
    <col min="7938" max="7938" width="23" style="7" customWidth="1"/>
    <col min="7939" max="7939" width="6.140625" style="7" bestFit="1" customWidth="1"/>
    <col min="7940" max="7940" width="9.85546875" style="7" customWidth="1"/>
    <col min="7941" max="7941" width="5.7109375" style="7" customWidth="1"/>
    <col min="7942" max="7942" width="10.7109375" style="7" customWidth="1"/>
    <col min="7943" max="7943" width="5.7109375" style="7" customWidth="1"/>
    <col min="7944" max="7944" width="10.7109375" style="7" customWidth="1"/>
    <col min="7945" max="7945" width="5.7109375" style="7" customWidth="1"/>
    <col min="7946" max="7946" width="10.7109375" style="7" customWidth="1"/>
    <col min="7947" max="7947" width="5.7109375" style="7" customWidth="1"/>
    <col min="7948" max="7948" width="10.7109375" style="7" customWidth="1"/>
    <col min="7949" max="7949" width="5.7109375" style="7" customWidth="1"/>
    <col min="7950" max="7950" width="10.7109375" style="7" customWidth="1"/>
    <col min="7951" max="7951" width="5.7109375" style="7" customWidth="1"/>
    <col min="7952" max="7952" width="10.7109375" style="7" customWidth="1"/>
    <col min="7953" max="7953" width="5.7109375" style="7" customWidth="1"/>
    <col min="7954" max="7954" width="10.7109375" style="7" customWidth="1"/>
    <col min="7955" max="7955" width="5.7109375" style="7" customWidth="1"/>
    <col min="7956" max="7956" width="10.7109375" style="7" customWidth="1"/>
    <col min="7957" max="7957" width="5.7109375" style="7" customWidth="1"/>
    <col min="7958" max="7958" width="10.7109375" style="7" customWidth="1"/>
    <col min="7959" max="7959" width="5.7109375" style="7" customWidth="1"/>
    <col min="7960" max="7960" width="10.7109375" style="7" customWidth="1"/>
    <col min="7961" max="7961" width="5.7109375" style="7" customWidth="1"/>
    <col min="7962" max="7962" width="10.7109375" style="7" customWidth="1"/>
    <col min="7963" max="7963" width="5.7109375" style="7" customWidth="1"/>
    <col min="7964" max="7964" width="10.7109375" style="7" customWidth="1"/>
    <col min="7965" max="7965" width="8.28515625" style="7" customWidth="1"/>
    <col min="7966" max="7966" width="10.5703125" style="7" bestFit="1" customWidth="1"/>
    <col min="7967" max="7967" width="9.140625" style="7"/>
    <col min="7968" max="7968" width="14.42578125" style="7" customWidth="1"/>
    <col min="7969" max="8192" width="9.140625" style="7"/>
    <col min="8193" max="8193" width="4.7109375" style="7" customWidth="1"/>
    <col min="8194" max="8194" width="23" style="7" customWidth="1"/>
    <col min="8195" max="8195" width="6.140625" style="7" bestFit="1" customWidth="1"/>
    <col min="8196" max="8196" width="9.85546875" style="7" customWidth="1"/>
    <col min="8197" max="8197" width="5.7109375" style="7" customWidth="1"/>
    <col min="8198" max="8198" width="10.7109375" style="7" customWidth="1"/>
    <col min="8199" max="8199" width="5.7109375" style="7" customWidth="1"/>
    <col min="8200" max="8200" width="10.7109375" style="7" customWidth="1"/>
    <col min="8201" max="8201" width="5.7109375" style="7" customWidth="1"/>
    <col min="8202" max="8202" width="10.7109375" style="7" customWidth="1"/>
    <col min="8203" max="8203" width="5.7109375" style="7" customWidth="1"/>
    <col min="8204" max="8204" width="10.7109375" style="7" customWidth="1"/>
    <col min="8205" max="8205" width="5.7109375" style="7" customWidth="1"/>
    <col min="8206" max="8206" width="10.7109375" style="7" customWidth="1"/>
    <col min="8207" max="8207" width="5.7109375" style="7" customWidth="1"/>
    <col min="8208" max="8208" width="10.7109375" style="7" customWidth="1"/>
    <col min="8209" max="8209" width="5.7109375" style="7" customWidth="1"/>
    <col min="8210" max="8210" width="10.7109375" style="7" customWidth="1"/>
    <col min="8211" max="8211" width="5.7109375" style="7" customWidth="1"/>
    <col min="8212" max="8212" width="10.7109375" style="7" customWidth="1"/>
    <col min="8213" max="8213" width="5.7109375" style="7" customWidth="1"/>
    <col min="8214" max="8214" width="10.7109375" style="7" customWidth="1"/>
    <col min="8215" max="8215" width="5.7109375" style="7" customWidth="1"/>
    <col min="8216" max="8216" width="10.7109375" style="7" customWidth="1"/>
    <col min="8217" max="8217" width="5.7109375" style="7" customWidth="1"/>
    <col min="8218" max="8218" width="10.7109375" style="7" customWidth="1"/>
    <col min="8219" max="8219" width="5.7109375" style="7" customWidth="1"/>
    <col min="8220" max="8220" width="10.7109375" style="7" customWidth="1"/>
    <col min="8221" max="8221" width="8.28515625" style="7" customWidth="1"/>
    <col min="8222" max="8222" width="10.5703125" style="7" bestFit="1" customWidth="1"/>
    <col min="8223" max="8223" width="9.140625" style="7"/>
    <col min="8224" max="8224" width="14.42578125" style="7" customWidth="1"/>
    <col min="8225" max="8448" width="9.140625" style="7"/>
    <col min="8449" max="8449" width="4.7109375" style="7" customWidth="1"/>
    <col min="8450" max="8450" width="23" style="7" customWidth="1"/>
    <col min="8451" max="8451" width="6.140625" style="7" bestFit="1" customWidth="1"/>
    <col min="8452" max="8452" width="9.85546875" style="7" customWidth="1"/>
    <col min="8453" max="8453" width="5.7109375" style="7" customWidth="1"/>
    <col min="8454" max="8454" width="10.7109375" style="7" customWidth="1"/>
    <col min="8455" max="8455" width="5.7109375" style="7" customWidth="1"/>
    <col min="8456" max="8456" width="10.7109375" style="7" customWidth="1"/>
    <col min="8457" max="8457" width="5.7109375" style="7" customWidth="1"/>
    <col min="8458" max="8458" width="10.7109375" style="7" customWidth="1"/>
    <col min="8459" max="8459" width="5.7109375" style="7" customWidth="1"/>
    <col min="8460" max="8460" width="10.7109375" style="7" customWidth="1"/>
    <col min="8461" max="8461" width="5.7109375" style="7" customWidth="1"/>
    <col min="8462" max="8462" width="10.7109375" style="7" customWidth="1"/>
    <col min="8463" max="8463" width="5.7109375" style="7" customWidth="1"/>
    <col min="8464" max="8464" width="10.7109375" style="7" customWidth="1"/>
    <col min="8465" max="8465" width="5.7109375" style="7" customWidth="1"/>
    <col min="8466" max="8466" width="10.7109375" style="7" customWidth="1"/>
    <col min="8467" max="8467" width="5.7109375" style="7" customWidth="1"/>
    <col min="8468" max="8468" width="10.7109375" style="7" customWidth="1"/>
    <col min="8469" max="8469" width="5.7109375" style="7" customWidth="1"/>
    <col min="8470" max="8470" width="10.7109375" style="7" customWidth="1"/>
    <col min="8471" max="8471" width="5.7109375" style="7" customWidth="1"/>
    <col min="8472" max="8472" width="10.7109375" style="7" customWidth="1"/>
    <col min="8473" max="8473" width="5.7109375" style="7" customWidth="1"/>
    <col min="8474" max="8474" width="10.7109375" style="7" customWidth="1"/>
    <col min="8475" max="8475" width="5.7109375" style="7" customWidth="1"/>
    <col min="8476" max="8476" width="10.7109375" style="7" customWidth="1"/>
    <col min="8477" max="8477" width="8.28515625" style="7" customWidth="1"/>
    <col min="8478" max="8478" width="10.5703125" style="7" bestFit="1" customWidth="1"/>
    <col min="8479" max="8479" width="9.140625" style="7"/>
    <col min="8480" max="8480" width="14.42578125" style="7" customWidth="1"/>
    <col min="8481" max="8704" width="9.140625" style="7"/>
    <col min="8705" max="8705" width="4.7109375" style="7" customWidth="1"/>
    <col min="8706" max="8706" width="23" style="7" customWidth="1"/>
    <col min="8707" max="8707" width="6.140625" style="7" bestFit="1" customWidth="1"/>
    <col min="8708" max="8708" width="9.85546875" style="7" customWidth="1"/>
    <col min="8709" max="8709" width="5.7109375" style="7" customWidth="1"/>
    <col min="8710" max="8710" width="10.7109375" style="7" customWidth="1"/>
    <col min="8711" max="8711" width="5.7109375" style="7" customWidth="1"/>
    <col min="8712" max="8712" width="10.7109375" style="7" customWidth="1"/>
    <col min="8713" max="8713" width="5.7109375" style="7" customWidth="1"/>
    <col min="8714" max="8714" width="10.7109375" style="7" customWidth="1"/>
    <col min="8715" max="8715" width="5.7109375" style="7" customWidth="1"/>
    <col min="8716" max="8716" width="10.7109375" style="7" customWidth="1"/>
    <col min="8717" max="8717" width="5.7109375" style="7" customWidth="1"/>
    <col min="8718" max="8718" width="10.7109375" style="7" customWidth="1"/>
    <col min="8719" max="8719" width="5.7109375" style="7" customWidth="1"/>
    <col min="8720" max="8720" width="10.7109375" style="7" customWidth="1"/>
    <col min="8721" max="8721" width="5.7109375" style="7" customWidth="1"/>
    <col min="8722" max="8722" width="10.7109375" style="7" customWidth="1"/>
    <col min="8723" max="8723" width="5.7109375" style="7" customWidth="1"/>
    <col min="8724" max="8724" width="10.7109375" style="7" customWidth="1"/>
    <col min="8725" max="8725" width="5.7109375" style="7" customWidth="1"/>
    <col min="8726" max="8726" width="10.7109375" style="7" customWidth="1"/>
    <col min="8727" max="8727" width="5.7109375" style="7" customWidth="1"/>
    <col min="8728" max="8728" width="10.7109375" style="7" customWidth="1"/>
    <col min="8729" max="8729" width="5.7109375" style="7" customWidth="1"/>
    <col min="8730" max="8730" width="10.7109375" style="7" customWidth="1"/>
    <col min="8731" max="8731" width="5.7109375" style="7" customWidth="1"/>
    <col min="8732" max="8732" width="10.7109375" style="7" customWidth="1"/>
    <col min="8733" max="8733" width="8.28515625" style="7" customWidth="1"/>
    <col min="8734" max="8734" width="10.5703125" style="7" bestFit="1" customWidth="1"/>
    <col min="8735" max="8735" width="9.140625" style="7"/>
    <col min="8736" max="8736" width="14.42578125" style="7" customWidth="1"/>
    <col min="8737" max="8960" width="9.140625" style="7"/>
    <col min="8961" max="8961" width="4.7109375" style="7" customWidth="1"/>
    <col min="8962" max="8962" width="23" style="7" customWidth="1"/>
    <col min="8963" max="8963" width="6.140625" style="7" bestFit="1" customWidth="1"/>
    <col min="8964" max="8964" width="9.85546875" style="7" customWidth="1"/>
    <col min="8965" max="8965" width="5.7109375" style="7" customWidth="1"/>
    <col min="8966" max="8966" width="10.7109375" style="7" customWidth="1"/>
    <col min="8967" max="8967" width="5.7109375" style="7" customWidth="1"/>
    <col min="8968" max="8968" width="10.7109375" style="7" customWidth="1"/>
    <col min="8969" max="8969" width="5.7109375" style="7" customWidth="1"/>
    <col min="8970" max="8970" width="10.7109375" style="7" customWidth="1"/>
    <col min="8971" max="8971" width="5.7109375" style="7" customWidth="1"/>
    <col min="8972" max="8972" width="10.7109375" style="7" customWidth="1"/>
    <col min="8973" max="8973" width="5.7109375" style="7" customWidth="1"/>
    <col min="8974" max="8974" width="10.7109375" style="7" customWidth="1"/>
    <col min="8975" max="8975" width="5.7109375" style="7" customWidth="1"/>
    <col min="8976" max="8976" width="10.7109375" style="7" customWidth="1"/>
    <col min="8977" max="8977" width="5.7109375" style="7" customWidth="1"/>
    <col min="8978" max="8978" width="10.7109375" style="7" customWidth="1"/>
    <col min="8979" max="8979" width="5.7109375" style="7" customWidth="1"/>
    <col min="8980" max="8980" width="10.7109375" style="7" customWidth="1"/>
    <col min="8981" max="8981" width="5.7109375" style="7" customWidth="1"/>
    <col min="8982" max="8982" width="10.7109375" style="7" customWidth="1"/>
    <col min="8983" max="8983" width="5.7109375" style="7" customWidth="1"/>
    <col min="8984" max="8984" width="10.7109375" style="7" customWidth="1"/>
    <col min="8985" max="8985" width="5.7109375" style="7" customWidth="1"/>
    <col min="8986" max="8986" width="10.7109375" style="7" customWidth="1"/>
    <col min="8987" max="8987" width="5.7109375" style="7" customWidth="1"/>
    <col min="8988" max="8988" width="10.7109375" style="7" customWidth="1"/>
    <col min="8989" max="8989" width="8.28515625" style="7" customWidth="1"/>
    <col min="8990" max="8990" width="10.5703125" style="7" bestFit="1" customWidth="1"/>
    <col min="8991" max="8991" width="9.140625" style="7"/>
    <col min="8992" max="8992" width="14.42578125" style="7" customWidth="1"/>
    <col min="8993" max="9216" width="9.140625" style="7"/>
    <col min="9217" max="9217" width="4.7109375" style="7" customWidth="1"/>
    <col min="9218" max="9218" width="23" style="7" customWidth="1"/>
    <col min="9219" max="9219" width="6.140625" style="7" bestFit="1" customWidth="1"/>
    <col min="9220" max="9220" width="9.85546875" style="7" customWidth="1"/>
    <col min="9221" max="9221" width="5.7109375" style="7" customWidth="1"/>
    <col min="9222" max="9222" width="10.7109375" style="7" customWidth="1"/>
    <col min="9223" max="9223" width="5.7109375" style="7" customWidth="1"/>
    <col min="9224" max="9224" width="10.7109375" style="7" customWidth="1"/>
    <col min="9225" max="9225" width="5.7109375" style="7" customWidth="1"/>
    <col min="9226" max="9226" width="10.7109375" style="7" customWidth="1"/>
    <col min="9227" max="9227" width="5.7109375" style="7" customWidth="1"/>
    <col min="9228" max="9228" width="10.7109375" style="7" customWidth="1"/>
    <col min="9229" max="9229" width="5.7109375" style="7" customWidth="1"/>
    <col min="9230" max="9230" width="10.7109375" style="7" customWidth="1"/>
    <col min="9231" max="9231" width="5.7109375" style="7" customWidth="1"/>
    <col min="9232" max="9232" width="10.7109375" style="7" customWidth="1"/>
    <col min="9233" max="9233" width="5.7109375" style="7" customWidth="1"/>
    <col min="9234" max="9234" width="10.7109375" style="7" customWidth="1"/>
    <col min="9235" max="9235" width="5.7109375" style="7" customWidth="1"/>
    <col min="9236" max="9236" width="10.7109375" style="7" customWidth="1"/>
    <col min="9237" max="9237" width="5.7109375" style="7" customWidth="1"/>
    <col min="9238" max="9238" width="10.7109375" style="7" customWidth="1"/>
    <col min="9239" max="9239" width="5.7109375" style="7" customWidth="1"/>
    <col min="9240" max="9240" width="10.7109375" style="7" customWidth="1"/>
    <col min="9241" max="9241" width="5.7109375" style="7" customWidth="1"/>
    <col min="9242" max="9242" width="10.7109375" style="7" customWidth="1"/>
    <col min="9243" max="9243" width="5.7109375" style="7" customWidth="1"/>
    <col min="9244" max="9244" width="10.7109375" style="7" customWidth="1"/>
    <col min="9245" max="9245" width="8.28515625" style="7" customWidth="1"/>
    <col min="9246" max="9246" width="10.5703125" style="7" bestFit="1" customWidth="1"/>
    <col min="9247" max="9247" width="9.140625" style="7"/>
    <col min="9248" max="9248" width="14.42578125" style="7" customWidth="1"/>
    <col min="9249" max="9472" width="9.140625" style="7"/>
    <col min="9473" max="9473" width="4.7109375" style="7" customWidth="1"/>
    <col min="9474" max="9474" width="23" style="7" customWidth="1"/>
    <col min="9475" max="9475" width="6.140625" style="7" bestFit="1" customWidth="1"/>
    <col min="9476" max="9476" width="9.85546875" style="7" customWidth="1"/>
    <col min="9477" max="9477" width="5.7109375" style="7" customWidth="1"/>
    <col min="9478" max="9478" width="10.7109375" style="7" customWidth="1"/>
    <col min="9479" max="9479" width="5.7109375" style="7" customWidth="1"/>
    <col min="9480" max="9480" width="10.7109375" style="7" customWidth="1"/>
    <col min="9481" max="9481" width="5.7109375" style="7" customWidth="1"/>
    <col min="9482" max="9482" width="10.7109375" style="7" customWidth="1"/>
    <col min="9483" max="9483" width="5.7109375" style="7" customWidth="1"/>
    <col min="9484" max="9484" width="10.7109375" style="7" customWidth="1"/>
    <col min="9485" max="9485" width="5.7109375" style="7" customWidth="1"/>
    <col min="9486" max="9486" width="10.7109375" style="7" customWidth="1"/>
    <col min="9487" max="9487" width="5.7109375" style="7" customWidth="1"/>
    <col min="9488" max="9488" width="10.7109375" style="7" customWidth="1"/>
    <col min="9489" max="9489" width="5.7109375" style="7" customWidth="1"/>
    <col min="9490" max="9490" width="10.7109375" style="7" customWidth="1"/>
    <col min="9491" max="9491" width="5.7109375" style="7" customWidth="1"/>
    <col min="9492" max="9492" width="10.7109375" style="7" customWidth="1"/>
    <col min="9493" max="9493" width="5.7109375" style="7" customWidth="1"/>
    <col min="9494" max="9494" width="10.7109375" style="7" customWidth="1"/>
    <col min="9495" max="9495" width="5.7109375" style="7" customWidth="1"/>
    <col min="9496" max="9496" width="10.7109375" style="7" customWidth="1"/>
    <col min="9497" max="9497" width="5.7109375" style="7" customWidth="1"/>
    <col min="9498" max="9498" width="10.7109375" style="7" customWidth="1"/>
    <col min="9499" max="9499" width="5.7109375" style="7" customWidth="1"/>
    <col min="9500" max="9500" width="10.7109375" style="7" customWidth="1"/>
    <col min="9501" max="9501" width="8.28515625" style="7" customWidth="1"/>
    <col min="9502" max="9502" width="10.5703125" style="7" bestFit="1" customWidth="1"/>
    <col min="9503" max="9503" width="9.140625" style="7"/>
    <col min="9504" max="9504" width="14.42578125" style="7" customWidth="1"/>
    <col min="9505" max="9728" width="9.140625" style="7"/>
    <col min="9729" max="9729" width="4.7109375" style="7" customWidth="1"/>
    <col min="9730" max="9730" width="23" style="7" customWidth="1"/>
    <col min="9731" max="9731" width="6.140625" style="7" bestFit="1" customWidth="1"/>
    <col min="9732" max="9732" width="9.85546875" style="7" customWidth="1"/>
    <col min="9733" max="9733" width="5.7109375" style="7" customWidth="1"/>
    <col min="9734" max="9734" width="10.7109375" style="7" customWidth="1"/>
    <col min="9735" max="9735" width="5.7109375" style="7" customWidth="1"/>
    <col min="9736" max="9736" width="10.7109375" style="7" customWidth="1"/>
    <col min="9737" max="9737" width="5.7109375" style="7" customWidth="1"/>
    <col min="9738" max="9738" width="10.7109375" style="7" customWidth="1"/>
    <col min="9739" max="9739" width="5.7109375" style="7" customWidth="1"/>
    <col min="9740" max="9740" width="10.7109375" style="7" customWidth="1"/>
    <col min="9741" max="9741" width="5.7109375" style="7" customWidth="1"/>
    <col min="9742" max="9742" width="10.7109375" style="7" customWidth="1"/>
    <col min="9743" max="9743" width="5.7109375" style="7" customWidth="1"/>
    <col min="9744" max="9744" width="10.7109375" style="7" customWidth="1"/>
    <col min="9745" max="9745" width="5.7109375" style="7" customWidth="1"/>
    <col min="9746" max="9746" width="10.7109375" style="7" customWidth="1"/>
    <col min="9747" max="9747" width="5.7109375" style="7" customWidth="1"/>
    <col min="9748" max="9748" width="10.7109375" style="7" customWidth="1"/>
    <col min="9749" max="9749" width="5.7109375" style="7" customWidth="1"/>
    <col min="9750" max="9750" width="10.7109375" style="7" customWidth="1"/>
    <col min="9751" max="9751" width="5.7109375" style="7" customWidth="1"/>
    <col min="9752" max="9752" width="10.7109375" style="7" customWidth="1"/>
    <col min="9753" max="9753" width="5.7109375" style="7" customWidth="1"/>
    <col min="9754" max="9754" width="10.7109375" style="7" customWidth="1"/>
    <col min="9755" max="9755" width="5.7109375" style="7" customWidth="1"/>
    <col min="9756" max="9756" width="10.7109375" style="7" customWidth="1"/>
    <col min="9757" max="9757" width="8.28515625" style="7" customWidth="1"/>
    <col min="9758" max="9758" width="10.5703125" style="7" bestFit="1" customWidth="1"/>
    <col min="9759" max="9759" width="9.140625" style="7"/>
    <col min="9760" max="9760" width="14.42578125" style="7" customWidth="1"/>
    <col min="9761" max="9984" width="9.140625" style="7"/>
    <col min="9985" max="9985" width="4.7109375" style="7" customWidth="1"/>
    <col min="9986" max="9986" width="23" style="7" customWidth="1"/>
    <col min="9987" max="9987" width="6.140625" style="7" bestFit="1" customWidth="1"/>
    <col min="9988" max="9988" width="9.85546875" style="7" customWidth="1"/>
    <col min="9989" max="9989" width="5.7109375" style="7" customWidth="1"/>
    <col min="9990" max="9990" width="10.7109375" style="7" customWidth="1"/>
    <col min="9991" max="9991" width="5.7109375" style="7" customWidth="1"/>
    <col min="9992" max="9992" width="10.7109375" style="7" customWidth="1"/>
    <col min="9993" max="9993" width="5.7109375" style="7" customWidth="1"/>
    <col min="9994" max="9994" width="10.7109375" style="7" customWidth="1"/>
    <col min="9995" max="9995" width="5.7109375" style="7" customWidth="1"/>
    <col min="9996" max="9996" width="10.7109375" style="7" customWidth="1"/>
    <col min="9997" max="9997" width="5.7109375" style="7" customWidth="1"/>
    <col min="9998" max="9998" width="10.7109375" style="7" customWidth="1"/>
    <col min="9999" max="9999" width="5.7109375" style="7" customWidth="1"/>
    <col min="10000" max="10000" width="10.7109375" style="7" customWidth="1"/>
    <col min="10001" max="10001" width="5.7109375" style="7" customWidth="1"/>
    <col min="10002" max="10002" width="10.7109375" style="7" customWidth="1"/>
    <col min="10003" max="10003" width="5.7109375" style="7" customWidth="1"/>
    <col min="10004" max="10004" width="10.7109375" style="7" customWidth="1"/>
    <col min="10005" max="10005" width="5.7109375" style="7" customWidth="1"/>
    <col min="10006" max="10006" width="10.7109375" style="7" customWidth="1"/>
    <col min="10007" max="10007" width="5.7109375" style="7" customWidth="1"/>
    <col min="10008" max="10008" width="10.7109375" style="7" customWidth="1"/>
    <col min="10009" max="10009" width="5.7109375" style="7" customWidth="1"/>
    <col min="10010" max="10010" width="10.7109375" style="7" customWidth="1"/>
    <col min="10011" max="10011" width="5.7109375" style="7" customWidth="1"/>
    <col min="10012" max="10012" width="10.7109375" style="7" customWidth="1"/>
    <col min="10013" max="10013" width="8.28515625" style="7" customWidth="1"/>
    <col min="10014" max="10014" width="10.5703125" style="7" bestFit="1" customWidth="1"/>
    <col min="10015" max="10015" width="9.140625" style="7"/>
    <col min="10016" max="10016" width="14.42578125" style="7" customWidth="1"/>
    <col min="10017" max="10240" width="9.140625" style="7"/>
    <col min="10241" max="10241" width="4.7109375" style="7" customWidth="1"/>
    <col min="10242" max="10242" width="23" style="7" customWidth="1"/>
    <col min="10243" max="10243" width="6.140625" style="7" bestFit="1" customWidth="1"/>
    <col min="10244" max="10244" width="9.85546875" style="7" customWidth="1"/>
    <col min="10245" max="10245" width="5.7109375" style="7" customWidth="1"/>
    <col min="10246" max="10246" width="10.7109375" style="7" customWidth="1"/>
    <col min="10247" max="10247" width="5.7109375" style="7" customWidth="1"/>
    <col min="10248" max="10248" width="10.7109375" style="7" customWidth="1"/>
    <col min="10249" max="10249" width="5.7109375" style="7" customWidth="1"/>
    <col min="10250" max="10250" width="10.7109375" style="7" customWidth="1"/>
    <col min="10251" max="10251" width="5.7109375" style="7" customWidth="1"/>
    <col min="10252" max="10252" width="10.7109375" style="7" customWidth="1"/>
    <col min="10253" max="10253" width="5.7109375" style="7" customWidth="1"/>
    <col min="10254" max="10254" width="10.7109375" style="7" customWidth="1"/>
    <col min="10255" max="10255" width="5.7109375" style="7" customWidth="1"/>
    <col min="10256" max="10256" width="10.7109375" style="7" customWidth="1"/>
    <col min="10257" max="10257" width="5.7109375" style="7" customWidth="1"/>
    <col min="10258" max="10258" width="10.7109375" style="7" customWidth="1"/>
    <col min="10259" max="10259" width="5.7109375" style="7" customWidth="1"/>
    <col min="10260" max="10260" width="10.7109375" style="7" customWidth="1"/>
    <col min="10261" max="10261" width="5.7109375" style="7" customWidth="1"/>
    <col min="10262" max="10262" width="10.7109375" style="7" customWidth="1"/>
    <col min="10263" max="10263" width="5.7109375" style="7" customWidth="1"/>
    <col min="10264" max="10264" width="10.7109375" style="7" customWidth="1"/>
    <col min="10265" max="10265" width="5.7109375" style="7" customWidth="1"/>
    <col min="10266" max="10266" width="10.7109375" style="7" customWidth="1"/>
    <col min="10267" max="10267" width="5.7109375" style="7" customWidth="1"/>
    <col min="10268" max="10268" width="10.7109375" style="7" customWidth="1"/>
    <col min="10269" max="10269" width="8.28515625" style="7" customWidth="1"/>
    <col min="10270" max="10270" width="10.5703125" style="7" bestFit="1" customWidth="1"/>
    <col min="10271" max="10271" width="9.140625" style="7"/>
    <col min="10272" max="10272" width="14.42578125" style="7" customWidth="1"/>
    <col min="10273" max="10496" width="9.140625" style="7"/>
    <col min="10497" max="10497" width="4.7109375" style="7" customWidth="1"/>
    <col min="10498" max="10498" width="23" style="7" customWidth="1"/>
    <col min="10499" max="10499" width="6.140625" style="7" bestFit="1" customWidth="1"/>
    <col min="10500" max="10500" width="9.85546875" style="7" customWidth="1"/>
    <col min="10501" max="10501" width="5.7109375" style="7" customWidth="1"/>
    <col min="10502" max="10502" width="10.7109375" style="7" customWidth="1"/>
    <col min="10503" max="10503" width="5.7109375" style="7" customWidth="1"/>
    <col min="10504" max="10504" width="10.7109375" style="7" customWidth="1"/>
    <col min="10505" max="10505" width="5.7109375" style="7" customWidth="1"/>
    <col min="10506" max="10506" width="10.7109375" style="7" customWidth="1"/>
    <col min="10507" max="10507" width="5.7109375" style="7" customWidth="1"/>
    <col min="10508" max="10508" width="10.7109375" style="7" customWidth="1"/>
    <col min="10509" max="10509" width="5.7109375" style="7" customWidth="1"/>
    <col min="10510" max="10510" width="10.7109375" style="7" customWidth="1"/>
    <col min="10511" max="10511" width="5.7109375" style="7" customWidth="1"/>
    <col min="10512" max="10512" width="10.7109375" style="7" customWidth="1"/>
    <col min="10513" max="10513" width="5.7109375" style="7" customWidth="1"/>
    <col min="10514" max="10514" width="10.7109375" style="7" customWidth="1"/>
    <col min="10515" max="10515" width="5.7109375" style="7" customWidth="1"/>
    <col min="10516" max="10516" width="10.7109375" style="7" customWidth="1"/>
    <col min="10517" max="10517" width="5.7109375" style="7" customWidth="1"/>
    <col min="10518" max="10518" width="10.7109375" style="7" customWidth="1"/>
    <col min="10519" max="10519" width="5.7109375" style="7" customWidth="1"/>
    <col min="10520" max="10520" width="10.7109375" style="7" customWidth="1"/>
    <col min="10521" max="10521" width="5.7109375" style="7" customWidth="1"/>
    <col min="10522" max="10522" width="10.7109375" style="7" customWidth="1"/>
    <col min="10523" max="10523" width="5.7109375" style="7" customWidth="1"/>
    <col min="10524" max="10524" width="10.7109375" style="7" customWidth="1"/>
    <col min="10525" max="10525" width="8.28515625" style="7" customWidth="1"/>
    <col min="10526" max="10526" width="10.5703125" style="7" bestFit="1" customWidth="1"/>
    <col min="10527" max="10527" width="9.140625" style="7"/>
    <col min="10528" max="10528" width="14.42578125" style="7" customWidth="1"/>
    <col min="10529" max="10752" width="9.140625" style="7"/>
    <col min="10753" max="10753" width="4.7109375" style="7" customWidth="1"/>
    <col min="10754" max="10754" width="23" style="7" customWidth="1"/>
    <col min="10755" max="10755" width="6.140625" style="7" bestFit="1" customWidth="1"/>
    <col min="10756" max="10756" width="9.85546875" style="7" customWidth="1"/>
    <col min="10757" max="10757" width="5.7109375" style="7" customWidth="1"/>
    <col min="10758" max="10758" width="10.7109375" style="7" customWidth="1"/>
    <col min="10759" max="10759" width="5.7109375" style="7" customWidth="1"/>
    <col min="10760" max="10760" width="10.7109375" style="7" customWidth="1"/>
    <col min="10761" max="10761" width="5.7109375" style="7" customWidth="1"/>
    <col min="10762" max="10762" width="10.7109375" style="7" customWidth="1"/>
    <col min="10763" max="10763" width="5.7109375" style="7" customWidth="1"/>
    <col min="10764" max="10764" width="10.7109375" style="7" customWidth="1"/>
    <col min="10765" max="10765" width="5.7109375" style="7" customWidth="1"/>
    <col min="10766" max="10766" width="10.7109375" style="7" customWidth="1"/>
    <col min="10767" max="10767" width="5.7109375" style="7" customWidth="1"/>
    <col min="10768" max="10768" width="10.7109375" style="7" customWidth="1"/>
    <col min="10769" max="10769" width="5.7109375" style="7" customWidth="1"/>
    <col min="10770" max="10770" width="10.7109375" style="7" customWidth="1"/>
    <col min="10771" max="10771" width="5.7109375" style="7" customWidth="1"/>
    <col min="10772" max="10772" width="10.7109375" style="7" customWidth="1"/>
    <col min="10773" max="10773" width="5.7109375" style="7" customWidth="1"/>
    <col min="10774" max="10774" width="10.7109375" style="7" customWidth="1"/>
    <col min="10775" max="10775" width="5.7109375" style="7" customWidth="1"/>
    <col min="10776" max="10776" width="10.7109375" style="7" customWidth="1"/>
    <col min="10777" max="10777" width="5.7109375" style="7" customWidth="1"/>
    <col min="10778" max="10778" width="10.7109375" style="7" customWidth="1"/>
    <col min="10779" max="10779" width="5.7109375" style="7" customWidth="1"/>
    <col min="10780" max="10780" width="10.7109375" style="7" customWidth="1"/>
    <col min="10781" max="10781" width="8.28515625" style="7" customWidth="1"/>
    <col min="10782" max="10782" width="10.5703125" style="7" bestFit="1" customWidth="1"/>
    <col min="10783" max="10783" width="9.140625" style="7"/>
    <col min="10784" max="10784" width="14.42578125" style="7" customWidth="1"/>
    <col min="10785" max="11008" width="9.140625" style="7"/>
    <col min="11009" max="11009" width="4.7109375" style="7" customWidth="1"/>
    <col min="11010" max="11010" width="23" style="7" customWidth="1"/>
    <col min="11011" max="11011" width="6.140625" style="7" bestFit="1" customWidth="1"/>
    <col min="11012" max="11012" width="9.85546875" style="7" customWidth="1"/>
    <col min="11013" max="11013" width="5.7109375" style="7" customWidth="1"/>
    <col min="11014" max="11014" width="10.7109375" style="7" customWidth="1"/>
    <col min="11015" max="11015" width="5.7109375" style="7" customWidth="1"/>
    <col min="11016" max="11016" width="10.7109375" style="7" customWidth="1"/>
    <col min="11017" max="11017" width="5.7109375" style="7" customWidth="1"/>
    <col min="11018" max="11018" width="10.7109375" style="7" customWidth="1"/>
    <col min="11019" max="11019" width="5.7109375" style="7" customWidth="1"/>
    <col min="11020" max="11020" width="10.7109375" style="7" customWidth="1"/>
    <col min="11021" max="11021" width="5.7109375" style="7" customWidth="1"/>
    <col min="11022" max="11022" width="10.7109375" style="7" customWidth="1"/>
    <col min="11023" max="11023" width="5.7109375" style="7" customWidth="1"/>
    <col min="11024" max="11024" width="10.7109375" style="7" customWidth="1"/>
    <col min="11025" max="11025" width="5.7109375" style="7" customWidth="1"/>
    <col min="11026" max="11026" width="10.7109375" style="7" customWidth="1"/>
    <col min="11027" max="11027" width="5.7109375" style="7" customWidth="1"/>
    <col min="11028" max="11028" width="10.7109375" style="7" customWidth="1"/>
    <col min="11029" max="11029" width="5.7109375" style="7" customWidth="1"/>
    <col min="11030" max="11030" width="10.7109375" style="7" customWidth="1"/>
    <col min="11031" max="11031" width="5.7109375" style="7" customWidth="1"/>
    <col min="11032" max="11032" width="10.7109375" style="7" customWidth="1"/>
    <col min="11033" max="11033" width="5.7109375" style="7" customWidth="1"/>
    <col min="11034" max="11034" width="10.7109375" style="7" customWidth="1"/>
    <col min="11035" max="11035" width="5.7109375" style="7" customWidth="1"/>
    <col min="11036" max="11036" width="10.7109375" style="7" customWidth="1"/>
    <col min="11037" max="11037" width="8.28515625" style="7" customWidth="1"/>
    <col min="11038" max="11038" width="10.5703125" style="7" bestFit="1" customWidth="1"/>
    <col min="11039" max="11039" width="9.140625" style="7"/>
    <col min="11040" max="11040" width="14.42578125" style="7" customWidth="1"/>
    <col min="11041" max="11264" width="9.140625" style="7"/>
    <col min="11265" max="11265" width="4.7109375" style="7" customWidth="1"/>
    <col min="11266" max="11266" width="23" style="7" customWidth="1"/>
    <col min="11267" max="11267" width="6.140625" style="7" bestFit="1" customWidth="1"/>
    <col min="11268" max="11268" width="9.85546875" style="7" customWidth="1"/>
    <col min="11269" max="11269" width="5.7109375" style="7" customWidth="1"/>
    <col min="11270" max="11270" width="10.7109375" style="7" customWidth="1"/>
    <col min="11271" max="11271" width="5.7109375" style="7" customWidth="1"/>
    <col min="11272" max="11272" width="10.7109375" style="7" customWidth="1"/>
    <col min="11273" max="11273" width="5.7109375" style="7" customWidth="1"/>
    <col min="11274" max="11274" width="10.7109375" style="7" customWidth="1"/>
    <col min="11275" max="11275" width="5.7109375" style="7" customWidth="1"/>
    <col min="11276" max="11276" width="10.7109375" style="7" customWidth="1"/>
    <col min="11277" max="11277" width="5.7109375" style="7" customWidth="1"/>
    <col min="11278" max="11278" width="10.7109375" style="7" customWidth="1"/>
    <col min="11279" max="11279" width="5.7109375" style="7" customWidth="1"/>
    <col min="11280" max="11280" width="10.7109375" style="7" customWidth="1"/>
    <col min="11281" max="11281" width="5.7109375" style="7" customWidth="1"/>
    <col min="11282" max="11282" width="10.7109375" style="7" customWidth="1"/>
    <col min="11283" max="11283" width="5.7109375" style="7" customWidth="1"/>
    <col min="11284" max="11284" width="10.7109375" style="7" customWidth="1"/>
    <col min="11285" max="11285" width="5.7109375" style="7" customWidth="1"/>
    <col min="11286" max="11286" width="10.7109375" style="7" customWidth="1"/>
    <col min="11287" max="11287" width="5.7109375" style="7" customWidth="1"/>
    <col min="11288" max="11288" width="10.7109375" style="7" customWidth="1"/>
    <col min="11289" max="11289" width="5.7109375" style="7" customWidth="1"/>
    <col min="11290" max="11290" width="10.7109375" style="7" customWidth="1"/>
    <col min="11291" max="11291" width="5.7109375" style="7" customWidth="1"/>
    <col min="11292" max="11292" width="10.7109375" style="7" customWidth="1"/>
    <col min="11293" max="11293" width="8.28515625" style="7" customWidth="1"/>
    <col min="11294" max="11294" width="10.5703125" style="7" bestFit="1" customWidth="1"/>
    <col min="11295" max="11295" width="9.140625" style="7"/>
    <col min="11296" max="11296" width="14.42578125" style="7" customWidth="1"/>
    <col min="11297" max="11520" width="9.140625" style="7"/>
    <col min="11521" max="11521" width="4.7109375" style="7" customWidth="1"/>
    <col min="11522" max="11522" width="23" style="7" customWidth="1"/>
    <col min="11523" max="11523" width="6.140625" style="7" bestFit="1" customWidth="1"/>
    <col min="11524" max="11524" width="9.85546875" style="7" customWidth="1"/>
    <col min="11525" max="11525" width="5.7109375" style="7" customWidth="1"/>
    <col min="11526" max="11526" width="10.7109375" style="7" customWidth="1"/>
    <col min="11527" max="11527" width="5.7109375" style="7" customWidth="1"/>
    <col min="11528" max="11528" width="10.7109375" style="7" customWidth="1"/>
    <col min="11529" max="11529" width="5.7109375" style="7" customWidth="1"/>
    <col min="11530" max="11530" width="10.7109375" style="7" customWidth="1"/>
    <col min="11531" max="11531" width="5.7109375" style="7" customWidth="1"/>
    <col min="11532" max="11532" width="10.7109375" style="7" customWidth="1"/>
    <col min="11533" max="11533" width="5.7109375" style="7" customWidth="1"/>
    <col min="11534" max="11534" width="10.7109375" style="7" customWidth="1"/>
    <col min="11535" max="11535" width="5.7109375" style="7" customWidth="1"/>
    <col min="11536" max="11536" width="10.7109375" style="7" customWidth="1"/>
    <col min="11537" max="11537" width="5.7109375" style="7" customWidth="1"/>
    <col min="11538" max="11538" width="10.7109375" style="7" customWidth="1"/>
    <col min="11539" max="11539" width="5.7109375" style="7" customWidth="1"/>
    <col min="11540" max="11540" width="10.7109375" style="7" customWidth="1"/>
    <col min="11541" max="11541" width="5.7109375" style="7" customWidth="1"/>
    <col min="11542" max="11542" width="10.7109375" style="7" customWidth="1"/>
    <col min="11543" max="11543" width="5.7109375" style="7" customWidth="1"/>
    <col min="11544" max="11544" width="10.7109375" style="7" customWidth="1"/>
    <col min="11545" max="11545" width="5.7109375" style="7" customWidth="1"/>
    <col min="11546" max="11546" width="10.7109375" style="7" customWidth="1"/>
    <col min="11547" max="11547" width="5.7109375" style="7" customWidth="1"/>
    <col min="11548" max="11548" width="10.7109375" style="7" customWidth="1"/>
    <col min="11549" max="11549" width="8.28515625" style="7" customWidth="1"/>
    <col min="11550" max="11550" width="10.5703125" style="7" bestFit="1" customWidth="1"/>
    <col min="11551" max="11551" width="9.140625" style="7"/>
    <col min="11552" max="11552" width="14.42578125" style="7" customWidth="1"/>
    <col min="11553" max="11776" width="9.140625" style="7"/>
    <col min="11777" max="11777" width="4.7109375" style="7" customWidth="1"/>
    <col min="11778" max="11778" width="23" style="7" customWidth="1"/>
    <col min="11779" max="11779" width="6.140625" style="7" bestFit="1" customWidth="1"/>
    <col min="11780" max="11780" width="9.85546875" style="7" customWidth="1"/>
    <col min="11781" max="11781" width="5.7109375" style="7" customWidth="1"/>
    <col min="11782" max="11782" width="10.7109375" style="7" customWidth="1"/>
    <col min="11783" max="11783" width="5.7109375" style="7" customWidth="1"/>
    <col min="11784" max="11784" width="10.7109375" style="7" customWidth="1"/>
    <col min="11785" max="11785" width="5.7109375" style="7" customWidth="1"/>
    <col min="11786" max="11786" width="10.7109375" style="7" customWidth="1"/>
    <col min="11787" max="11787" width="5.7109375" style="7" customWidth="1"/>
    <col min="11788" max="11788" width="10.7109375" style="7" customWidth="1"/>
    <col min="11789" max="11789" width="5.7109375" style="7" customWidth="1"/>
    <col min="11790" max="11790" width="10.7109375" style="7" customWidth="1"/>
    <col min="11791" max="11791" width="5.7109375" style="7" customWidth="1"/>
    <col min="11792" max="11792" width="10.7109375" style="7" customWidth="1"/>
    <col min="11793" max="11793" width="5.7109375" style="7" customWidth="1"/>
    <col min="11794" max="11794" width="10.7109375" style="7" customWidth="1"/>
    <col min="11795" max="11795" width="5.7109375" style="7" customWidth="1"/>
    <col min="11796" max="11796" width="10.7109375" style="7" customWidth="1"/>
    <col min="11797" max="11797" width="5.7109375" style="7" customWidth="1"/>
    <col min="11798" max="11798" width="10.7109375" style="7" customWidth="1"/>
    <col min="11799" max="11799" width="5.7109375" style="7" customWidth="1"/>
    <col min="11800" max="11800" width="10.7109375" style="7" customWidth="1"/>
    <col min="11801" max="11801" width="5.7109375" style="7" customWidth="1"/>
    <col min="11802" max="11802" width="10.7109375" style="7" customWidth="1"/>
    <col min="11803" max="11803" width="5.7109375" style="7" customWidth="1"/>
    <col min="11804" max="11804" width="10.7109375" style="7" customWidth="1"/>
    <col min="11805" max="11805" width="8.28515625" style="7" customWidth="1"/>
    <col min="11806" max="11806" width="10.5703125" style="7" bestFit="1" customWidth="1"/>
    <col min="11807" max="11807" width="9.140625" style="7"/>
    <col min="11808" max="11808" width="14.42578125" style="7" customWidth="1"/>
    <col min="11809" max="12032" width="9.140625" style="7"/>
    <col min="12033" max="12033" width="4.7109375" style="7" customWidth="1"/>
    <col min="12034" max="12034" width="23" style="7" customWidth="1"/>
    <col min="12035" max="12035" width="6.140625" style="7" bestFit="1" customWidth="1"/>
    <col min="12036" max="12036" width="9.85546875" style="7" customWidth="1"/>
    <col min="12037" max="12037" width="5.7109375" style="7" customWidth="1"/>
    <col min="12038" max="12038" width="10.7109375" style="7" customWidth="1"/>
    <col min="12039" max="12039" width="5.7109375" style="7" customWidth="1"/>
    <col min="12040" max="12040" width="10.7109375" style="7" customWidth="1"/>
    <col min="12041" max="12041" width="5.7109375" style="7" customWidth="1"/>
    <col min="12042" max="12042" width="10.7109375" style="7" customWidth="1"/>
    <col min="12043" max="12043" width="5.7109375" style="7" customWidth="1"/>
    <col min="12044" max="12044" width="10.7109375" style="7" customWidth="1"/>
    <col min="12045" max="12045" width="5.7109375" style="7" customWidth="1"/>
    <col min="12046" max="12046" width="10.7109375" style="7" customWidth="1"/>
    <col min="12047" max="12047" width="5.7109375" style="7" customWidth="1"/>
    <col min="12048" max="12048" width="10.7109375" style="7" customWidth="1"/>
    <col min="12049" max="12049" width="5.7109375" style="7" customWidth="1"/>
    <col min="12050" max="12050" width="10.7109375" style="7" customWidth="1"/>
    <col min="12051" max="12051" width="5.7109375" style="7" customWidth="1"/>
    <col min="12052" max="12052" width="10.7109375" style="7" customWidth="1"/>
    <col min="12053" max="12053" width="5.7109375" style="7" customWidth="1"/>
    <col min="12054" max="12054" width="10.7109375" style="7" customWidth="1"/>
    <col min="12055" max="12055" width="5.7109375" style="7" customWidth="1"/>
    <col min="12056" max="12056" width="10.7109375" style="7" customWidth="1"/>
    <col min="12057" max="12057" width="5.7109375" style="7" customWidth="1"/>
    <col min="12058" max="12058" width="10.7109375" style="7" customWidth="1"/>
    <col min="12059" max="12059" width="5.7109375" style="7" customWidth="1"/>
    <col min="12060" max="12060" width="10.7109375" style="7" customWidth="1"/>
    <col min="12061" max="12061" width="8.28515625" style="7" customWidth="1"/>
    <col min="12062" max="12062" width="10.5703125" style="7" bestFit="1" customWidth="1"/>
    <col min="12063" max="12063" width="9.140625" style="7"/>
    <col min="12064" max="12064" width="14.42578125" style="7" customWidth="1"/>
    <col min="12065" max="12288" width="9.140625" style="7"/>
    <col min="12289" max="12289" width="4.7109375" style="7" customWidth="1"/>
    <col min="12290" max="12290" width="23" style="7" customWidth="1"/>
    <col min="12291" max="12291" width="6.140625" style="7" bestFit="1" customWidth="1"/>
    <col min="12292" max="12292" width="9.85546875" style="7" customWidth="1"/>
    <col min="12293" max="12293" width="5.7109375" style="7" customWidth="1"/>
    <col min="12294" max="12294" width="10.7109375" style="7" customWidth="1"/>
    <col min="12295" max="12295" width="5.7109375" style="7" customWidth="1"/>
    <col min="12296" max="12296" width="10.7109375" style="7" customWidth="1"/>
    <col min="12297" max="12297" width="5.7109375" style="7" customWidth="1"/>
    <col min="12298" max="12298" width="10.7109375" style="7" customWidth="1"/>
    <col min="12299" max="12299" width="5.7109375" style="7" customWidth="1"/>
    <col min="12300" max="12300" width="10.7109375" style="7" customWidth="1"/>
    <col min="12301" max="12301" width="5.7109375" style="7" customWidth="1"/>
    <col min="12302" max="12302" width="10.7109375" style="7" customWidth="1"/>
    <col min="12303" max="12303" width="5.7109375" style="7" customWidth="1"/>
    <col min="12304" max="12304" width="10.7109375" style="7" customWidth="1"/>
    <col min="12305" max="12305" width="5.7109375" style="7" customWidth="1"/>
    <col min="12306" max="12306" width="10.7109375" style="7" customWidth="1"/>
    <col min="12307" max="12307" width="5.7109375" style="7" customWidth="1"/>
    <col min="12308" max="12308" width="10.7109375" style="7" customWidth="1"/>
    <col min="12309" max="12309" width="5.7109375" style="7" customWidth="1"/>
    <col min="12310" max="12310" width="10.7109375" style="7" customWidth="1"/>
    <col min="12311" max="12311" width="5.7109375" style="7" customWidth="1"/>
    <col min="12312" max="12312" width="10.7109375" style="7" customWidth="1"/>
    <col min="12313" max="12313" width="5.7109375" style="7" customWidth="1"/>
    <col min="12314" max="12314" width="10.7109375" style="7" customWidth="1"/>
    <col min="12315" max="12315" width="5.7109375" style="7" customWidth="1"/>
    <col min="12316" max="12316" width="10.7109375" style="7" customWidth="1"/>
    <col min="12317" max="12317" width="8.28515625" style="7" customWidth="1"/>
    <col min="12318" max="12318" width="10.5703125" style="7" bestFit="1" customWidth="1"/>
    <col min="12319" max="12319" width="9.140625" style="7"/>
    <col min="12320" max="12320" width="14.42578125" style="7" customWidth="1"/>
    <col min="12321" max="12544" width="9.140625" style="7"/>
    <col min="12545" max="12545" width="4.7109375" style="7" customWidth="1"/>
    <col min="12546" max="12546" width="23" style="7" customWidth="1"/>
    <col min="12547" max="12547" width="6.140625" style="7" bestFit="1" customWidth="1"/>
    <col min="12548" max="12548" width="9.85546875" style="7" customWidth="1"/>
    <col min="12549" max="12549" width="5.7109375" style="7" customWidth="1"/>
    <col min="12550" max="12550" width="10.7109375" style="7" customWidth="1"/>
    <col min="12551" max="12551" width="5.7109375" style="7" customWidth="1"/>
    <col min="12552" max="12552" width="10.7109375" style="7" customWidth="1"/>
    <col min="12553" max="12553" width="5.7109375" style="7" customWidth="1"/>
    <col min="12554" max="12554" width="10.7109375" style="7" customWidth="1"/>
    <col min="12555" max="12555" width="5.7109375" style="7" customWidth="1"/>
    <col min="12556" max="12556" width="10.7109375" style="7" customWidth="1"/>
    <col min="12557" max="12557" width="5.7109375" style="7" customWidth="1"/>
    <col min="12558" max="12558" width="10.7109375" style="7" customWidth="1"/>
    <col min="12559" max="12559" width="5.7109375" style="7" customWidth="1"/>
    <col min="12560" max="12560" width="10.7109375" style="7" customWidth="1"/>
    <col min="12561" max="12561" width="5.7109375" style="7" customWidth="1"/>
    <col min="12562" max="12562" width="10.7109375" style="7" customWidth="1"/>
    <col min="12563" max="12563" width="5.7109375" style="7" customWidth="1"/>
    <col min="12564" max="12564" width="10.7109375" style="7" customWidth="1"/>
    <col min="12565" max="12565" width="5.7109375" style="7" customWidth="1"/>
    <col min="12566" max="12566" width="10.7109375" style="7" customWidth="1"/>
    <col min="12567" max="12567" width="5.7109375" style="7" customWidth="1"/>
    <col min="12568" max="12568" width="10.7109375" style="7" customWidth="1"/>
    <col min="12569" max="12569" width="5.7109375" style="7" customWidth="1"/>
    <col min="12570" max="12570" width="10.7109375" style="7" customWidth="1"/>
    <col min="12571" max="12571" width="5.7109375" style="7" customWidth="1"/>
    <col min="12572" max="12572" width="10.7109375" style="7" customWidth="1"/>
    <col min="12573" max="12573" width="8.28515625" style="7" customWidth="1"/>
    <col min="12574" max="12574" width="10.5703125" style="7" bestFit="1" customWidth="1"/>
    <col min="12575" max="12575" width="9.140625" style="7"/>
    <col min="12576" max="12576" width="14.42578125" style="7" customWidth="1"/>
    <col min="12577" max="12800" width="9.140625" style="7"/>
    <col min="12801" max="12801" width="4.7109375" style="7" customWidth="1"/>
    <col min="12802" max="12802" width="23" style="7" customWidth="1"/>
    <col min="12803" max="12803" width="6.140625" style="7" bestFit="1" customWidth="1"/>
    <col min="12804" max="12804" width="9.85546875" style="7" customWidth="1"/>
    <col min="12805" max="12805" width="5.7109375" style="7" customWidth="1"/>
    <col min="12806" max="12806" width="10.7109375" style="7" customWidth="1"/>
    <col min="12807" max="12807" width="5.7109375" style="7" customWidth="1"/>
    <col min="12808" max="12808" width="10.7109375" style="7" customWidth="1"/>
    <col min="12809" max="12809" width="5.7109375" style="7" customWidth="1"/>
    <col min="12810" max="12810" width="10.7109375" style="7" customWidth="1"/>
    <col min="12811" max="12811" width="5.7109375" style="7" customWidth="1"/>
    <col min="12812" max="12812" width="10.7109375" style="7" customWidth="1"/>
    <col min="12813" max="12813" width="5.7109375" style="7" customWidth="1"/>
    <col min="12814" max="12814" width="10.7109375" style="7" customWidth="1"/>
    <col min="12815" max="12815" width="5.7109375" style="7" customWidth="1"/>
    <col min="12816" max="12816" width="10.7109375" style="7" customWidth="1"/>
    <col min="12817" max="12817" width="5.7109375" style="7" customWidth="1"/>
    <col min="12818" max="12818" width="10.7109375" style="7" customWidth="1"/>
    <col min="12819" max="12819" width="5.7109375" style="7" customWidth="1"/>
    <col min="12820" max="12820" width="10.7109375" style="7" customWidth="1"/>
    <col min="12821" max="12821" width="5.7109375" style="7" customWidth="1"/>
    <col min="12822" max="12822" width="10.7109375" style="7" customWidth="1"/>
    <col min="12823" max="12823" width="5.7109375" style="7" customWidth="1"/>
    <col min="12824" max="12824" width="10.7109375" style="7" customWidth="1"/>
    <col min="12825" max="12825" width="5.7109375" style="7" customWidth="1"/>
    <col min="12826" max="12826" width="10.7109375" style="7" customWidth="1"/>
    <col min="12827" max="12827" width="5.7109375" style="7" customWidth="1"/>
    <col min="12828" max="12828" width="10.7109375" style="7" customWidth="1"/>
    <col min="12829" max="12829" width="8.28515625" style="7" customWidth="1"/>
    <col min="12830" max="12830" width="10.5703125" style="7" bestFit="1" customWidth="1"/>
    <col min="12831" max="12831" width="9.140625" style="7"/>
    <col min="12832" max="12832" width="14.42578125" style="7" customWidth="1"/>
    <col min="12833" max="13056" width="9.140625" style="7"/>
    <col min="13057" max="13057" width="4.7109375" style="7" customWidth="1"/>
    <col min="13058" max="13058" width="23" style="7" customWidth="1"/>
    <col min="13059" max="13059" width="6.140625" style="7" bestFit="1" customWidth="1"/>
    <col min="13060" max="13060" width="9.85546875" style="7" customWidth="1"/>
    <col min="13061" max="13061" width="5.7109375" style="7" customWidth="1"/>
    <col min="13062" max="13062" width="10.7109375" style="7" customWidth="1"/>
    <col min="13063" max="13063" width="5.7109375" style="7" customWidth="1"/>
    <col min="13064" max="13064" width="10.7109375" style="7" customWidth="1"/>
    <col min="13065" max="13065" width="5.7109375" style="7" customWidth="1"/>
    <col min="13066" max="13066" width="10.7109375" style="7" customWidth="1"/>
    <col min="13067" max="13067" width="5.7109375" style="7" customWidth="1"/>
    <col min="13068" max="13068" width="10.7109375" style="7" customWidth="1"/>
    <col min="13069" max="13069" width="5.7109375" style="7" customWidth="1"/>
    <col min="13070" max="13070" width="10.7109375" style="7" customWidth="1"/>
    <col min="13071" max="13071" width="5.7109375" style="7" customWidth="1"/>
    <col min="13072" max="13072" width="10.7109375" style="7" customWidth="1"/>
    <col min="13073" max="13073" width="5.7109375" style="7" customWidth="1"/>
    <col min="13074" max="13074" width="10.7109375" style="7" customWidth="1"/>
    <col min="13075" max="13075" width="5.7109375" style="7" customWidth="1"/>
    <col min="13076" max="13076" width="10.7109375" style="7" customWidth="1"/>
    <col min="13077" max="13077" width="5.7109375" style="7" customWidth="1"/>
    <col min="13078" max="13078" width="10.7109375" style="7" customWidth="1"/>
    <col min="13079" max="13079" width="5.7109375" style="7" customWidth="1"/>
    <col min="13080" max="13080" width="10.7109375" style="7" customWidth="1"/>
    <col min="13081" max="13081" width="5.7109375" style="7" customWidth="1"/>
    <col min="13082" max="13082" width="10.7109375" style="7" customWidth="1"/>
    <col min="13083" max="13083" width="5.7109375" style="7" customWidth="1"/>
    <col min="13084" max="13084" width="10.7109375" style="7" customWidth="1"/>
    <col min="13085" max="13085" width="8.28515625" style="7" customWidth="1"/>
    <col min="13086" max="13086" width="10.5703125" style="7" bestFit="1" customWidth="1"/>
    <col min="13087" max="13087" width="9.140625" style="7"/>
    <col min="13088" max="13088" width="14.42578125" style="7" customWidth="1"/>
    <col min="13089" max="13312" width="9.140625" style="7"/>
    <col min="13313" max="13313" width="4.7109375" style="7" customWidth="1"/>
    <col min="13314" max="13314" width="23" style="7" customWidth="1"/>
    <col min="13315" max="13315" width="6.140625" style="7" bestFit="1" customWidth="1"/>
    <col min="13316" max="13316" width="9.85546875" style="7" customWidth="1"/>
    <col min="13317" max="13317" width="5.7109375" style="7" customWidth="1"/>
    <col min="13318" max="13318" width="10.7109375" style="7" customWidth="1"/>
    <col min="13319" max="13319" width="5.7109375" style="7" customWidth="1"/>
    <col min="13320" max="13320" width="10.7109375" style="7" customWidth="1"/>
    <col min="13321" max="13321" width="5.7109375" style="7" customWidth="1"/>
    <col min="13322" max="13322" width="10.7109375" style="7" customWidth="1"/>
    <col min="13323" max="13323" width="5.7109375" style="7" customWidth="1"/>
    <col min="13324" max="13324" width="10.7109375" style="7" customWidth="1"/>
    <col min="13325" max="13325" width="5.7109375" style="7" customWidth="1"/>
    <col min="13326" max="13326" width="10.7109375" style="7" customWidth="1"/>
    <col min="13327" max="13327" width="5.7109375" style="7" customWidth="1"/>
    <col min="13328" max="13328" width="10.7109375" style="7" customWidth="1"/>
    <col min="13329" max="13329" width="5.7109375" style="7" customWidth="1"/>
    <col min="13330" max="13330" width="10.7109375" style="7" customWidth="1"/>
    <col min="13331" max="13331" width="5.7109375" style="7" customWidth="1"/>
    <col min="13332" max="13332" width="10.7109375" style="7" customWidth="1"/>
    <col min="13333" max="13333" width="5.7109375" style="7" customWidth="1"/>
    <col min="13334" max="13334" width="10.7109375" style="7" customWidth="1"/>
    <col min="13335" max="13335" width="5.7109375" style="7" customWidth="1"/>
    <col min="13336" max="13336" width="10.7109375" style="7" customWidth="1"/>
    <col min="13337" max="13337" width="5.7109375" style="7" customWidth="1"/>
    <col min="13338" max="13338" width="10.7109375" style="7" customWidth="1"/>
    <col min="13339" max="13339" width="5.7109375" style="7" customWidth="1"/>
    <col min="13340" max="13340" width="10.7109375" style="7" customWidth="1"/>
    <col min="13341" max="13341" width="8.28515625" style="7" customWidth="1"/>
    <col min="13342" max="13342" width="10.5703125" style="7" bestFit="1" customWidth="1"/>
    <col min="13343" max="13343" width="9.140625" style="7"/>
    <col min="13344" max="13344" width="14.42578125" style="7" customWidth="1"/>
    <col min="13345" max="13568" width="9.140625" style="7"/>
    <col min="13569" max="13569" width="4.7109375" style="7" customWidth="1"/>
    <col min="13570" max="13570" width="23" style="7" customWidth="1"/>
    <col min="13571" max="13571" width="6.140625" style="7" bestFit="1" customWidth="1"/>
    <col min="13572" max="13572" width="9.85546875" style="7" customWidth="1"/>
    <col min="13573" max="13573" width="5.7109375" style="7" customWidth="1"/>
    <col min="13574" max="13574" width="10.7109375" style="7" customWidth="1"/>
    <col min="13575" max="13575" width="5.7109375" style="7" customWidth="1"/>
    <col min="13576" max="13576" width="10.7109375" style="7" customWidth="1"/>
    <col min="13577" max="13577" width="5.7109375" style="7" customWidth="1"/>
    <col min="13578" max="13578" width="10.7109375" style="7" customWidth="1"/>
    <col min="13579" max="13579" width="5.7109375" style="7" customWidth="1"/>
    <col min="13580" max="13580" width="10.7109375" style="7" customWidth="1"/>
    <col min="13581" max="13581" width="5.7109375" style="7" customWidth="1"/>
    <col min="13582" max="13582" width="10.7109375" style="7" customWidth="1"/>
    <col min="13583" max="13583" width="5.7109375" style="7" customWidth="1"/>
    <col min="13584" max="13584" width="10.7109375" style="7" customWidth="1"/>
    <col min="13585" max="13585" width="5.7109375" style="7" customWidth="1"/>
    <col min="13586" max="13586" width="10.7109375" style="7" customWidth="1"/>
    <col min="13587" max="13587" width="5.7109375" style="7" customWidth="1"/>
    <col min="13588" max="13588" width="10.7109375" style="7" customWidth="1"/>
    <col min="13589" max="13589" width="5.7109375" style="7" customWidth="1"/>
    <col min="13590" max="13590" width="10.7109375" style="7" customWidth="1"/>
    <col min="13591" max="13591" width="5.7109375" style="7" customWidth="1"/>
    <col min="13592" max="13592" width="10.7109375" style="7" customWidth="1"/>
    <col min="13593" max="13593" width="5.7109375" style="7" customWidth="1"/>
    <col min="13594" max="13594" width="10.7109375" style="7" customWidth="1"/>
    <col min="13595" max="13595" width="5.7109375" style="7" customWidth="1"/>
    <col min="13596" max="13596" width="10.7109375" style="7" customWidth="1"/>
    <col min="13597" max="13597" width="8.28515625" style="7" customWidth="1"/>
    <col min="13598" max="13598" width="10.5703125" style="7" bestFit="1" customWidth="1"/>
    <col min="13599" max="13599" width="9.140625" style="7"/>
    <col min="13600" max="13600" width="14.42578125" style="7" customWidth="1"/>
    <col min="13601" max="13824" width="9.140625" style="7"/>
    <col min="13825" max="13825" width="4.7109375" style="7" customWidth="1"/>
    <col min="13826" max="13826" width="23" style="7" customWidth="1"/>
    <col min="13827" max="13827" width="6.140625" style="7" bestFit="1" customWidth="1"/>
    <col min="13828" max="13828" width="9.85546875" style="7" customWidth="1"/>
    <col min="13829" max="13829" width="5.7109375" style="7" customWidth="1"/>
    <col min="13830" max="13830" width="10.7109375" style="7" customWidth="1"/>
    <col min="13831" max="13831" width="5.7109375" style="7" customWidth="1"/>
    <col min="13832" max="13832" width="10.7109375" style="7" customWidth="1"/>
    <col min="13833" max="13833" width="5.7109375" style="7" customWidth="1"/>
    <col min="13834" max="13834" width="10.7109375" style="7" customWidth="1"/>
    <col min="13835" max="13835" width="5.7109375" style="7" customWidth="1"/>
    <col min="13836" max="13836" width="10.7109375" style="7" customWidth="1"/>
    <col min="13837" max="13837" width="5.7109375" style="7" customWidth="1"/>
    <col min="13838" max="13838" width="10.7109375" style="7" customWidth="1"/>
    <col min="13839" max="13839" width="5.7109375" style="7" customWidth="1"/>
    <col min="13840" max="13840" width="10.7109375" style="7" customWidth="1"/>
    <col min="13841" max="13841" width="5.7109375" style="7" customWidth="1"/>
    <col min="13842" max="13842" width="10.7109375" style="7" customWidth="1"/>
    <col min="13843" max="13843" width="5.7109375" style="7" customWidth="1"/>
    <col min="13844" max="13844" width="10.7109375" style="7" customWidth="1"/>
    <col min="13845" max="13845" width="5.7109375" style="7" customWidth="1"/>
    <col min="13846" max="13846" width="10.7109375" style="7" customWidth="1"/>
    <col min="13847" max="13847" width="5.7109375" style="7" customWidth="1"/>
    <col min="13848" max="13848" width="10.7109375" style="7" customWidth="1"/>
    <col min="13849" max="13849" width="5.7109375" style="7" customWidth="1"/>
    <col min="13850" max="13850" width="10.7109375" style="7" customWidth="1"/>
    <col min="13851" max="13851" width="5.7109375" style="7" customWidth="1"/>
    <col min="13852" max="13852" width="10.7109375" style="7" customWidth="1"/>
    <col min="13853" max="13853" width="8.28515625" style="7" customWidth="1"/>
    <col min="13854" max="13854" width="10.5703125" style="7" bestFit="1" customWidth="1"/>
    <col min="13855" max="13855" width="9.140625" style="7"/>
    <col min="13856" max="13856" width="14.42578125" style="7" customWidth="1"/>
    <col min="13857" max="14080" width="9.140625" style="7"/>
    <col min="14081" max="14081" width="4.7109375" style="7" customWidth="1"/>
    <col min="14082" max="14082" width="23" style="7" customWidth="1"/>
    <col min="14083" max="14083" width="6.140625" style="7" bestFit="1" customWidth="1"/>
    <col min="14084" max="14084" width="9.85546875" style="7" customWidth="1"/>
    <col min="14085" max="14085" width="5.7109375" style="7" customWidth="1"/>
    <col min="14086" max="14086" width="10.7109375" style="7" customWidth="1"/>
    <col min="14087" max="14087" width="5.7109375" style="7" customWidth="1"/>
    <col min="14088" max="14088" width="10.7109375" style="7" customWidth="1"/>
    <col min="14089" max="14089" width="5.7109375" style="7" customWidth="1"/>
    <col min="14090" max="14090" width="10.7109375" style="7" customWidth="1"/>
    <col min="14091" max="14091" width="5.7109375" style="7" customWidth="1"/>
    <col min="14092" max="14092" width="10.7109375" style="7" customWidth="1"/>
    <col min="14093" max="14093" width="5.7109375" style="7" customWidth="1"/>
    <col min="14094" max="14094" width="10.7109375" style="7" customWidth="1"/>
    <col min="14095" max="14095" width="5.7109375" style="7" customWidth="1"/>
    <col min="14096" max="14096" width="10.7109375" style="7" customWidth="1"/>
    <col min="14097" max="14097" width="5.7109375" style="7" customWidth="1"/>
    <col min="14098" max="14098" width="10.7109375" style="7" customWidth="1"/>
    <col min="14099" max="14099" width="5.7109375" style="7" customWidth="1"/>
    <col min="14100" max="14100" width="10.7109375" style="7" customWidth="1"/>
    <col min="14101" max="14101" width="5.7109375" style="7" customWidth="1"/>
    <col min="14102" max="14102" width="10.7109375" style="7" customWidth="1"/>
    <col min="14103" max="14103" width="5.7109375" style="7" customWidth="1"/>
    <col min="14104" max="14104" width="10.7109375" style="7" customWidth="1"/>
    <col min="14105" max="14105" width="5.7109375" style="7" customWidth="1"/>
    <col min="14106" max="14106" width="10.7109375" style="7" customWidth="1"/>
    <col min="14107" max="14107" width="5.7109375" style="7" customWidth="1"/>
    <col min="14108" max="14108" width="10.7109375" style="7" customWidth="1"/>
    <col min="14109" max="14109" width="8.28515625" style="7" customWidth="1"/>
    <col min="14110" max="14110" width="10.5703125" style="7" bestFit="1" customWidth="1"/>
    <col min="14111" max="14111" width="9.140625" style="7"/>
    <col min="14112" max="14112" width="14.42578125" style="7" customWidth="1"/>
    <col min="14113" max="14336" width="9.140625" style="7"/>
    <col min="14337" max="14337" width="4.7109375" style="7" customWidth="1"/>
    <col min="14338" max="14338" width="23" style="7" customWidth="1"/>
    <col min="14339" max="14339" width="6.140625" style="7" bestFit="1" customWidth="1"/>
    <col min="14340" max="14340" width="9.85546875" style="7" customWidth="1"/>
    <col min="14341" max="14341" width="5.7109375" style="7" customWidth="1"/>
    <col min="14342" max="14342" width="10.7109375" style="7" customWidth="1"/>
    <col min="14343" max="14343" width="5.7109375" style="7" customWidth="1"/>
    <col min="14344" max="14344" width="10.7109375" style="7" customWidth="1"/>
    <col min="14345" max="14345" width="5.7109375" style="7" customWidth="1"/>
    <col min="14346" max="14346" width="10.7109375" style="7" customWidth="1"/>
    <col min="14347" max="14347" width="5.7109375" style="7" customWidth="1"/>
    <col min="14348" max="14348" width="10.7109375" style="7" customWidth="1"/>
    <col min="14349" max="14349" width="5.7109375" style="7" customWidth="1"/>
    <col min="14350" max="14350" width="10.7109375" style="7" customWidth="1"/>
    <col min="14351" max="14351" width="5.7109375" style="7" customWidth="1"/>
    <col min="14352" max="14352" width="10.7109375" style="7" customWidth="1"/>
    <col min="14353" max="14353" width="5.7109375" style="7" customWidth="1"/>
    <col min="14354" max="14354" width="10.7109375" style="7" customWidth="1"/>
    <col min="14355" max="14355" width="5.7109375" style="7" customWidth="1"/>
    <col min="14356" max="14356" width="10.7109375" style="7" customWidth="1"/>
    <col min="14357" max="14357" width="5.7109375" style="7" customWidth="1"/>
    <col min="14358" max="14358" width="10.7109375" style="7" customWidth="1"/>
    <col min="14359" max="14359" width="5.7109375" style="7" customWidth="1"/>
    <col min="14360" max="14360" width="10.7109375" style="7" customWidth="1"/>
    <col min="14361" max="14361" width="5.7109375" style="7" customWidth="1"/>
    <col min="14362" max="14362" width="10.7109375" style="7" customWidth="1"/>
    <col min="14363" max="14363" width="5.7109375" style="7" customWidth="1"/>
    <col min="14364" max="14364" width="10.7109375" style="7" customWidth="1"/>
    <col min="14365" max="14365" width="8.28515625" style="7" customWidth="1"/>
    <col min="14366" max="14366" width="10.5703125" style="7" bestFit="1" customWidth="1"/>
    <col min="14367" max="14367" width="9.140625" style="7"/>
    <col min="14368" max="14368" width="14.42578125" style="7" customWidth="1"/>
    <col min="14369" max="14592" width="9.140625" style="7"/>
    <col min="14593" max="14593" width="4.7109375" style="7" customWidth="1"/>
    <col min="14594" max="14594" width="23" style="7" customWidth="1"/>
    <col min="14595" max="14595" width="6.140625" style="7" bestFit="1" customWidth="1"/>
    <col min="14596" max="14596" width="9.85546875" style="7" customWidth="1"/>
    <col min="14597" max="14597" width="5.7109375" style="7" customWidth="1"/>
    <col min="14598" max="14598" width="10.7109375" style="7" customWidth="1"/>
    <col min="14599" max="14599" width="5.7109375" style="7" customWidth="1"/>
    <col min="14600" max="14600" width="10.7109375" style="7" customWidth="1"/>
    <col min="14601" max="14601" width="5.7109375" style="7" customWidth="1"/>
    <col min="14602" max="14602" width="10.7109375" style="7" customWidth="1"/>
    <col min="14603" max="14603" width="5.7109375" style="7" customWidth="1"/>
    <col min="14604" max="14604" width="10.7109375" style="7" customWidth="1"/>
    <col min="14605" max="14605" width="5.7109375" style="7" customWidth="1"/>
    <col min="14606" max="14606" width="10.7109375" style="7" customWidth="1"/>
    <col min="14607" max="14607" width="5.7109375" style="7" customWidth="1"/>
    <col min="14608" max="14608" width="10.7109375" style="7" customWidth="1"/>
    <col min="14609" max="14609" width="5.7109375" style="7" customWidth="1"/>
    <col min="14610" max="14610" width="10.7109375" style="7" customWidth="1"/>
    <col min="14611" max="14611" width="5.7109375" style="7" customWidth="1"/>
    <col min="14612" max="14612" width="10.7109375" style="7" customWidth="1"/>
    <col min="14613" max="14613" width="5.7109375" style="7" customWidth="1"/>
    <col min="14614" max="14614" width="10.7109375" style="7" customWidth="1"/>
    <col min="14615" max="14615" width="5.7109375" style="7" customWidth="1"/>
    <col min="14616" max="14616" width="10.7109375" style="7" customWidth="1"/>
    <col min="14617" max="14617" width="5.7109375" style="7" customWidth="1"/>
    <col min="14618" max="14618" width="10.7109375" style="7" customWidth="1"/>
    <col min="14619" max="14619" width="5.7109375" style="7" customWidth="1"/>
    <col min="14620" max="14620" width="10.7109375" style="7" customWidth="1"/>
    <col min="14621" max="14621" width="8.28515625" style="7" customWidth="1"/>
    <col min="14622" max="14622" width="10.5703125" style="7" bestFit="1" customWidth="1"/>
    <col min="14623" max="14623" width="9.140625" style="7"/>
    <col min="14624" max="14624" width="14.42578125" style="7" customWidth="1"/>
    <col min="14625" max="14848" width="9.140625" style="7"/>
    <col min="14849" max="14849" width="4.7109375" style="7" customWidth="1"/>
    <col min="14850" max="14850" width="23" style="7" customWidth="1"/>
    <col min="14851" max="14851" width="6.140625" style="7" bestFit="1" customWidth="1"/>
    <col min="14852" max="14852" width="9.85546875" style="7" customWidth="1"/>
    <col min="14853" max="14853" width="5.7109375" style="7" customWidth="1"/>
    <col min="14854" max="14854" width="10.7109375" style="7" customWidth="1"/>
    <col min="14855" max="14855" width="5.7109375" style="7" customWidth="1"/>
    <col min="14856" max="14856" width="10.7109375" style="7" customWidth="1"/>
    <col min="14857" max="14857" width="5.7109375" style="7" customWidth="1"/>
    <col min="14858" max="14858" width="10.7109375" style="7" customWidth="1"/>
    <col min="14859" max="14859" width="5.7109375" style="7" customWidth="1"/>
    <col min="14860" max="14860" width="10.7109375" style="7" customWidth="1"/>
    <col min="14861" max="14861" width="5.7109375" style="7" customWidth="1"/>
    <col min="14862" max="14862" width="10.7109375" style="7" customWidth="1"/>
    <col min="14863" max="14863" width="5.7109375" style="7" customWidth="1"/>
    <col min="14864" max="14864" width="10.7109375" style="7" customWidth="1"/>
    <col min="14865" max="14865" width="5.7109375" style="7" customWidth="1"/>
    <col min="14866" max="14866" width="10.7109375" style="7" customWidth="1"/>
    <col min="14867" max="14867" width="5.7109375" style="7" customWidth="1"/>
    <col min="14868" max="14868" width="10.7109375" style="7" customWidth="1"/>
    <col min="14869" max="14869" width="5.7109375" style="7" customWidth="1"/>
    <col min="14870" max="14870" width="10.7109375" style="7" customWidth="1"/>
    <col min="14871" max="14871" width="5.7109375" style="7" customWidth="1"/>
    <col min="14872" max="14872" width="10.7109375" style="7" customWidth="1"/>
    <col min="14873" max="14873" width="5.7109375" style="7" customWidth="1"/>
    <col min="14874" max="14874" width="10.7109375" style="7" customWidth="1"/>
    <col min="14875" max="14875" width="5.7109375" style="7" customWidth="1"/>
    <col min="14876" max="14876" width="10.7109375" style="7" customWidth="1"/>
    <col min="14877" max="14877" width="8.28515625" style="7" customWidth="1"/>
    <col min="14878" max="14878" width="10.5703125" style="7" bestFit="1" customWidth="1"/>
    <col min="14879" max="14879" width="9.140625" style="7"/>
    <col min="14880" max="14880" width="14.42578125" style="7" customWidth="1"/>
    <col min="14881" max="15104" width="9.140625" style="7"/>
    <col min="15105" max="15105" width="4.7109375" style="7" customWidth="1"/>
    <col min="15106" max="15106" width="23" style="7" customWidth="1"/>
    <col min="15107" max="15107" width="6.140625" style="7" bestFit="1" customWidth="1"/>
    <col min="15108" max="15108" width="9.85546875" style="7" customWidth="1"/>
    <col min="15109" max="15109" width="5.7109375" style="7" customWidth="1"/>
    <col min="15110" max="15110" width="10.7109375" style="7" customWidth="1"/>
    <col min="15111" max="15111" width="5.7109375" style="7" customWidth="1"/>
    <col min="15112" max="15112" width="10.7109375" style="7" customWidth="1"/>
    <col min="15113" max="15113" width="5.7109375" style="7" customWidth="1"/>
    <col min="15114" max="15114" width="10.7109375" style="7" customWidth="1"/>
    <col min="15115" max="15115" width="5.7109375" style="7" customWidth="1"/>
    <col min="15116" max="15116" width="10.7109375" style="7" customWidth="1"/>
    <col min="15117" max="15117" width="5.7109375" style="7" customWidth="1"/>
    <col min="15118" max="15118" width="10.7109375" style="7" customWidth="1"/>
    <col min="15119" max="15119" width="5.7109375" style="7" customWidth="1"/>
    <col min="15120" max="15120" width="10.7109375" style="7" customWidth="1"/>
    <col min="15121" max="15121" width="5.7109375" style="7" customWidth="1"/>
    <col min="15122" max="15122" width="10.7109375" style="7" customWidth="1"/>
    <col min="15123" max="15123" width="5.7109375" style="7" customWidth="1"/>
    <col min="15124" max="15124" width="10.7109375" style="7" customWidth="1"/>
    <col min="15125" max="15125" width="5.7109375" style="7" customWidth="1"/>
    <col min="15126" max="15126" width="10.7109375" style="7" customWidth="1"/>
    <col min="15127" max="15127" width="5.7109375" style="7" customWidth="1"/>
    <col min="15128" max="15128" width="10.7109375" style="7" customWidth="1"/>
    <col min="15129" max="15129" width="5.7109375" style="7" customWidth="1"/>
    <col min="15130" max="15130" width="10.7109375" style="7" customWidth="1"/>
    <col min="15131" max="15131" width="5.7109375" style="7" customWidth="1"/>
    <col min="15132" max="15132" width="10.7109375" style="7" customWidth="1"/>
    <col min="15133" max="15133" width="8.28515625" style="7" customWidth="1"/>
    <col min="15134" max="15134" width="10.5703125" style="7" bestFit="1" customWidth="1"/>
    <col min="15135" max="15135" width="9.140625" style="7"/>
    <col min="15136" max="15136" width="14.42578125" style="7" customWidth="1"/>
    <col min="15137" max="15360" width="9.140625" style="7"/>
    <col min="15361" max="15361" width="4.7109375" style="7" customWidth="1"/>
    <col min="15362" max="15362" width="23" style="7" customWidth="1"/>
    <col min="15363" max="15363" width="6.140625" style="7" bestFit="1" customWidth="1"/>
    <col min="15364" max="15364" width="9.85546875" style="7" customWidth="1"/>
    <col min="15365" max="15365" width="5.7109375" style="7" customWidth="1"/>
    <col min="15366" max="15366" width="10.7109375" style="7" customWidth="1"/>
    <col min="15367" max="15367" width="5.7109375" style="7" customWidth="1"/>
    <col min="15368" max="15368" width="10.7109375" style="7" customWidth="1"/>
    <col min="15369" max="15369" width="5.7109375" style="7" customWidth="1"/>
    <col min="15370" max="15370" width="10.7109375" style="7" customWidth="1"/>
    <col min="15371" max="15371" width="5.7109375" style="7" customWidth="1"/>
    <col min="15372" max="15372" width="10.7109375" style="7" customWidth="1"/>
    <col min="15373" max="15373" width="5.7109375" style="7" customWidth="1"/>
    <col min="15374" max="15374" width="10.7109375" style="7" customWidth="1"/>
    <col min="15375" max="15375" width="5.7109375" style="7" customWidth="1"/>
    <col min="15376" max="15376" width="10.7109375" style="7" customWidth="1"/>
    <col min="15377" max="15377" width="5.7109375" style="7" customWidth="1"/>
    <col min="15378" max="15378" width="10.7109375" style="7" customWidth="1"/>
    <col min="15379" max="15379" width="5.7109375" style="7" customWidth="1"/>
    <col min="15380" max="15380" width="10.7109375" style="7" customWidth="1"/>
    <col min="15381" max="15381" width="5.7109375" style="7" customWidth="1"/>
    <col min="15382" max="15382" width="10.7109375" style="7" customWidth="1"/>
    <col min="15383" max="15383" width="5.7109375" style="7" customWidth="1"/>
    <col min="15384" max="15384" width="10.7109375" style="7" customWidth="1"/>
    <col min="15385" max="15385" width="5.7109375" style="7" customWidth="1"/>
    <col min="15386" max="15386" width="10.7109375" style="7" customWidth="1"/>
    <col min="15387" max="15387" width="5.7109375" style="7" customWidth="1"/>
    <col min="15388" max="15388" width="10.7109375" style="7" customWidth="1"/>
    <col min="15389" max="15389" width="8.28515625" style="7" customWidth="1"/>
    <col min="15390" max="15390" width="10.5703125" style="7" bestFit="1" customWidth="1"/>
    <col min="15391" max="15391" width="9.140625" style="7"/>
    <col min="15392" max="15392" width="14.42578125" style="7" customWidth="1"/>
    <col min="15393" max="15616" width="9.140625" style="7"/>
    <col min="15617" max="15617" width="4.7109375" style="7" customWidth="1"/>
    <col min="15618" max="15618" width="23" style="7" customWidth="1"/>
    <col min="15619" max="15619" width="6.140625" style="7" bestFit="1" customWidth="1"/>
    <col min="15620" max="15620" width="9.85546875" style="7" customWidth="1"/>
    <col min="15621" max="15621" width="5.7109375" style="7" customWidth="1"/>
    <col min="15622" max="15622" width="10.7109375" style="7" customWidth="1"/>
    <col min="15623" max="15623" width="5.7109375" style="7" customWidth="1"/>
    <col min="15624" max="15624" width="10.7109375" style="7" customWidth="1"/>
    <col min="15625" max="15625" width="5.7109375" style="7" customWidth="1"/>
    <col min="15626" max="15626" width="10.7109375" style="7" customWidth="1"/>
    <col min="15627" max="15627" width="5.7109375" style="7" customWidth="1"/>
    <col min="15628" max="15628" width="10.7109375" style="7" customWidth="1"/>
    <col min="15629" max="15629" width="5.7109375" style="7" customWidth="1"/>
    <col min="15630" max="15630" width="10.7109375" style="7" customWidth="1"/>
    <col min="15631" max="15631" width="5.7109375" style="7" customWidth="1"/>
    <col min="15632" max="15632" width="10.7109375" style="7" customWidth="1"/>
    <col min="15633" max="15633" width="5.7109375" style="7" customWidth="1"/>
    <col min="15634" max="15634" width="10.7109375" style="7" customWidth="1"/>
    <col min="15635" max="15635" width="5.7109375" style="7" customWidth="1"/>
    <col min="15636" max="15636" width="10.7109375" style="7" customWidth="1"/>
    <col min="15637" max="15637" width="5.7109375" style="7" customWidth="1"/>
    <col min="15638" max="15638" width="10.7109375" style="7" customWidth="1"/>
    <col min="15639" max="15639" width="5.7109375" style="7" customWidth="1"/>
    <col min="15640" max="15640" width="10.7109375" style="7" customWidth="1"/>
    <col min="15641" max="15641" width="5.7109375" style="7" customWidth="1"/>
    <col min="15642" max="15642" width="10.7109375" style="7" customWidth="1"/>
    <col min="15643" max="15643" width="5.7109375" style="7" customWidth="1"/>
    <col min="15644" max="15644" width="10.7109375" style="7" customWidth="1"/>
    <col min="15645" max="15645" width="8.28515625" style="7" customWidth="1"/>
    <col min="15646" max="15646" width="10.5703125" style="7" bestFit="1" customWidth="1"/>
    <col min="15647" max="15647" width="9.140625" style="7"/>
    <col min="15648" max="15648" width="14.42578125" style="7" customWidth="1"/>
    <col min="15649" max="15872" width="9.140625" style="7"/>
    <col min="15873" max="15873" width="4.7109375" style="7" customWidth="1"/>
    <col min="15874" max="15874" width="23" style="7" customWidth="1"/>
    <col min="15875" max="15875" width="6.140625" style="7" bestFit="1" customWidth="1"/>
    <col min="15876" max="15876" width="9.85546875" style="7" customWidth="1"/>
    <col min="15877" max="15877" width="5.7109375" style="7" customWidth="1"/>
    <col min="15878" max="15878" width="10.7109375" style="7" customWidth="1"/>
    <col min="15879" max="15879" width="5.7109375" style="7" customWidth="1"/>
    <col min="15880" max="15880" width="10.7109375" style="7" customWidth="1"/>
    <col min="15881" max="15881" width="5.7109375" style="7" customWidth="1"/>
    <col min="15882" max="15882" width="10.7109375" style="7" customWidth="1"/>
    <col min="15883" max="15883" width="5.7109375" style="7" customWidth="1"/>
    <col min="15884" max="15884" width="10.7109375" style="7" customWidth="1"/>
    <col min="15885" max="15885" width="5.7109375" style="7" customWidth="1"/>
    <col min="15886" max="15886" width="10.7109375" style="7" customWidth="1"/>
    <col min="15887" max="15887" width="5.7109375" style="7" customWidth="1"/>
    <col min="15888" max="15888" width="10.7109375" style="7" customWidth="1"/>
    <col min="15889" max="15889" width="5.7109375" style="7" customWidth="1"/>
    <col min="15890" max="15890" width="10.7109375" style="7" customWidth="1"/>
    <col min="15891" max="15891" width="5.7109375" style="7" customWidth="1"/>
    <col min="15892" max="15892" width="10.7109375" style="7" customWidth="1"/>
    <col min="15893" max="15893" width="5.7109375" style="7" customWidth="1"/>
    <col min="15894" max="15894" width="10.7109375" style="7" customWidth="1"/>
    <col min="15895" max="15895" width="5.7109375" style="7" customWidth="1"/>
    <col min="15896" max="15896" width="10.7109375" style="7" customWidth="1"/>
    <col min="15897" max="15897" width="5.7109375" style="7" customWidth="1"/>
    <col min="15898" max="15898" width="10.7109375" style="7" customWidth="1"/>
    <col min="15899" max="15899" width="5.7109375" style="7" customWidth="1"/>
    <col min="15900" max="15900" width="10.7109375" style="7" customWidth="1"/>
    <col min="15901" max="15901" width="8.28515625" style="7" customWidth="1"/>
    <col min="15902" max="15902" width="10.5703125" style="7" bestFit="1" customWidth="1"/>
    <col min="15903" max="15903" width="9.140625" style="7"/>
    <col min="15904" max="15904" width="14.42578125" style="7" customWidth="1"/>
    <col min="15905" max="16128" width="9.140625" style="7"/>
    <col min="16129" max="16129" width="4.7109375" style="7" customWidth="1"/>
    <col min="16130" max="16130" width="23" style="7" customWidth="1"/>
    <col min="16131" max="16131" width="6.140625" style="7" bestFit="1" customWidth="1"/>
    <col min="16132" max="16132" width="9.85546875" style="7" customWidth="1"/>
    <col min="16133" max="16133" width="5.7109375" style="7" customWidth="1"/>
    <col min="16134" max="16134" width="10.7109375" style="7" customWidth="1"/>
    <col min="16135" max="16135" width="5.7109375" style="7" customWidth="1"/>
    <col min="16136" max="16136" width="10.7109375" style="7" customWidth="1"/>
    <col min="16137" max="16137" width="5.7109375" style="7" customWidth="1"/>
    <col min="16138" max="16138" width="10.7109375" style="7" customWidth="1"/>
    <col min="16139" max="16139" width="5.7109375" style="7" customWidth="1"/>
    <col min="16140" max="16140" width="10.7109375" style="7" customWidth="1"/>
    <col min="16141" max="16141" width="5.7109375" style="7" customWidth="1"/>
    <col min="16142" max="16142" width="10.7109375" style="7" customWidth="1"/>
    <col min="16143" max="16143" width="5.7109375" style="7" customWidth="1"/>
    <col min="16144" max="16144" width="10.7109375" style="7" customWidth="1"/>
    <col min="16145" max="16145" width="5.7109375" style="7" customWidth="1"/>
    <col min="16146" max="16146" width="10.7109375" style="7" customWidth="1"/>
    <col min="16147" max="16147" width="5.7109375" style="7" customWidth="1"/>
    <col min="16148" max="16148" width="10.7109375" style="7" customWidth="1"/>
    <col min="16149" max="16149" width="5.7109375" style="7" customWidth="1"/>
    <col min="16150" max="16150" width="10.7109375" style="7" customWidth="1"/>
    <col min="16151" max="16151" width="5.7109375" style="7" customWidth="1"/>
    <col min="16152" max="16152" width="10.7109375" style="7" customWidth="1"/>
    <col min="16153" max="16153" width="5.7109375" style="7" customWidth="1"/>
    <col min="16154" max="16154" width="10.7109375" style="7" customWidth="1"/>
    <col min="16155" max="16155" width="5.7109375" style="7" customWidth="1"/>
    <col min="16156" max="16156" width="10.7109375" style="7" customWidth="1"/>
    <col min="16157" max="16157" width="8.28515625" style="7" customWidth="1"/>
    <col min="16158" max="16158" width="10.5703125" style="7" bestFit="1" customWidth="1"/>
    <col min="16159" max="16159" width="9.140625" style="7"/>
    <col min="16160" max="16160" width="14.42578125" style="7" customWidth="1"/>
    <col min="16161" max="16384" width="9.140625" style="7"/>
  </cols>
  <sheetData>
    <row r="1" spans="1:33" ht="7.5" customHeight="1" x14ac:dyDescent="0.2">
      <c r="A1" s="20"/>
      <c r="B1" s="20"/>
      <c r="C1" s="20"/>
      <c r="D1" s="20"/>
      <c r="E1" s="282"/>
      <c r="F1" s="20"/>
      <c r="AF1" s="284"/>
    </row>
    <row r="2" spans="1:33" ht="18.75" customHeight="1" x14ac:dyDescent="0.25">
      <c r="A2" s="20"/>
      <c r="B2" s="429" t="s">
        <v>493</v>
      </c>
      <c r="C2" s="429"/>
      <c r="D2" s="429"/>
      <c r="E2" s="429"/>
      <c r="F2" s="429"/>
      <c r="G2" s="429"/>
      <c r="H2" s="429"/>
      <c r="I2" s="429"/>
      <c r="J2" s="429"/>
      <c r="K2" s="429"/>
      <c r="N2" s="20"/>
      <c r="AF2" s="284"/>
    </row>
    <row r="3" spans="1:33" ht="7.5" customHeight="1" x14ac:dyDescent="0.25">
      <c r="A3" s="20"/>
      <c r="B3" s="286"/>
      <c r="C3" s="286"/>
      <c r="D3" s="286"/>
      <c r="E3" s="286"/>
      <c r="F3" s="286"/>
      <c r="G3" s="286"/>
      <c r="H3" s="286"/>
      <c r="I3" s="286"/>
      <c r="J3" s="287"/>
      <c r="K3" s="286"/>
      <c r="N3" s="20"/>
      <c r="AF3" s="284"/>
    </row>
    <row r="4" spans="1:33" ht="15" x14ac:dyDescent="0.2">
      <c r="A4" s="3" t="str">
        <f>[1]PLANILHA!A11</f>
        <v>OBRA:     REVITALIZAÇÃO COM AMPLIAÇÃO DOS BLOCOS DA SEDE DO DETRAN/SEDE</v>
      </c>
      <c r="B4" s="288"/>
      <c r="C4" s="289"/>
      <c r="D4" s="290"/>
      <c r="E4" s="289"/>
      <c r="F4" s="291"/>
      <c r="G4" s="289"/>
      <c r="H4" s="291"/>
      <c r="I4" s="289"/>
      <c r="J4" s="291"/>
      <c r="K4" s="289"/>
      <c r="N4" s="7"/>
      <c r="AF4" s="284"/>
    </row>
    <row r="5" spans="1:33" x14ac:dyDescent="0.2">
      <c r="A5" s="4" t="str">
        <f>[1]PLANILHA!A12</f>
        <v>LOCAL:   AV.DR. HÉLIO RIBEIRO, 100               CEP 78048-910</v>
      </c>
      <c r="B5" s="292"/>
      <c r="C5" s="6"/>
      <c r="D5" s="131"/>
      <c r="E5" s="6"/>
      <c r="F5" s="283"/>
      <c r="G5" s="4"/>
      <c r="H5" s="283"/>
      <c r="I5" s="4"/>
      <c r="J5" s="283"/>
      <c r="K5" s="4"/>
      <c r="M5" s="293"/>
      <c r="N5" s="7"/>
      <c r="AF5" s="284"/>
    </row>
    <row r="6" spans="1:33" ht="15.75" thickBot="1" x14ac:dyDescent="0.25">
      <c r="A6" s="421" t="s">
        <v>862</v>
      </c>
      <c r="C6" s="289" t="str">
        <f>PLANILHA!H13</f>
        <v xml:space="preserve">AGO/2020 </v>
      </c>
      <c r="D6" s="290"/>
      <c r="E6" s="289"/>
      <c r="F6" s="291"/>
      <c r="G6" s="289"/>
      <c r="H6" s="291"/>
      <c r="I6" s="289"/>
      <c r="J6" s="291"/>
      <c r="K6" s="289"/>
      <c r="N6" s="7"/>
      <c r="AF6" s="284"/>
    </row>
    <row r="7" spans="1:33" s="295" customFormat="1" x14ac:dyDescent="0.2">
      <c r="A7" s="430" t="s">
        <v>8</v>
      </c>
      <c r="B7" s="432" t="s">
        <v>494</v>
      </c>
      <c r="C7" s="294" t="s">
        <v>495</v>
      </c>
      <c r="D7" s="434" t="s">
        <v>496</v>
      </c>
      <c r="E7" s="436" t="s">
        <v>497</v>
      </c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8"/>
      <c r="AD7" s="425" t="s">
        <v>498</v>
      </c>
      <c r="AF7" s="27"/>
      <c r="AG7" s="296"/>
    </row>
    <row r="8" spans="1:33" s="295" customFormat="1" ht="13.5" thickBot="1" x14ac:dyDescent="0.25">
      <c r="A8" s="431"/>
      <c r="B8" s="433"/>
      <c r="C8" s="297" t="s">
        <v>8</v>
      </c>
      <c r="D8" s="435"/>
      <c r="E8" s="298" t="s">
        <v>495</v>
      </c>
      <c r="F8" s="299">
        <v>30</v>
      </c>
      <c r="G8" s="300" t="s">
        <v>495</v>
      </c>
      <c r="H8" s="299">
        <v>60</v>
      </c>
      <c r="I8" s="301" t="s">
        <v>495</v>
      </c>
      <c r="J8" s="299">
        <v>90</v>
      </c>
      <c r="K8" s="301" t="s">
        <v>495</v>
      </c>
      <c r="L8" s="299">
        <v>120</v>
      </c>
      <c r="M8" s="301"/>
      <c r="N8" s="299">
        <v>150</v>
      </c>
      <c r="O8" s="301" t="s">
        <v>495</v>
      </c>
      <c r="P8" s="299">
        <v>180</v>
      </c>
      <c r="Q8" s="301" t="s">
        <v>495</v>
      </c>
      <c r="R8" s="299">
        <v>210</v>
      </c>
      <c r="S8" s="301" t="s">
        <v>495</v>
      </c>
      <c r="T8" s="299">
        <v>240</v>
      </c>
      <c r="U8" s="301" t="s">
        <v>495</v>
      </c>
      <c r="V8" s="299">
        <v>270</v>
      </c>
      <c r="W8" s="301" t="s">
        <v>495</v>
      </c>
      <c r="X8" s="299">
        <v>300</v>
      </c>
      <c r="Y8" s="301" t="s">
        <v>495</v>
      </c>
      <c r="Z8" s="299">
        <v>330</v>
      </c>
      <c r="AA8" s="301" t="s">
        <v>495</v>
      </c>
      <c r="AB8" s="299">
        <v>360</v>
      </c>
      <c r="AC8" s="301" t="s">
        <v>495</v>
      </c>
      <c r="AD8" s="426"/>
      <c r="AF8" s="27"/>
      <c r="AG8" s="302">
        <f>100/6</f>
        <v>16.666666666666668</v>
      </c>
    </row>
    <row r="9" spans="1:33" s="309" customFormat="1" x14ac:dyDescent="0.2">
      <c r="A9" s="303" t="s">
        <v>20</v>
      </c>
      <c r="B9" s="303" t="str">
        <f>PLANILHA!C18</f>
        <v>SERVIÇOS PRELIMINARES/ ADMINISTRAÇÃO</v>
      </c>
      <c r="C9" s="304">
        <f>D9/$D$30</f>
        <v>0.10540225248436064</v>
      </c>
      <c r="D9" s="303">
        <f>PLANILHA!I17</f>
        <v>214300.06</v>
      </c>
      <c r="E9" s="305">
        <v>1</v>
      </c>
      <c r="F9" s="306">
        <f>E9*$D9</f>
        <v>214300.06</v>
      </c>
      <c r="G9" s="305"/>
      <c r="H9" s="306"/>
      <c r="I9" s="305"/>
      <c r="J9" s="306"/>
      <c r="K9" s="305"/>
      <c r="L9" s="306"/>
      <c r="M9" s="305"/>
      <c r="N9" s="306"/>
      <c r="O9" s="305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7">
        <f>E9+G9+I9+K9+M9+O9+Q9+S9+U9+W9+Y9+AA9</f>
        <v>1</v>
      </c>
      <c r="AD9" s="308">
        <f>F9+H9+J9+L9+N9+P9+R9+T9+V9+X9+Z9+AB9</f>
        <v>214300.06</v>
      </c>
      <c r="AF9" s="4" t="str">
        <f>IF(AD9=D9,"OK","ERRADO")</f>
        <v>OK</v>
      </c>
      <c r="AG9" s="310"/>
    </row>
    <row r="10" spans="1:33" s="309" customFormat="1" ht="3" customHeight="1" x14ac:dyDescent="0.2">
      <c r="A10" s="303"/>
      <c r="B10" s="303"/>
      <c r="C10" s="304"/>
      <c r="D10" s="303"/>
      <c r="E10" s="311"/>
      <c r="F10" s="311"/>
      <c r="G10" s="312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08"/>
      <c r="AF10" s="4"/>
      <c r="AG10" s="310"/>
    </row>
    <row r="11" spans="1:33" s="309" customFormat="1" x14ac:dyDescent="0.2">
      <c r="A11" s="314" t="s">
        <v>61</v>
      </c>
      <c r="B11" s="315" t="s">
        <v>499</v>
      </c>
      <c r="C11" s="304">
        <f>D11/$D$30</f>
        <v>9.1092304681085839E-2</v>
      </c>
      <c r="D11" s="303">
        <f>PLANILHA!I31</f>
        <v>185205.59</v>
      </c>
      <c r="E11" s="305">
        <v>0.1</v>
      </c>
      <c r="F11" s="306">
        <f>E11*$D11</f>
        <v>18520.559000000001</v>
      </c>
      <c r="G11" s="305">
        <v>0.1</v>
      </c>
      <c r="H11" s="306">
        <f>G11*$D11</f>
        <v>18520.559000000001</v>
      </c>
      <c r="I11" s="307">
        <v>0.1</v>
      </c>
      <c r="J11" s="306">
        <f>I11*$D11</f>
        <v>18520.559000000001</v>
      </c>
      <c r="K11" s="307">
        <v>0.1</v>
      </c>
      <c r="L11" s="306">
        <f>K11*$D11</f>
        <v>18520.559000000001</v>
      </c>
      <c r="M11" s="307">
        <v>0.1</v>
      </c>
      <c r="N11" s="306">
        <f>M11*$D11</f>
        <v>18520.559000000001</v>
      </c>
      <c r="O11" s="307">
        <v>0.1</v>
      </c>
      <c r="P11" s="306">
        <f>O11*$D11</f>
        <v>18520.559000000001</v>
      </c>
      <c r="Q11" s="307">
        <v>0.1</v>
      </c>
      <c r="R11" s="306">
        <f>Q11*$D11</f>
        <v>18520.559000000001</v>
      </c>
      <c r="S11" s="307">
        <v>0.1</v>
      </c>
      <c r="T11" s="306">
        <f>S11*$D11</f>
        <v>18520.559000000001</v>
      </c>
      <c r="U11" s="307">
        <v>0.1</v>
      </c>
      <c r="V11" s="306">
        <f>U11*$D11</f>
        <v>18520.559000000001</v>
      </c>
      <c r="W11" s="307">
        <v>0.1</v>
      </c>
      <c r="X11" s="306">
        <f>W11*$D11</f>
        <v>18520.559000000001</v>
      </c>
      <c r="Y11" s="306"/>
      <c r="Z11" s="306"/>
      <c r="AA11" s="306"/>
      <c r="AB11" s="306"/>
      <c r="AC11" s="307">
        <f>E11+G11+I11+K11+M11+O11+Q11+S11+U11+W11+Y11+AA11</f>
        <v>0.99999999999999989</v>
      </c>
      <c r="AD11" s="308">
        <f>F11+H11+J11+L11+N11+P11+R11+T11+V11+X11+Z11+AB11</f>
        <v>185205.59000000005</v>
      </c>
      <c r="AF11" s="4" t="str">
        <f>IF(AD11=D11,"OK","ERRADO")</f>
        <v>OK</v>
      </c>
      <c r="AG11" s="310"/>
    </row>
    <row r="12" spans="1:33" s="309" customFormat="1" ht="3" customHeight="1" x14ac:dyDescent="0.2">
      <c r="A12" s="303"/>
      <c r="B12" s="303"/>
      <c r="C12" s="304"/>
      <c r="D12" s="303"/>
      <c r="E12" s="316"/>
      <c r="F12" s="317"/>
      <c r="G12" s="316"/>
      <c r="H12" s="317"/>
      <c r="I12" s="317"/>
      <c r="J12" s="317"/>
      <c r="K12" s="318"/>
      <c r="L12" s="317"/>
      <c r="M12" s="317"/>
      <c r="N12" s="317"/>
      <c r="O12" s="317"/>
      <c r="P12" s="317"/>
      <c r="Q12" s="317"/>
      <c r="R12" s="317"/>
      <c r="S12" s="317"/>
      <c r="T12" s="317"/>
      <c r="U12" s="311"/>
      <c r="V12" s="311"/>
      <c r="W12" s="311"/>
      <c r="X12" s="311"/>
      <c r="Y12" s="306"/>
      <c r="Z12" s="306"/>
      <c r="AA12" s="306"/>
      <c r="AB12" s="306"/>
      <c r="AC12" s="306"/>
      <c r="AD12" s="308"/>
      <c r="AF12" s="4"/>
      <c r="AG12" s="310"/>
    </row>
    <row r="13" spans="1:33" s="309" customFormat="1" x14ac:dyDescent="0.2">
      <c r="A13" s="314" t="s">
        <v>75</v>
      </c>
      <c r="B13" s="303" t="s">
        <v>500</v>
      </c>
      <c r="C13" s="304">
        <f>D13/$D$30</f>
        <v>0.14658493231694375</v>
      </c>
      <c r="D13" s="303">
        <f>PLANILHA!I143</f>
        <v>298031.2</v>
      </c>
      <c r="E13" s="305">
        <v>0.1</v>
      </c>
      <c r="F13" s="306">
        <f>E13*$D13</f>
        <v>29803.120000000003</v>
      </c>
      <c r="G13" s="305">
        <v>0.1</v>
      </c>
      <c r="H13" s="306">
        <f>G13*$D13</f>
        <v>29803.120000000003</v>
      </c>
      <c r="I13" s="307">
        <v>0.1</v>
      </c>
      <c r="J13" s="306">
        <f>I13*$D13</f>
        <v>29803.120000000003</v>
      </c>
      <c r="K13" s="307">
        <v>0.1</v>
      </c>
      <c r="L13" s="306">
        <f>K13*$D13</f>
        <v>29803.120000000003</v>
      </c>
      <c r="M13" s="307">
        <v>0.1</v>
      </c>
      <c r="N13" s="306">
        <f>M13*$D13</f>
        <v>29803.120000000003</v>
      </c>
      <c r="O13" s="307">
        <v>0.1</v>
      </c>
      <c r="P13" s="306">
        <f>O13*$D13</f>
        <v>29803.120000000003</v>
      </c>
      <c r="Q13" s="307">
        <v>0.1</v>
      </c>
      <c r="R13" s="306">
        <f>Q13*$D13</f>
        <v>29803.120000000003</v>
      </c>
      <c r="S13" s="307">
        <v>0.1</v>
      </c>
      <c r="T13" s="306">
        <f>S13*$D13</f>
        <v>29803.120000000003</v>
      </c>
      <c r="U13" s="307">
        <v>0.1</v>
      </c>
      <c r="V13" s="306">
        <f>U13*$D13</f>
        <v>29803.120000000003</v>
      </c>
      <c r="W13" s="307">
        <v>0.1</v>
      </c>
      <c r="X13" s="306">
        <f>W13*$D13</f>
        <v>29803.120000000003</v>
      </c>
      <c r="Y13" s="306"/>
      <c r="Z13" s="306"/>
      <c r="AA13" s="306"/>
      <c r="AB13" s="306"/>
      <c r="AC13" s="307">
        <f>E13+G13+I13+K13+M13+O13+Q13+S13+U13+W13+Y13+AA13</f>
        <v>0.99999999999999989</v>
      </c>
      <c r="AD13" s="308">
        <f>F13+H13+J13+L13+N13+P13+R13+T13+V13+X13+Z13+AB13</f>
        <v>298031.2</v>
      </c>
      <c r="AF13" s="4" t="str">
        <f>IF(AD13=D13,"OK","ERRADO")</f>
        <v>OK</v>
      </c>
      <c r="AG13" s="310"/>
    </row>
    <row r="14" spans="1:33" s="309" customFormat="1" ht="3" customHeight="1" x14ac:dyDescent="0.2">
      <c r="A14" s="303"/>
      <c r="B14" s="303"/>
      <c r="C14" s="304"/>
      <c r="D14" s="303"/>
      <c r="E14" s="316"/>
      <c r="F14" s="317"/>
      <c r="G14" s="316"/>
      <c r="H14" s="317"/>
      <c r="I14" s="317"/>
      <c r="J14" s="317"/>
      <c r="K14" s="318"/>
      <c r="L14" s="317"/>
      <c r="M14" s="317"/>
      <c r="N14" s="317"/>
      <c r="O14" s="317"/>
      <c r="P14" s="317"/>
      <c r="Q14" s="317"/>
      <c r="R14" s="317"/>
      <c r="S14" s="317"/>
      <c r="T14" s="317"/>
      <c r="U14" s="311"/>
      <c r="V14" s="311"/>
      <c r="W14" s="311"/>
      <c r="X14" s="311"/>
      <c r="Y14" s="306"/>
      <c r="Z14" s="306"/>
      <c r="AA14" s="306"/>
      <c r="AB14" s="306"/>
      <c r="AC14" s="306"/>
      <c r="AD14" s="308"/>
      <c r="AF14" s="4"/>
      <c r="AG14" s="310"/>
    </row>
    <row r="15" spans="1:33" s="309" customFormat="1" x14ac:dyDescent="0.2">
      <c r="A15" s="303" t="s">
        <v>86</v>
      </c>
      <c r="B15" s="303" t="s">
        <v>501</v>
      </c>
      <c r="C15" s="304">
        <f>D15/$D$30</f>
        <v>7.8089029662364404E-2</v>
      </c>
      <c r="D15" s="303">
        <f>PLANILHA!I262</f>
        <v>158767.79999999999</v>
      </c>
      <c r="E15" s="305">
        <v>0.1</v>
      </c>
      <c r="F15" s="306">
        <f>E15*$D15</f>
        <v>15876.779999999999</v>
      </c>
      <c r="G15" s="305">
        <v>0.1</v>
      </c>
      <c r="H15" s="306">
        <f>G15*$D15</f>
        <v>15876.779999999999</v>
      </c>
      <c r="I15" s="307">
        <v>0.1</v>
      </c>
      <c r="J15" s="306">
        <f>I15*$D15</f>
        <v>15876.779999999999</v>
      </c>
      <c r="K15" s="307">
        <v>0.1</v>
      </c>
      <c r="L15" s="306">
        <f>K15*$D15</f>
        <v>15876.779999999999</v>
      </c>
      <c r="M15" s="307">
        <v>0.1</v>
      </c>
      <c r="N15" s="306">
        <f>M15*D15</f>
        <v>15876.779999999999</v>
      </c>
      <c r="O15" s="307">
        <v>0.1</v>
      </c>
      <c r="P15" s="306">
        <f>O15*D15</f>
        <v>15876.779999999999</v>
      </c>
      <c r="Q15" s="307">
        <v>0.1</v>
      </c>
      <c r="R15" s="306">
        <f>Q15*$D15</f>
        <v>15876.779999999999</v>
      </c>
      <c r="S15" s="307">
        <v>0.1</v>
      </c>
      <c r="T15" s="306">
        <f>S15*$D15</f>
        <v>15876.779999999999</v>
      </c>
      <c r="U15" s="307">
        <v>0.2</v>
      </c>
      <c r="V15" s="306">
        <f>U15*$D15</f>
        <v>31753.559999999998</v>
      </c>
      <c r="W15" s="306"/>
      <c r="X15" s="306"/>
      <c r="Y15" s="306"/>
      <c r="Z15" s="306"/>
      <c r="AA15" s="306"/>
      <c r="AB15" s="306"/>
      <c r="AC15" s="307">
        <f>E15+G15+I15+K15+M15+O15+Q15+S15+U15+W15+Y15+AA15</f>
        <v>1</v>
      </c>
      <c r="AD15" s="308">
        <f>F15+H15+J15+L15+N15+P15+R15+T15+V15+X15+Z15+AB15</f>
        <v>158767.79999999999</v>
      </c>
      <c r="AF15" s="4" t="str">
        <f>IF(AD15=D15,"OK","ERRADO")</f>
        <v>OK</v>
      </c>
      <c r="AG15" s="310"/>
    </row>
    <row r="16" spans="1:33" s="309" customFormat="1" ht="3" customHeight="1" x14ac:dyDescent="0.2">
      <c r="A16" s="303"/>
      <c r="B16" s="303"/>
      <c r="C16" s="304"/>
      <c r="D16" s="303"/>
      <c r="E16" s="316"/>
      <c r="F16" s="317"/>
      <c r="G16" s="316"/>
      <c r="H16" s="317"/>
      <c r="I16" s="317"/>
      <c r="J16" s="317"/>
      <c r="K16" s="318"/>
      <c r="L16" s="317"/>
      <c r="M16" s="317"/>
      <c r="N16" s="317"/>
      <c r="O16" s="317"/>
      <c r="P16" s="317"/>
      <c r="Q16" s="317"/>
      <c r="R16" s="317"/>
      <c r="S16" s="317"/>
      <c r="T16" s="317"/>
      <c r="U16" s="311"/>
      <c r="V16" s="311"/>
      <c r="W16" s="306"/>
      <c r="X16" s="306"/>
      <c r="Y16" s="306"/>
      <c r="Z16" s="306"/>
      <c r="AA16" s="306"/>
      <c r="AB16" s="306"/>
      <c r="AC16" s="306"/>
      <c r="AD16" s="308"/>
      <c r="AF16" s="4"/>
      <c r="AG16" s="310"/>
    </row>
    <row r="17" spans="1:33" s="309" customFormat="1" x14ac:dyDescent="0.2">
      <c r="A17" s="314" t="s">
        <v>96</v>
      </c>
      <c r="B17" s="303" t="s">
        <v>502</v>
      </c>
      <c r="C17" s="304">
        <f>D17/$D$30</f>
        <v>8.2628048761143907E-2</v>
      </c>
      <c r="D17" s="303">
        <f>PLANILHA!I374</f>
        <v>167996.36999999997</v>
      </c>
      <c r="E17" s="305">
        <v>0.1</v>
      </c>
      <c r="F17" s="306">
        <f>E17*$D17</f>
        <v>16799.636999999999</v>
      </c>
      <c r="G17" s="305">
        <v>0.1</v>
      </c>
      <c r="H17" s="306">
        <f>G17*$D17</f>
        <v>16799.636999999999</v>
      </c>
      <c r="I17" s="307">
        <v>0.1</v>
      </c>
      <c r="J17" s="306">
        <f>I17*$D17</f>
        <v>16799.636999999999</v>
      </c>
      <c r="K17" s="307">
        <v>0.1</v>
      </c>
      <c r="L17" s="306">
        <f>K17*$D17</f>
        <v>16799.636999999999</v>
      </c>
      <c r="M17" s="307">
        <v>0.1</v>
      </c>
      <c r="N17" s="306">
        <f>M17*$D17</f>
        <v>16799.636999999999</v>
      </c>
      <c r="O17" s="307">
        <v>0.1</v>
      </c>
      <c r="P17" s="306">
        <f>O17*D17</f>
        <v>16799.636999999999</v>
      </c>
      <c r="Q17" s="307">
        <v>0.1</v>
      </c>
      <c r="R17" s="306">
        <f>Q17*$D17</f>
        <v>16799.636999999999</v>
      </c>
      <c r="S17" s="307">
        <v>0.1</v>
      </c>
      <c r="T17" s="306">
        <f>S17*$D17</f>
        <v>16799.636999999999</v>
      </c>
      <c r="U17" s="307">
        <v>0.1</v>
      </c>
      <c r="V17" s="306">
        <f>U17*$D17</f>
        <v>16799.636999999999</v>
      </c>
      <c r="W17" s="307">
        <v>0.1</v>
      </c>
      <c r="X17" s="306">
        <f>W17*$D17</f>
        <v>16799.636999999999</v>
      </c>
      <c r="Y17" s="306"/>
      <c r="Z17" s="306"/>
      <c r="AA17" s="306"/>
      <c r="AB17" s="306"/>
      <c r="AC17" s="307">
        <f>E17+G17+I17+K17+M17+O17+Q17+S17+U17+W17+Y17+AA17</f>
        <v>0.99999999999999989</v>
      </c>
      <c r="AD17" s="308">
        <f>F17+H17+J17+L17+N17+P17+R17+T17+V17+X17+Z17+AB17</f>
        <v>167996.36999999997</v>
      </c>
      <c r="AF17" s="4" t="str">
        <f>IF(AD17=D17,"OK","ERRADO")</f>
        <v>OK</v>
      </c>
      <c r="AG17" s="310"/>
    </row>
    <row r="18" spans="1:33" s="309" customFormat="1" ht="3" customHeight="1" x14ac:dyDescent="0.2">
      <c r="A18" s="303"/>
      <c r="B18" s="303"/>
      <c r="C18" s="304"/>
      <c r="D18" s="303"/>
      <c r="E18" s="316"/>
      <c r="F18" s="317"/>
      <c r="G18" s="316"/>
      <c r="H18" s="317"/>
      <c r="I18" s="317"/>
      <c r="J18" s="317"/>
      <c r="K18" s="318"/>
      <c r="L18" s="317"/>
      <c r="M18" s="317"/>
      <c r="N18" s="317"/>
      <c r="O18" s="317"/>
      <c r="P18" s="317"/>
      <c r="Q18" s="317"/>
      <c r="R18" s="317"/>
      <c r="S18" s="317"/>
      <c r="T18" s="317"/>
      <c r="U18" s="311"/>
      <c r="V18" s="311"/>
      <c r="W18" s="311"/>
      <c r="X18" s="311"/>
      <c r="Y18" s="306"/>
      <c r="Z18" s="306"/>
      <c r="AA18" s="306"/>
      <c r="AB18" s="306"/>
      <c r="AC18" s="306"/>
      <c r="AD18" s="308"/>
      <c r="AF18" s="4"/>
      <c r="AG18" s="310"/>
    </row>
    <row r="19" spans="1:33" s="321" customFormat="1" x14ac:dyDescent="0.2">
      <c r="A19" s="319" t="s">
        <v>117</v>
      </c>
      <c r="B19" s="320" t="s">
        <v>503</v>
      </c>
      <c r="C19" s="304">
        <f>D19/$D$30</f>
        <v>0.10711639855703717</v>
      </c>
      <c r="D19" s="320">
        <f>PLANILHA!I474</f>
        <v>217785.2</v>
      </c>
      <c r="E19" s="305">
        <v>0.1</v>
      </c>
      <c r="F19" s="306">
        <f>E19*$D19</f>
        <v>21778.520000000004</v>
      </c>
      <c r="G19" s="305">
        <v>0.1</v>
      </c>
      <c r="H19" s="306">
        <f>G19*$D19</f>
        <v>21778.520000000004</v>
      </c>
      <c r="I19" s="307">
        <v>0.1</v>
      </c>
      <c r="J19" s="306">
        <f>I19*$D19</f>
        <v>21778.520000000004</v>
      </c>
      <c r="K19" s="307">
        <v>0.1</v>
      </c>
      <c r="L19" s="306">
        <f>K19*$D19</f>
        <v>21778.520000000004</v>
      </c>
      <c r="M19" s="307">
        <v>0.1</v>
      </c>
      <c r="N19" s="306">
        <f>M19*D19</f>
        <v>21778.520000000004</v>
      </c>
      <c r="O19" s="307">
        <v>0.1</v>
      </c>
      <c r="P19" s="306">
        <f>O19*D19</f>
        <v>21778.520000000004</v>
      </c>
      <c r="Q19" s="307">
        <v>0.1</v>
      </c>
      <c r="R19" s="306">
        <f>Q19*$D19</f>
        <v>21778.520000000004</v>
      </c>
      <c r="S19" s="307">
        <v>0.1</v>
      </c>
      <c r="T19" s="306">
        <f>S19*$D19</f>
        <v>21778.520000000004</v>
      </c>
      <c r="U19" s="307">
        <v>0.1</v>
      </c>
      <c r="V19" s="306">
        <f>U19*$D19</f>
        <v>21778.520000000004</v>
      </c>
      <c r="W19" s="307">
        <v>0.1</v>
      </c>
      <c r="X19" s="306">
        <f>W19*$D19</f>
        <v>21778.520000000004</v>
      </c>
      <c r="Y19" s="320"/>
      <c r="Z19" s="320"/>
      <c r="AA19" s="320"/>
      <c r="AB19" s="320"/>
      <c r="AC19" s="307">
        <f>E19+G19+I19+K19+M19+O19+Q19+S19+U19+W19+Y19+AA19</f>
        <v>0.99999999999999989</v>
      </c>
      <c r="AD19" s="308">
        <f>F19+H19+J19+L19+N19+P19+R19+T19+V19+X19+Z19+AB19</f>
        <v>217785.20000000007</v>
      </c>
      <c r="AF19" s="4" t="str">
        <f>IF(AD19=D19,"OK","ERRADO")</f>
        <v>OK</v>
      </c>
      <c r="AG19" s="322"/>
    </row>
    <row r="20" spans="1:33" s="309" customFormat="1" ht="3" customHeight="1" x14ac:dyDescent="0.2">
      <c r="A20" s="303"/>
      <c r="B20" s="303"/>
      <c r="C20" s="304"/>
      <c r="D20" s="303"/>
      <c r="E20" s="316"/>
      <c r="F20" s="317"/>
      <c r="G20" s="316"/>
      <c r="H20" s="317"/>
      <c r="I20" s="317"/>
      <c r="J20" s="317"/>
      <c r="K20" s="318"/>
      <c r="L20" s="317"/>
      <c r="M20" s="317"/>
      <c r="N20" s="317"/>
      <c r="O20" s="317"/>
      <c r="P20" s="317"/>
      <c r="Q20" s="317"/>
      <c r="R20" s="317"/>
      <c r="S20" s="317"/>
      <c r="T20" s="317"/>
      <c r="U20" s="311"/>
      <c r="V20" s="311"/>
      <c r="W20" s="311"/>
      <c r="X20" s="311"/>
      <c r="Y20" s="311"/>
      <c r="Z20" s="311"/>
      <c r="AA20" s="311"/>
      <c r="AB20" s="311"/>
      <c r="AC20" s="312"/>
      <c r="AD20" s="308"/>
      <c r="AF20" s="4"/>
      <c r="AG20" s="310"/>
    </row>
    <row r="21" spans="1:33" s="309" customFormat="1" x14ac:dyDescent="0.2">
      <c r="A21" s="303" t="s">
        <v>161</v>
      </c>
      <c r="B21" s="303" t="s">
        <v>504</v>
      </c>
      <c r="C21" s="304">
        <f>D21/$D$30</f>
        <v>5.5063306626108532E-2</v>
      </c>
      <c r="D21" s="303">
        <f>PLANILHA!I664</f>
        <v>111952.73000000001</v>
      </c>
      <c r="E21" s="305"/>
      <c r="F21" s="306"/>
      <c r="G21" s="305"/>
      <c r="H21" s="306"/>
      <c r="I21" s="305">
        <v>0.1</v>
      </c>
      <c r="J21" s="306">
        <f>I21*$D21</f>
        <v>11195.273000000001</v>
      </c>
      <c r="K21" s="305">
        <v>0.1</v>
      </c>
      <c r="L21" s="306">
        <f>K21*$D21</f>
        <v>11195.273000000001</v>
      </c>
      <c r="M21" s="307">
        <v>0.1</v>
      </c>
      <c r="N21" s="306">
        <f>M21*$D21</f>
        <v>11195.273000000001</v>
      </c>
      <c r="O21" s="307">
        <v>0.1</v>
      </c>
      <c r="P21" s="306">
        <f>O21*$D21</f>
        <v>11195.273000000001</v>
      </c>
      <c r="Q21" s="307">
        <v>0.1</v>
      </c>
      <c r="R21" s="306">
        <f>Q21*$D21</f>
        <v>11195.273000000001</v>
      </c>
      <c r="S21" s="307">
        <v>0.1</v>
      </c>
      <c r="T21" s="306">
        <f>S21*$D21</f>
        <v>11195.273000000001</v>
      </c>
      <c r="U21" s="307">
        <v>0.1</v>
      </c>
      <c r="V21" s="306">
        <f>U21*$D21</f>
        <v>11195.273000000001</v>
      </c>
      <c r="W21" s="307">
        <v>0.1</v>
      </c>
      <c r="X21" s="306">
        <f>W21*$D21</f>
        <v>11195.273000000001</v>
      </c>
      <c r="Y21" s="307">
        <v>0.1</v>
      </c>
      <c r="Z21" s="306">
        <f>Y21*$D21</f>
        <v>11195.273000000001</v>
      </c>
      <c r="AA21" s="307">
        <v>0.1</v>
      </c>
      <c r="AB21" s="306">
        <f>AA21*$D21</f>
        <v>11195.273000000001</v>
      </c>
      <c r="AC21" s="307">
        <f>E21+G21+I21+K21+M21+O21+Q21+S21+U21+W21+Y21+AA21</f>
        <v>0.99999999999999989</v>
      </c>
      <c r="AD21" s="308">
        <f>F21+H21+J21+L21+N21+P21+R21+T21+V21+X21+Z21+AB21</f>
        <v>111952.73000000001</v>
      </c>
      <c r="AF21" s="4" t="str">
        <f>IF(AD21=D21,"OK","ERRADO")</f>
        <v>OK</v>
      </c>
      <c r="AG21" s="310"/>
    </row>
    <row r="22" spans="1:33" s="309" customFormat="1" ht="3" customHeight="1" x14ac:dyDescent="0.2">
      <c r="A22" s="303"/>
      <c r="B22" s="303"/>
      <c r="C22" s="304"/>
      <c r="D22" s="303"/>
      <c r="E22" s="303"/>
      <c r="F22" s="303"/>
      <c r="G22" s="303"/>
      <c r="H22" s="303"/>
      <c r="I22" s="317"/>
      <c r="J22" s="317"/>
      <c r="K22" s="318"/>
      <c r="L22" s="317"/>
      <c r="M22" s="317"/>
      <c r="N22" s="317"/>
      <c r="O22" s="317"/>
      <c r="P22" s="317"/>
      <c r="Q22" s="317"/>
      <c r="R22" s="317"/>
      <c r="S22" s="317"/>
      <c r="T22" s="317"/>
      <c r="U22" s="311"/>
      <c r="V22" s="311"/>
      <c r="W22" s="311"/>
      <c r="X22" s="311"/>
      <c r="Y22" s="311"/>
      <c r="Z22" s="311"/>
      <c r="AA22" s="311"/>
      <c r="AB22" s="311"/>
      <c r="AC22" s="312"/>
      <c r="AD22" s="308"/>
      <c r="AF22" s="4"/>
      <c r="AG22" s="310"/>
    </row>
    <row r="23" spans="1:33" s="309" customFormat="1" x14ac:dyDescent="0.2">
      <c r="A23" s="303" t="s">
        <v>187</v>
      </c>
      <c r="B23" s="303" t="s">
        <v>505</v>
      </c>
      <c r="C23" s="304">
        <f>D23/$D$30</f>
        <v>3.6435015484117733E-2</v>
      </c>
      <c r="D23" s="303">
        <f>PLANILHA!I585</f>
        <v>74078.359999999986</v>
      </c>
      <c r="E23" s="305"/>
      <c r="F23" s="306"/>
      <c r="G23" s="305"/>
      <c r="H23" s="306"/>
      <c r="I23" s="305">
        <v>0.1</v>
      </c>
      <c r="J23" s="306">
        <f>I23*$D23</f>
        <v>7407.8359999999993</v>
      </c>
      <c r="K23" s="305">
        <v>0.1</v>
      </c>
      <c r="L23" s="306">
        <f>K23*$D23</f>
        <v>7407.8359999999993</v>
      </c>
      <c r="M23" s="307">
        <v>0.1</v>
      </c>
      <c r="N23" s="306">
        <f>M23*$D23</f>
        <v>7407.8359999999993</v>
      </c>
      <c r="O23" s="307">
        <v>0.1</v>
      </c>
      <c r="P23" s="306">
        <f>O23*$D23</f>
        <v>7407.8359999999993</v>
      </c>
      <c r="Q23" s="307">
        <v>0.1</v>
      </c>
      <c r="R23" s="306">
        <f>Q23*$D23</f>
        <v>7407.8359999999993</v>
      </c>
      <c r="S23" s="307">
        <v>0.1</v>
      </c>
      <c r="T23" s="306">
        <f>S23*$D23</f>
        <v>7407.8359999999993</v>
      </c>
      <c r="U23" s="307">
        <v>0.1</v>
      </c>
      <c r="V23" s="306">
        <f>U23*$D23</f>
        <v>7407.8359999999993</v>
      </c>
      <c r="W23" s="307">
        <v>0.1</v>
      </c>
      <c r="X23" s="306">
        <f>W23*$D23</f>
        <v>7407.8359999999993</v>
      </c>
      <c r="Y23" s="307">
        <v>0.1</v>
      </c>
      <c r="Z23" s="306">
        <f>Y23*$D23</f>
        <v>7407.8359999999993</v>
      </c>
      <c r="AA23" s="307">
        <v>0.1</v>
      </c>
      <c r="AB23" s="306">
        <f>AA23*$D23</f>
        <v>7407.8359999999993</v>
      </c>
      <c r="AC23" s="307">
        <f>E23+G23+I23+K23+M23+O23+Q23+S23+U23+W23+Y23+AA23</f>
        <v>0.99999999999999989</v>
      </c>
      <c r="AD23" s="308">
        <f>F23+H23+J23+L23+N23+P23+R23+T23+V23+X23+Z23+AB23</f>
        <v>74078.359999999971</v>
      </c>
      <c r="AF23" s="4" t="str">
        <f>IF(AD23=D23,"OK","ERRADO")</f>
        <v>OK</v>
      </c>
      <c r="AG23" s="310"/>
    </row>
    <row r="24" spans="1:33" s="309" customFormat="1" ht="3" customHeight="1" x14ac:dyDescent="0.2">
      <c r="A24" s="303"/>
      <c r="B24" s="303"/>
      <c r="C24" s="304"/>
      <c r="D24" s="303"/>
      <c r="E24" s="305"/>
      <c r="F24" s="306"/>
      <c r="G24" s="305"/>
      <c r="H24" s="306"/>
      <c r="I24" s="316"/>
      <c r="J24" s="317"/>
      <c r="K24" s="316"/>
      <c r="L24" s="317"/>
      <c r="M24" s="317"/>
      <c r="N24" s="317"/>
      <c r="O24" s="318"/>
      <c r="P24" s="317"/>
      <c r="Q24" s="317"/>
      <c r="R24" s="317"/>
      <c r="S24" s="317"/>
      <c r="T24" s="317"/>
      <c r="U24" s="317"/>
      <c r="V24" s="317"/>
      <c r="W24" s="317"/>
      <c r="X24" s="317"/>
      <c r="Y24" s="311"/>
      <c r="Z24" s="311"/>
      <c r="AA24" s="311"/>
      <c r="AB24" s="311"/>
      <c r="AC24" s="306"/>
      <c r="AD24" s="308"/>
      <c r="AF24" s="4"/>
      <c r="AG24" s="310"/>
    </row>
    <row r="25" spans="1:33" s="309" customFormat="1" x14ac:dyDescent="0.2">
      <c r="A25" s="314" t="s">
        <v>207</v>
      </c>
      <c r="B25" s="303" t="s">
        <v>506</v>
      </c>
      <c r="C25" s="304">
        <f>D25/$D$30</f>
        <v>0.28537963207541622</v>
      </c>
      <c r="D25" s="303">
        <f>PLANILHA!I756</f>
        <v>580223.57999999996</v>
      </c>
      <c r="E25" s="305">
        <v>0.1</v>
      </c>
      <c r="F25" s="306">
        <f>E25*$D25</f>
        <v>58022.358</v>
      </c>
      <c r="G25" s="305">
        <v>0.1</v>
      </c>
      <c r="H25" s="306">
        <f>G25*$D25</f>
        <v>58022.358</v>
      </c>
      <c r="I25" s="307">
        <v>0.1</v>
      </c>
      <c r="J25" s="306">
        <f>I25*$D25</f>
        <v>58022.358</v>
      </c>
      <c r="K25" s="307">
        <v>0.1</v>
      </c>
      <c r="L25" s="306">
        <f>K25*$D25</f>
        <v>58022.358</v>
      </c>
      <c r="M25" s="307">
        <v>0.1</v>
      </c>
      <c r="N25" s="306">
        <f>M25*D25</f>
        <v>58022.358</v>
      </c>
      <c r="O25" s="307">
        <v>0.1</v>
      </c>
      <c r="P25" s="306">
        <f>O25*D25</f>
        <v>58022.358</v>
      </c>
      <c r="Q25" s="307">
        <v>0.1</v>
      </c>
      <c r="R25" s="306">
        <f>Q25*$D25</f>
        <v>58022.358</v>
      </c>
      <c r="S25" s="307">
        <v>0.1</v>
      </c>
      <c r="T25" s="306">
        <f>S25*$D25</f>
        <v>58022.358</v>
      </c>
      <c r="U25" s="307">
        <v>0.1</v>
      </c>
      <c r="V25" s="306">
        <f>U25*$D25</f>
        <v>58022.358</v>
      </c>
      <c r="W25" s="307">
        <v>0.1</v>
      </c>
      <c r="X25" s="306">
        <f>W25*$D25</f>
        <v>58022.358</v>
      </c>
      <c r="Y25" s="306"/>
      <c r="Z25" s="306"/>
      <c r="AA25" s="306"/>
      <c r="AB25" s="306"/>
      <c r="AC25" s="307">
        <f>E25+G25+I25+K25+M25+O25+Q25+S25+U25+W25+Y25+AA25</f>
        <v>0.99999999999999989</v>
      </c>
      <c r="AD25" s="308">
        <f>F25+H25+J25+L25+N25+P25+R25+T25+V25+X25+Z25+AB25</f>
        <v>580223.57999999996</v>
      </c>
      <c r="AF25" s="4" t="str">
        <f>IF(AD25=D25,"OK","ERRADO")</f>
        <v>OK</v>
      </c>
      <c r="AG25" s="310"/>
    </row>
    <row r="26" spans="1:33" s="309" customFormat="1" ht="3" customHeight="1" x14ac:dyDescent="0.2">
      <c r="A26" s="303"/>
      <c r="B26" s="303"/>
      <c r="C26" s="304"/>
      <c r="D26" s="303"/>
      <c r="E26" s="305"/>
      <c r="F26" s="306"/>
      <c r="G26" s="305"/>
      <c r="H26" s="306"/>
      <c r="I26" s="316"/>
      <c r="J26" s="317"/>
      <c r="K26" s="316"/>
      <c r="L26" s="317"/>
      <c r="M26" s="317"/>
      <c r="N26" s="317"/>
      <c r="O26" s="318"/>
      <c r="P26" s="317"/>
      <c r="Q26" s="317"/>
      <c r="R26" s="317"/>
      <c r="S26" s="317"/>
      <c r="T26" s="317"/>
      <c r="U26" s="317"/>
      <c r="V26" s="317"/>
      <c r="W26" s="317"/>
      <c r="X26" s="317"/>
      <c r="Y26" s="311"/>
      <c r="Z26" s="311"/>
      <c r="AA26" s="311"/>
      <c r="AB26" s="311"/>
      <c r="AC26" s="306"/>
      <c r="AD26" s="308"/>
      <c r="AF26" s="4"/>
      <c r="AG26" s="310"/>
    </row>
    <row r="27" spans="1:33" s="309" customFormat="1" x14ac:dyDescent="0.2">
      <c r="A27" s="314" t="s">
        <v>212</v>
      </c>
      <c r="B27" s="303" t="s">
        <v>669</v>
      </c>
      <c r="C27" s="304">
        <f>D27/$D$30</f>
        <v>1.2209079351421709E-2</v>
      </c>
      <c r="D27" s="303">
        <f>PLANILHA!I893</f>
        <v>24823.06</v>
      </c>
      <c r="E27" s="305">
        <v>8.3000000000000004E-2</v>
      </c>
      <c r="F27" s="306">
        <f>E27*$D27</f>
        <v>2060.3139800000004</v>
      </c>
      <c r="G27" s="323">
        <v>8.3000000000000004E-2</v>
      </c>
      <c r="H27" s="306">
        <f>G27*$D27</f>
        <v>2060.3139800000004</v>
      </c>
      <c r="I27" s="323">
        <v>8.3000000000000004E-2</v>
      </c>
      <c r="J27" s="306">
        <f>I27*$D27</f>
        <v>2060.3139800000004</v>
      </c>
      <c r="K27" s="324">
        <v>8.3000000000000004E-2</v>
      </c>
      <c r="L27" s="306">
        <f>K27*$D27</f>
        <v>2060.3139800000004</v>
      </c>
      <c r="M27" s="324">
        <v>8.3000000000000004E-2</v>
      </c>
      <c r="N27" s="306">
        <f>M27*D27</f>
        <v>2060.3139800000004</v>
      </c>
      <c r="O27" s="324">
        <v>8.3000000000000004E-2</v>
      </c>
      <c r="P27" s="306">
        <f>O27*D27</f>
        <v>2060.3139800000004</v>
      </c>
      <c r="Q27" s="324">
        <v>8.3000000000000004E-2</v>
      </c>
      <c r="R27" s="306">
        <f>Q27*$D27</f>
        <v>2060.3139800000004</v>
      </c>
      <c r="S27" s="324">
        <v>8.3000000000000004E-2</v>
      </c>
      <c r="T27" s="306">
        <f>S27*$D27</f>
        <v>2060.3139800000004</v>
      </c>
      <c r="U27" s="324">
        <v>8.3000000000000004E-2</v>
      </c>
      <c r="V27" s="306">
        <f>U27*$D27</f>
        <v>2060.3139800000004</v>
      </c>
      <c r="W27" s="324">
        <v>8.3000000000000004E-2</v>
      </c>
      <c r="X27" s="306">
        <f>W27*$D27</f>
        <v>2060.3139800000004</v>
      </c>
      <c r="Y27" s="324">
        <f>TRUNC(1/12,2)</f>
        <v>0.08</v>
      </c>
      <c r="Z27" s="306">
        <f>Y27*$D27</f>
        <v>1985.8448000000001</v>
      </c>
      <c r="AA27" s="324">
        <f>TRUNC(1-E27-G27-I27-K27-M27-O27-Q27-S27-U27-W27-Y27,2)</f>
        <v>0.09</v>
      </c>
      <c r="AB27" s="306">
        <f>AA27*$D27</f>
        <v>2234.0754000000002</v>
      </c>
      <c r="AC27" s="307">
        <f>E27+G27+I27+K27+M27+O27+Q27+S27+U27+W27+Y27+AA27</f>
        <v>0.99999999999999989</v>
      </c>
      <c r="AD27" s="308">
        <f>F27+H27+J27+L27+N27+P27+R27+T27+V27+X27+Z27+AB27</f>
        <v>24823.06</v>
      </c>
      <c r="AF27" s="4" t="str">
        <f>IF(AD27=D27,"OK","ERRADO")</f>
        <v>OK</v>
      </c>
      <c r="AG27" s="310"/>
    </row>
    <row r="28" spans="1:33" s="309" customFormat="1" ht="3" customHeight="1" x14ac:dyDescent="0.2">
      <c r="A28" s="303"/>
      <c r="B28" s="303"/>
      <c r="C28" s="304"/>
      <c r="D28" s="303"/>
      <c r="E28" s="316"/>
      <c r="F28" s="316"/>
      <c r="G28" s="316"/>
      <c r="H28" s="316"/>
      <c r="I28" s="316"/>
      <c r="J28" s="317"/>
      <c r="K28" s="316"/>
      <c r="L28" s="317"/>
      <c r="M28" s="317"/>
      <c r="N28" s="317"/>
      <c r="O28" s="318"/>
      <c r="P28" s="317"/>
      <c r="Q28" s="317"/>
      <c r="R28" s="317"/>
      <c r="S28" s="317"/>
      <c r="T28" s="317"/>
      <c r="U28" s="317"/>
      <c r="V28" s="317"/>
      <c r="W28" s="317"/>
      <c r="X28" s="317"/>
      <c r="Y28" s="311"/>
      <c r="Z28" s="311"/>
      <c r="AA28" s="311"/>
      <c r="AB28" s="311"/>
      <c r="AC28" s="306"/>
      <c r="AD28" s="308"/>
      <c r="AF28" s="4"/>
      <c r="AG28" s="310"/>
    </row>
    <row r="29" spans="1:33" s="309" customFormat="1" x14ac:dyDescent="0.2">
      <c r="A29" s="314"/>
      <c r="B29" s="303"/>
      <c r="C29" s="304"/>
      <c r="D29" s="303"/>
      <c r="E29" s="305"/>
      <c r="F29" s="306"/>
      <c r="G29" s="305"/>
      <c r="H29" s="306"/>
      <c r="I29" s="305"/>
      <c r="J29" s="306"/>
      <c r="K29" s="307"/>
      <c r="L29" s="306"/>
      <c r="M29" s="305"/>
      <c r="N29" s="306"/>
      <c r="O29" s="305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7"/>
      <c r="AD29" s="308"/>
      <c r="AF29" s="4" t="str">
        <f>IF(AD29=D29,"OK","ERRADO")</f>
        <v>OK</v>
      </c>
      <c r="AG29" s="310"/>
    </row>
    <row r="30" spans="1:33" s="309" customFormat="1" x14ac:dyDescent="0.2">
      <c r="A30" s="427" t="s">
        <v>507</v>
      </c>
      <c r="B30" s="428"/>
      <c r="C30" s="325">
        <f>SUM(C9:C29)</f>
        <v>0.99999999999999989</v>
      </c>
      <c r="D30" s="326">
        <f>SUM(D9:D29)</f>
        <v>2033163.9500000002</v>
      </c>
      <c r="E30" s="325">
        <f>F30/D30</f>
        <v>0.18550464067592776</v>
      </c>
      <c r="F30" s="326">
        <f>SUM(F9:F29)</f>
        <v>377161.34797999996</v>
      </c>
      <c r="G30" s="325">
        <f>H30/D30</f>
        <v>8.0102388191567148E-2</v>
      </c>
      <c r="H30" s="326">
        <f>SUM(H9:H29)</f>
        <v>162861.28798000002</v>
      </c>
      <c r="I30" s="325">
        <f>J30/D30</f>
        <v>8.9252220402589774E-2</v>
      </c>
      <c r="J30" s="326">
        <f>SUM(J9:J29)</f>
        <v>181464.39698000002</v>
      </c>
      <c r="K30" s="325">
        <f>L30/D30</f>
        <v>8.9252220402589774E-2</v>
      </c>
      <c r="L30" s="326">
        <f>SUM(L9:L29)</f>
        <v>181464.39698000002</v>
      </c>
      <c r="M30" s="325">
        <f>N30/D30</f>
        <v>8.9252220402589774E-2</v>
      </c>
      <c r="N30" s="326">
        <f>SUM(N9:N29)</f>
        <v>181464.39698000002</v>
      </c>
      <c r="O30" s="325">
        <f>P30/D30</f>
        <v>8.9252220402589774E-2</v>
      </c>
      <c r="P30" s="326">
        <f>SUM(P9:P29)</f>
        <v>181464.39698000002</v>
      </c>
      <c r="Q30" s="325">
        <f>R30/D30</f>
        <v>8.9252220402589774E-2</v>
      </c>
      <c r="R30" s="326">
        <f>SUM(R9:R29)</f>
        <v>181464.39698000002</v>
      </c>
      <c r="S30" s="327">
        <f>T30/D30</f>
        <v>8.9252220402589774E-2</v>
      </c>
      <c r="T30" s="326">
        <f>SUM(T9:T29)</f>
        <v>181464.39698000002</v>
      </c>
      <c r="U30" s="327">
        <f>V30/D30</f>
        <v>9.7061123368826205E-2</v>
      </c>
      <c r="V30" s="326">
        <f>SUM(V9:V29)</f>
        <v>197341.17698000002</v>
      </c>
      <c r="W30" s="327">
        <f>X30/D30</f>
        <v>8.144331743635333E-2</v>
      </c>
      <c r="X30" s="326">
        <f>SUM(X9:X29)</f>
        <v>165587.61698000002</v>
      </c>
      <c r="Y30" s="327">
        <f>Z30/D30</f>
        <v>1.0126558559136363E-2</v>
      </c>
      <c r="Z30" s="326">
        <f>SUM(Z9:Z29)</f>
        <v>20588.953799999999</v>
      </c>
      <c r="AA30" s="327">
        <f>AB30/D30</f>
        <v>1.0248649352650583E-2</v>
      </c>
      <c r="AB30" s="326">
        <f>SUM(AB9:AB29)</f>
        <v>20837.184400000002</v>
      </c>
      <c r="AC30" s="326">
        <f>E30+G30+I30+K30+M30+O30+Q30+S30+U30+W30+Y30+AA30</f>
        <v>0.99999999999999989</v>
      </c>
      <c r="AD30" s="326">
        <f>SUM(AD9:AD29)</f>
        <v>2033163.9500000002</v>
      </c>
      <c r="AF30" s="4"/>
      <c r="AG30" s="310"/>
    </row>
    <row r="31" spans="1:33" s="99" customFormat="1" x14ac:dyDescent="0.2">
      <c r="A31" s="427"/>
      <c r="B31" s="428"/>
      <c r="C31" s="325"/>
      <c r="D31" s="326"/>
      <c r="E31" s="325"/>
      <c r="F31" s="326">
        <f>F30</f>
        <v>377161.34797999996</v>
      </c>
      <c r="G31" s="325"/>
      <c r="H31" s="326">
        <f>H30+F31</f>
        <v>540022.63595999999</v>
      </c>
      <c r="I31" s="325"/>
      <c r="J31" s="326">
        <f>J30+H31</f>
        <v>721487.03294000006</v>
      </c>
      <c r="K31" s="325"/>
      <c r="L31" s="326">
        <f>L30+J31</f>
        <v>902951.42992000002</v>
      </c>
      <c r="M31" s="325"/>
      <c r="N31" s="326">
        <f>N30+L31</f>
        <v>1084415.8269</v>
      </c>
      <c r="O31" s="325"/>
      <c r="P31" s="326">
        <f>P30+N31</f>
        <v>1265880.2238799999</v>
      </c>
      <c r="Q31" s="326"/>
      <c r="R31" s="326">
        <f>R30+P31</f>
        <v>1447344.6208599999</v>
      </c>
      <c r="S31" s="326"/>
      <c r="T31" s="326">
        <f>T30+R31</f>
        <v>1628809.0178399999</v>
      </c>
      <c r="U31" s="326"/>
      <c r="V31" s="326">
        <f>V30+T31</f>
        <v>1826150.1948199999</v>
      </c>
      <c r="W31" s="326"/>
      <c r="X31" s="326">
        <f>X30+V31</f>
        <v>1991737.8117999998</v>
      </c>
      <c r="Y31" s="326"/>
      <c r="Z31" s="326">
        <f>Z30+X31</f>
        <v>2012326.7655999998</v>
      </c>
      <c r="AA31" s="326"/>
      <c r="AB31" s="326">
        <f>AB30+Z31</f>
        <v>2033163.9499999997</v>
      </c>
      <c r="AC31" s="326"/>
      <c r="AD31" s="326"/>
      <c r="AF31" s="97"/>
      <c r="AG31" s="328"/>
    </row>
    <row r="32" spans="1:33" s="99" customFormat="1" x14ac:dyDescent="0.2">
      <c r="G32" s="97"/>
      <c r="H32" s="97"/>
      <c r="I32" s="97"/>
      <c r="J32" s="97"/>
      <c r="K32" s="283"/>
      <c r="L32" s="97"/>
      <c r="M32" s="97"/>
      <c r="N32" s="97"/>
      <c r="AF32" s="97"/>
      <c r="AG32" s="328"/>
    </row>
    <row r="33" spans="3:33" s="99" customFormat="1" x14ac:dyDescent="0.2">
      <c r="G33" s="97"/>
      <c r="H33" s="97"/>
      <c r="I33" s="97"/>
      <c r="J33" s="97"/>
      <c r="K33" s="283"/>
      <c r="L33" s="97"/>
      <c r="M33" s="97"/>
      <c r="N33" s="97"/>
      <c r="AF33" s="97"/>
      <c r="AG33" s="328"/>
    </row>
    <row r="34" spans="3:33" s="99" customFormat="1" x14ac:dyDescent="0.2">
      <c r="G34" s="97"/>
      <c r="H34" s="97"/>
      <c r="I34" s="97"/>
      <c r="J34" s="97"/>
      <c r="K34" s="283"/>
      <c r="L34" s="97"/>
      <c r="M34" s="97"/>
      <c r="N34" s="97"/>
      <c r="AF34" s="97"/>
      <c r="AG34" s="328"/>
    </row>
    <row r="35" spans="3:33" s="99" customFormat="1" x14ac:dyDescent="0.2">
      <c r="G35" s="97"/>
      <c r="H35" s="97"/>
      <c r="I35" s="97"/>
      <c r="J35" s="97"/>
      <c r="K35" s="283"/>
      <c r="L35" s="97"/>
      <c r="M35" s="97"/>
      <c r="N35" s="97"/>
      <c r="AF35" s="97"/>
      <c r="AG35" s="328"/>
    </row>
    <row r="36" spans="3:33" s="99" customFormat="1" x14ac:dyDescent="0.2">
      <c r="G36" s="97"/>
      <c r="H36" s="97"/>
      <c r="I36" s="97"/>
      <c r="J36" s="97"/>
      <c r="K36" s="283"/>
      <c r="L36" s="97"/>
      <c r="M36" s="97"/>
      <c r="N36" s="97"/>
      <c r="AF36" s="97"/>
      <c r="AG36" s="328"/>
    </row>
    <row r="37" spans="3:33" s="131" customFormat="1" x14ac:dyDescent="0.2">
      <c r="C37" s="329"/>
      <c r="D37" s="99"/>
      <c r="F37" s="99"/>
      <c r="G37" s="283"/>
      <c r="H37" s="97"/>
      <c r="I37" s="283"/>
      <c r="J37" s="97"/>
      <c r="K37" s="283"/>
      <c r="L37" s="97"/>
      <c r="M37" s="116"/>
      <c r="N37" s="97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F37" s="116"/>
      <c r="AG37" s="328"/>
    </row>
    <row r="38" spans="3:33" s="131" customFormat="1" x14ac:dyDescent="0.2">
      <c r="C38" s="329"/>
      <c r="D38" s="99"/>
      <c r="F38" s="99"/>
      <c r="G38" s="283"/>
      <c r="H38" s="97"/>
      <c r="I38" s="283"/>
      <c r="J38" s="97"/>
      <c r="K38" s="283"/>
      <c r="L38" s="97"/>
      <c r="M38" s="116"/>
      <c r="N38" s="97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F38" s="116"/>
      <c r="AG38" s="328"/>
    </row>
    <row r="39" spans="3:33" s="131" customFormat="1" x14ac:dyDescent="0.2">
      <c r="C39" s="329"/>
      <c r="D39" s="99"/>
      <c r="F39" s="99"/>
      <c r="G39" s="283"/>
      <c r="H39" s="97"/>
      <c r="I39" s="283"/>
      <c r="J39" s="97"/>
      <c r="K39" s="283"/>
      <c r="L39" s="97"/>
      <c r="M39" s="116"/>
      <c r="N39" s="97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F39" s="116"/>
      <c r="AG39" s="328"/>
    </row>
    <row r="40" spans="3:33" s="131" customFormat="1" x14ac:dyDescent="0.2">
      <c r="C40" s="329"/>
      <c r="D40" s="99"/>
      <c r="F40" s="99"/>
      <c r="G40" s="283"/>
      <c r="H40" s="97"/>
      <c r="I40" s="283"/>
      <c r="J40" s="97"/>
      <c r="K40" s="283"/>
      <c r="L40" s="97"/>
      <c r="M40" s="116"/>
      <c r="N40" s="97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F40" s="116"/>
      <c r="AG40" s="328"/>
    </row>
    <row r="41" spans="3:33" s="131" customFormat="1" x14ac:dyDescent="0.2">
      <c r="C41" s="329"/>
      <c r="D41" s="99"/>
      <c r="F41" s="99"/>
      <c r="G41" s="283"/>
      <c r="H41" s="97"/>
      <c r="I41" s="283"/>
      <c r="J41" s="97"/>
      <c r="K41" s="283"/>
      <c r="L41" s="97"/>
      <c r="M41" s="116"/>
      <c r="N41" s="97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F41" s="116"/>
      <c r="AG41" s="328"/>
    </row>
    <row r="42" spans="3:33" s="131" customFormat="1" x14ac:dyDescent="0.2">
      <c r="C42" s="329"/>
      <c r="D42" s="99"/>
      <c r="F42" s="99"/>
      <c r="G42" s="283"/>
      <c r="H42" s="97"/>
      <c r="I42" s="283"/>
      <c r="J42" s="97"/>
      <c r="K42" s="283"/>
      <c r="L42" s="97"/>
      <c r="M42" s="116"/>
      <c r="N42" s="97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F42" s="116"/>
      <c r="AG42" s="328"/>
    </row>
    <row r="43" spans="3:33" s="131" customFormat="1" x14ac:dyDescent="0.2">
      <c r="C43" s="329"/>
      <c r="D43" s="99"/>
      <c r="F43" s="99"/>
      <c r="G43" s="283"/>
      <c r="H43" s="97"/>
      <c r="I43" s="283"/>
      <c r="J43" s="97"/>
      <c r="K43" s="283"/>
      <c r="L43" s="97"/>
      <c r="M43" s="116"/>
      <c r="N43" s="97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F43" s="116"/>
      <c r="AG43" s="328"/>
    </row>
    <row r="44" spans="3:33" s="131" customFormat="1" x14ac:dyDescent="0.2">
      <c r="C44" s="329"/>
      <c r="D44" s="99"/>
      <c r="F44" s="99"/>
      <c r="G44" s="283"/>
      <c r="H44" s="97"/>
      <c r="I44" s="283"/>
      <c r="J44" s="97"/>
      <c r="K44" s="283"/>
      <c r="L44" s="97"/>
      <c r="M44" s="116"/>
      <c r="N44" s="97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F44" s="116"/>
      <c r="AG44" s="328"/>
    </row>
    <row r="45" spans="3:33" s="131" customFormat="1" x14ac:dyDescent="0.2">
      <c r="C45" s="329"/>
      <c r="D45" s="99"/>
      <c r="F45" s="99"/>
      <c r="G45" s="283"/>
      <c r="H45" s="97"/>
      <c r="I45" s="283"/>
      <c r="J45" s="97"/>
      <c r="K45" s="283"/>
      <c r="L45" s="97"/>
      <c r="M45" s="116"/>
      <c r="N45" s="97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F45" s="116"/>
      <c r="AG45" s="328"/>
    </row>
    <row r="46" spans="3:33" s="131" customFormat="1" x14ac:dyDescent="0.2">
      <c r="C46" s="329"/>
      <c r="D46" s="99"/>
      <c r="F46" s="99"/>
      <c r="G46" s="283"/>
      <c r="H46" s="97"/>
      <c r="I46" s="283"/>
      <c r="J46" s="97"/>
      <c r="K46" s="283"/>
      <c r="L46" s="97"/>
      <c r="M46" s="116"/>
      <c r="N46" s="97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F46" s="116"/>
      <c r="AG46" s="328"/>
    </row>
    <row r="47" spans="3:33" s="131" customFormat="1" x14ac:dyDescent="0.2">
      <c r="C47" s="329"/>
      <c r="D47" s="99"/>
      <c r="F47" s="99"/>
      <c r="G47" s="283"/>
      <c r="H47" s="97"/>
      <c r="I47" s="283"/>
      <c r="J47" s="97"/>
      <c r="K47" s="283"/>
      <c r="L47" s="97"/>
      <c r="M47" s="116"/>
      <c r="N47" s="97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F47" s="116"/>
      <c r="AG47" s="328"/>
    </row>
    <row r="48" spans="3:33" s="131" customFormat="1" x14ac:dyDescent="0.2">
      <c r="C48" s="329"/>
      <c r="D48" s="99"/>
      <c r="F48" s="99"/>
      <c r="G48" s="283"/>
      <c r="H48" s="97"/>
      <c r="I48" s="283"/>
      <c r="J48" s="97"/>
      <c r="K48" s="283"/>
      <c r="L48" s="97"/>
      <c r="M48" s="116"/>
      <c r="N48" s="97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F48" s="116"/>
      <c r="AG48" s="328"/>
    </row>
    <row r="49" spans="3:33" s="131" customFormat="1" x14ac:dyDescent="0.2">
      <c r="C49" s="329"/>
      <c r="D49" s="99"/>
      <c r="F49" s="99"/>
      <c r="G49" s="283"/>
      <c r="H49" s="97"/>
      <c r="I49" s="283"/>
      <c r="J49" s="97"/>
      <c r="K49" s="283"/>
      <c r="L49" s="97"/>
      <c r="M49" s="116"/>
      <c r="N49" s="97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F49" s="116"/>
      <c r="AG49" s="328"/>
    </row>
    <row r="50" spans="3:33" s="131" customFormat="1" x14ac:dyDescent="0.2">
      <c r="C50" s="329"/>
      <c r="D50" s="99"/>
      <c r="F50" s="99"/>
      <c r="G50" s="283"/>
      <c r="H50" s="97"/>
      <c r="I50" s="283"/>
      <c r="J50" s="97"/>
      <c r="K50" s="283"/>
      <c r="L50" s="97"/>
      <c r="M50" s="116"/>
      <c r="N50" s="97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F50" s="116"/>
      <c r="AG50" s="328"/>
    </row>
  </sheetData>
  <mergeCells count="8">
    <mergeCell ref="AD7:AD8"/>
    <mergeCell ref="A30:B30"/>
    <mergeCell ref="A31:B31"/>
    <mergeCell ref="B2:K2"/>
    <mergeCell ref="A7:A8"/>
    <mergeCell ref="B7:B8"/>
    <mergeCell ref="D7:D8"/>
    <mergeCell ref="E7:AC7"/>
  </mergeCells>
  <pageMargins left="1.0236220472440944" right="3.937007874015748E-2" top="0.74803149606299213" bottom="0.74803149606299213" header="0.31496062992125984" footer="0.31496062992125984"/>
  <pageSetup paperSize="8" scale="7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41"/>
  <sheetViews>
    <sheetView view="pageBreakPreview" zoomScaleNormal="100" zoomScaleSheetLayoutView="100" workbookViewId="0">
      <selection activeCell="K7" sqref="K7"/>
    </sheetView>
  </sheetViews>
  <sheetFormatPr defaultRowHeight="12.75" outlineLevelRow="1" x14ac:dyDescent="0.2"/>
  <cols>
    <col min="1" max="1" width="8.5703125" style="278" customWidth="1"/>
    <col min="2" max="2" width="13.42578125" style="279" customWidth="1"/>
    <col min="3" max="3" width="65.85546875" style="280" customWidth="1"/>
    <col min="4" max="4" width="6.28515625" style="281" customWidth="1"/>
    <col min="5" max="5" width="10" style="281" customWidth="1"/>
    <col min="6" max="6" width="8.85546875" style="281" customWidth="1"/>
    <col min="7" max="7" width="9.85546875" style="281" customWidth="1"/>
    <col min="8" max="8" width="13.7109375" style="281" customWidth="1"/>
    <col min="9" max="9" width="13" style="3" customWidth="1"/>
    <col min="10" max="10" width="16.140625" style="3" customWidth="1"/>
    <col min="11" max="11" width="51.85546875" style="3" customWidth="1"/>
    <col min="12" max="12" width="20.85546875" style="3" customWidth="1"/>
    <col min="13" max="13" width="11.85546875" style="4" bestFit="1" customWidth="1"/>
    <col min="14" max="14" width="9.85546875" style="4" bestFit="1" customWidth="1"/>
    <col min="15" max="15" width="10.28515625" style="4" bestFit="1" customWidth="1"/>
    <col min="16" max="16" width="9.140625" style="5"/>
    <col min="17" max="17" width="9.140625" style="6"/>
    <col min="18" max="18" width="15.42578125" style="7" customWidth="1"/>
    <col min="19" max="256" width="9.140625" style="7"/>
    <col min="257" max="257" width="8.5703125" style="7" customWidth="1"/>
    <col min="258" max="258" width="13.42578125" style="7" customWidth="1"/>
    <col min="259" max="259" width="65.85546875" style="7" customWidth="1"/>
    <col min="260" max="260" width="6.28515625" style="7" customWidth="1"/>
    <col min="261" max="261" width="10" style="7" customWidth="1"/>
    <col min="262" max="262" width="8.85546875" style="7" customWidth="1"/>
    <col min="263" max="263" width="9.85546875" style="7" customWidth="1"/>
    <col min="264" max="264" width="13.7109375" style="7" customWidth="1"/>
    <col min="265" max="265" width="13" style="7" customWidth="1"/>
    <col min="266" max="266" width="16.140625" style="7" customWidth="1"/>
    <col min="267" max="267" width="51.85546875" style="7" customWidth="1"/>
    <col min="268" max="268" width="20.85546875" style="7" customWidth="1"/>
    <col min="269" max="269" width="11.85546875" style="7" bestFit="1" customWidth="1"/>
    <col min="270" max="270" width="9.85546875" style="7" bestFit="1" customWidth="1"/>
    <col min="271" max="271" width="10.28515625" style="7" bestFit="1" customWidth="1"/>
    <col min="272" max="273" width="9.140625" style="7"/>
    <col min="274" max="274" width="15.42578125" style="7" customWidth="1"/>
    <col min="275" max="512" width="9.140625" style="7"/>
    <col min="513" max="513" width="8.5703125" style="7" customWidth="1"/>
    <col min="514" max="514" width="13.42578125" style="7" customWidth="1"/>
    <col min="515" max="515" width="65.85546875" style="7" customWidth="1"/>
    <col min="516" max="516" width="6.28515625" style="7" customWidth="1"/>
    <col min="517" max="517" width="10" style="7" customWidth="1"/>
    <col min="518" max="518" width="8.85546875" style="7" customWidth="1"/>
    <col min="519" max="519" width="9.85546875" style="7" customWidth="1"/>
    <col min="520" max="520" width="13.7109375" style="7" customWidth="1"/>
    <col min="521" max="521" width="13" style="7" customWidth="1"/>
    <col min="522" max="522" width="16.140625" style="7" customWidth="1"/>
    <col min="523" max="523" width="51.85546875" style="7" customWidth="1"/>
    <col min="524" max="524" width="20.85546875" style="7" customWidth="1"/>
    <col min="525" max="525" width="11.85546875" style="7" bestFit="1" customWidth="1"/>
    <col min="526" max="526" width="9.85546875" style="7" bestFit="1" customWidth="1"/>
    <col min="527" max="527" width="10.28515625" style="7" bestFit="1" customWidth="1"/>
    <col min="528" max="529" width="9.140625" style="7"/>
    <col min="530" max="530" width="15.42578125" style="7" customWidth="1"/>
    <col min="531" max="768" width="9.140625" style="7"/>
    <col min="769" max="769" width="8.5703125" style="7" customWidth="1"/>
    <col min="770" max="770" width="13.42578125" style="7" customWidth="1"/>
    <col min="771" max="771" width="65.85546875" style="7" customWidth="1"/>
    <col min="772" max="772" width="6.28515625" style="7" customWidth="1"/>
    <col min="773" max="773" width="10" style="7" customWidth="1"/>
    <col min="774" max="774" width="8.85546875" style="7" customWidth="1"/>
    <col min="775" max="775" width="9.85546875" style="7" customWidth="1"/>
    <col min="776" max="776" width="13.7109375" style="7" customWidth="1"/>
    <col min="777" max="777" width="13" style="7" customWidth="1"/>
    <col min="778" max="778" width="16.140625" style="7" customWidth="1"/>
    <col min="779" max="779" width="51.85546875" style="7" customWidth="1"/>
    <col min="780" max="780" width="20.85546875" style="7" customWidth="1"/>
    <col min="781" max="781" width="11.85546875" style="7" bestFit="1" customWidth="1"/>
    <col min="782" max="782" width="9.85546875" style="7" bestFit="1" customWidth="1"/>
    <col min="783" max="783" width="10.28515625" style="7" bestFit="1" customWidth="1"/>
    <col min="784" max="785" width="9.140625" style="7"/>
    <col min="786" max="786" width="15.42578125" style="7" customWidth="1"/>
    <col min="787" max="1024" width="9.140625" style="7"/>
    <col min="1025" max="1025" width="8.5703125" style="7" customWidth="1"/>
    <col min="1026" max="1026" width="13.42578125" style="7" customWidth="1"/>
    <col min="1027" max="1027" width="65.85546875" style="7" customWidth="1"/>
    <col min="1028" max="1028" width="6.28515625" style="7" customWidth="1"/>
    <col min="1029" max="1029" width="10" style="7" customWidth="1"/>
    <col min="1030" max="1030" width="8.85546875" style="7" customWidth="1"/>
    <col min="1031" max="1031" width="9.85546875" style="7" customWidth="1"/>
    <col min="1032" max="1032" width="13.7109375" style="7" customWidth="1"/>
    <col min="1033" max="1033" width="13" style="7" customWidth="1"/>
    <col min="1034" max="1034" width="16.140625" style="7" customWidth="1"/>
    <col min="1035" max="1035" width="51.85546875" style="7" customWidth="1"/>
    <col min="1036" max="1036" width="20.85546875" style="7" customWidth="1"/>
    <col min="1037" max="1037" width="11.85546875" style="7" bestFit="1" customWidth="1"/>
    <col min="1038" max="1038" width="9.85546875" style="7" bestFit="1" customWidth="1"/>
    <col min="1039" max="1039" width="10.28515625" style="7" bestFit="1" customWidth="1"/>
    <col min="1040" max="1041" width="9.140625" style="7"/>
    <col min="1042" max="1042" width="15.42578125" style="7" customWidth="1"/>
    <col min="1043" max="1280" width="9.140625" style="7"/>
    <col min="1281" max="1281" width="8.5703125" style="7" customWidth="1"/>
    <col min="1282" max="1282" width="13.42578125" style="7" customWidth="1"/>
    <col min="1283" max="1283" width="65.85546875" style="7" customWidth="1"/>
    <col min="1284" max="1284" width="6.28515625" style="7" customWidth="1"/>
    <col min="1285" max="1285" width="10" style="7" customWidth="1"/>
    <col min="1286" max="1286" width="8.85546875" style="7" customWidth="1"/>
    <col min="1287" max="1287" width="9.85546875" style="7" customWidth="1"/>
    <col min="1288" max="1288" width="13.7109375" style="7" customWidth="1"/>
    <col min="1289" max="1289" width="13" style="7" customWidth="1"/>
    <col min="1290" max="1290" width="16.140625" style="7" customWidth="1"/>
    <col min="1291" max="1291" width="51.85546875" style="7" customWidth="1"/>
    <col min="1292" max="1292" width="20.85546875" style="7" customWidth="1"/>
    <col min="1293" max="1293" width="11.85546875" style="7" bestFit="1" customWidth="1"/>
    <col min="1294" max="1294" width="9.85546875" style="7" bestFit="1" customWidth="1"/>
    <col min="1295" max="1295" width="10.28515625" style="7" bestFit="1" customWidth="1"/>
    <col min="1296" max="1297" width="9.140625" style="7"/>
    <col min="1298" max="1298" width="15.42578125" style="7" customWidth="1"/>
    <col min="1299" max="1536" width="9.140625" style="7"/>
    <col min="1537" max="1537" width="8.5703125" style="7" customWidth="1"/>
    <col min="1538" max="1538" width="13.42578125" style="7" customWidth="1"/>
    <col min="1539" max="1539" width="65.85546875" style="7" customWidth="1"/>
    <col min="1540" max="1540" width="6.28515625" style="7" customWidth="1"/>
    <col min="1541" max="1541" width="10" style="7" customWidth="1"/>
    <col min="1542" max="1542" width="8.85546875" style="7" customWidth="1"/>
    <col min="1543" max="1543" width="9.85546875" style="7" customWidth="1"/>
    <col min="1544" max="1544" width="13.7109375" style="7" customWidth="1"/>
    <col min="1545" max="1545" width="13" style="7" customWidth="1"/>
    <col min="1546" max="1546" width="16.140625" style="7" customWidth="1"/>
    <col min="1547" max="1547" width="51.85546875" style="7" customWidth="1"/>
    <col min="1548" max="1548" width="20.85546875" style="7" customWidth="1"/>
    <col min="1549" max="1549" width="11.85546875" style="7" bestFit="1" customWidth="1"/>
    <col min="1550" max="1550" width="9.85546875" style="7" bestFit="1" customWidth="1"/>
    <col min="1551" max="1551" width="10.28515625" style="7" bestFit="1" customWidth="1"/>
    <col min="1552" max="1553" width="9.140625" style="7"/>
    <col min="1554" max="1554" width="15.42578125" style="7" customWidth="1"/>
    <col min="1555" max="1792" width="9.140625" style="7"/>
    <col min="1793" max="1793" width="8.5703125" style="7" customWidth="1"/>
    <col min="1794" max="1794" width="13.42578125" style="7" customWidth="1"/>
    <col min="1795" max="1795" width="65.85546875" style="7" customWidth="1"/>
    <col min="1796" max="1796" width="6.28515625" style="7" customWidth="1"/>
    <col min="1797" max="1797" width="10" style="7" customWidth="1"/>
    <col min="1798" max="1798" width="8.85546875" style="7" customWidth="1"/>
    <col min="1799" max="1799" width="9.85546875" style="7" customWidth="1"/>
    <col min="1800" max="1800" width="13.7109375" style="7" customWidth="1"/>
    <col min="1801" max="1801" width="13" style="7" customWidth="1"/>
    <col min="1802" max="1802" width="16.140625" style="7" customWidth="1"/>
    <col min="1803" max="1803" width="51.85546875" style="7" customWidth="1"/>
    <col min="1804" max="1804" width="20.85546875" style="7" customWidth="1"/>
    <col min="1805" max="1805" width="11.85546875" style="7" bestFit="1" customWidth="1"/>
    <col min="1806" max="1806" width="9.85546875" style="7" bestFit="1" customWidth="1"/>
    <col min="1807" max="1807" width="10.28515625" style="7" bestFit="1" customWidth="1"/>
    <col min="1808" max="1809" width="9.140625" style="7"/>
    <col min="1810" max="1810" width="15.42578125" style="7" customWidth="1"/>
    <col min="1811" max="2048" width="9.140625" style="7"/>
    <col min="2049" max="2049" width="8.5703125" style="7" customWidth="1"/>
    <col min="2050" max="2050" width="13.42578125" style="7" customWidth="1"/>
    <col min="2051" max="2051" width="65.85546875" style="7" customWidth="1"/>
    <col min="2052" max="2052" width="6.28515625" style="7" customWidth="1"/>
    <col min="2053" max="2053" width="10" style="7" customWidth="1"/>
    <col min="2054" max="2054" width="8.85546875" style="7" customWidth="1"/>
    <col min="2055" max="2055" width="9.85546875" style="7" customWidth="1"/>
    <col min="2056" max="2056" width="13.7109375" style="7" customWidth="1"/>
    <col min="2057" max="2057" width="13" style="7" customWidth="1"/>
    <col min="2058" max="2058" width="16.140625" style="7" customWidth="1"/>
    <col min="2059" max="2059" width="51.85546875" style="7" customWidth="1"/>
    <col min="2060" max="2060" width="20.85546875" style="7" customWidth="1"/>
    <col min="2061" max="2061" width="11.85546875" style="7" bestFit="1" customWidth="1"/>
    <col min="2062" max="2062" width="9.85546875" style="7" bestFit="1" customWidth="1"/>
    <col min="2063" max="2063" width="10.28515625" style="7" bestFit="1" customWidth="1"/>
    <col min="2064" max="2065" width="9.140625" style="7"/>
    <col min="2066" max="2066" width="15.42578125" style="7" customWidth="1"/>
    <col min="2067" max="2304" width="9.140625" style="7"/>
    <col min="2305" max="2305" width="8.5703125" style="7" customWidth="1"/>
    <col min="2306" max="2306" width="13.42578125" style="7" customWidth="1"/>
    <col min="2307" max="2307" width="65.85546875" style="7" customWidth="1"/>
    <col min="2308" max="2308" width="6.28515625" style="7" customWidth="1"/>
    <col min="2309" max="2309" width="10" style="7" customWidth="1"/>
    <col min="2310" max="2310" width="8.85546875" style="7" customWidth="1"/>
    <col min="2311" max="2311" width="9.85546875" style="7" customWidth="1"/>
    <col min="2312" max="2312" width="13.7109375" style="7" customWidth="1"/>
    <col min="2313" max="2313" width="13" style="7" customWidth="1"/>
    <col min="2314" max="2314" width="16.140625" style="7" customWidth="1"/>
    <col min="2315" max="2315" width="51.85546875" style="7" customWidth="1"/>
    <col min="2316" max="2316" width="20.85546875" style="7" customWidth="1"/>
    <col min="2317" max="2317" width="11.85546875" style="7" bestFit="1" customWidth="1"/>
    <col min="2318" max="2318" width="9.85546875" style="7" bestFit="1" customWidth="1"/>
    <col min="2319" max="2319" width="10.28515625" style="7" bestFit="1" customWidth="1"/>
    <col min="2320" max="2321" width="9.140625" style="7"/>
    <col min="2322" max="2322" width="15.42578125" style="7" customWidth="1"/>
    <col min="2323" max="2560" width="9.140625" style="7"/>
    <col min="2561" max="2561" width="8.5703125" style="7" customWidth="1"/>
    <col min="2562" max="2562" width="13.42578125" style="7" customWidth="1"/>
    <col min="2563" max="2563" width="65.85546875" style="7" customWidth="1"/>
    <col min="2564" max="2564" width="6.28515625" style="7" customWidth="1"/>
    <col min="2565" max="2565" width="10" style="7" customWidth="1"/>
    <col min="2566" max="2566" width="8.85546875" style="7" customWidth="1"/>
    <col min="2567" max="2567" width="9.85546875" style="7" customWidth="1"/>
    <col min="2568" max="2568" width="13.7109375" style="7" customWidth="1"/>
    <col min="2569" max="2569" width="13" style="7" customWidth="1"/>
    <col min="2570" max="2570" width="16.140625" style="7" customWidth="1"/>
    <col min="2571" max="2571" width="51.85546875" style="7" customWidth="1"/>
    <col min="2572" max="2572" width="20.85546875" style="7" customWidth="1"/>
    <col min="2573" max="2573" width="11.85546875" style="7" bestFit="1" customWidth="1"/>
    <col min="2574" max="2574" width="9.85546875" style="7" bestFit="1" customWidth="1"/>
    <col min="2575" max="2575" width="10.28515625" style="7" bestFit="1" customWidth="1"/>
    <col min="2576" max="2577" width="9.140625" style="7"/>
    <col min="2578" max="2578" width="15.42578125" style="7" customWidth="1"/>
    <col min="2579" max="2816" width="9.140625" style="7"/>
    <col min="2817" max="2817" width="8.5703125" style="7" customWidth="1"/>
    <col min="2818" max="2818" width="13.42578125" style="7" customWidth="1"/>
    <col min="2819" max="2819" width="65.85546875" style="7" customWidth="1"/>
    <col min="2820" max="2820" width="6.28515625" style="7" customWidth="1"/>
    <col min="2821" max="2821" width="10" style="7" customWidth="1"/>
    <col min="2822" max="2822" width="8.85546875" style="7" customWidth="1"/>
    <col min="2823" max="2823" width="9.85546875" style="7" customWidth="1"/>
    <col min="2824" max="2824" width="13.7109375" style="7" customWidth="1"/>
    <col min="2825" max="2825" width="13" style="7" customWidth="1"/>
    <col min="2826" max="2826" width="16.140625" style="7" customWidth="1"/>
    <col min="2827" max="2827" width="51.85546875" style="7" customWidth="1"/>
    <col min="2828" max="2828" width="20.85546875" style="7" customWidth="1"/>
    <col min="2829" max="2829" width="11.85546875" style="7" bestFit="1" customWidth="1"/>
    <col min="2830" max="2830" width="9.85546875" style="7" bestFit="1" customWidth="1"/>
    <col min="2831" max="2831" width="10.28515625" style="7" bestFit="1" customWidth="1"/>
    <col min="2832" max="2833" width="9.140625" style="7"/>
    <col min="2834" max="2834" width="15.42578125" style="7" customWidth="1"/>
    <col min="2835" max="3072" width="9.140625" style="7"/>
    <col min="3073" max="3073" width="8.5703125" style="7" customWidth="1"/>
    <col min="3074" max="3074" width="13.42578125" style="7" customWidth="1"/>
    <col min="3075" max="3075" width="65.85546875" style="7" customWidth="1"/>
    <col min="3076" max="3076" width="6.28515625" style="7" customWidth="1"/>
    <col min="3077" max="3077" width="10" style="7" customWidth="1"/>
    <col min="3078" max="3078" width="8.85546875" style="7" customWidth="1"/>
    <col min="3079" max="3079" width="9.85546875" style="7" customWidth="1"/>
    <col min="3080" max="3080" width="13.7109375" style="7" customWidth="1"/>
    <col min="3081" max="3081" width="13" style="7" customWidth="1"/>
    <col min="3082" max="3082" width="16.140625" style="7" customWidth="1"/>
    <col min="3083" max="3083" width="51.85546875" style="7" customWidth="1"/>
    <col min="3084" max="3084" width="20.85546875" style="7" customWidth="1"/>
    <col min="3085" max="3085" width="11.85546875" style="7" bestFit="1" customWidth="1"/>
    <col min="3086" max="3086" width="9.85546875" style="7" bestFit="1" customWidth="1"/>
    <col min="3087" max="3087" width="10.28515625" style="7" bestFit="1" customWidth="1"/>
    <col min="3088" max="3089" width="9.140625" style="7"/>
    <col min="3090" max="3090" width="15.42578125" style="7" customWidth="1"/>
    <col min="3091" max="3328" width="9.140625" style="7"/>
    <col min="3329" max="3329" width="8.5703125" style="7" customWidth="1"/>
    <col min="3330" max="3330" width="13.42578125" style="7" customWidth="1"/>
    <col min="3331" max="3331" width="65.85546875" style="7" customWidth="1"/>
    <col min="3332" max="3332" width="6.28515625" style="7" customWidth="1"/>
    <col min="3333" max="3333" width="10" style="7" customWidth="1"/>
    <col min="3334" max="3334" width="8.85546875" style="7" customWidth="1"/>
    <col min="3335" max="3335" width="9.85546875" style="7" customWidth="1"/>
    <col min="3336" max="3336" width="13.7109375" style="7" customWidth="1"/>
    <col min="3337" max="3337" width="13" style="7" customWidth="1"/>
    <col min="3338" max="3338" width="16.140625" style="7" customWidth="1"/>
    <col min="3339" max="3339" width="51.85546875" style="7" customWidth="1"/>
    <col min="3340" max="3340" width="20.85546875" style="7" customWidth="1"/>
    <col min="3341" max="3341" width="11.85546875" style="7" bestFit="1" customWidth="1"/>
    <col min="3342" max="3342" width="9.85546875" style="7" bestFit="1" customWidth="1"/>
    <col min="3343" max="3343" width="10.28515625" style="7" bestFit="1" customWidth="1"/>
    <col min="3344" max="3345" width="9.140625" style="7"/>
    <col min="3346" max="3346" width="15.42578125" style="7" customWidth="1"/>
    <col min="3347" max="3584" width="9.140625" style="7"/>
    <col min="3585" max="3585" width="8.5703125" style="7" customWidth="1"/>
    <col min="3586" max="3586" width="13.42578125" style="7" customWidth="1"/>
    <col min="3587" max="3587" width="65.85546875" style="7" customWidth="1"/>
    <col min="3588" max="3588" width="6.28515625" style="7" customWidth="1"/>
    <col min="3589" max="3589" width="10" style="7" customWidth="1"/>
    <col min="3590" max="3590" width="8.85546875" style="7" customWidth="1"/>
    <col min="3591" max="3591" width="9.85546875" style="7" customWidth="1"/>
    <col min="3592" max="3592" width="13.7109375" style="7" customWidth="1"/>
    <col min="3593" max="3593" width="13" style="7" customWidth="1"/>
    <col min="3594" max="3594" width="16.140625" style="7" customWidth="1"/>
    <col min="3595" max="3595" width="51.85546875" style="7" customWidth="1"/>
    <col min="3596" max="3596" width="20.85546875" style="7" customWidth="1"/>
    <col min="3597" max="3597" width="11.85546875" style="7" bestFit="1" customWidth="1"/>
    <col min="3598" max="3598" width="9.85546875" style="7" bestFit="1" customWidth="1"/>
    <col min="3599" max="3599" width="10.28515625" style="7" bestFit="1" customWidth="1"/>
    <col min="3600" max="3601" width="9.140625" style="7"/>
    <col min="3602" max="3602" width="15.42578125" style="7" customWidth="1"/>
    <col min="3603" max="3840" width="9.140625" style="7"/>
    <col min="3841" max="3841" width="8.5703125" style="7" customWidth="1"/>
    <col min="3842" max="3842" width="13.42578125" style="7" customWidth="1"/>
    <col min="3843" max="3843" width="65.85546875" style="7" customWidth="1"/>
    <col min="3844" max="3844" width="6.28515625" style="7" customWidth="1"/>
    <col min="3845" max="3845" width="10" style="7" customWidth="1"/>
    <col min="3846" max="3846" width="8.85546875" style="7" customWidth="1"/>
    <col min="3847" max="3847" width="9.85546875" style="7" customWidth="1"/>
    <col min="3848" max="3848" width="13.7109375" style="7" customWidth="1"/>
    <col min="3849" max="3849" width="13" style="7" customWidth="1"/>
    <col min="3850" max="3850" width="16.140625" style="7" customWidth="1"/>
    <col min="3851" max="3851" width="51.85546875" style="7" customWidth="1"/>
    <col min="3852" max="3852" width="20.85546875" style="7" customWidth="1"/>
    <col min="3853" max="3853" width="11.85546875" style="7" bestFit="1" customWidth="1"/>
    <col min="3854" max="3854" width="9.85546875" style="7" bestFit="1" customWidth="1"/>
    <col min="3855" max="3855" width="10.28515625" style="7" bestFit="1" customWidth="1"/>
    <col min="3856" max="3857" width="9.140625" style="7"/>
    <col min="3858" max="3858" width="15.42578125" style="7" customWidth="1"/>
    <col min="3859" max="4096" width="9.140625" style="7"/>
    <col min="4097" max="4097" width="8.5703125" style="7" customWidth="1"/>
    <col min="4098" max="4098" width="13.42578125" style="7" customWidth="1"/>
    <col min="4099" max="4099" width="65.85546875" style="7" customWidth="1"/>
    <col min="4100" max="4100" width="6.28515625" style="7" customWidth="1"/>
    <col min="4101" max="4101" width="10" style="7" customWidth="1"/>
    <col min="4102" max="4102" width="8.85546875" style="7" customWidth="1"/>
    <col min="4103" max="4103" width="9.85546875" style="7" customWidth="1"/>
    <col min="4104" max="4104" width="13.7109375" style="7" customWidth="1"/>
    <col min="4105" max="4105" width="13" style="7" customWidth="1"/>
    <col min="4106" max="4106" width="16.140625" style="7" customWidth="1"/>
    <col min="4107" max="4107" width="51.85546875" style="7" customWidth="1"/>
    <col min="4108" max="4108" width="20.85546875" style="7" customWidth="1"/>
    <col min="4109" max="4109" width="11.85546875" style="7" bestFit="1" customWidth="1"/>
    <col min="4110" max="4110" width="9.85546875" style="7" bestFit="1" customWidth="1"/>
    <col min="4111" max="4111" width="10.28515625" style="7" bestFit="1" customWidth="1"/>
    <col min="4112" max="4113" width="9.140625" style="7"/>
    <col min="4114" max="4114" width="15.42578125" style="7" customWidth="1"/>
    <col min="4115" max="4352" width="9.140625" style="7"/>
    <col min="4353" max="4353" width="8.5703125" style="7" customWidth="1"/>
    <col min="4354" max="4354" width="13.42578125" style="7" customWidth="1"/>
    <col min="4355" max="4355" width="65.85546875" style="7" customWidth="1"/>
    <col min="4356" max="4356" width="6.28515625" style="7" customWidth="1"/>
    <col min="4357" max="4357" width="10" style="7" customWidth="1"/>
    <col min="4358" max="4358" width="8.85546875" style="7" customWidth="1"/>
    <col min="4359" max="4359" width="9.85546875" style="7" customWidth="1"/>
    <col min="4360" max="4360" width="13.7109375" style="7" customWidth="1"/>
    <col min="4361" max="4361" width="13" style="7" customWidth="1"/>
    <col min="4362" max="4362" width="16.140625" style="7" customWidth="1"/>
    <col min="4363" max="4363" width="51.85546875" style="7" customWidth="1"/>
    <col min="4364" max="4364" width="20.85546875" style="7" customWidth="1"/>
    <col min="4365" max="4365" width="11.85546875" style="7" bestFit="1" customWidth="1"/>
    <col min="4366" max="4366" width="9.85546875" style="7" bestFit="1" customWidth="1"/>
    <col min="4367" max="4367" width="10.28515625" style="7" bestFit="1" customWidth="1"/>
    <col min="4368" max="4369" width="9.140625" style="7"/>
    <col min="4370" max="4370" width="15.42578125" style="7" customWidth="1"/>
    <col min="4371" max="4608" width="9.140625" style="7"/>
    <col min="4609" max="4609" width="8.5703125" style="7" customWidth="1"/>
    <col min="4610" max="4610" width="13.42578125" style="7" customWidth="1"/>
    <col min="4611" max="4611" width="65.85546875" style="7" customWidth="1"/>
    <col min="4612" max="4612" width="6.28515625" style="7" customWidth="1"/>
    <col min="4613" max="4613" width="10" style="7" customWidth="1"/>
    <col min="4614" max="4614" width="8.85546875" style="7" customWidth="1"/>
    <col min="4615" max="4615" width="9.85546875" style="7" customWidth="1"/>
    <col min="4616" max="4616" width="13.7109375" style="7" customWidth="1"/>
    <col min="4617" max="4617" width="13" style="7" customWidth="1"/>
    <col min="4618" max="4618" width="16.140625" style="7" customWidth="1"/>
    <col min="4619" max="4619" width="51.85546875" style="7" customWidth="1"/>
    <col min="4620" max="4620" width="20.85546875" style="7" customWidth="1"/>
    <col min="4621" max="4621" width="11.85546875" style="7" bestFit="1" customWidth="1"/>
    <col min="4622" max="4622" width="9.85546875" style="7" bestFit="1" customWidth="1"/>
    <col min="4623" max="4623" width="10.28515625" style="7" bestFit="1" customWidth="1"/>
    <col min="4624" max="4625" width="9.140625" style="7"/>
    <col min="4626" max="4626" width="15.42578125" style="7" customWidth="1"/>
    <col min="4627" max="4864" width="9.140625" style="7"/>
    <col min="4865" max="4865" width="8.5703125" style="7" customWidth="1"/>
    <col min="4866" max="4866" width="13.42578125" style="7" customWidth="1"/>
    <col min="4867" max="4867" width="65.85546875" style="7" customWidth="1"/>
    <col min="4868" max="4868" width="6.28515625" style="7" customWidth="1"/>
    <col min="4869" max="4869" width="10" style="7" customWidth="1"/>
    <col min="4870" max="4870" width="8.85546875" style="7" customWidth="1"/>
    <col min="4871" max="4871" width="9.85546875" style="7" customWidth="1"/>
    <col min="4872" max="4872" width="13.7109375" style="7" customWidth="1"/>
    <col min="4873" max="4873" width="13" style="7" customWidth="1"/>
    <col min="4874" max="4874" width="16.140625" style="7" customWidth="1"/>
    <col min="4875" max="4875" width="51.85546875" style="7" customWidth="1"/>
    <col min="4876" max="4876" width="20.85546875" style="7" customWidth="1"/>
    <col min="4877" max="4877" width="11.85546875" style="7" bestFit="1" customWidth="1"/>
    <col min="4878" max="4878" width="9.85546875" style="7" bestFit="1" customWidth="1"/>
    <col min="4879" max="4879" width="10.28515625" style="7" bestFit="1" customWidth="1"/>
    <col min="4880" max="4881" width="9.140625" style="7"/>
    <col min="4882" max="4882" width="15.42578125" style="7" customWidth="1"/>
    <col min="4883" max="5120" width="9.140625" style="7"/>
    <col min="5121" max="5121" width="8.5703125" style="7" customWidth="1"/>
    <col min="5122" max="5122" width="13.42578125" style="7" customWidth="1"/>
    <col min="5123" max="5123" width="65.85546875" style="7" customWidth="1"/>
    <col min="5124" max="5124" width="6.28515625" style="7" customWidth="1"/>
    <col min="5125" max="5125" width="10" style="7" customWidth="1"/>
    <col min="5126" max="5126" width="8.85546875" style="7" customWidth="1"/>
    <col min="5127" max="5127" width="9.85546875" style="7" customWidth="1"/>
    <col min="5128" max="5128" width="13.7109375" style="7" customWidth="1"/>
    <col min="5129" max="5129" width="13" style="7" customWidth="1"/>
    <col min="5130" max="5130" width="16.140625" style="7" customWidth="1"/>
    <col min="5131" max="5131" width="51.85546875" style="7" customWidth="1"/>
    <col min="5132" max="5132" width="20.85546875" style="7" customWidth="1"/>
    <col min="5133" max="5133" width="11.85546875" style="7" bestFit="1" customWidth="1"/>
    <col min="5134" max="5134" width="9.85546875" style="7" bestFit="1" customWidth="1"/>
    <col min="5135" max="5135" width="10.28515625" style="7" bestFit="1" customWidth="1"/>
    <col min="5136" max="5137" width="9.140625" style="7"/>
    <col min="5138" max="5138" width="15.42578125" style="7" customWidth="1"/>
    <col min="5139" max="5376" width="9.140625" style="7"/>
    <col min="5377" max="5377" width="8.5703125" style="7" customWidth="1"/>
    <col min="5378" max="5378" width="13.42578125" style="7" customWidth="1"/>
    <col min="5379" max="5379" width="65.85546875" style="7" customWidth="1"/>
    <col min="5380" max="5380" width="6.28515625" style="7" customWidth="1"/>
    <col min="5381" max="5381" width="10" style="7" customWidth="1"/>
    <col min="5382" max="5382" width="8.85546875" style="7" customWidth="1"/>
    <col min="5383" max="5383" width="9.85546875" style="7" customWidth="1"/>
    <col min="5384" max="5384" width="13.7109375" style="7" customWidth="1"/>
    <col min="5385" max="5385" width="13" style="7" customWidth="1"/>
    <col min="5386" max="5386" width="16.140625" style="7" customWidth="1"/>
    <col min="5387" max="5387" width="51.85546875" style="7" customWidth="1"/>
    <col min="5388" max="5388" width="20.85546875" style="7" customWidth="1"/>
    <col min="5389" max="5389" width="11.85546875" style="7" bestFit="1" customWidth="1"/>
    <col min="5390" max="5390" width="9.85546875" style="7" bestFit="1" customWidth="1"/>
    <col min="5391" max="5391" width="10.28515625" style="7" bestFit="1" customWidth="1"/>
    <col min="5392" max="5393" width="9.140625" style="7"/>
    <col min="5394" max="5394" width="15.42578125" style="7" customWidth="1"/>
    <col min="5395" max="5632" width="9.140625" style="7"/>
    <col min="5633" max="5633" width="8.5703125" style="7" customWidth="1"/>
    <col min="5634" max="5634" width="13.42578125" style="7" customWidth="1"/>
    <col min="5635" max="5635" width="65.85546875" style="7" customWidth="1"/>
    <col min="5636" max="5636" width="6.28515625" style="7" customWidth="1"/>
    <col min="5637" max="5637" width="10" style="7" customWidth="1"/>
    <col min="5638" max="5638" width="8.85546875" style="7" customWidth="1"/>
    <col min="5639" max="5639" width="9.85546875" style="7" customWidth="1"/>
    <col min="5640" max="5640" width="13.7109375" style="7" customWidth="1"/>
    <col min="5641" max="5641" width="13" style="7" customWidth="1"/>
    <col min="5642" max="5642" width="16.140625" style="7" customWidth="1"/>
    <col min="5643" max="5643" width="51.85546875" style="7" customWidth="1"/>
    <col min="5644" max="5644" width="20.85546875" style="7" customWidth="1"/>
    <col min="5645" max="5645" width="11.85546875" style="7" bestFit="1" customWidth="1"/>
    <col min="5646" max="5646" width="9.85546875" style="7" bestFit="1" customWidth="1"/>
    <col min="5647" max="5647" width="10.28515625" style="7" bestFit="1" customWidth="1"/>
    <col min="5648" max="5649" width="9.140625" style="7"/>
    <col min="5650" max="5650" width="15.42578125" style="7" customWidth="1"/>
    <col min="5651" max="5888" width="9.140625" style="7"/>
    <col min="5889" max="5889" width="8.5703125" style="7" customWidth="1"/>
    <col min="5890" max="5890" width="13.42578125" style="7" customWidth="1"/>
    <col min="5891" max="5891" width="65.85546875" style="7" customWidth="1"/>
    <col min="5892" max="5892" width="6.28515625" style="7" customWidth="1"/>
    <col min="5893" max="5893" width="10" style="7" customWidth="1"/>
    <col min="5894" max="5894" width="8.85546875" style="7" customWidth="1"/>
    <col min="5895" max="5895" width="9.85546875" style="7" customWidth="1"/>
    <col min="5896" max="5896" width="13.7109375" style="7" customWidth="1"/>
    <col min="5897" max="5897" width="13" style="7" customWidth="1"/>
    <col min="5898" max="5898" width="16.140625" style="7" customWidth="1"/>
    <col min="5899" max="5899" width="51.85546875" style="7" customWidth="1"/>
    <col min="5900" max="5900" width="20.85546875" style="7" customWidth="1"/>
    <col min="5901" max="5901" width="11.85546875" style="7" bestFit="1" customWidth="1"/>
    <col min="5902" max="5902" width="9.85546875" style="7" bestFit="1" customWidth="1"/>
    <col min="5903" max="5903" width="10.28515625" style="7" bestFit="1" customWidth="1"/>
    <col min="5904" max="5905" width="9.140625" style="7"/>
    <col min="5906" max="5906" width="15.42578125" style="7" customWidth="1"/>
    <col min="5907" max="6144" width="9.140625" style="7"/>
    <col min="6145" max="6145" width="8.5703125" style="7" customWidth="1"/>
    <col min="6146" max="6146" width="13.42578125" style="7" customWidth="1"/>
    <col min="6147" max="6147" width="65.85546875" style="7" customWidth="1"/>
    <col min="6148" max="6148" width="6.28515625" style="7" customWidth="1"/>
    <col min="6149" max="6149" width="10" style="7" customWidth="1"/>
    <col min="6150" max="6150" width="8.85546875" style="7" customWidth="1"/>
    <col min="6151" max="6151" width="9.85546875" style="7" customWidth="1"/>
    <col min="6152" max="6152" width="13.7109375" style="7" customWidth="1"/>
    <col min="6153" max="6153" width="13" style="7" customWidth="1"/>
    <col min="6154" max="6154" width="16.140625" style="7" customWidth="1"/>
    <col min="6155" max="6155" width="51.85546875" style="7" customWidth="1"/>
    <col min="6156" max="6156" width="20.85546875" style="7" customWidth="1"/>
    <col min="6157" max="6157" width="11.85546875" style="7" bestFit="1" customWidth="1"/>
    <col min="6158" max="6158" width="9.85546875" style="7" bestFit="1" customWidth="1"/>
    <col min="6159" max="6159" width="10.28515625" style="7" bestFit="1" customWidth="1"/>
    <col min="6160" max="6161" width="9.140625" style="7"/>
    <col min="6162" max="6162" width="15.42578125" style="7" customWidth="1"/>
    <col min="6163" max="6400" width="9.140625" style="7"/>
    <col min="6401" max="6401" width="8.5703125" style="7" customWidth="1"/>
    <col min="6402" max="6402" width="13.42578125" style="7" customWidth="1"/>
    <col min="6403" max="6403" width="65.85546875" style="7" customWidth="1"/>
    <col min="6404" max="6404" width="6.28515625" style="7" customWidth="1"/>
    <col min="6405" max="6405" width="10" style="7" customWidth="1"/>
    <col min="6406" max="6406" width="8.85546875" style="7" customWidth="1"/>
    <col min="6407" max="6407" width="9.85546875" style="7" customWidth="1"/>
    <col min="6408" max="6408" width="13.7109375" style="7" customWidth="1"/>
    <col min="6409" max="6409" width="13" style="7" customWidth="1"/>
    <col min="6410" max="6410" width="16.140625" style="7" customWidth="1"/>
    <col min="6411" max="6411" width="51.85546875" style="7" customWidth="1"/>
    <col min="6412" max="6412" width="20.85546875" style="7" customWidth="1"/>
    <col min="6413" max="6413" width="11.85546875" style="7" bestFit="1" customWidth="1"/>
    <col min="6414" max="6414" width="9.85546875" style="7" bestFit="1" customWidth="1"/>
    <col min="6415" max="6415" width="10.28515625" style="7" bestFit="1" customWidth="1"/>
    <col min="6416" max="6417" width="9.140625" style="7"/>
    <col min="6418" max="6418" width="15.42578125" style="7" customWidth="1"/>
    <col min="6419" max="6656" width="9.140625" style="7"/>
    <col min="6657" max="6657" width="8.5703125" style="7" customWidth="1"/>
    <col min="6658" max="6658" width="13.42578125" style="7" customWidth="1"/>
    <col min="6659" max="6659" width="65.85546875" style="7" customWidth="1"/>
    <col min="6660" max="6660" width="6.28515625" style="7" customWidth="1"/>
    <col min="6661" max="6661" width="10" style="7" customWidth="1"/>
    <col min="6662" max="6662" width="8.85546875" style="7" customWidth="1"/>
    <col min="6663" max="6663" width="9.85546875" style="7" customWidth="1"/>
    <col min="6664" max="6664" width="13.7109375" style="7" customWidth="1"/>
    <col min="6665" max="6665" width="13" style="7" customWidth="1"/>
    <col min="6666" max="6666" width="16.140625" style="7" customWidth="1"/>
    <col min="6667" max="6667" width="51.85546875" style="7" customWidth="1"/>
    <col min="6668" max="6668" width="20.85546875" style="7" customWidth="1"/>
    <col min="6669" max="6669" width="11.85546875" style="7" bestFit="1" customWidth="1"/>
    <col min="6670" max="6670" width="9.85546875" style="7" bestFit="1" customWidth="1"/>
    <col min="6671" max="6671" width="10.28515625" style="7" bestFit="1" customWidth="1"/>
    <col min="6672" max="6673" width="9.140625" style="7"/>
    <col min="6674" max="6674" width="15.42578125" style="7" customWidth="1"/>
    <col min="6675" max="6912" width="9.140625" style="7"/>
    <col min="6913" max="6913" width="8.5703125" style="7" customWidth="1"/>
    <col min="6914" max="6914" width="13.42578125" style="7" customWidth="1"/>
    <col min="6915" max="6915" width="65.85546875" style="7" customWidth="1"/>
    <col min="6916" max="6916" width="6.28515625" style="7" customWidth="1"/>
    <col min="6917" max="6917" width="10" style="7" customWidth="1"/>
    <col min="6918" max="6918" width="8.85546875" style="7" customWidth="1"/>
    <col min="6919" max="6919" width="9.85546875" style="7" customWidth="1"/>
    <col min="6920" max="6920" width="13.7109375" style="7" customWidth="1"/>
    <col min="6921" max="6921" width="13" style="7" customWidth="1"/>
    <col min="6922" max="6922" width="16.140625" style="7" customWidth="1"/>
    <col min="6923" max="6923" width="51.85546875" style="7" customWidth="1"/>
    <col min="6924" max="6924" width="20.85546875" style="7" customWidth="1"/>
    <col min="6925" max="6925" width="11.85546875" style="7" bestFit="1" customWidth="1"/>
    <col min="6926" max="6926" width="9.85546875" style="7" bestFit="1" customWidth="1"/>
    <col min="6927" max="6927" width="10.28515625" style="7" bestFit="1" customWidth="1"/>
    <col min="6928" max="6929" width="9.140625" style="7"/>
    <col min="6930" max="6930" width="15.42578125" style="7" customWidth="1"/>
    <col min="6931" max="7168" width="9.140625" style="7"/>
    <col min="7169" max="7169" width="8.5703125" style="7" customWidth="1"/>
    <col min="7170" max="7170" width="13.42578125" style="7" customWidth="1"/>
    <col min="7171" max="7171" width="65.85546875" style="7" customWidth="1"/>
    <col min="7172" max="7172" width="6.28515625" style="7" customWidth="1"/>
    <col min="7173" max="7173" width="10" style="7" customWidth="1"/>
    <col min="7174" max="7174" width="8.85546875" style="7" customWidth="1"/>
    <col min="7175" max="7175" width="9.85546875" style="7" customWidth="1"/>
    <col min="7176" max="7176" width="13.7109375" style="7" customWidth="1"/>
    <col min="7177" max="7177" width="13" style="7" customWidth="1"/>
    <col min="7178" max="7178" width="16.140625" style="7" customWidth="1"/>
    <col min="7179" max="7179" width="51.85546875" style="7" customWidth="1"/>
    <col min="7180" max="7180" width="20.85546875" style="7" customWidth="1"/>
    <col min="7181" max="7181" width="11.85546875" style="7" bestFit="1" customWidth="1"/>
    <col min="7182" max="7182" width="9.85546875" style="7" bestFit="1" customWidth="1"/>
    <col min="7183" max="7183" width="10.28515625" style="7" bestFit="1" customWidth="1"/>
    <col min="7184" max="7185" width="9.140625" style="7"/>
    <col min="7186" max="7186" width="15.42578125" style="7" customWidth="1"/>
    <col min="7187" max="7424" width="9.140625" style="7"/>
    <col min="7425" max="7425" width="8.5703125" style="7" customWidth="1"/>
    <col min="7426" max="7426" width="13.42578125" style="7" customWidth="1"/>
    <col min="7427" max="7427" width="65.85546875" style="7" customWidth="1"/>
    <col min="7428" max="7428" width="6.28515625" style="7" customWidth="1"/>
    <col min="7429" max="7429" width="10" style="7" customWidth="1"/>
    <col min="7430" max="7430" width="8.85546875" style="7" customWidth="1"/>
    <col min="7431" max="7431" width="9.85546875" style="7" customWidth="1"/>
    <col min="7432" max="7432" width="13.7109375" style="7" customWidth="1"/>
    <col min="7433" max="7433" width="13" style="7" customWidth="1"/>
    <col min="7434" max="7434" width="16.140625" style="7" customWidth="1"/>
    <col min="7435" max="7435" width="51.85546875" style="7" customWidth="1"/>
    <col min="7436" max="7436" width="20.85546875" style="7" customWidth="1"/>
    <col min="7437" max="7437" width="11.85546875" style="7" bestFit="1" customWidth="1"/>
    <col min="7438" max="7438" width="9.85546875" style="7" bestFit="1" customWidth="1"/>
    <col min="7439" max="7439" width="10.28515625" style="7" bestFit="1" customWidth="1"/>
    <col min="7440" max="7441" width="9.140625" style="7"/>
    <col min="7442" max="7442" width="15.42578125" style="7" customWidth="1"/>
    <col min="7443" max="7680" width="9.140625" style="7"/>
    <col min="7681" max="7681" width="8.5703125" style="7" customWidth="1"/>
    <col min="7682" max="7682" width="13.42578125" style="7" customWidth="1"/>
    <col min="7683" max="7683" width="65.85546875" style="7" customWidth="1"/>
    <col min="7684" max="7684" width="6.28515625" style="7" customWidth="1"/>
    <col min="7685" max="7685" width="10" style="7" customWidth="1"/>
    <col min="7686" max="7686" width="8.85546875" style="7" customWidth="1"/>
    <col min="7687" max="7687" width="9.85546875" style="7" customWidth="1"/>
    <col min="7688" max="7688" width="13.7109375" style="7" customWidth="1"/>
    <col min="7689" max="7689" width="13" style="7" customWidth="1"/>
    <col min="7690" max="7690" width="16.140625" style="7" customWidth="1"/>
    <col min="7691" max="7691" width="51.85546875" style="7" customWidth="1"/>
    <col min="7692" max="7692" width="20.85546875" style="7" customWidth="1"/>
    <col min="7693" max="7693" width="11.85546875" style="7" bestFit="1" customWidth="1"/>
    <col min="7694" max="7694" width="9.85546875" style="7" bestFit="1" customWidth="1"/>
    <col min="7695" max="7695" width="10.28515625" style="7" bestFit="1" customWidth="1"/>
    <col min="7696" max="7697" width="9.140625" style="7"/>
    <col min="7698" max="7698" width="15.42578125" style="7" customWidth="1"/>
    <col min="7699" max="7936" width="9.140625" style="7"/>
    <col min="7937" max="7937" width="8.5703125" style="7" customWidth="1"/>
    <col min="7938" max="7938" width="13.42578125" style="7" customWidth="1"/>
    <col min="7939" max="7939" width="65.85546875" style="7" customWidth="1"/>
    <col min="7940" max="7940" width="6.28515625" style="7" customWidth="1"/>
    <col min="7941" max="7941" width="10" style="7" customWidth="1"/>
    <col min="7942" max="7942" width="8.85546875" style="7" customWidth="1"/>
    <col min="7943" max="7943" width="9.85546875" style="7" customWidth="1"/>
    <col min="7944" max="7944" width="13.7109375" style="7" customWidth="1"/>
    <col min="7945" max="7945" width="13" style="7" customWidth="1"/>
    <col min="7946" max="7946" width="16.140625" style="7" customWidth="1"/>
    <col min="7947" max="7947" width="51.85546875" style="7" customWidth="1"/>
    <col min="7948" max="7948" width="20.85546875" style="7" customWidth="1"/>
    <col min="7949" max="7949" width="11.85546875" style="7" bestFit="1" customWidth="1"/>
    <col min="7950" max="7950" width="9.85546875" style="7" bestFit="1" customWidth="1"/>
    <col min="7951" max="7951" width="10.28515625" style="7" bestFit="1" customWidth="1"/>
    <col min="7952" max="7953" width="9.140625" style="7"/>
    <col min="7954" max="7954" width="15.42578125" style="7" customWidth="1"/>
    <col min="7955" max="8192" width="9.140625" style="7"/>
    <col min="8193" max="8193" width="8.5703125" style="7" customWidth="1"/>
    <col min="8194" max="8194" width="13.42578125" style="7" customWidth="1"/>
    <col min="8195" max="8195" width="65.85546875" style="7" customWidth="1"/>
    <col min="8196" max="8196" width="6.28515625" style="7" customWidth="1"/>
    <col min="8197" max="8197" width="10" style="7" customWidth="1"/>
    <col min="8198" max="8198" width="8.85546875" style="7" customWidth="1"/>
    <col min="8199" max="8199" width="9.85546875" style="7" customWidth="1"/>
    <col min="8200" max="8200" width="13.7109375" style="7" customWidth="1"/>
    <col min="8201" max="8201" width="13" style="7" customWidth="1"/>
    <col min="8202" max="8202" width="16.140625" style="7" customWidth="1"/>
    <col min="8203" max="8203" width="51.85546875" style="7" customWidth="1"/>
    <col min="8204" max="8204" width="20.85546875" style="7" customWidth="1"/>
    <col min="8205" max="8205" width="11.85546875" style="7" bestFit="1" customWidth="1"/>
    <col min="8206" max="8206" width="9.85546875" style="7" bestFit="1" customWidth="1"/>
    <col min="8207" max="8207" width="10.28515625" style="7" bestFit="1" customWidth="1"/>
    <col min="8208" max="8209" width="9.140625" style="7"/>
    <col min="8210" max="8210" width="15.42578125" style="7" customWidth="1"/>
    <col min="8211" max="8448" width="9.140625" style="7"/>
    <col min="8449" max="8449" width="8.5703125" style="7" customWidth="1"/>
    <col min="8450" max="8450" width="13.42578125" style="7" customWidth="1"/>
    <col min="8451" max="8451" width="65.85546875" style="7" customWidth="1"/>
    <col min="8452" max="8452" width="6.28515625" style="7" customWidth="1"/>
    <col min="8453" max="8453" width="10" style="7" customWidth="1"/>
    <col min="8454" max="8454" width="8.85546875" style="7" customWidth="1"/>
    <col min="8455" max="8455" width="9.85546875" style="7" customWidth="1"/>
    <col min="8456" max="8456" width="13.7109375" style="7" customWidth="1"/>
    <col min="8457" max="8457" width="13" style="7" customWidth="1"/>
    <col min="8458" max="8458" width="16.140625" style="7" customWidth="1"/>
    <col min="8459" max="8459" width="51.85546875" style="7" customWidth="1"/>
    <col min="8460" max="8460" width="20.85546875" style="7" customWidth="1"/>
    <col min="8461" max="8461" width="11.85546875" style="7" bestFit="1" customWidth="1"/>
    <col min="8462" max="8462" width="9.85546875" style="7" bestFit="1" customWidth="1"/>
    <col min="8463" max="8463" width="10.28515625" style="7" bestFit="1" customWidth="1"/>
    <col min="8464" max="8465" width="9.140625" style="7"/>
    <col min="8466" max="8466" width="15.42578125" style="7" customWidth="1"/>
    <col min="8467" max="8704" width="9.140625" style="7"/>
    <col min="8705" max="8705" width="8.5703125" style="7" customWidth="1"/>
    <col min="8706" max="8706" width="13.42578125" style="7" customWidth="1"/>
    <col min="8707" max="8707" width="65.85546875" style="7" customWidth="1"/>
    <col min="8708" max="8708" width="6.28515625" style="7" customWidth="1"/>
    <col min="8709" max="8709" width="10" style="7" customWidth="1"/>
    <col min="8710" max="8710" width="8.85546875" style="7" customWidth="1"/>
    <col min="8711" max="8711" width="9.85546875" style="7" customWidth="1"/>
    <col min="8712" max="8712" width="13.7109375" style="7" customWidth="1"/>
    <col min="8713" max="8713" width="13" style="7" customWidth="1"/>
    <col min="8714" max="8714" width="16.140625" style="7" customWidth="1"/>
    <col min="8715" max="8715" width="51.85546875" style="7" customWidth="1"/>
    <col min="8716" max="8716" width="20.85546875" style="7" customWidth="1"/>
    <col min="8717" max="8717" width="11.85546875" style="7" bestFit="1" customWidth="1"/>
    <col min="8718" max="8718" width="9.85546875" style="7" bestFit="1" customWidth="1"/>
    <col min="8719" max="8719" width="10.28515625" style="7" bestFit="1" customWidth="1"/>
    <col min="8720" max="8721" width="9.140625" style="7"/>
    <col min="8722" max="8722" width="15.42578125" style="7" customWidth="1"/>
    <col min="8723" max="8960" width="9.140625" style="7"/>
    <col min="8961" max="8961" width="8.5703125" style="7" customWidth="1"/>
    <col min="8962" max="8962" width="13.42578125" style="7" customWidth="1"/>
    <col min="8963" max="8963" width="65.85546875" style="7" customWidth="1"/>
    <col min="8964" max="8964" width="6.28515625" style="7" customWidth="1"/>
    <col min="8965" max="8965" width="10" style="7" customWidth="1"/>
    <col min="8966" max="8966" width="8.85546875" style="7" customWidth="1"/>
    <col min="8967" max="8967" width="9.85546875" style="7" customWidth="1"/>
    <col min="8968" max="8968" width="13.7109375" style="7" customWidth="1"/>
    <col min="8969" max="8969" width="13" style="7" customWidth="1"/>
    <col min="8970" max="8970" width="16.140625" style="7" customWidth="1"/>
    <col min="8971" max="8971" width="51.85546875" style="7" customWidth="1"/>
    <col min="8972" max="8972" width="20.85546875" style="7" customWidth="1"/>
    <col min="8973" max="8973" width="11.85546875" style="7" bestFit="1" customWidth="1"/>
    <col min="8974" max="8974" width="9.85546875" style="7" bestFit="1" customWidth="1"/>
    <col min="8975" max="8975" width="10.28515625" style="7" bestFit="1" customWidth="1"/>
    <col min="8976" max="8977" width="9.140625" style="7"/>
    <col min="8978" max="8978" width="15.42578125" style="7" customWidth="1"/>
    <col min="8979" max="9216" width="9.140625" style="7"/>
    <col min="9217" max="9217" width="8.5703125" style="7" customWidth="1"/>
    <col min="9218" max="9218" width="13.42578125" style="7" customWidth="1"/>
    <col min="9219" max="9219" width="65.85546875" style="7" customWidth="1"/>
    <col min="9220" max="9220" width="6.28515625" style="7" customWidth="1"/>
    <col min="9221" max="9221" width="10" style="7" customWidth="1"/>
    <col min="9222" max="9222" width="8.85546875" style="7" customWidth="1"/>
    <col min="9223" max="9223" width="9.85546875" style="7" customWidth="1"/>
    <col min="9224" max="9224" width="13.7109375" style="7" customWidth="1"/>
    <col min="9225" max="9225" width="13" style="7" customWidth="1"/>
    <col min="9226" max="9226" width="16.140625" style="7" customWidth="1"/>
    <col min="9227" max="9227" width="51.85546875" style="7" customWidth="1"/>
    <col min="9228" max="9228" width="20.85546875" style="7" customWidth="1"/>
    <col min="9229" max="9229" width="11.85546875" style="7" bestFit="1" customWidth="1"/>
    <col min="9230" max="9230" width="9.85546875" style="7" bestFit="1" customWidth="1"/>
    <col min="9231" max="9231" width="10.28515625" style="7" bestFit="1" customWidth="1"/>
    <col min="9232" max="9233" width="9.140625" style="7"/>
    <col min="9234" max="9234" width="15.42578125" style="7" customWidth="1"/>
    <col min="9235" max="9472" width="9.140625" style="7"/>
    <col min="9473" max="9473" width="8.5703125" style="7" customWidth="1"/>
    <col min="9474" max="9474" width="13.42578125" style="7" customWidth="1"/>
    <col min="9475" max="9475" width="65.85546875" style="7" customWidth="1"/>
    <col min="9476" max="9476" width="6.28515625" style="7" customWidth="1"/>
    <col min="9477" max="9477" width="10" style="7" customWidth="1"/>
    <col min="9478" max="9478" width="8.85546875" style="7" customWidth="1"/>
    <col min="9479" max="9479" width="9.85546875" style="7" customWidth="1"/>
    <col min="9480" max="9480" width="13.7109375" style="7" customWidth="1"/>
    <col min="9481" max="9481" width="13" style="7" customWidth="1"/>
    <col min="9482" max="9482" width="16.140625" style="7" customWidth="1"/>
    <col min="9483" max="9483" width="51.85546875" style="7" customWidth="1"/>
    <col min="9484" max="9484" width="20.85546875" style="7" customWidth="1"/>
    <col min="9485" max="9485" width="11.85546875" style="7" bestFit="1" customWidth="1"/>
    <col min="9486" max="9486" width="9.85546875" style="7" bestFit="1" customWidth="1"/>
    <col min="9487" max="9487" width="10.28515625" style="7" bestFit="1" customWidth="1"/>
    <col min="9488" max="9489" width="9.140625" style="7"/>
    <col min="9490" max="9490" width="15.42578125" style="7" customWidth="1"/>
    <col min="9491" max="9728" width="9.140625" style="7"/>
    <col min="9729" max="9729" width="8.5703125" style="7" customWidth="1"/>
    <col min="9730" max="9730" width="13.42578125" style="7" customWidth="1"/>
    <col min="9731" max="9731" width="65.85546875" style="7" customWidth="1"/>
    <col min="9732" max="9732" width="6.28515625" style="7" customWidth="1"/>
    <col min="9733" max="9733" width="10" style="7" customWidth="1"/>
    <col min="9734" max="9734" width="8.85546875" style="7" customWidth="1"/>
    <col min="9735" max="9735" width="9.85546875" style="7" customWidth="1"/>
    <col min="9736" max="9736" width="13.7109375" style="7" customWidth="1"/>
    <col min="9737" max="9737" width="13" style="7" customWidth="1"/>
    <col min="9738" max="9738" width="16.140625" style="7" customWidth="1"/>
    <col min="9739" max="9739" width="51.85546875" style="7" customWidth="1"/>
    <col min="9740" max="9740" width="20.85546875" style="7" customWidth="1"/>
    <col min="9741" max="9741" width="11.85546875" style="7" bestFit="1" customWidth="1"/>
    <col min="9742" max="9742" width="9.85546875" style="7" bestFit="1" customWidth="1"/>
    <col min="9743" max="9743" width="10.28515625" style="7" bestFit="1" customWidth="1"/>
    <col min="9744" max="9745" width="9.140625" style="7"/>
    <col min="9746" max="9746" width="15.42578125" style="7" customWidth="1"/>
    <col min="9747" max="9984" width="9.140625" style="7"/>
    <col min="9985" max="9985" width="8.5703125" style="7" customWidth="1"/>
    <col min="9986" max="9986" width="13.42578125" style="7" customWidth="1"/>
    <col min="9987" max="9987" width="65.85546875" style="7" customWidth="1"/>
    <col min="9988" max="9988" width="6.28515625" style="7" customWidth="1"/>
    <col min="9989" max="9989" width="10" style="7" customWidth="1"/>
    <col min="9990" max="9990" width="8.85546875" style="7" customWidth="1"/>
    <col min="9991" max="9991" width="9.85546875" style="7" customWidth="1"/>
    <col min="9992" max="9992" width="13.7109375" style="7" customWidth="1"/>
    <col min="9993" max="9993" width="13" style="7" customWidth="1"/>
    <col min="9994" max="9994" width="16.140625" style="7" customWidth="1"/>
    <col min="9995" max="9995" width="51.85546875" style="7" customWidth="1"/>
    <col min="9996" max="9996" width="20.85546875" style="7" customWidth="1"/>
    <col min="9997" max="9997" width="11.85546875" style="7" bestFit="1" customWidth="1"/>
    <col min="9998" max="9998" width="9.85546875" style="7" bestFit="1" customWidth="1"/>
    <col min="9999" max="9999" width="10.28515625" style="7" bestFit="1" customWidth="1"/>
    <col min="10000" max="10001" width="9.140625" style="7"/>
    <col min="10002" max="10002" width="15.42578125" style="7" customWidth="1"/>
    <col min="10003" max="10240" width="9.140625" style="7"/>
    <col min="10241" max="10241" width="8.5703125" style="7" customWidth="1"/>
    <col min="10242" max="10242" width="13.42578125" style="7" customWidth="1"/>
    <col min="10243" max="10243" width="65.85546875" style="7" customWidth="1"/>
    <col min="10244" max="10244" width="6.28515625" style="7" customWidth="1"/>
    <col min="10245" max="10245" width="10" style="7" customWidth="1"/>
    <col min="10246" max="10246" width="8.85546875" style="7" customWidth="1"/>
    <col min="10247" max="10247" width="9.85546875" style="7" customWidth="1"/>
    <col min="10248" max="10248" width="13.7109375" style="7" customWidth="1"/>
    <col min="10249" max="10249" width="13" style="7" customWidth="1"/>
    <col min="10250" max="10250" width="16.140625" style="7" customWidth="1"/>
    <col min="10251" max="10251" width="51.85546875" style="7" customWidth="1"/>
    <col min="10252" max="10252" width="20.85546875" style="7" customWidth="1"/>
    <col min="10253" max="10253" width="11.85546875" style="7" bestFit="1" customWidth="1"/>
    <col min="10254" max="10254" width="9.85546875" style="7" bestFit="1" customWidth="1"/>
    <col min="10255" max="10255" width="10.28515625" style="7" bestFit="1" customWidth="1"/>
    <col min="10256" max="10257" width="9.140625" style="7"/>
    <col min="10258" max="10258" width="15.42578125" style="7" customWidth="1"/>
    <col min="10259" max="10496" width="9.140625" style="7"/>
    <col min="10497" max="10497" width="8.5703125" style="7" customWidth="1"/>
    <col min="10498" max="10498" width="13.42578125" style="7" customWidth="1"/>
    <col min="10499" max="10499" width="65.85546875" style="7" customWidth="1"/>
    <col min="10500" max="10500" width="6.28515625" style="7" customWidth="1"/>
    <col min="10501" max="10501" width="10" style="7" customWidth="1"/>
    <col min="10502" max="10502" width="8.85546875" style="7" customWidth="1"/>
    <col min="10503" max="10503" width="9.85546875" style="7" customWidth="1"/>
    <col min="10504" max="10504" width="13.7109375" style="7" customWidth="1"/>
    <col min="10505" max="10505" width="13" style="7" customWidth="1"/>
    <col min="10506" max="10506" width="16.140625" style="7" customWidth="1"/>
    <col min="10507" max="10507" width="51.85546875" style="7" customWidth="1"/>
    <col min="10508" max="10508" width="20.85546875" style="7" customWidth="1"/>
    <col min="10509" max="10509" width="11.85546875" style="7" bestFit="1" customWidth="1"/>
    <col min="10510" max="10510" width="9.85546875" style="7" bestFit="1" customWidth="1"/>
    <col min="10511" max="10511" width="10.28515625" style="7" bestFit="1" customWidth="1"/>
    <col min="10512" max="10513" width="9.140625" style="7"/>
    <col min="10514" max="10514" width="15.42578125" style="7" customWidth="1"/>
    <col min="10515" max="10752" width="9.140625" style="7"/>
    <col min="10753" max="10753" width="8.5703125" style="7" customWidth="1"/>
    <col min="10754" max="10754" width="13.42578125" style="7" customWidth="1"/>
    <col min="10755" max="10755" width="65.85546875" style="7" customWidth="1"/>
    <col min="10756" max="10756" width="6.28515625" style="7" customWidth="1"/>
    <col min="10757" max="10757" width="10" style="7" customWidth="1"/>
    <col min="10758" max="10758" width="8.85546875" style="7" customWidth="1"/>
    <col min="10759" max="10759" width="9.85546875" style="7" customWidth="1"/>
    <col min="10760" max="10760" width="13.7109375" style="7" customWidth="1"/>
    <col min="10761" max="10761" width="13" style="7" customWidth="1"/>
    <col min="10762" max="10762" width="16.140625" style="7" customWidth="1"/>
    <col min="10763" max="10763" width="51.85546875" style="7" customWidth="1"/>
    <col min="10764" max="10764" width="20.85546875" style="7" customWidth="1"/>
    <col min="10765" max="10765" width="11.85546875" style="7" bestFit="1" customWidth="1"/>
    <col min="10766" max="10766" width="9.85546875" style="7" bestFit="1" customWidth="1"/>
    <col min="10767" max="10767" width="10.28515625" style="7" bestFit="1" customWidth="1"/>
    <col min="10768" max="10769" width="9.140625" style="7"/>
    <col min="10770" max="10770" width="15.42578125" style="7" customWidth="1"/>
    <col min="10771" max="11008" width="9.140625" style="7"/>
    <col min="11009" max="11009" width="8.5703125" style="7" customWidth="1"/>
    <col min="11010" max="11010" width="13.42578125" style="7" customWidth="1"/>
    <col min="11011" max="11011" width="65.85546875" style="7" customWidth="1"/>
    <col min="11012" max="11012" width="6.28515625" style="7" customWidth="1"/>
    <col min="11013" max="11013" width="10" style="7" customWidth="1"/>
    <col min="11014" max="11014" width="8.85546875" style="7" customWidth="1"/>
    <col min="11015" max="11015" width="9.85546875" style="7" customWidth="1"/>
    <col min="11016" max="11016" width="13.7109375" style="7" customWidth="1"/>
    <col min="11017" max="11017" width="13" style="7" customWidth="1"/>
    <col min="11018" max="11018" width="16.140625" style="7" customWidth="1"/>
    <col min="11019" max="11019" width="51.85546875" style="7" customWidth="1"/>
    <col min="11020" max="11020" width="20.85546875" style="7" customWidth="1"/>
    <col min="11021" max="11021" width="11.85546875" style="7" bestFit="1" customWidth="1"/>
    <col min="11022" max="11022" width="9.85546875" style="7" bestFit="1" customWidth="1"/>
    <col min="11023" max="11023" width="10.28515625" style="7" bestFit="1" customWidth="1"/>
    <col min="11024" max="11025" width="9.140625" style="7"/>
    <col min="11026" max="11026" width="15.42578125" style="7" customWidth="1"/>
    <col min="11027" max="11264" width="9.140625" style="7"/>
    <col min="11265" max="11265" width="8.5703125" style="7" customWidth="1"/>
    <col min="11266" max="11266" width="13.42578125" style="7" customWidth="1"/>
    <col min="11267" max="11267" width="65.85546875" style="7" customWidth="1"/>
    <col min="11268" max="11268" width="6.28515625" style="7" customWidth="1"/>
    <col min="11269" max="11269" width="10" style="7" customWidth="1"/>
    <col min="11270" max="11270" width="8.85546875" style="7" customWidth="1"/>
    <col min="11271" max="11271" width="9.85546875" style="7" customWidth="1"/>
    <col min="11272" max="11272" width="13.7109375" style="7" customWidth="1"/>
    <col min="11273" max="11273" width="13" style="7" customWidth="1"/>
    <col min="11274" max="11274" width="16.140625" style="7" customWidth="1"/>
    <col min="11275" max="11275" width="51.85546875" style="7" customWidth="1"/>
    <col min="11276" max="11276" width="20.85546875" style="7" customWidth="1"/>
    <col min="11277" max="11277" width="11.85546875" style="7" bestFit="1" customWidth="1"/>
    <col min="11278" max="11278" width="9.85546875" style="7" bestFit="1" customWidth="1"/>
    <col min="11279" max="11279" width="10.28515625" style="7" bestFit="1" customWidth="1"/>
    <col min="11280" max="11281" width="9.140625" style="7"/>
    <col min="11282" max="11282" width="15.42578125" style="7" customWidth="1"/>
    <col min="11283" max="11520" width="9.140625" style="7"/>
    <col min="11521" max="11521" width="8.5703125" style="7" customWidth="1"/>
    <col min="11522" max="11522" width="13.42578125" style="7" customWidth="1"/>
    <col min="11523" max="11523" width="65.85546875" style="7" customWidth="1"/>
    <col min="11524" max="11524" width="6.28515625" style="7" customWidth="1"/>
    <col min="11525" max="11525" width="10" style="7" customWidth="1"/>
    <col min="11526" max="11526" width="8.85546875" style="7" customWidth="1"/>
    <col min="11527" max="11527" width="9.85546875" style="7" customWidth="1"/>
    <col min="11528" max="11528" width="13.7109375" style="7" customWidth="1"/>
    <col min="11529" max="11529" width="13" style="7" customWidth="1"/>
    <col min="11530" max="11530" width="16.140625" style="7" customWidth="1"/>
    <col min="11531" max="11531" width="51.85546875" style="7" customWidth="1"/>
    <col min="11532" max="11532" width="20.85546875" style="7" customWidth="1"/>
    <col min="11533" max="11533" width="11.85546875" style="7" bestFit="1" customWidth="1"/>
    <col min="11534" max="11534" width="9.85546875" style="7" bestFit="1" customWidth="1"/>
    <col min="11535" max="11535" width="10.28515625" style="7" bestFit="1" customWidth="1"/>
    <col min="11536" max="11537" width="9.140625" style="7"/>
    <col min="11538" max="11538" width="15.42578125" style="7" customWidth="1"/>
    <col min="11539" max="11776" width="9.140625" style="7"/>
    <col min="11777" max="11777" width="8.5703125" style="7" customWidth="1"/>
    <col min="11778" max="11778" width="13.42578125" style="7" customWidth="1"/>
    <col min="11779" max="11779" width="65.85546875" style="7" customWidth="1"/>
    <col min="11780" max="11780" width="6.28515625" style="7" customWidth="1"/>
    <col min="11781" max="11781" width="10" style="7" customWidth="1"/>
    <col min="11782" max="11782" width="8.85546875" style="7" customWidth="1"/>
    <col min="11783" max="11783" width="9.85546875" style="7" customWidth="1"/>
    <col min="11784" max="11784" width="13.7109375" style="7" customWidth="1"/>
    <col min="11785" max="11785" width="13" style="7" customWidth="1"/>
    <col min="11786" max="11786" width="16.140625" style="7" customWidth="1"/>
    <col min="11787" max="11787" width="51.85546875" style="7" customWidth="1"/>
    <col min="11788" max="11788" width="20.85546875" style="7" customWidth="1"/>
    <col min="11789" max="11789" width="11.85546875" style="7" bestFit="1" customWidth="1"/>
    <col min="11790" max="11790" width="9.85546875" style="7" bestFit="1" customWidth="1"/>
    <col min="11791" max="11791" width="10.28515625" style="7" bestFit="1" customWidth="1"/>
    <col min="11792" max="11793" width="9.140625" style="7"/>
    <col min="11794" max="11794" width="15.42578125" style="7" customWidth="1"/>
    <col min="11795" max="12032" width="9.140625" style="7"/>
    <col min="12033" max="12033" width="8.5703125" style="7" customWidth="1"/>
    <col min="12034" max="12034" width="13.42578125" style="7" customWidth="1"/>
    <col min="12035" max="12035" width="65.85546875" style="7" customWidth="1"/>
    <col min="12036" max="12036" width="6.28515625" style="7" customWidth="1"/>
    <col min="12037" max="12037" width="10" style="7" customWidth="1"/>
    <col min="12038" max="12038" width="8.85546875" style="7" customWidth="1"/>
    <col min="12039" max="12039" width="9.85546875" style="7" customWidth="1"/>
    <col min="12040" max="12040" width="13.7109375" style="7" customWidth="1"/>
    <col min="12041" max="12041" width="13" style="7" customWidth="1"/>
    <col min="12042" max="12042" width="16.140625" style="7" customWidth="1"/>
    <col min="12043" max="12043" width="51.85546875" style="7" customWidth="1"/>
    <col min="12044" max="12044" width="20.85546875" style="7" customWidth="1"/>
    <col min="12045" max="12045" width="11.85546875" style="7" bestFit="1" customWidth="1"/>
    <col min="12046" max="12046" width="9.85546875" style="7" bestFit="1" customWidth="1"/>
    <col min="12047" max="12047" width="10.28515625" style="7" bestFit="1" customWidth="1"/>
    <col min="12048" max="12049" width="9.140625" style="7"/>
    <col min="12050" max="12050" width="15.42578125" style="7" customWidth="1"/>
    <col min="12051" max="12288" width="9.140625" style="7"/>
    <col min="12289" max="12289" width="8.5703125" style="7" customWidth="1"/>
    <col min="12290" max="12290" width="13.42578125" style="7" customWidth="1"/>
    <col min="12291" max="12291" width="65.85546875" style="7" customWidth="1"/>
    <col min="12292" max="12292" width="6.28515625" style="7" customWidth="1"/>
    <col min="12293" max="12293" width="10" style="7" customWidth="1"/>
    <col min="12294" max="12294" width="8.85546875" style="7" customWidth="1"/>
    <col min="12295" max="12295" width="9.85546875" style="7" customWidth="1"/>
    <col min="12296" max="12296" width="13.7109375" style="7" customWidth="1"/>
    <col min="12297" max="12297" width="13" style="7" customWidth="1"/>
    <col min="12298" max="12298" width="16.140625" style="7" customWidth="1"/>
    <col min="12299" max="12299" width="51.85546875" style="7" customWidth="1"/>
    <col min="12300" max="12300" width="20.85546875" style="7" customWidth="1"/>
    <col min="12301" max="12301" width="11.85546875" style="7" bestFit="1" customWidth="1"/>
    <col min="12302" max="12302" width="9.85546875" style="7" bestFit="1" customWidth="1"/>
    <col min="12303" max="12303" width="10.28515625" style="7" bestFit="1" customWidth="1"/>
    <col min="12304" max="12305" width="9.140625" style="7"/>
    <col min="12306" max="12306" width="15.42578125" style="7" customWidth="1"/>
    <col min="12307" max="12544" width="9.140625" style="7"/>
    <col min="12545" max="12545" width="8.5703125" style="7" customWidth="1"/>
    <col min="12546" max="12546" width="13.42578125" style="7" customWidth="1"/>
    <col min="12547" max="12547" width="65.85546875" style="7" customWidth="1"/>
    <col min="12548" max="12548" width="6.28515625" style="7" customWidth="1"/>
    <col min="12549" max="12549" width="10" style="7" customWidth="1"/>
    <col min="12550" max="12550" width="8.85546875" style="7" customWidth="1"/>
    <col min="12551" max="12551" width="9.85546875" style="7" customWidth="1"/>
    <col min="12552" max="12552" width="13.7109375" style="7" customWidth="1"/>
    <col min="12553" max="12553" width="13" style="7" customWidth="1"/>
    <col min="12554" max="12554" width="16.140625" style="7" customWidth="1"/>
    <col min="12555" max="12555" width="51.85546875" style="7" customWidth="1"/>
    <col min="12556" max="12556" width="20.85546875" style="7" customWidth="1"/>
    <col min="12557" max="12557" width="11.85546875" style="7" bestFit="1" customWidth="1"/>
    <col min="12558" max="12558" width="9.85546875" style="7" bestFit="1" customWidth="1"/>
    <col min="12559" max="12559" width="10.28515625" style="7" bestFit="1" customWidth="1"/>
    <col min="12560" max="12561" width="9.140625" style="7"/>
    <col min="12562" max="12562" width="15.42578125" style="7" customWidth="1"/>
    <col min="12563" max="12800" width="9.140625" style="7"/>
    <col min="12801" max="12801" width="8.5703125" style="7" customWidth="1"/>
    <col min="12802" max="12802" width="13.42578125" style="7" customWidth="1"/>
    <col min="12803" max="12803" width="65.85546875" style="7" customWidth="1"/>
    <col min="12804" max="12804" width="6.28515625" style="7" customWidth="1"/>
    <col min="12805" max="12805" width="10" style="7" customWidth="1"/>
    <col min="12806" max="12806" width="8.85546875" style="7" customWidth="1"/>
    <col min="12807" max="12807" width="9.85546875" style="7" customWidth="1"/>
    <col min="12808" max="12808" width="13.7109375" style="7" customWidth="1"/>
    <col min="12809" max="12809" width="13" style="7" customWidth="1"/>
    <col min="12810" max="12810" width="16.140625" style="7" customWidth="1"/>
    <col min="12811" max="12811" width="51.85546875" style="7" customWidth="1"/>
    <col min="12812" max="12812" width="20.85546875" style="7" customWidth="1"/>
    <col min="12813" max="12813" width="11.85546875" style="7" bestFit="1" customWidth="1"/>
    <col min="12814" max="12814" width="9.85546875" style="7" bestFit="1" customWidth="1"/>
    <col min="12815" max="12815" width="10.28515625" style="7" bestFit="1" customWidth="1"/>
    <col min="12816" max="12817" width="9.140625" style="7"/>
    <col min="12818" max="12818" width="15.42578125" style="7" customWidth="1"/>
    <col min="12819" max="13056" width="9.140625" style="7"/>
    <col min="13057" max="13057" width="8.5703125" style="7" customWidth="1"/>
    <col min="13058" max="13058" width="13.42578125" style="7" customWidth="1"/>
    <col min="13059" max="13059" width="65.85546875" style="7" customWidth="1"/>
    <col min="13060" max="13060" width="6.28515625" style="7" customWidth="1"/>
    <col min="13061" max="13061" width="10" style="7" customWidth="1"/>
    <col min="13062" max="13062" width="8.85546875" style="7" customWidth="1"/>
    <col min="13063" max="13063" width="9.85546875" style="7" customWidth="1"/>
    <col min="13064" max="13064" width="13.7109375" style="7" customWidth="1"/>
    <col min="13065" max="13065" width="13" style="7" customWidth="1"/>
    <col min="13066" max="13066" width="16.140625" style="7" customWidth="1"/>
    <col min="13067" max="13067" width="51.85546875" style="7" customWidth="1"/>
    <col min="13068" max="13068" width="20.85546875" style="7" customWidth="1"/>
    <col min="13069" max="13069" width="11.85546875" style="7" bestFit="1" customWidth="1"/>
    <col min="13070" max="13070" width="9.85546875" style="7" bestFit="1" customWidth="1"/>
    <col min="13071" max="13071" width="10.28515625" style="7" bestFit="1" customWidth="1"/>
    <col min="13072" max="13073" width="9.140625" style="7"/>
    <col min="13074" max="13074" width="15.42578125" style="7" customWidth="1"/>
    <col min="13075" max="13312" width="9.140625" style="7"/>
    <col min="13313" max="13313" width="8.5703125" style="7" customWidth="1"/>
    <col min="13314" max="13314" width="13.42578125" style="7" customWidth="1"/>
    <col min="13315" max="13315" width="65.85546875" style="7" customWidth="1"/>
    <col min="13316" max="13316" width="6.28515625" style="7" customWidth="1"/>
    <col min="13317" max="13317" width="10" style="7" customWidth="1"/>
    <col min="13318" max="13318" width="8.85546875" style="7" customWidth="1"/>
    <col min="13319" max="13319" width="9.85546875" style="7" customWidth="1"/>
    <col min="13320" max="13320" width="13.7109375" style="7" customWidth="1"/>
    <col min="13321" max="13321" width="13" style="7" customWidth="1"/>
    <col min="13322" max="13322" width="16.140625" style="7" customWidth="1"/>
    <col min="13323" max="13323" width="51.85546875" style="7" customWidth="1"/>
    <col min="13324" max="13324" width="20.85546875" style="7" customWidth="1"/>
    <col min="13325" max="13325" width="11.85546875" style="7" bestFit="1" customWidth="1"/>
    <col min="13326" max="13326" width="9.85546875" style="7" bestFit="1" customWidth="1"/>
    <col min="13327" max="13327" width="10.28515625" style="7" bestFit="1" customWidth="1"/>
    <col min="13328" max="13329" width="9.140625" style="7"/>
    <col min="13330" max="13330" width="15.42578125" style="7" customWidth="1"/>
    <col min="13331" max="13568" width="9.140625" style="7"/>
    <col min="13569" max="13569" width="8.5703125" style="7" customWidth="1"/>
    <col min="13570" max="13570" width="13.42578125" style="7" customWidth="1"/>
    <col min="13571" max="13571" width="65.85546875" style="7" customWidth="1"/>
    <col min="13572" max="13572" width="6.28515625" style="7" customWidth="1"/>
    <col min="13573" max="13573" width="10" style="7" customWidth="1"/>
    <col min="13574" max="13574" width="8.85546875" style="7" customWidth="1"/>
    <col min="13575" max="13575" width="9.85546875" style="7" customWidth="1"/>
    <col min="13576" max="13576" width="13.7109375" style="7" customWidth="1"/>
    <col min="13577" max="13577" width="13" style="7" customWidth="1"/>
    <col min="13578" max="13578" width="16.140625" style="7" customWidth="1"/>
    <col min="13579" max="13579" width="51.85546875" style="7" customWidth="1"/>
    <col min="13580" max="13580" width="20.85546875" style="7" customWidth="1"/>
    <col min="13581" max="13581" width="11.85546875" style="7" bestFit="1" customWidth="1"/>
    <col min="13582" max="13582" width="9.85546875" style="7" bestFit="1" customWidth="1"/>
    <col min="13583" max="13583" width="10.28515625" style="7" bestFit="1" customWidth="1"/>
    <col min="13584" max="13585" width="9.140625" style="7"/>
    <col min="13586" max="13586" width="15.42578125" style="7" customWidth="1"/>
    <col min="13587" max="13824" width="9.140625" style="7"/>
    <col min="13825" max="13825" width="8.5703125" style="7" customWidth="1"/>
    <col min="13826" max="13826" width="13.42578125" style="7" customWidth="1"/>
    <col min="13827" max="13827" width="65.85546875" style="7" customWidth="1"/>
    <col min="13828" max="13828" width="6.28515625" style="7" customWidth="1"/>
    <col min="13829" max="13829" width="10" style="7" customWidth="1"/>
    <col min="13830" max="13830" width="8.85546875" style="7" customWidth="1"/>
    <col min="13831" max="13831" width="9.85546875" style="7" customWidth="1"/>
    <col min="13832" max="13832" width="13.7109375" style="7" customWidth="1"/>
    <col min="13833" max="13833" width="13" style="7" customWidth="1"/>
    <col min="13834" max="13834" width="16.140625" style="7" customWidth="1"/>
    <col min="13835" max="13835" width="51.85546875" style="7" customWidth="1"/>
    <col min="13836" max="13836" width="20.85546875" style="7" customWidth="1"/>
    <col min="13837" max="13837" width="11.85546875" style="7" bestFit="1" customWidth="1"/>
    <col min="13838" max="13838" width="9.85546875" style="7" bestFit="1" customWidth="1"/>
    <col min="13839" max="13839" width="10.28515625" style="7" bestFit="1" customWidth="1"/>
    <col min="13840" max="13841" width="9.140625" style="7"/>
    <col min="13842" max="13842" width="15.42578125" style="7" customWidth="1"/>
    <col min="13843" max="14080" width="9.140625" style="7"/>
    <col min="14081" max="14081" width="8.5703125" style="7" customWidth="1"/>
    <col min="14082" max="14082" width="13.42578125" style="7" customWidth="1"/>
    <col min="14083" max="14083" width="65.85546875" style="7" customWidth="1"/>
    <col min="14084" max="14084" width="6.28515625" style="7" customWidth="1"/>
    <col min="14085" max="14085" width="10" style="7" customWidth="1"/>
    <col min="14086" max="14086" width="8.85546875" style="7" customWidth="1"/>
    <col min="14087" max="14087" width="9.85546875" style="7" customWidth="1"/>
    <col min="14088" max="14088" width="13.7109375" style="7" customWidth="1"/>
    <col min="14089" max="14089" width="13" style="7" customWidth="1"/>
    <col min="14090" max="14090" width="16.140625" style="7" customWidth="1"/>
    <col min="14091" max="14091" width="51.85546875" style="7" customWidth="1"/>
    <col min="14092" max="14092" width="20.85546875" style="7" customWidth="1"/>
    <col min="14093" max="14093" width="11.85546875" style="7" bestFit="1" customWidth="1"/>
    <col min="14094" max="14094" width="9.85546875" style="7" bestFit="1" customWidth="1"/>
    <col min="14095" max="14095" width="10.28515625" style="7" bestFit="1" customWidth="1"/>
    <col min="14096" max="14097" width="9.140625" style="7"/>
    <col min="14098" max="14098" width="15.42578125" style="7" customWidth="1"/>
    <col min="14099" max="14336" width="9.140625" style="7"/>
    <col min="14337" max="14337" width="8.5703125" style="7" customWidth="1"/>
    <col min="14338" max="14338" width="13.42578125" style="7" customWidth="1"/>
    <col min="14339" max="14339" width="65.85546875" style="7" customWidth="1"/>
    <col min="14340" max="14340" width="6.28515625" style="7" customWidth="1"/>
    <col min="14341" max="14341" width="10" style="7" customWidth="1"/>
    <col min="14342" max="14342" width="8.85546875" style="7" customWidth="1"/>
    <col min="14343" max="14343" width="9.85546875" style="7" customWidth="1"/>
    <col min="14344" max="14344" width="13.7109375" style="7" customWidth="1"/>
    <col min="14345" max="14345" width="13" style="7" customWidth="1"/>
    <col min="14346" max="14346" width="16.140625" style="7" customWidth="1"/>
    <col min="14347" max="14347" width="51.85546875" style="7" customWidth="1"/>
    <col min="14348" max="14348" width="20.85546875" style="7" customWidth="1"/>
    <col min="14349" max="14349" width="11.85546875" style="7" bestFit="1" customWidth="1"/>
    <col min="14350" max="14350" width="9.85546875" style="7" bestFit="1" customWidth="1"/>
    <col min="14351" max="14351" width="10.28515625" style="7" bestFit="1" customWidth="1"/>
    <col min="14352" max="14353" width="9.140625" style="7"/>
    <col min="14354" max="14354" width="15.42578125" style="7" customWidth="1"/>
    <col min="14355" max="14592" width="9.140625" style="7"/>
    <col min="14593" max="14593" width="8.5703125" style="7" customWidth="1"/>
    <col min="14594" max="14594" width="13.42578125" style="7" customWidth="1"/>
    <col min="14595" max="14595" width="65.85546875" style="7" customWidth="1"/>
    <col min="14596" max="14596" width="6.28515625" style="7" customWidth="1"/>
    <col min="14597" max="14597" width="10" style="7" customWidth="1"/>
    <col min="14598" max="14598" width="8.85546875" style="7" customWidth="1"/>
    <col min="14599" max="14599" width="9.85546875" style="7" customWidth="1"/>
    <col min="14600" max="14600" width="13.7109375" style="7" customWidth="1"/>
    <col min="14601" max="14601" width="13" style="7" customWidth="1"/>
    <col min="14602" max="14602" width="16.140625" style="7" customWidth="1"/>
    <col min="14603" max="14603" width="51.85546875" style="7" customWidth="1"/>
    <col min="14604" max="14604" width="20.85546875" style="7" customWidth="1"/>
    <col min="14605" max="14605" width="11.85546875" style="7" bestFit="1" customWidth="1"/>
    <col min="14606" max="14606" width="9.85546875" style="7" bestFit="1" customWidth="1"/>
    <col min="14607" max="14607" width="10.28515625" style="7" bestFit="1" customWidth="1"/>
    <col min="14608" max="14609" width="9.140625" style="7"/>
    <col min="14610" max="14610" width="15.42578125" style="7" customWidth="1"/>
    <col min="14611" max="14848" width="9.140625" style="7"/>
    <col min="14849" max="14849" width="8.5703125" style="7" customWidth="1"/>
    <col min="14850" max="14850" width="13.42578125" style="7" customWidth="1"/>
    <col min="14851" max="14851" width="65.85546875" style="7" customWidth="1"/>
    <col min="14852" max="14852" width="6.28515625" style="7" customWidth="1"/>
    <col min="14853" max="14853" width="10" style="7" customWidth="1"/>
    <col min="14854" max="14854" width="8.85546875" style="7" customWidth="1"/>
    <col min="14855" max="14855" width="9.85546875" style="7" customWidth="1"/>
    <col min="14856" max="14856" width="13.7109375" style="7" customWidth="1"/>
    <col min="14857" max="14857" width="13" style="7" customWidth="1"/>
    <col min="14858" max="14858" width="16.140625" style="7" customWidth="1"/>
    <col min="14859" max="14859" width="51.85546875" style="7" customWidth="1"/>
    <col min="14860" max="14860" width="20.85546875" style="7" customWidth="1"/>
    <col min="14861" max="14861" width="11.85546875" style="7" bestFit="1" customWidth="1"/>
    <col min="14862" max="14862" width="9.85546875" style="7" bestFit="1" customWidth="1"/>
    <col min="14863" max="14863" width="10.28515625" style="7" bestFit="1" customWidth="1"/>
    <col min="14864" max="14865" width="9.140625" style="7"/>
    <col min="14866" max="14866" width="15.42578125" style="7" customWidth="1"/>
    <col min="14867" max="15104" width="9.140625" style="7"/>
    <col min="15105" max="15105" width="8.5703125" style="7" customWidth="1"/>
    <col min="15106" max="15106" width="13.42578125" style="7" customWidth="1"/>
    <col min="15107" max="15107" width="65.85546875" style="7" customWidth="1"/>
    <col min="15108" max="15108" width="6.28515625" style="7" customWidth="1"/>
    <col min="15109" max="15109" width="10" style="7" customWidth="1"/>
    <col min="15110" max="15110" width="8.85546875" style="7" customWidth="1"/>
    <col min="15111" max="15111" width="9.85546875" style="7" customWidth="1"/>
    <col min="15112" max="15112" width="13.7109375" style="7" customWidth="1"/>
    <col min="15113" max="15113" width="13" style="7" customWidth="1"/>
    <col min="15114" max="15114" width="16.140625" style="7" customWidth="1"/>
    <col min="15115" max="15115" width="51.85546875" style="7" customWidth="1"/>
    <col min="15116" max="15116" width="20.85546875" style="7" customWidth="1"/>
    <col min="15117" max="15117" width="11.85546875" style="7" bestFit="1" customWidth="1"/>
    <col min="15118" max="15118" width="9.85546875" style="7" bestFit="1" customWidth="1"/>
    <col min="15119" max="15119" width="10.28515625" style="7" bestFit="1" customWidth="1"/>
    <col min="15120" max="15121" width="9.140625" style="7"/>
    <col min="15122" max="15122" width="15.42578125" style="7" customWidth="1"/>
    <col min="15123" max="15360" width="9.140625" style="7"/>
    <col min="15361" max="15361" width="8.5703125" style="7" customWidth="1"/>
    <col min="15362" max="15362" width="13.42578125" style="7" customWidth="1"/>
    <col min="15363" max="15363" width="65.85546875" style="7" customWidth="1"/>
    <col min="15364" max="15364" width="6.28515625" style="7" customWidth="1"/>
    <col min="15365" max="15365" width="10" style="7" customWidth="1"/>
    <col min="15366" max="15366" width="8.85546875" style="7" customWidth="1"/>
    <col min="15367" max="15367" width="9.85546875" style="7" customWidth="1"/>
    <col min="15368" max="15368" width="13.7109375" style="7" customWidth="1"/>
    <col min="15369" max="15369" width="13" style="7" customWidth="1"/>
    <col min="15370" max="15370" width="16.140625" style="7" customWidth="1"/>
    <col min="15371" max="15371" width="51.85546875" style="7" customWidth="1"/>
    <col min="15372" max="15372" width="20.85546875" style="7" customWidth="1"/>
    <col min="15373" max="15373" width="11.85546875" style="7" bestFit="1" customWidth="1"/>
    <col min="15374" max="15374" width="9.85546875" style="7" bestFit="1" customWidth="1"/>
    <col min="15375" max="15375" width="10.28515625" style="7" bestFit="1" customWidth="1"/>
    <col min="15376" max="15377" width="9.140625" style="7"/>
    <col min="15378" max="15378" width="15.42578125" style="7" customWidth="1"/>
    <col min="15379" max="15616" width="9.140625" style="7"/>
    <col min="15617" max="15617" width="8.5703125" style="7" customWidth="1"/>
    <col min="15618" max="15618" width="13.42578125" style="7" customWidth="1"/>
    <col min="15619" max="15619" width="65.85546875" style="7" customWidth="1"/>
    <col min="15620" max="15620" width="6.28515625" style="7" customWidth="1"/>
    <col min="15621" max="15621" width="10" style="7" customWidth="1"/>
    <col min="15622" max="15622" width="8.85546875" style="7" customWidth="1"/>
    <col min="15623" max="15623" width="9.85546875" style="7" customWidth="1"/>
    <col min="15624" max="15624" width="13.7109375" style="7" customWidth="1"/>
    <col min="15625" max="15625" width="13" style="7" customWidth="1"/>
    <col min="15626" max="15626" width="16.140625" style="7" customWidth="1"/>
    <col min="15627" max="15627" width="51.85546875" style="7" customWidth="1"/>
    <col min="15628" max="15628" width="20.85546875" style="7" customWidth="1"/>
    <col min="15629" max="15629" width="11.85546875" style="7" bestFit="1" customWidth="1"/>
    <col min="15630" max="15630" width="9.85546875" style="7" bestFit="1" customWidth="1"/>
    <col min="15631" max="15631" width="10.28515625" style="7" bestFit="1" customWidth="1"/>
    <col min="15632" max="15633" width="9.140625" style="7"/>
    <col min="15634" max="15634" width="15.42578125" style="7" customWidth="1"/>
    <col min="15635" max="15872" width="9.140625" style="7"/>
    <col min="15873" max="15873" width="8.5703125" style="7" customWidth="1"/>
    <col min="15874" max="15874" width="13.42578125" style="7" customWidth="1"/>
    <col min="15875" max="15875" width="65.85546875" style="7" customWidth="1"/>
    <col min="15876" max="15876" width="6.28515625" style="7" customWidth="1"/>
    <col min="15877" max="15877" width="10" style="7" customWidth="1"/>
    <col min="15878" max="15878" width="8.85546875" style="7" customWidth="1"/>
    <col min="15879" max="15879" width="9.85546875" style="7" customWidth="1"/>
    <col min="15880" max="15880" width="13.7109375" style="7" customWidth="1"/>
    <col min="15881" max="15881" width="13" style="7" customWidth="1"/>
    <col min="15882" max="15882" width="16.140625" style="7" customWidth="1"/>
    <col min="15883" max="15883" width="51.85546875" style="7" customWidth="1"/>
    <col min="15884" max="15884" width="20.85546875" style="7" customWidth="1"/>
    <col min="15885" max="15885" width="11.85546875" style="7" bestFit="1" customWidth="1"/>
    <col min="15886" max="15886" width="9.85546875" style="7" bestFit="1" customWidth="1"/>
    <col min="15887" max="15887" width="10.28515625" style="7" bestFit="1" customWidth="1"/>
    <col min="15888" max="15889" width="9.140625" style="7"/>
    <col min="15890" max="15890" width="15.42578125" style="7" customWidth="1"/>
    <col min="15891" max="16128" width="9.140625" style="7"/>
    <col min="16129" max="16129" width="8.5703125" style="7" customWidth="1"/>
    <col min="16130" max="16130" width="13.42578125" style="7" customWidth="1"/>
    <col min="16131" max="16131" width="65.85546875" style="7" customWidth="1"/>
    <col min="16132" max="16132" width="6.28515625" style="7" customWidth="1"/>
    <col min="16133" max="16133" width="10" style="7" customWidth="1"/>
    <col min="16134" max="16134" width="8.85546875" style="7" customWidth="1"/>
    <col min="16135" max="16135" width="9.85546875" style="7" customWidth="1"/>
    <col min="16136" max="16136" width="13.7109375" style="7" customWidth="1"/>
    <col min="16137" max="16137" width="13" style="7" customWidth="1"/>
    <col min="16138" max="16138" width="16.140625" style="7" customWidth="1"/>
    <col min="16139" max="16139" width="51.85546875" style="7" customWidth="1"/>
    <col min="16140" max="16140" width="20.85546875" style="7" customWidth="1"/>
    <col min="16141" max="16141" width="11.85546875" style="7" bestFit="1" customWidth="1"/>
    <col min="16142" max="16142" width="9.85546875" style="7" bestFit="1" customWidth="1"/>
    <col min="16143" max="16143" width="10.28515625" style="7" bestFit="1" customWidth="1"/>
    <col min="16144" max="16145" width="9.140625" style="7"/>
    <col min="16146" max="16146" width="15.42578125" style="7" customWidth="1"/>
    <col min="16147" max="16384" width="9.140625" style="7"/>
  </cols>
  <sheetData>
    <row r="1" spans="1:17" x14ac:dyDescent="0.2">
      <c r="A1" s="1" t="s">
        <v>0</v>
      </c>
      <c r="B1" s="2"/>
      <c r="C1" s="1"/>
      <c r="D1" s="1"/>
      <c r="E1" s="1"/>
      <c r="F1" s="1"/>
      <c r="G1" s="1"/>
      <c r="H1" s="1"/>
      <c r="I1" s="1"/>
    </row>
    <row r="2" spans="1:17" x14ac:dyDescent="0.2">
      <c r="A2" s="1"/>
      <c r="B2" s="2"/>
      <c r="C2" s="1"/>
      <c r="D2" s="1"/>
      <c r="E2" s="1"/>
      <c r="F2" s="1"/>
      <c r="G2" s="1"/>
      <c r="H2" s="1"/>
      <c r="I2" s="1"/>
    </row>
    <row r="3" spans="1:17" x14ac:dyDescent="0.2">
      <c r="A3" s="1"/>
      <c r="B3" s="2"/>
      <c r="C3" s="1"/>
      <c r="D3" s="1"/>
      <c r="E3" s="1"/>
      <c r="F3" s="1"/>
      <c r="G3" s="1"/>
      <c r="H3" s="1"/>
      <c r="I3" s="1"/>
    </row>
    <row r="4" spans="1:17" x14ac:dyDescent="0.2">
      <c r="A4" s="1"/>
      <c r="B4" s="2"/>
      <c r="C4" s="1"/>
      <c r="D4" s="1"/>
      <c r="E4" s="1"/>
      <c r="F4" s="1"/>
      <c r="G4" s="1"/>
      <c r="H4" s="1"/>
      <c r="I4" s="1"/>
    </row>
    <row r="5" spans="1:17" x14ac:dyDescent="0.2">
      <c r="A5" s="1"/>
      <c r="B5" s="2"/>
      <c r="C5" s="1"/>
      <c r="D5" s="1"/>
      <c r="E5" s="1"/>
      <c r="F5" s="1"/>
      <c r="G5" s="1"/>
      <c r="H5" s="1"/>
      <c r="I5" s="1"/>
    </row>
    <row r="6" spans="1:17" x14ac:dyDescent="0.2">
      <c r="A6" s="1"/>
      <c r="B6" s="2"/>
      <c r="C6" s="1"/>
      <c r="D6" s="1"/>
      <c r="E6" s="1"/>
      <c r="F6" s="1"/>
      <c r="G6" s="1"/>
      <c r="H6" s="1"/>
      <c r="I6" s="1"/>
    </row>
    <row r="7" spans="1:17" x14ac:dyDescent="0.2">
      <c r="A7" s="1"/>
      <c r="B7" s="2"/>
      <c r="C7" s="1"/>
      <c r="D7" s="1"/>
      <c r="E7" s="1"/>
      <c r="F7" s="1"/>
      <c r="G7" s="1"/>
      <c r="H7" s="1"/>
      <c r="I7" s="1"/>
    </row>
    <row r="8" spans="1:17" x14ac:dyDescent="0.2">
      <c r="A8" s="1"/>
      <c r="B8" s="2"/>
      <c r="C8" s="1"/>
      <c r="D8" s="1"/>
      <c r="E8" s="1"/>
      <c r="F8" s="1"/>
      <c r="G8" s="1"/>
      <c r="H8" s="1"/>
      <c r="I8" s="1"/>
    </row>
    <row r="9" spans="1:17" ht="17.100000000000001" customHeight="1" x14ac:dyDescent="0.2">
      <c r="A9" s="440" t="s">
        <v>1</v>
      </c>
      <c r="B9" s="440"/>
      <c r="C9" s="440"/>
      <c r="D9" s="440"/>
      <c r="E9" s="440"/>
      <c r="F9" s="440"/>
      <c r="G9" s="440"/>
      <c r="H9" s="440"/>
      <c r="I9" s="8"/>
      <c r="J9" s="9"/>
      <c r="K9" s="9"/>
      <c r="L9" s="9"/>
    </row>
    <row r="10" spans="1:17" ht="17.100000000000001" customHeight="1" x14ac:dyDescent="0.2">
      <c r="A10" s="10"/>
      <c r="B10" s="10"/>
      <c r="C10" s="10"/>
      <c r="D10" s="10"/>
      <c r="E10" s="10"/>
      <c r="F10" s="10"/>
      <c r="G10" s="10"/>
      <c r="H10" s="10"/>
      <c r="I10" s="8"/>
      <c r="J10" s="9"/>
      <c r="K10" s="9"/>
      <c r="L10" s="9"/>
    </row>
    <row r="11" spans="1:17" ht="17.100000000000001" customHeight="1" x14ac:dyDescent="0.2">
      <c r="A11" s="441" t="s">
        <v>2</v>
      </c>
      <c r="B11" s="441"/>
      <c r="C11" s="441"/>
      <c r="D11" s="11"/>
      <c r="E11" s="11"/>
      <c r="F11" s="11"/>
      <c r="G11" s="11"/>
      <c r="H11" s="11"/>
      <c r="I11" s="12"/>
    </row>
    <row r="12" spans="1:17" ht="17.100000000000001" customHeight="1" x14ac:dyDescent="0.2">
      <c r="A12" s="441" t="s">
        <v>3</v>
      </c>
      <c r="B12" s="441"/>
      <c r="C12" s="441"/>
      <c r="D12" s="11"/>
      <c r="E12" s="11" t="s">
        <v>4</v>
      </c>
      <c r="F12" s="11"/>
      <c r="G12" s="11"/>
      <c r="H12" s="11"/>
      <c r="I12" s="12"/>
    </row>
    <row r="13" spans="1:17" ht="17.100000000000001" customHeight="1" x14ac:dyDescent="0.2">
      <c r="A13" s="441" t="s">
        <v>863</v>
      </c>
      <c r="B13" s="441"/>
      <c r="C13" s="441"/>
      <c r="D13" s="11"/>
      <c r="E13" s="11" t="s">
        <v>5</v>
      </c>
      <c r="F13" s="11"/>
      <c r="G13" s="11"/>
      <c r="H13" s="13" t="s">
        <v>6</v>
      </c>
      <c r="I13" s="12"/>
      <c r="J13" s="14">
        <v>1.26</v>
      </c>
    </row>
    <row r="14" spans="1:17" ht="15" x14ac:dyDescent="0.2">
      <c r="A14" s="1"/>
      <c r="B14" s="15"/>
      <c r="C14" s="16"/>
      <c r="D14" s="17"/>
      <c r="E14" s="18" t="s">
        <v>861</v>
      </c>
      <c r="F14" s="11"/>
      <c r="G14" s="11"/>
      <c r="H14" s="17" t="s">
        <v>7</v>
      </c>
      <c r="I14" s="19"/>
      <c r="J14" s="20"/>
      <c r="K14" s="20"/>
      <c r="L14" s="20"/>
    </row>
    <row r="15" spans="1:17" s="27" customFormat="1" ht="36.75" customHeight="1" x14ac:dyDescent="0.2">
      <c r="A15" s="21" t="s">
        <v>8</v>
      </c>
      <c r="B15" s="21" t="s">
        <v>9</v>
      </c>
      <c r="C15" s="21" t="s">
        <v>10</v>
      </c>
      <c r="D15" s="21" t="s">
        <v>11</v>
      </c>
      <c r="E15" s="21" t="s">
        <v>12</v>
      </c>
      <c r="F15" s="22" t="s">
        <v>13</v>
      </c>
      <c r="G15" s="22" t="s">
        <v>14</v>
      </c>
      <c r="H15" s="22" t="s">
        <v>15</v>
      </c>
      <c r="I15" s="23" t="s">
        <v>16</v>
      </c>
      <c r="J15" s="24"/>
      <c r="K15" s="25">
        <f>K16-I16</f>
        <v>99.270000000018626</v>
      </c>
      <c r="L15" s="7"/>
      <c r="M15" s="4"/>
      <c r="N15" s="4"/>
      <c r="O15" s="4"/>
      <c r="P15" s="5"/>
      <c r="Q15" s="26"/>
    </row>
    <row r="16" spans="1:17" s="27" customFormat="1" ht="36.75" customHeight="1" x14ac:dyDescent="0.2">
      <c r="A16" s="28"/>
      <c r="B16" s="29"/>
      <c r="C16" s="29"/>
      <c r="D16" s="29"/>
      <c r="E16" s="29"/>
      <c r="F16" s="30"/>
      <c r="G16" s="442" t="s">
        <v>17</v>
      </c>
      <c r="H16" s="443"/>
      <c r="I16" s="31">
        <f>SUM(I17:I898)/2</f>
        <v>2033163.95</v>
      </c>
      <c r="J16" s="24"/>
      <c r="K16" s="32">
        <v>2033263.22</v>
      </c>
      <c r="L16" s="25"/>
      <c r="M16" s="4"/>
      <c r="N16" s="4"/>
      <c r="O16" s="4"/>
      <c r="P16" s="5"/>
      <c r="Q16" s="26"/>
    </row>
    <row r="17" spans="1:18" s="27" customFormat="1" ht="15.75" x14ac:dyDescent="0.2">
      <c r="A17" s="33" t="s">
        <v>18</v>
      </c>
      <c r="B17" s="34"/>
      <c r="C17" s="35"/>
      <c r="D17" s="36"/>
      <c r="E17" s="36"/>
      <c r="F17" s="36"/>
      <c r="G17" s="37" t="s">
        <v>19</v>
      </c>
      <c r="H17" s="38"/>
      <c r="I17" s="39">
        <f>SUM(I18:I30)</f>
        <v>214300.06</v>
      </c>
      <c r="J17" s="379" t="s">
        <v>670</v>
      </c>
      <c r="K17" s="25"/>
      <c r="L17" s="25"/>
      <c r="M17" s="4"/>
      <c r="N17" s="40"/>
      <c r="O17" s="4"/>
      <c r="P17" s="5"/>
      <c r="Q17" s="26"/>
    </row>
    <row r="18" spans="1:18" s="27" customFormat="1" outlineLevel="1" x14ac:dyDescent="0.2">
      <c r="A18" s="41" t="s">
        <v>20</v>
      </c>
      <c r="B18" s="42" t="s">
        <v>9</v>
      </c>
      <c r="C18" s="43" t="s">
        <v>795</v>
      </c>
      <c r="D18" s="41"/>
      <c r="E18" s="41"/>
      <c r="F18" s="41"/>
      <c r="G18" s="41"/>
      <c r="H18" s="35"/>
      <c r="I18" s="44">
        <f>SUM(H19:H30)</f>
        <v>214300.06</v>
      </c>
      <c r="J18" s="24"/>
      <c r="K18" s="25"/>
      <c r="L18" s="25"/>
      <c r="M18" s="4"/>
      <c r="N18" s="45"/>
      <c r="O18" s="4"/>
      <c r="P18" s="5"/>
      <c r="Q18" s="26"/>
    </row>
    <row r="19" spans="1:18" s="27" customFormat="1" outlineLevel="1" x14ac:dyDescent="0.2">
      <c r="A19" s="46" t="s">
        <v>22</v>
      </c>
      <c r="B19" s="47"/>
      <c r="C19" s="48" t="s">
        <v>671</v>
      </c>
      <c r="D19" s="49"/>
      <c r="E19" s="48"/>
      <c r="F19" s="50"/>
      <c r="G19" s="51"/>
      <c r="H19" s="51"/>
      <c r="I19" s="52"/>
      <c r="J19" s="24"/>
      <c r="K19" s="25"/>
      <c r="L19" s="25"/>
      <c r="M19" s="4"/>
      <c r="N19" s="45"/>
      <c r="O19" s="4"/>
      <c r="P19" s="5"/>
      <c r="Q19" s="26"/>
    </row>
    <row r="20" spans="1:18" s="27" customFormat="1" ht="22.5" customHeight="1" outlineLevel="1" x14ac:dyDescent="0.2">
      <c r="A20" s="49" t="s">
        <v>657</v>
      </c>
      <c r="B20" s="47">
        <v>93207</v>
      </c>
      <c r="C20" s="48" t="s">
        <v>23</v>
      </c>
      <c r="D20" s="49" t="s">
        <v>24</v>
      </c>
      <c r="E20" s="48">
        <v>24</v>
      </c>
      <c r="F20" s="50">
        <v>697.89</v>
      </c>
      <c r="G20" s="51">
        <f>TRUNC(F20*$J$13,2)</f>
        <v>879.34</v>
      </c>
      <c r="H20" s="51">
        <f t="shared" ref="H20:H28" si="0">TRUNC(E20*G20,2)</f>
        <v>21104.16</v>
      </c>
      <c r="I20" s="52"/>
      <c r="J20" s="24"/>
      <c r="K20" s="25"/>
      <c r="L20" s="25"/>
      <c r="M20" s="4"/>
      <c r="N20" s="45"/>
      <c r="O20" s="4"/>
      <c r="P20" s="5"/>
      <c r="Q20" s="26"/>
    </row>
    <row r="21" spans="1:18" s="27" customFormat="1" ht="22.5" outlineLevel="1" x14ac:dyDescent="0.2">
      <c r="A21" s="49" t="s">
        <v>658</v>
      </c>
      <c r="B21" s="47">
        <v>93208</v>
      </c>
      <c r="C21" s="48" t="s">
        <v>26</v>
      </c>
      <c r="D21" s="49" t="s">
        <v>24</v>
      </c>
      <c r="E21" s="48">
        <v>24</v>
      </c>
      <c r="F21" s="50">
        <v>530.91</v>
      </c>
      <c r="G21" s="51">
        <f>TRUNC(F21*$J$13,2)</f>
        <v>668.94</v>
      </c>
      <c r="H21" s="51">
        <f t="shared" si="0"/>
        <v>16054.56</v>
      </c>
      <c r="I21" s="52"/>
      <c r="J21" s="24"/>
      <c r="K21" s="25"/>
      <c r="L21" s="25"/>
      <c r="M21" s="4"/>
      <c r="N21" s="45"/>
      <c r="O21" s="4"/>
      <c r="P21" s="5"/>
      <c r="Q21" s="26"/>
    </row>
    <row r="22" spans="1:18" s="27" customFormat="1" ht="22.5" outlineLevel="1" x14ac:dyDescent="0.2">
      <c r="A22" s="49" t="s">
        <v>659</v>
      </c>
      <c r="B22" s="47">
        <v>93212</v>
      </c>
      <c r="C22" s="48" t="s">
        <v>27</v>
      </c>
      <c r="D22" s="49" t="s">
        <v>24</v>
      </c>
      <c r="E22" s="48">
        <v>6</v>
      </c>
      <c r="F22" s="50">
        <v>619.29</v>
      </c>
      <c r="G22" s="51">
        <f t="shared" ref="G22:G27" si="1">TRUNC(F22*$J$13,2)</f>
        <v>780.3</v>
      </c>
      <c r="H22" s="51">
        <f t="shared" si="0"/>
        <v>4681.8</v>
      </c>
      <c r="I22" s="52"/>
      <c r="J22" s="24"/>
      <c r="K22" s="25">
        <f>1.5*3</f>
        <v>4.5</v>
      </c>
      <c r="L22" s="25"/>
      <c r="M22" s="4"/>
      <c r="N22" s="45"/>
      <c r="O22" s="4"/>
      <c r="P22" s="5"/>
      <c r="Q22" s="26"/>
    </row>
    <row r="23" spans="1:18" s="27" customFormat="1" ht="22.5" outlineLevel="1" x14ac:dyDescent="0.2">
      <c r="A23" s="49" t="s">
        <v>660</v>
      </c>
      <c r="B23" s="47">
        <v>93211</v>
      </c>
      <c r="C23" s="48" t="s">
        <v>28</v>
      </c>
      <c r="D23" s="49" t="s">
        <v>24</v>
      </c>
      <c r="E23" s="48">
        <v>36</v>
      </c>
      <c r="F23" s="50">
        <v>382.38</v>
      </c>
      <c r="G23" s="51">
        <f t="shared" si="1"/>
        <v>481.79</v>
      </c>
      <c r="H23" s="51">
        <f t="shared" si="0"/>
        <v>17344.439999999999</v>
      </c>
      <c r="I23" s="52"/>
      <c r="J23" s="24"/>
      <c r="K23" s="25"/>
      <c r="L23" s="25"/>
      <c r="M23" s="4"/>
      <c r="N23" s="45"/>
      <c r="O23" s="4"/>
      <c r="P23" s="5"/>
      <c r="Q23" s="26"/>
    </row>
    <row r="24" spans="1:18" s="27" customFormat="1" ht="22.5" customHeight="1" outlineLevel="1" x14ac:dyDescent="0.2">
      <c r="A24" s="49" t="s">
        <v>661</v>
      </c>
      <c r="B24" s="47" t="s">
        <v>29</v>
      </c>
      <c r="C24" s="48" t="s">
        <v>30</v>
      </c>
      <c r="D24" s="49" t="s">
        <v>24</v>
      </c>
      <c r="E24" s="48">
        <v>12</v>
      </c>
      <c r="F24" s="50">
        <f>[1]COMPOSIÇÃO!G2</f>
        <v>441.32788999999997</v>
      </c>
      <c r="G24" s="51">
        <f>TRUNC(F24*$J$13,2)</f>
        <v>556.07000000000005</v>
      </c>
      <c r="H24" s="51">
        <f t="shared" si="0"/>
        <v>6672.84</v>
      </c>
      <c r="I24" s="52"/>
      <c r="J24" s="24"/>
      <c r="K24" s="25"/>
      <c r="L24" s="25"/>
      <c r="M24" s="4"/>
      <c r="N24" s="45"/>
      <c r="O24" s="4"/>
      <c r="P24" s="5"/>
      <c r="Q24" s="26"/>
    </row>
    <row r="25" spans="1:18" s="27" customFormat="1" ht="22.5" outlineLevel="1" x14ac:dyDescent="0.2">
      <c r="A25" s="49" t="s">
        <v>662</v>
      </c>
      <c r="B25" s="47">
        <v>95114</v>
      </c>
      <c r="C25" s="48" t="s">
        <v>31</v>
      </c>
      <c r="D25" s="49" t="s">
        <v>32</v>
      </c>
      <c r="E25" s="48">
        <v>256</v>
      </c>
      <c r="F25" s="50">
        <v>1.57</v>
      </c>
      <c r="G25" s="51">
        <f t="shared" si="1"/>
        <v>1.97</v>
      </c>
      <c r="H25" s="51">
        <f t="shared" si="0"/>
        <v>504.32</v>
      </c>
      <c r="I25" s="52"/>
      <c r="J25" s="24"/>
      <c r="K25" s="25"/>
      <c r="L25" s="25"/>
      <c r="M25" s="4"/>
      <c r="N25" s="45"/>
      <c r="O25" s="4"/>
      <c r="P25" s="5"/>
      <c r="Q25" s="26"/>
    </row>
    <row r="26" spans="1:18" s="27" customFormat="1" ht="22.5" outlineLevel="1" x14ac:dyDescent="0.2">
      <c r="A26" s="49" t="s">
        <v>663</v>
      </c>
      <c r="B26" s="47">
        <v>90777</v>
      </c>
      <c r="C26" s="48" t="s">
        <v>33</v>
      </c>
      <c r="D26" s="49" t="s">
        <v>32</v>
      </c>
      <c r="E26" s="48">
        <f>J26</f>
        <v>408</v>
      </c>
      <c r="F26" s="50">
        <v>79.17</v>
      </c>
      <c r="G26" s="51">
        <f>TRUNC(F26*$J$13,2)</f>
        <v>99.75</v>
      </c>
      <c r="H26" s="51">
        <f t="shared" si="0"/>
        <v>40698</v>
      </c>
      <c r="I26" s="52"/>
      <c r="J26" s="24">
        <f>4*2*4.25*12</f>
        <v>408</v>
      </c>
      <c r="K26" s="25"/>
      <c r="L26" s="25"/>
      <c r="M26" s="4"/>
      <c r="N26" s="45"/>
      <c r="O26" s="4"/>
      <c r="P26" s="5"/>
      <c r="Q26" s="26"/>
    </row>
    <row r="27" spans="1:18" s="27" customFormat="1" outlineLevel="1" x14ac:dyDescent="0.2">
      <c r="A27" s="49" t="s">
        <v>664</v>
      </c>
      <c r="B27" s="47">
        <v>90778</v>
      </c>
      <c r="C27" s="48" t="s">
        <v>34</v>
      </c>
      <c r="D27" s="49" t="s">
        <v>32</v>
      </c>
      <c r="E27" s="48">
        <f>J27</f>
        <v>510</v>
      </c>
      <c r="F27" s="50">
        <v>89.98</v>
      </c>
      <c r="G27" s="51">
        <f t="shared" si="1"/>
        <v>113.37</v>
      </c>
      <c r="H27" s="51">
        <f t="shared" si="0"/>
        <v>57818.7</v>
      </c>
      <c r="I27" s="52"/>
      <c r="J27" s="24">
        <f>2*5*4.25*12</f>
        <v>510</v>
      </c>
      <c r="K27" s="25"/>
      <c r="L27" s="25"/>
      <c r="M27" s="4"/>
      <c r="N27" s="45"/>
      <c r="O27" s="4"/>
      <c r="P27" s="5"/>
      <c r="Q27" s="26"/>
    </row>
    <row r="28" spans="1:18" s="27" customFormat="1" outlineLevel="1" x14ac:dyDescent="0.2">
      <c r="A28" s="49" t="s">
        <v>665</v>
      </c>
      <c r="B28" s="47">
        <v>90776</v>
      </c>
      <c r="C28" s="48" t="s">
        <v>35</v>
      </c>
      <c r="D28" s="49" t="s">
        <v>32</v>
      </c>
      <c r="E28" s="48">
        <f>J28</f>
        <v>1920</v>
      </c>
      <c r="F28" s="50">
        <v>18.829999999999998</v>
      </c>
      <c r="G28" s="51">
        <f>TRUNC(F28*$J$13,2)</f>
        <v>23.72</v>
      </c>
      <c r="H28" s="51">
        <f t="shared" si="0"/>
        <v>45542.400000000001</v>
      </c>
      <c r="I28" s="52"/>
      <c r="J28" s="24">
        <f>8*5*4*12</f>
        <v>1920</v>
      </c>
      <c r="K28" s="25"/>
      <c r="L28" s="25"/>
      <c r="M28" s="4"/>
      <c r="N28" s="45"/>
      <c r="O28" s="4"/>
      <c r="P28" s="5"/>
      <c r="Q28" s="26"/>
    </row>
    <row r="29" spans="1:18" s="27" customFormat="1" ht="22.5" outlineLevel="1" x14ac:dyDescent="0.2">
      <c r="A29" s="49" t="s">
        <v>816</v>
      </c>
      <c r="B29" s="47" t="s">
        <v>803</v>
      </c>
      <c r="C29" s="48" t="s">
        <v>804</v>
      </c>
      <c r="D29" s="49" t="s">
        <v>24</v>
      </c>
      <c r="E29" s="50">
        <v>345.4</v>
      </c>
      <c r="F29" s="50">
        <v>8.92</v>
      </c>
      <c r="G29" s="51">
        <f>TRUNC(F29*$J$13,2)</f>
        <v>11.23</v>
      </c>
      <c r="H29" s="51">
        <f>TRUNC(E29*G29,2)</f>
        <v>3878.84</v>
      </c>
      <c r="I29" s="52"/>
      <c r="J29" s="24"/>
      <c r="K29" s="25"/>
      <c r="L29" s="25"/>
      <c r="M29" s="4"/>
      <c r="N29" s="45"/>
      <c r="O29" s="4"/>
      <c r="P29" s="5"/>
      <c r="Q29" s="26"/>
    </row>
    <row r="30" spans="1:18" s="27" customFormat="1" x14ac:dyDescent="0.2">
      <c r="A30" s="48"/>
      <c r="B30" s="47"/>
      <c r="C30" s="48"/>
      <c r="D30" s="49"/>
      <c r="E30" s="48"/>
      <c r="F30" s="50"/>
      <c r="G30" s="51"/>
      <c r="H30" s="53"/>
      <c r="I30" s="54"/>
      <c r="J30" s="24"/>
      <c r="K30" s="25"/>
      <c r="L30" s="25"/>
      <c r="M30" s="4"/>
      <c r="N30" s="40"/>
      <c r="O30" s="4"/>
      <c r="P30" s="5"/>
      <c r="Q30" s="26"/>
    </row>
    <row r="31" spans="1:18" s="65" customFormat="1" ht="18" customHeight="1" x14ac:dyDescent="0.2">
      <c r="A31" s="33" t="s">
        <v>36</v>
      </c>
      <c r="B31" s="55"/>
      <c r="C31" s="36"/>
      <c r="D31" s="41"/>
      <c r="E31" s="36"/>
      <c r="F31" s="56"/>
      <c r="G31" s="37" t="s">
        <v>19</v>
      </c>
      <c r="H31" s="57"/>
      <c r="I31" s="39">
        <f>SUM(I32:I140)</f>
        <v>185205.59</v>
      </c>
      <c r="J31" s="58"/>
      <c r="K31" s="59"/>
      <c r="L31" s="60"/>
      <c r="M31" s="61"/>
      <c r="N31" s="62"/>
      <c r="O31" s="61"/>
      <c r="P31" s="63"/>
      <c r="Q31" s="61"/>
      <c r="R31" s="64"/>
    </row>
    <row r="32" spans="1:18" s="65" customFormat="1" ht="18" customHeight="1" outlineLevel="1" x14ac:dyDescent="0.2">
      <c r="A32" s="41" t="s">
        <v>20</v>
      </c>
      <c r="B32" s="66"/>
      <c r="C32" s="43" t="s">
        <v>38</v>
      </c>
      <c r="D32" s="41"/>
      <c r="E32" s="43"/>
      <c r="F32" s="43"/>
      <c r="G32" s="67" t="s">
        <v>39</v>
      </c>
      <c r="H32" s="41"/>
      <c r="I32" s="44">
        <f>SUM(H33:H41)</f>
        <v>2035.7500000000005</v>
      </c>
      <c r="J32" s="58"/>
      <c r="K32" s="59"/>
      <c r="L32" s="60"/>
      <c r="M32" s="61"/>
      <c r="N32" s="62"/>
      <c r="O32" s="61"/>
      <c r="P32" s="63"/>
      <c r="Q32" s="61"/>
      <c r="R32" s="64"/>
    </row>
    <row r="33" spans="1:18" s="65" customFormat="1" ht="18" customHeight="1" outlineLevel="1" x14ac:dyDescent="0.2">
      <c r="A33" s="49" t="s">
        <v>22</v>
      </c>
      <c r="B33" s="72" t="s">
        <v>40</v>
      </c>
      <c r="C33" s="68" t="s">
        <v>41</v>
      </c>
      <c r="D33" s="49" t="s">
        <v>42</v>
      </c>
      <c r="E33" s="50">
        <v>4</v>
      </c>
      <c r="F33" s="50">
        <f>[1]COMPOSIÇÃO!G41</f>
        <v>216.762</v>
      </c>
      <c r="G33" s="51">
        <f t="shared" ref="G33:G41" si="2">TRUNC(F33*$J$13,2)</f>
        <v>273.12</v>
      </c>
      <c r="H33" s="51">
        <f t="shared" ref="H33:H41" si="3">TRUNC(E33*G33,2)</f>
        <v>1092.48</v>
      </c>
      <c r="I33" s="69"/>
      <c r="J33" s="58"/>
      <c r="K33" s="59"/>
      <c r="L33" s="60"/>
      <c r="M33" s="61"/>
      <c r="N33" s="62"/>
      <c r="O33" s="61"/>
      <c r="P33" s="63"/>
      <c r="Q33" s="61"/>
      <c r="R33" s="64"/>
    </row>
    <row r="34" spans="1:18" s="65" customFormat="1" ht="23.25" customHeight="1" outlineLevel="1" x14ac:dyDescent="0.2">
      <c r="A34" s="49" t="s">
        <v>25</v>
      </c>
      <c r="B34" s="72">
        <v>97633</v>
      </c>
      <c r="C34" s="48" t="s">
        <v>43</v>
      </c>
      <c r="D34" s="70" t="s">
        <v>24</v>
      </c>
      <c r="E34" s="50">
        <v>18</v>
      </c>
      <c r="F34" s="50">
        <v>14.85</v>
      </c>
      <c r="G34" s="51">
        <f t="shared" si="2"/>
        <v>18.71</v>
      </c>
      <c r="H34" s="51">
        <f t="shared" si="3"/>
        <v>336.78</v>
      </c>
      <c r="I34" s="69"/>
      <c r="J34" s="58"/>
      <c r="K34" s="59"/>
      <c r="L34" s="60"/>
      <c r="M34" s="61"/>
      <c r="N34" s="62"/>
      <c r="O34" s="61"/>
      <c r="P34" s="63"/>
      <c r="Q34" s="61"/>
      <c r="R34" s="64"/>
    </row>
    <row r="35" spans="1:18" s="65" customFormat="1" ht="18" customHeight="1" outlineLevel="1" x14ac:dyDescent="0.2">
      <c r="A35" s="49" t="s">
        <v>57</v>
      </c>
      <c r="B35" s="72">
        <v>97644</v>
      </c>
      <c r="C35" s="68" t="s">
        <v>44</v>
      </c>
      <c r="D35" s="70" t="s">
        <v>45</v>
      </c>
      <c r="E35" s="50">
        <v>13</v>
      </c>
      <c r="F35" s="50">
        <v>6.04</v>
      </c>
      <c r="G35" s="51">
        <f t="shared" si="2"/>
        <v>7.61</v>
      </c>
      <c r="H35" s="51">
        <f t="shared" si="3"/>
        <v>98.93</v>
      </c>
      <c r="I35" s="69"/>
      <c r="J35" s="58"/>
      <c r="K35" s="59"/>
      <c r="L35" s="60"/>
      <c r="M35" s="61"/>
      <c r="N35" s="62"/>
      <c r="O35" s="61"/>
      <c r="P35" s="63"/>
      <c r="Q35" s="61"/>
      <c r="R35" s="64"/>
    </row>
    <row r="36" spans="1:18" s="65" customFormat="1" ht="18" customHeight="1" outlineLevel="1" x14ac:dyDescent="0.2">
      <c r="A36" s="49" t="s">
        <v>217</v>
      </c>
      <c r="B36" s="72">
        <v>97663</v>
      </c>
      <c r="C36" s="68" t="s">
        <v>46</v>
      </c>
      <c r="D36" s="70" t="s">
        <v>45</v>
      </c>
      <c r="E36" s="50">
        <v>6</v>
      </c>
      <c r="F36" s="50">
        <v>8.07</v>
      </c>
      <c r="G36" s="51">
        <f t="shared" si="2"/>
        <v>10.16</v>
      </c>
      <c r="H36" s="51">
        <f t="shared" si="3"/>
        <v>60.96</v>
      </c>
      <c r="I36" s="69"/>
      <c r="J36" s="58"/>
      <c r="K36" s="59"/>
      <c r="L36" s="60"/>
      <c r="M36" s="61"/>
      <c r="N36" s="62"/>
      <c r="O36" s="61"/>
      <c r="P36" s="63"/>
      <c r="Q36" s="61"/>
      <c r="R36" s="64"/>
    </row>
    <row r="37" spans="1:18" s="65" customFormat="1" ht="32.25" customHeight="1" outlineLevel="1" x14ac:dyDescent="0.2">
      <c r="A37" s="49" t="s">
        <v>218</v>
      </c>
      <c r="B37" s="72">
        <v>97666</v>
      </c>
      <c r="C37" s="48" t="s">
        <v>47</v>
      </c>
      <c r="D37" s="70" t="s">
        <v>45</v>
      </c>
      <c r="E37" s="50">
        <v>6</v>
      </c>
      <c r="F37" s="50">
        <v>5.88</v>
      </c>
      <c r="G37" s="51">
        <f t="shared" si="2"/>
        <v>7.4</v>
      </c>
      <c r="H37" s="51">
        <f t="shared" si="3"/>
        <v>44.4</v>
      </c>
      <c r="I37" s="69"/>
      <c r="J37" s="58"/>
      <c r="K37" s="59"/>
      <c r="L37" s="60"/>
      <c r="M37" s="61"/>
      <c r="N37" s="62"/>
      <c r="O37" s="61"/>
      <c r="P37" s="63"/>
      <c r="Q37" s="61"/>
      <c r="R37" s="64"/>
    </row>
    <row r="38" spans="1:18" s="65" customFormat="1" ht="24" customHeight="1" outlineLevel="1" x14ac:dyDescent="0.2">
      <c r="A38" s="49" t="s">
        <v>219</v>
      </c>
      <c r="B38" s="47">
        <v>97622</v>
      </c>
      <c r="C38" s="48" t="s">
        <v>48</v>
      </c>
      <c r="D38" s="49" t="s">
        <v>42</v>
      </c>
      <c r="E38" s="50">
        <v>1.5</v>
      </c>
      <c r="F38" s="50">
        <v>37.39</v>
      </c>
      <c r="G38" s="51">
        <f t="shared" si="2"/>
        <v>47.11</v>
      </c>
      <c r="H38" s="51">
        <f t="shared" si="3"/>
        <v>70.66</v>
      </c>
      <c r="I38" s="69"/>
      <c r="J38" s="58"/>
      <c r="K38" s="59"/>
      <c r="L38" s="60"/>
      <c r="M38" s="61"/>
      <c r="N38" s="62"/>
      <c r="O38" s="61"/>
      <c r="P38" s="63"/>
      <c r="Q38" s="61"/>
      <c r="R38" s="64"/>
    </row>
    <row r="39" spans="1:18" s="65" customFormat="1" ht="24" customHeight="1" outlineLevel="1" x14ac:dyDescent="0.2">
      <c r="A39" s="49" t="s">
        <v>220</v>
      </c>
      <c r="B39" s="72" t="s">
        <v>796</v>
      </c>
      <c r="C39" s="48" t="s">
        <v>797</v>
      </c>
      <c r="D39" s="49" t="s">
        <v>24</v>
      </c>
      <c r="E39" s="50">
        <v>6</v>
      </c>
      <c r="F39" s="50">
        <v>23.32</v>
      </c>
      <c r="G39" s="51">
        <f t="shared" ref="G39" si="4">TRUNC(F39*$J$13,2)</f>
        <v>29.38</v>
      </c>
      <c r="H39" s="51">
        <f t="shared" ref="H39" si="5">TRUNC(E39*G39,2)</f>
        <v>176.28</v>
      </c>
      <c r="I39" s="69"/>
      <c r="J39" s="58"/>
      <c r="K39" s="59"/>
      <c r="L39" s="60"/>
      <c r="M39" s="61"/>
      <c r="N39" s="62"/>
      <c r="O39" s="61"/>
      <c r="P39" s="63"/>
      <c r="Q39" s="61"/>
      <c r="R39" s="64"/>
    </row>
    <row r="40" spans="1:18" s="65" customFormat="1" ht="18" customHeight="1" outlineLevel="1" x14ac:dyDescent="0.2">
      <c r="A40" s="49" t="s">
        <v>221</v>
      </c>
      <c r="B40" s="72" t="s">
        <v>49</v>
      </c>
      <c r="C40" s="68" t="s">
        <v>50</v>
      </c>
      <c r="D40" s="70" t="s">
        <v>24</v>
      </c>
      <c r="E40" s="50">
        <v>2</v>
      </c>
      <c r="F40" s="50">
        <f>[1]COMPOSIÇÃO!G49</f>
        <v>16.424099999999999</v>
      </c>
      <c r="G40" s="51">
        <f t="shared" si="2"/>
        <v>20.69</v>
      </c>
      <c r="H40" s="51">
        <f t="shared" si="3"/>
        <v>41.38</v>
      </c>
      <c r="I40" s="69"/>
      <c r="J40" s="58"/>
      <c r="K40" s="59"/>
      <c r="L40" s="60"/>
      <c r="M40" s="61"/>
      <c r="N40" s="62"/>
      <c r="O40" s="61"/>
      <c r="P40" s="63"/>
      <c r="Q40" s="61"/>
      <c r="R40" s="64"/>
    </row>
    <row r="41" spans="1:18" s="65" customFormat="1" ht="18" customHeight="1" outlineLevel="1" x14ac:dyDescent="0.2">
      <c r="A41" s="49" t="s">
        <v>798</v>
      </c>
      <c r="B41" s="72">
        <v>72178</v>
      </c>
      <c r="C41" s="68" t="s">
        <v>51</v>
      </c>
      <c r="D41" s="49" t="s">
        <v>24</v>
      </c>
      <c r="E41" s="50">
        <v>4</v>
      </c>
      <c r="F41" s="50">
        <v>22.6</v>
      </c>
      <c r="G41" s="51">
        <f t="shared" si="2"/>
        <v>28.47</v>
      </c>
      <c r="H41" s="51">
        <f t="shared" si="3"/>
        <v>113.88</v>
      </c>
      <c r="I41" s="69"/>
      <c r="J41" s="58"/>
      <c r="K41" s="59"/>
      <c r="L41" s="60"/>
      <c r="M41" s="61"/>
      <c r="N41" s="62"/>
      <c r="O41" s="61"/>
      <c r="P41" s="63"/>
      <c r="Q41" s="61"/>
      <c r="R41" s="64"/>
    </row>
    <row r="42" spans="1:18" s="27" customFormat="1" outlineLevel="1" x14ac:dyDescent="0.2">
      <c r="A42" s="73" t="s">
        <v>61</v>
      </c>
      <c r="B42" s="66"/>
      <c r="C42" s="43" t="s">
        <v>52</v>
      </c>
      <c r="D42" s="41"/>
      <c r="E42" s="43"/>
      <c r="F42" s="43"/>
      <c r="G42" s="67" t="s">
        <v>39</v>
      </c>
      <c r="H42" s="35"/>
      <c r="I42" s="44">
        <f>SUM(H43:H47)</f>
        <v>28310.129999999997</v>
      </c>
      <c r="J42" s="74"/>
      <c r="K42" s="12"/>
      <c r="L42" s="12"/>
      <c r="M42" s="4"/>
      <c r="N42" s="40"/>
      <c r="O42" s="4"/>
      <c r="P42" s="5"/>
      <c r="Q42" s="26"/>
      <c r="R42" s="6"/>
    </row>
    <row r="43" spans="1:18" s="27" customFormat="1" outlineLevel="1" x14ac:dyDescent="0.2">
      <c r="A43" s="75" t="s">
        <v>65</v>
      </c>
      <c r="B43" s="47"/>
      <c r="C43" s="76" t="s">
        <v>53</v>
      </c>
      <c r="D43" s="49"/>
      <c r="E43" s="77"/>
      <c r="F43" s="78"/>
      <c r="G43" s="78"/>
      <c r="H43" s="79"/>
      <c r="I43" s="80"/>
      <c r="J43" s="74"/>
      <c r="K43" s="12"/>
      <c r="L43" s="12"/>
      <c r="M43" s="4"/>
      <c r="N43" s="40"/>
      <c r="O43" s="4"/>
      <c r="P43" s="5"/>
      <c r="Q43" s="26"/>
      <c r="R43" s="6"/>
    </row>
    <row r="44" spans="1:18" s="27" customFormat="1" ht="45" outlineLevel="1" x14ac:dyDescent="0.2">
      <c r="A44" s="75" t="s">
        <v>70</v>
      </c>
      <c r="B44" s="47">
        <v>90843</v>
      </c>
      <c r="C44" s="48" t="s">
        <v>54</v>
      </c>
      <c r="D44" s="49" t="s">
        <v>45</v>
      </c>
      <c r="E44" s="50">
        <v>16</v>
      </c>
      <c r="F44" s="50">
        <v>742.69</v>
      </c>
      <c r="G44" s="51">
        <f>TRUNC(F44*$J$13,2)</f>
        <v>935.78</v>
      </c>
      <c r="H44" s="51">
        <f>TRUNC(E44*G44,2)</f>
        <v>14972.48</v>
      </c>
      <c r="I44" s="81"/>
      <c r="J44" s="74"/>
      <c r="K44" s="12">
        <v>20</v>
      </c>
      <c r="L44" s="12"/>
      <c r="M44" s="4"/>
      <c r="N44" s="40"/>
      <c r="O44" s="4"/>
      <c r="P44" s="5"/>
      <c r="Q44" s="26"/>
      <c r="R44" s="6"/>
    </row>
    <row r="45" spans="1:18" s="27" customFormat="1" ht="22.5" outlineLevel="1" x14ac:dyDescent="0.2">
      <c r="A45" s="75" t="s">
        <v>73</v>
      </c>
      <c r="B45" s="47">
        <v>97622</v>
      </c>
      <c r="C45" s="48" t="s">
        <v>48</v>
      </c>
      <c r="D45" s="49" t="s">
        <v>42</v>
      </c>
      <c r="E45" s="50">
        <f>13*0.2*0.2</f>
        <v>0.52</v>
      </c>
      <c r="F45" s="50">
        <v>37.39</v>
      </c>
      <c r="G45" s="51">
        <f>TRUNC(F45*$J$13,2)</f>
        <v>47.11</v>
      </c>
      <c r="H45" s="51">
        <f>TRUNC(E45*G45,2)</f>
        <v>24.49</v>
      </c>
      <c r="I45" s="81"/>
      <c r="J45" s="74"/>
      <c r="K45" s="12"/>
      <c r="L45" s="12"/>
      <c r="M45" s="4"/>
      <c r="N45" s="40"/>
      <c r="O45" s="4"/>
      <c r="P45" s="5"/>
      <c r="Q45" s="26"/>
      <c r="R45" s="6"/>
    </row>
    <row r="46" spans="1:18" s="27" customFormat="1" outlineLevel="1" x14ac:dyDescent="0.2">
      <c r="A46" s="75" t="s">
        <v>672</v>
      </c>
      <c r="B46" s="47">
        <v>93184</v>
      </c>
      <c r="C46" s="48" t="s">
        <v>55</v>
      </c>
      <c r="D46" s="49" t="s">
        <v>56</v>
      </c>
      <c r="E46" s="50">
        <f>13*1.5</f>
        <v>19.5</v>
      </c>
      <c r="F46" s="50">
        <v>16.78</v>
      </c>
      <c r="G46" s="51">
        <f>TRUNC(F46*$J$13,2)</f>
        <v>21.14</v>
      </c>
      <c r="H46" s="51">
        <f>TRUNC(E46*G46,2)</f>
        <v>412.23</v>
      </c>
      <c r="I46" s="81"/>
      <c r="J46" s="74"/>
      <c r="K46" s="12"/>
      <c r="L46" s="12"/>
      <c r="M46" s="4"/>
      <c r="N46" s="40"/>
      <c r="O46" s="4"/>
      <c r="P46" s="5"/>
      <c r="Q46" s="26"/>
      <c r="R46" s="6"/>
    </row>
    <row r="47" spans="1:18" s="89" customFormat="1" ht="30" customHeight="1" outlineLevel="1" x14ac:dyDescent="0.2">
      <c r="A47" s="75" t="s">
        <v>673</v>
      </c>
      <c r="B47" s="47">
        <v>91338</v>
      </c>
      <c r="C47" s="48" t="s">
        <v>58</v>
      </c>
      <c r="D47" s="49" t="s">
        <v>24</v>
      </c>
      <c r="E47" s="50">
        <f>M47</f>
        <v>10.5</v>
      </c>
      <c r="F47" s="50">
        <v>975.13</v>
      </c>
      <c r="G47" s="51">
        <f>TRUNC(F47*$J$13,2)</f>
        <v>1228.6600000000001</v>
      </c>
      <c r="H47" s="51">
        <f>TRUNC(E47*G47,2)</f>
        <v>12900.93</v>
      </c>
      <c r="I47" s="82"/>
      <c r="J47" s="83"/>
      <c r="K47" s="84" t="s">
        <v>59</v>
      </c>
      <c r="L47" s="84"/>
      <c r="M47" s="85">
        <f>(0.8*2.1)+(0.7*2.1*6)</f>
        <v>10.5</v>
      </c>
      <c r="N47" s="40"/>
      <c r="O47" s="85"/>
      <c r="P47" s="86" t="s">
        <v>60</v>
      </c>
      <c r="Q47" s="87"/>
      <c r="R47" s="88"/>
    </row>
    <row r="48" spans="1:18" s="27" customFormat="1" outlineLevel="1" x14ac:dyDescent="0.2">
      <c r="A48" s="66" t="s">
        <v>75</v>
      </c>
      <c r="B48" s="66"/>
      <c r="C48" s="43" t="s">
        <v>62</v>
      </c>
      <c r="D48" s="41"/>
      <c r="E48" s="43"/>
      <c r="F48" s="43"/>
      <c r="G48" s="67" t="s">
        <v>39</v>
      </c>
      <c r="H48" s="41"/>
      <c r="I48" s="44">
        <f>SUM(H49:H53)</f>
        <v>9284.43</v>
      </c>
      <c r="J48" s="74"/>
      <c r="K48" s="12"/>
      <c r="L48" s="12"/>
      <c r="M48" s="4"/>
      <c r="N48" s="40"/>
      <c r="O48" s="4"/>
      <c r="P48" s="5"/>
      <c r="Q48" s="26"/>
      <c r="R48" s="6"/>
    </row>
    <row r="49" spans="1:18" s="27" customFormat="1" outlineLevel="1" x14ac:dyDescent="0.2">
      <c r="A49" s="90" t="s">
        <v>78</v>
      </c>
      <c r="B49" s="47">
        <v>72897</v>
      </c>
      <c r="C49" s="48" t="s">
        <v>63</v>
      </c>
      <c r="D49" s="49" t="s">
        <v>42</v>
      </c>
      <c r="E49" s="50">
        <v>4.5</v>
      </c>
      <c r="F49" s="50">
        <v>17.23</v>
      </c>
      <c r="G49" s="51">
        <f>TRUNC(F49*$J$13,2)</f>
        <v>21.7</v>
      </c>
      <c r="H49" s="51">
        <f>TRUNC(E49*G49,2)</f>
        <v>97.65</v>
      </c>
      <c r="I49" s="91"/>
      <c r="J49" s="74"/>
      <c r="K49" s="12"/>
      <c r="L49" s="12"/>
      <c r="M49" s="4"/>
      <c r="N49" s="40"/>
      <c r="O49" s="4"/>
      <c r="P49" s="5"/>
      <c r="Q49" s="26"/>
      <c r="R49" s="6"/>
    </row>
    <row r="50" spans="1:18" s="27" customFormat="1" ht="22.5" outlineLevel="1" x14ac:dyDescent="0.2">
      <c r="A50" s="90" t="s">
        <v>84</v>
      </c>
      <c r="B50" s="47">
        <v>97622</v>
      </c>
      <c r="C50" s="48" t="s">
        <v>64</v>
      </c>
      <c r="D50" s="49" t="s">
        <v>42</v>
      </c>
      <c r="E50" s="50">
        <v>3.52</v>
      </c>
      <c r="F50" s="50">
        <v>37.39</v>
      </c>
      <c r="G50" s="51">
        <f>TRUNC(F50*$J$13,2)</f>
        <v>47.11</v>
      </c>
      <c r="H50" s="51">
        <f>TRUNC(E50*G50,2)</f>
        <v>165.82</v>
      </c>
      <c r="I50" s="91"/>
      <c r="J50" s="74"/>
      <c r="K50" s="12"/>
      <c r="L50" s="12"/>
      <c r="M50" s="4"/>
      <c r="N50" s="40"/>
      <c r="O50" s="4"/>
      <c r="P50" s="5"/>
      <c r="Q50" s="26"/>
      <c r="R50" s="6"/>
    </row>
    <row r="51" spans="1:18" s="89" customFormat="1" ht="32.25" customHeight="1" outlineLevel="1" x14ac:dyDescent="0.2">
      <c r="A51" s="90" t="s">
        <v>323</v>
      </c>
      <c r="B51" s="47">
        <v>87266</v>
      </c>
      <c r="C51" s="48" t="s">
        <v>66</v>
      </c>
      <c r="D51" s="49" t="s">
        <v>24</v>
      </c>
      <c r="E51" s="50">
        <f>M51</f>
        <v>88</v>
      </c>
      <c r="F51" s="50">
        <v>43.91</v>
      </c>
      <c r="G51" s="51">
        <f>TRUNC(F51*$J$13,2)</f>
        <v>55.32</v>
      </c>
      <c r="H51" s="51">
        <f>TRUNC(E51*G51,2)</f>
        <v>4868.16</v>
      </c>
      <c r="I51" s="92"/>
      <c r="J51" s="83"/>
      <c r="K51" s="83" t="s">
        <v>67</v>
      </c>
      <c r="L51" s="83" t="s">
        <v>68</v>
      </c>
      <c r="M51" s="85">
        <f>5.5*4*4</f>
        <v>88</v>
      </c>
      <c r="N51" s="40"/>
      <c r="O51" s="85"/>
      <c r="P51" s="86" t="s">
        <v>69</v>
      </c>
      <c r="Q51" s="87"/>
      <c r="R51" s="88"/>
    </row>
    <row r="52" spans="1:18" s="89" customFormat="1" ht="32.25" customHeight="1" outlineLevel="1" x14ac:dyDescent="0.2">
      <c r="A52" s="90" t="s">
        <v>324</v>
      </c>
      <c r="B52" s="47">
        <v>87477</v>
      </c>
      <c r="C52" s="48" t="s">
        <v>71</v>
      </c>
      <c r="D52" s="49" t="s">
        <v>24</v>
      </c>
      <c r="E52" s="50">
        <f>M52</f>
        <v>38.25</v>
      </c>
      <c r="F52" s="50">
        <v>40.9</v>
      </c>
      <c r="G52" s="51">
        <f>TRUNC(F52*$J$13,2)</f>
        <v>51.53</v>
      </c>
      <c r="H52" s="51">
        <f>TRUNC(E52*G52,2)</f>
        <v>1971.02</v>
      </c>
      <c r="I52" s="92"/>
      <c r="J52" s="83"/>
      <c r="K52" s="93" t="s">
        <v>72</v>
      </c>
      <c r="L52" s="83"/>
      <c r="M52" s="85">
        <f>2.55*3*5</f>
        <v>38.25</v>
      </c>
      <c r="N52" s="40"/>
      <c r="O52" s="85"/>
      <c r="P52" s="86"/>
      <c r="Q52" s="87"/>
      <c r="R52" s="88"/>
    </row>
    <row r="53" spans="1:18" s="89" customFormat="1" ht="32.25" customHeight="1" outlineLevel="1" x14ac:dyDescent="0.2">
      <c r="A53" s="90" t="s">
        <v>675</v>
      </c>
      <c r="B53" s="47">
        <v>90408</v>
      </c>
      <c r="C53" s="48" t="s">
        <v>74</v>
      </c>
      <c r="D53" s="49" t="s">
        <v>24</v>
      </c>
      <c r="E53" s="50">
        <f>M53</f>
        <v>76.5</v>
      </c>
      <c r="F53" s="50">
        <v>22.64</v>
      </c>
      <c r="G53" s="51">
        <f>TRUNC(F53*$J$13,2)</f>
        <v>28.52</v>
      </c>
      <c r="H53" s="51">
        <f>TRUNC(E53*G53,2)</f>
        <v>2181.7800000000002</v>
      </c>
      <c r="I53" s="92"/>
      <c r="J53" s="83"/>
      <c r="K53" s="93"/>
      <c r="L53" s="83"/>
      <c r="M53" s="85">
        <f>M52*2</f>
        <v>76.5</v>
      </c>
      <c r="N53" s="40"/>
      <c r="O53" s="85"/>
      <c r="P53" s="86"/>
      <c r="Q53" s="87"/>
      <c r="R53" s="88"/>
    </row>
    <row r="54" spans="1:18" s="27" customFormat="1" outlineLevel="1" x14ac:dyDescent="0.2">
      <c r="A54" s="66" t="s">
        <v>86</v>
      </c>
      <c r="B54" s="66"/>
      <c r="C54" s="43" t="s">
        <v>76</v>
      </c>
      <c r="D54" s="41"/>
      <c r="E54" s="43"/>
      <c r="F54" s="43"/>
      <c r="G54" s="67" t="s">
        <v>39</v>
      </c>
      <c r="H54" s="41"/>
      <c r="I54" s="44">
        <f>SUM(H55:H59)</f>
        <v>14470.140000000001</v>
      </c>
      <c r="J54" s="74"/>
      <c r="K54" s="12"/>
      <c r="L54" s="12"/>
      <c r="M54" s="4"/>
      <c r="N54" s="40"/>
      <c r="O54" s="4"/>
      <c r="P54" s="5"/>
      <c r="Q54" s="26"/>
      <c r="R54" s="6"/>
    </row>
    <row r="55" spans="1:18" s="27" customFormat="1" ht="22.5" customHeight="1" outlineLevel="1" x14ac:dyDescent="0.2">
      <c r="A55" s="49" t="s">
        <v>88</v>
      </c>
      <c r="B55" s="47">
        <v>97628</v>
      </c>
      <c r="C55" s="48" t="s">
        <v>77</v>
      </c>
      <c r="D55" s="49" t="s">
        <v>42</v>
      </c>
      <c r="E55" s="50">
        <f>27*0.06</f>
        <v>1.6199999999999999</v>
      </c>
      <c r="F55" s="50">
        <v>184.82</v>
      </c>
      <c r="G55" s="51">
        <f>TRUNC(F55*$J$13,2)</f>
        <v>232.87</v>
      </c>
      <c r="H55" s="51">
        <f>TRUNC(E55*G55,2)</f>
        <v>377.24</v>
      </c>
      <c r="I55" s="91"/>
      <c r="J55" s="74"/>
      <c r="K55" s="12"/>
      <c r="L55" s="12"/>
      <c r="M55" s="4"/>
      <c r="N55" s="40"/>
      <c r="O55" s="4"/>
      <c r="P55" s="5"/>
      <c r="Q55" s="26"/>
      <c r="R55" s="6"/>
    </row>
    <row r="56" spans="1:18" s="89" customFormat="1" ht="33.75" customHeight="1" outlineLevel="1" x14ac:dyDescent="0.2">
      <c r="A56" s="49" t="s">
        <v>91</v>
      </c>
      <c r="B56" s="47">
        <v>94993</v>
      </c>
      <c r="C56" s="48" t="s">
        <v>79</v>
      </c>
      <c r="D56" s="49" t="s">
        <v>24</v>
      </c>
      <c r="E56" s="50">
        <f>M56</f>
        <v>26.171999999999997</v>
      </c>
      <c r="F56" s="50">
        <v>62.94</v>
      </c>
      <c r="G56" s="51">
        <f>TRUNC(F56*$J$13,2)</f>
        <v>79.3</v>
      </c>
      <c r="H56" s="51">
        <f>TRUNC(E56*G56,2)</f>
        <v>2075.4299999999998</v>
      </c>
      <c r="I56" s="91"/>
      <c r="J56" s="83"/>
      <c r="K56" s="84" t="s">
        <v>80</v>
      </c>
      <c r="L56" s="84"/>
      <c r="M56" s="85">
        <f>0.6*21.81*2</f>
        <v>26.171999999999997</v>
      </c>
      <c r="N56" s="40"/>
      <c r="O56" s="85"/>
      <c r="P56" s="86" t="s">
        <v>81</v>
      </c>
      <c r="Q56" s="87"/>
      <c r="R56" s="88"/>
    </row>
    <row r="57" spans="1:18" s="89" customFormat="1" ht="24.95" customHeight="1" outlineLevel="1" x14ac:dyDescent="0.2">
      <c r="A57" s="49" t="s">
        <v>94</v>
      </c>
      <c r="B57" s="47">
        <v>90914</v>
      </c>
      <c r="C57" s="48" t="s">
        <v>82</v>
      </c>
      <c r="D57" s="49" t="s">
        <v>24</v>
      </c>
      <c r="E57" s="50">
        <v>33.92</v>
      </c>
      <c r="F57" s="50">
        <v>149.05000000000001</v>
      </c>
      <c r="G57" s="51">
        <f>TRUNC(F57*$J$13,2)</f>
        <v>187.8</v>
      </c>
      <c r="H57" s="51">
        <f>TRUNC(E57*G57,2)</f>
        <v>6370.17</v>
      </c>
      <c r="I57" s="91"/>
      <c r="J57" s="83"/>
      <c r="K57" s="84"/>
      <c r="L57" s="84"/>
      <c r="M57" s="85"/>
      <c r="N57" s="40"/>
      <c r="O57" s="85"/>
      <c r="P57" s="86"/>
      <c r="Q57" s="87"/>
      <c r="R57" s="88"/>
    </row>
    <row r="58" spans="1:18" s="89" customFormat="1" ht="36.75" customHeight="1" outlineLevel="1" x14ac:dyDescent="0.2">
      <c r="A58" s="49" t="s">
        <v>227</v>
      </c>
      <c r="B58" s="47">
        <v>84191</v>
      </c>
      <c r="C58" s="48" t="s">
        <v>83</v>
      </c>
      <c r="D58" s="49" t="s">
        <v>24</v>
      </c>
      <c r="E58" s="50">
        <v>12</v>
      </c>
      <c r="F58" s="50">
        <v>111.14</v>
      </c>
      <c r="G58" s="51">
        <f>TRUNC(F58*$J$13,2)</f>
        <v>140.03</v>
      </c>
      <c r="H58" s="51">
        <f>TRUNC(E58*G58,2)</f>
        <v>1680.36</v>
      </c>
      <c r="I58" s="91"/>
      <c r="J58" s="83"/>
      <c r="K58" s="84"/>
      <c r="L58" s="84"/>
      <c r="M58" s="85"/>
      <c r="N58" s="40"/>
      <c r="O58" s="85"/>
      <c r="P58" s="86"/>
      <c r="Q58" s="87"/>
      <c r="R58" s="88"/>
    </row>
    <row r="59" spans="1:18" s="100" customFormat="1" ht="34.5" customHeight="1" outlineLevel="1" x14ac:dyDescent="0.2">
      <c r="A59" s="49" t="s">
        <v>395</v>
      </c>
      <c r="B59" s="47">
        <v>87262</v>
      </c>
      <c r="C59" s="48" t="s">
        <v>85</v>
      </c>
      <c r="D59" s="49" t="s">
        <v>24</v>
      </c>
      <c r="E59" s="50">
        <f>M59</f>
        <v>33.92</v>
      </c>
      <c r="F59" s="50">
        <v>92.82</v>
      </c>
      <c r="G59" s="51">
        <f>TRUNC(F59*$J$13,2)</f>
        <v>116.95</v>
      </c>
      <c r="H59" s="51">
        <f>TRUNC(E59*G59,2)</f>
        <v>3966.94</v>
      </c>
      <c r="I59" s="94"/>
      <c r="J59" s="95"/>
      <c r="K59" s="83" t="s">
        <v>67</v>
      </c>
      <c r="L59" s="96"/>
      <c r="M59" s="97">
        <v>33.92</v>
      </c>
      <c r="N59" s="40"/>
      <c r="O59" s="97"/>
      <c r="P59" s="86" t="s">
        <v>69</v>
      </c>
      <c r="Q59" s="98"/>
      <c r="R59" s="99"/>
    </row>
    <row r="60" spans="1:18" s="27" customFormat="1" outlineLevel="1" x14ac:dyDescent="0.2">
      <c r="A60" s="66" t="s">
        <v>96</v>
      </c>
      <c r="B60" s="66"/>
      <c r="C60" s="43" t="s">
        <v>87</v>
      </c>
      <c r="D60" s="41"/>
      <c r="E60" s="43"/>
      <c r="F60" s="43"/>
      <c r="G60" s="67" t="s">
        <v>39</v>
      </c>
      <c r="H60" s="41"/>
      <c r="I60" s="44">
        <f>SUM(H61:H63)</f>
        <v>5119.59</v>
      </c>
      <c r="J60" s="74"/>
      <c r="K60" s="12"/>
      <c r="L60" s="12"/>
      <c r="M60" s="4"/>
      <c r="N60" s="40"/>
      <c r="O60" s="4"/>
      <c r="P60" s="5"/>
      <c r="Q60" s="26"/>
      <c r="R60" s="6"/>
    </row>
    <row r="61" spans="1:18" s="89" customFormat="1" ht="15" customHeight="1" outlineLevel="1" x14ac:dyDescent="0.2">
      <c r="A61" s="49" t="s">
        <v>98</v>
      </c>
      <c r="B61" s="47">
        <v>72117</v>
      </c>
      <c r="C61" s="101" t="s">
        <v>89</v>
      </c>
      <c r="D61" s="49" t="s">
        <v>24</v>
      </c>
      <c r="E61" s="50">
        <f>M61</f>
        <v>7.3599999999999994</v>
      </c>
      <c r="F61" s="50">
        <v>159.13</v>
      </c>
      <c r="G61" s="51">
        <f>TRUNC(F61*$J$13,2)</f>
        <v>200.5</v>
      </c>
      <c r="H61" s="51">
        <f>TRUNC(E61*G61,2)</f>
        <v>1475.68</v>
      </c>
      <c r="I61" s="102"/>
      <c r="J61" s="83"/>
      <c r="K61" s="83" t="s">
        <v>90</v>
      </c>
      <c r="L61" s="83"/>
      <c r="M61" s="85">
        <f>36.8*0.2</f>
        <v>7.3599999999999994</v>
      </c>
      <c r="N61" s="40"/>
      <c r="O61" s="85"/>
      <c r="P61" s="86"/>
      <c r="Q61" s="87"/>
      <c r="R61" s="88"/>
    </row>
    <row r="62" spans="1:18" s="89" customFormat="1" outlineLevel="1" x14ac:dyDescent="0.2">
      <c r="A62" s="49" t="s">
        <v>101</v>
      </c>
      <c r="B62" s="47">
        <v>84886</v>
      </c>
      <c r="C62" s="101" t="s">
        <v>92</v>
      </c>
      <c r="D62" s="49" t="s">
        <v>93</v>
      </c>
      <c r="E62" s="50">
        <v>2</v>
      </c>
      <c r="F62" s="50">
        <v>1139.6199999999999</v>
      </c>
      <c r="G62" s="51">
        <f>TRUNC(F62*$J$13,2)</f>
        <v>1435.92</v>
      </c>
      <c r="H62" s="51">
        <f>TRUNC(E62*G62,2)</f>
        <v>2871.84</v>
      </c>
      <c r="I62" s="102"/>
      <c r="J62" s="83"/>
      <c r="K62" s="83"/>
      <c r="L62" s="83"/>
      <c r="M62" s="85"/>
      <c r="N62" s="40"/>
      <c r="O62" s="85"/>
      <c r="P62" s="86"/>
      <c r="Q62" s="87"/>
      <c r="R62" s="88"/>
    </row>
    <row r="63" spans="1:18" s="89" customFormat="1" ht="45" customHeight="1" outlineLevel="1" x14ac:dyDescent="0.2">
      <c r="A63" s="49" t="s">
        <v>104</v>
      </c>
      <c r="B63" s="47">
        <v>84885</v>
      </c>
      <c r="C63" s="48" t="s">
        <v>95</v>
      </c>
      <c r="D63" s="49" t="s">
        <v>45</v>
      </c>
      <c r="E63" s="50">
        <v>1</v>
      </c>
      <c r="F63" s="50">
        <v>612.76</v>
      </c>
      <c r="G63" s="51">
        <f>TRUNC(F63*$J$13,2)</f>
        <v>772.07</v>
      </c>
      <c r="H63" s="51">
        <f>TRUNC(E63*G63,2)</f>
        <v>772.07</v>
      </c>
      <c r="I63" s="102"/>
      <c r="J63" s="83"/>
      <c r="K63" s="83"/>
      <c r="L63" s="83"/>
      <c r="M63" s="85"/>
      <c r="N63" s="40"/>
      <c r="O63" s="85"/>
      <c r="P63" s="86"/>
      <c r="Q63" s="87"/>
      <c r="R63" s="88"/>
    </row>
    <row r="64" spans="1:18" s="27" customFormat="1" outlineLevel="1" x14ac:dyDescent="0.2">
      <c r="A64" s="66" t="s">
        <v>117</v>
      </c>
      <c r="B64" s="66"/>
      <c r="C64" s="43" t="s">
        <v>97</v>
      </c>
      <c r="D64" s="41"/>
      <c r="E64" s="43"/>
      <c r="F64" s="43"/>
      <c r="G64" s="67" t="s">
        <v>39</v>
      </c>
      <c r="H64" s="41"/>
      <c r="I64" s="44">
        <f>SUM(H65:H74)</f>
        <v>33683.21</v>
      </c>
      <c r="J64" s="74"/>
      <c r="K64" s="12"/>
      <c r="L64" s="12"/>
      <c r="M64" s="4"/>
      <c r="N64" s="40"/>
      <c r="O64" s="4"/>
      <c r="P64" s="5"/>
      <c r="Q64" s="26"/>
      <c r="R64" s="6"/>
    </row>
    <row r="65" spans="1:18" s="104" customFormat="1" ht="30" customHeight="1" outlineLevel="1" x14ac:dyDescent="0.2">
      <c r="A65" s="49" t="s">
        <v>119</v>
      </c>
      <c r="B65" s="47">
        <v>88423</v>
      </c>
      <c r="C65" s="48" t="s">
        <v>99</v>
      </c>
      <c r="D65" s="49" t="s">
        <v>24</v>
      </c>
      <c r="E65" s="103">
        <f>M65</f>
        <v>228.59499999999997</v>
      </c>
      <c r="F65" s="50">
        <v>16.21</v>
      </c>
      <c r="G65" s="51">
        <f>TRUNC(F65*$J$13,2)</f>
        <v>20.420000000000002</v>
      </c>
      <c r="H65" s="51">
        <f t="shared" ref="H65:H74" si="6">TRUNC(E65*G65,2)</f>
        <v>4667.8999999999996</v>
      </c>
      <c r="I65" s="102"/>
      <c r="J65" s="83"/>
      <c r="K65" s="83" t="s">
        <v>100</v>
      </c>
      <c r="L65" s="83"/>
      <c r="M65" s="85">
        <f>(81.66*3.25-36.8)</f>
        <v>228.59499999999997</v>
      </c>
      <c r="N65" s="40"/>
      <c r="O65" s="85"/>
      <c r="P65" s="86"/>
      <c r="Q65" s="85"/>
      <c r="R65" s="85"/>
    </row>
    <row r="66" spans="1:18" s="104" customFormat="1" ht="12.95" customHeight="1" outlineLevel="1" x14ac:dyDescent="0.2">
      <c r="A66" s="49" t="s">
        <v>121</v>
      </c>
      <c r="B66" s="47">
        <v>88496</v>
      </c>
      <c r="C66" s="68" t="s">
        <v>102</v>
      </c>
      <c r="D66" s="49" t="s">
        <v>24</v>
      </c>
      <c r="E66" s="103">
        <f>M66</f>
        <v>104.16600000000001</v>
      </c>
      <c r="F66" s="50">
        <v>19.940000000000001</v>
      </c>
      <c r="G66" s="51">
        <f t="shared" ref="G66:G74" si="7">TRUNC(F66*$J$13,2)</f>
        <v>25.12</v>
      </c>
      <c r="H66" s="51">
        <f t="shared" si="6"/>
        <v>2616.64</v>
      </c>
      <c r="I66" s="102"/>
      <c r="J66" s="83"/>
      <c r="K66" s="83" t="s">
        <v>103</v>
      </c>
      <c r="L66" s="83"/>
      <c r="M66" s="85">
        <f>347.22*0.3</f>
        <v>104.16600000000001</v>
      </c>
      <c r="N66" s="40"/>
      <c r="O66" s="85"/>
      <c r="P66" s="86"/>
      <c r="Q66" s="85"/>
      <c r="R66" s="85"/>
    </row>
    <row r="67" spans="1:18" s="89" customFormat="1" ht="24.95" customHeight="1" outlineLevel="1" x14ac:dyDescent="0.2">
      <c r="A67" s="49" t="s">
        <v>123</v>
      </c>
      <c r="B67" s="47">
        <v>88488</v>
      </c>
      <c r="C67" s="48" t="s">
        <v>105</v>
      </c>
      <c r="D67" s="49" t="s">
        <v>24</v>
      </c>
      <c r="E67" s="103">
        <v>313.64999999999998</v>
      </c>
      <c r="F67" s="50">
        <v>12.65</v>
      </c>
      <c r="G67" s="51">
        <f t="shared" si="7"/>
        <v>15.93</v>
      </c>
      <c r="H67" s="51">
        <f t="shared" si="6"/>
        <v>4996.4399999999996</v>
      </c>
      <c r="I67" s="102"/>
      <c r="J67" s="83"/>
      <c r="K67" s="83"/>
      <c r="L67" s="83"/>
      <c r="M67" s="85"/>
      <c r="N67" s="40"/>
      <c r="O67" s="85"/>
      <c r="P67" s="86"/>
      <c r="Q67" s="87"/>
      <c r="R67" s="88"/>
    </row>
    <row r="68" spans="1:18" s="89" customFormat="1" ht="24.95" customHeight="1" outlineLevel="1" x14ac:dyDescent="0.2">
      <c r="A68" s="49" t="s">
        <v>125</v>
      </c>
      <c r="B68" s="47">
        <v>88497</v>
      </c>
      <c r="C68" s="48" t="s">
        <v>107</v>
      </c>
      <c r="D68" s="49" t="s">
        <v>24</v>
      </c>
      <c r="E68" s="103">
        <f>M68</f>
        <v>217.22249999999997</v>
      </c>
      <c r="F68" s="50">
        <v>11.24</v>
      </c>
      <c r="G68" s="51">
        <f t="shared" si="7"/>
        <v>14.16</v>
      </c>
      <c r="H68" s="51">
        <f t="shared" si="6"/>
        <v>3075.87</v>
      </c>
      <c r="I68" s="102"/>
      <c r="J68" s="83"/>
      <c r="K68" s="83" t="s">
        <v>108</v>
      </c>
      <c r="L68" s="83"/>
      <c r="M68" s="85">
        <f>((243.1*3.25)-66) * 0.3</f>
        <v>217.22249999999997</v>
      </c>
      <c r="N68" s="40"/>
      <c r="O68" s="85">
        <f>((243.1*3.25)-66)</f>
        <v>724.07499999999993</v>
      </c>
      <c r="P68" s="86"/>
      <c r="Q68" s="87"/>
      <c r="R68" s="88"/>
    </row>
    <row r="69" spans="1:18" s="89" customFormat="1" ht="24.95" customHeight="1" outlineLevel="1" x14ac:dyDescent="0.2">
      <c r="A69" s="49" t="s">
        <v>127</v>
      </c>
      <c r="B69" s="47">
        <v>88489</v>
      </c>
      <c r="C69" s="48" t="s">
        <v>109</v>
      </c>
      <c r="D69" s="49" t="s">
        <v>24</v>
      </c>
      <c r="E69" s="103">
        <v>875.84</v>
      </c>
      <c r="F69" s="50">
        <v>11.3</v>
      </c>
      <c r="G69" s="51">
        <f t="shared" si="7"/>
        <v>14.23</v>
      </c>
      <c r="H69" s="51">
        <f t="shared" si="6"/>
        <v>12463.2</v>
      </c>
      <c r="I69" s="102"/>
      <c r="J69" s="83"/>
      <c r="K69" s="83"/>
      <c r="L69" s="83"/>
      <c r="M69" s="85"/>
      <c r="N69" s="40"/>
      <c r="O69" s="85"/>
      <c r="P69" s="86"/>
      <c r="Q69" s="87"/>
      <c r="R69" s="88"/>
    </row>
    <row r="70" spans="1:18" s="89" customFormat="1" ht="15" customHeight="1" outlineLevel="1" x14ac:dyDescent="0.2">
      <c r="A70" s="49" t="s">
        <v>130</v>
      </c>
      <c r="B70" s="47" t="s">
        <v>110</v>
      </c>
      <c r="C70" s="48" t="s">
        <v>111</v>
      </c>
      <c r="D70" s="49" t="s">
        <v>24</v>
      </c>
      <c r="E70" s="50">
        <v>32</v>
      </c>
      <c r="F70" s="50">
        <v>15.01</v>
      </c>
      <c r="G70" s="51">
        <f t="shared" si="7"/>
        <v>18.91</v>
      </c>
      <c r="H70" s="51">
        <f t="shared" si="6"/>
        <v>605.12</v>
      </c>
      <c r="I70" s="102"/>
      <c r="J70" s="83"/>
      <c r="K70" s="83"/>
      <c r="L70" s="83"/>
      <c r="M70" s="85" t="e">
        <f>#REF!</f>
        <v>#REF!</v>
      </c>
      <c r="N70" s="40"/>
      <c r="O70" s="85"/>
      <c r="P70" s="86"/>
      <c r="Q70" s="87"/>
      <c r="R70" s="88"/>
    </row>
    <row r="71" spans="1:18" s="89" customFormat="1" ht="24.95" customHeight="1" outlineLevel="1" x14ac:dyDescent="0.2">
      <c r="A71" s="49" t="s">
        <v>132</v>
      </c>
      <c r="B71" s="47">
        <v>88489</v>
      </c>
      <c r="C71" s="105" t="s">
        <v>112</v>
      </c>
      <c r="D71" s="49" t="s">
        <v>24</v>
      </c>
      <c r="E71" s="103">
        <f>M71</f>
        <v>62.975999999999999</v>
      </c>
      <c r="F71" s="50">
        <v>11.24</v>
      </c>
      <c r="G71" s="51">
        <f t="shared" si="7"/>
        <v>14.16</v>
      </c>
      <c r="H71" s="51">
        <f t="shared" si="6"/>
        <v>891.74</v>
      </c>
      <c r="I71" s="102"/>
      <c r="J71" s="83"/>
      <c r="K71" s="93" t="s">
        <v>113</v>
      </c>
      <c r="L71" s="83"/>
      <c r="M71" s="83">
        <f>3.28*1.6*12</f>
        <v>62.975999999999999</v>
      </c>
      <c r="N71" s="40"/>
      <c r="O71" s="85"/>
      <c r="P71" s="86"/>
      <c r="Q71" s="87"/>
      <c r="R71" s="88"/>
    </row>
    <row r="72" spans="1:18" s="89" customFormat="1" ht="22.5" customHeight="1" outlineLevel="1" x14ac:dyDescent="0.2">
      <c r="A72" s="49" t="s">
        <v>134</v>
      </c>
      <c r="B72" s="47">
        <v>100725</v>
      </c>
      <c r="C72" s="48" t="s">
        <v>805</v>
      </c>
      <c r="D72" s="49" t="s">
        <v>24</v>
      </c>
      <c r="E72" s="103">
        <f>39.04*2</f>
        <v>78.08</v>
      </c>
      <c r="F72" s="50">
        <v>16.12</v>
      </c>
      <c r="G72" s="51">
        <f t="shared" si="7"/>
        <v>20.309999999999999</v>
      </c>
      <c r="H72" s="51">
        <f t="shared" si="6"/>
        <v>1585.8</v>
      </c>
      <c r="I72" s="102"/>
      <c r="J72" s="83"/>
      <c r="K72" s="83"/>
      <c r="L72" s="83"/>
      <c r="M72" s="85"/>
      <c r="N72" s="40"/>
      <c r="O72" s="85"/>
      <c r="P72" s="86"/>
      <c r="Q72" s="87"/>
      <c r="R72" s="88"/>
    </row>
    <row r="73" spans="1:18" s="89" customFormat="1" ht="39" customHeight="1" outlineLevel="1" x14ac:dyDescent="0.2">
      <c r="A73" s="49" t="s">
        <v>137</v>
      </c>
      <c r="B73" s="47">
        <v>100727</v>
      </c>
      <c r="C73" s="105" t="s">
        <v>806</v>
      </c>
      <c r="D73" s="49" t="s">
        <v>24</v>
      </c>
      <c r="E73" s="103">
        <f>43.62*2</f>
        <v>87.24</v>
      </c>
      <c r="F73" s="50">
        <v>11.97</v>
      </c>
      <c r="G73" s="51">
        <f t="shared" ref="G73" si="8">TRUNC(F73*$J$13,2)</f>
        <v>15.08</v>
      </c>
      <c r="H73" s="51">
        <f t="shared" ref="H73" si="9">TRUNC(E73*G73,2)</f>
        <v>1315.57</v>
      </c>
      <c r="I73" s="102"/>
      <c r="J73" s="83"/>
      <c r="K73" s="383" t="s">
        <v>800</v>
      </c>
      <c r="L73" s="83">
        <f>22*1*2</f>
        <v>44</v>
      </c>
      <c r="M73" s="85"/>
      <c r="N73" s="40"/>
      <c r="O73" s="85"/>
      <c r="P73" s="86"/>
      <c r="Q73" s="87"/>
      <c r="R73" s="88"/>
    </row>
    <row r="74" spans="1:18" s="89" customFormat="1" ht="15" customHeight="1" outlineLevel="1" x14ac:dyDescent="0.2">
      <c r="A74" s="49" t="s">
        <v>139</v>
      </c>
      <c r="B74" s="47">
        <v>84665</v>
      </c>
      <c r="C74" s="48" t="s">
        <v>115</v>
      </c>
      <c r="D74" s="49" t="s">
        <v>24</v>
      </c>
      <c r="E74" s="50">
        <f>M74</f>
        <v>69.792000000000002</v>
      </c>
      <c r="F74" s="50">
        <v>16.66</v>
      </c>
      <c r="G74" s="51">
        <f t="shared" si="7"/>
        <v>20.99</v>
      </c>
      <c r="H74" s="51">
        <f t="shared" si="6"/>
        <v>1464.93</v>
      </c>
      <c r="I74" s="102"/>
      <c r="J74" s="83"/>
      <c r="K74" s="93" t="s">
        <v>116</v>
      </c>
      <c r="L74" s="83"/>
      <c r="M74" s="93">
        <f>1.6*21.81*2</f>
        <v>69.792000000000002</v>
      </c>
      <c r="N74" s="40"/>
      <c r="O74" s="85"/>
      <c r="P74" s="86"/>
      <c r="Q74" s="87"/>
      <c r="R74" s="88"/>
    </row>
    <row r="75" spans="1:18" s="27" customFormat="1" outlineLevel="1" x14ac:dyDescent="0.2">
      <c r="A75" s="66" t="s">
        <v>161</v>
      </c>
      <c r="B75" s="66"/>
      <c r="C75" s="43" t="s">
        <v>118</v>
      </c>
      <c r="D75" s="41"/>
      <c r="E75" s="43"/>
      <c r="F75" s="43"/>
      <c r="G75" s="67" t="s">
        <v>39</v>
      </c>
      <c r="H75" s="41"/>
      <c r="I75" s="44">
        <f>SUM(H76:H102)</f>
        <v>56988.680000000008</v>
      </c>
      <c r="J75" s="74"/>
      <c r="K75" s="12"/>
      <c r="L75" s="12"/>
      <c r="M75" s="4"/>
      <c r="N75" s="40"/>
      <c r="O75" s="4"/>
      <c r="P75" s="5"/>
      <c r="Q75" s="26"/>
      <c r="R75" s="6"/>
    </row>
    <row r="76" spans="1:18" s="100" customFormat="1" ht="30" customHeight="1" outlineLevel="1" x14ac:dyDescent="0.2">
      <c r="A76" s="49" t="s">
        <v>163</v>
      </c>
      <c r="B76" s="47">
        <v>91932</v>
      </c>
      <c r="C76" s="48" t="s">
        <v>120</v>
      </c>
      <c r="D76" s="49" t="s">
        <v>56</v>
      </c>
      <c r="E76" s="50">
        <v>150</v>
      </c>
      <c r="F76" s="50">
        <v>9.9499999999999993</v>
      </c>
      <c r="G76" s="51">
        <f t="shared" ref="G76:G101" si="10">TRUNC(F76*$J$13,2)</f>
        <v>12.53</v>
      </c>
      <c r="H76" s="51">
        <f>TRUNC(E76*G76,2)</f>
        <v>1879.5</v>
      </c>
      <c r="I76" s="106"/>
      <c r="J76" s="95"/>
      <c r="K76" s="95"/>
      <c r="L76" s="95"/>
      <c r="M76" s="97"/>
      <c r="N76" s="40"/>
      <c r="O76" s="97"/>
      <c r="P76" s="107"/>
      <c r="Q76" s="98"/>
      <c r="R76" s="99"/>
    </row>
    <row r="77" spans="1:18" s="100" customFormat="1" ht="30" customHeight="1" outlineLevel="1" x14ac:dyDescent="0.2">
      <c r="A77" s="49" t="s">
        <v>164</v>
      </c>
      <c r="B77" s="47">
        <v>91930</v>
      </c>
      <c r="C77" s="48" t="s">
        <v>122</v>
      </c>
      <c r="D77" s="49" t="s">
        <v>56</v>
      </c>
      <c r="E77" s="50">
        <v>300</v>
      </c>
      <c r="F77" s="50">
        <v>6.06</v>
      </c>
      <c r="G77" s="51">
        <f t="shared" si="10"/>
        <v>7.63</v>
      </c>
      <c r="H77" s="51">
        <f>TRUNC(E77*G77,2)</f>
        <v>2289</v>
      </c>
      <c r="I77" s="106"/>
      <c r="J77" s="95"/>
      <c r="K77" s="95"/>
      <c r="L77" s="95"/>
      <c r="M77" s="97"/>
      <c r="N77" s="40"/>
      <c r="O77" s="97"/>
      <c r="P77" s="107"/>
      <c r="Q77" s="98"/>
      <c r="R77" s="99"/>
    </row>
    <row r="78" spans="1:18" s="100" customFormat="1" ht="30" customHeight="1" outlineLevel="1" x14ac:dyDescent="0.2">
      <c r="A78" s="49" t="s">
        <v>165</v>
      </c>
      <c r="B78" s="47">
        <v>91928</v>
      </c>
      <c r="C78" s="48" t="s">
        <v>124</v>
      </c>
      <c r="D78" s="49" t="s">
        <v>56</v>
      </c>
      <c r="E78" s="50">
        <v>700</v>
      </c>
      <c r="F78" s="50">
        <v>4.42</v>
      </c>
      <c r="G78" s="51">
        <f t="shared" si="10"/>
        <v>5.56</v>
      </c>
      <c r="H78" s="51">
        <f t="shared" ref="H78:H100" si="11">TRUNC(E78*G78,2)</f>
        <v>3892</v>
      </c>
      <c r="I78" s="106"/>
      <c r="J78" s="95"/>
      <c r="K78" s="96"/>
      <c r="L78" s="96"/>
      <c r="M78" s="97"/>
      <c r="N78" s="40"/>
      <c r="O78" s="97"/>
      <c r="P78" s="107"/>
      <c r="Q78" s="98"/>
      <c r="R78" s="99"/>
    </row>
    <row r="79" spans="1:18" s="100" customFormat="1" ht="30" customHeight="1" outlineLevel="1" x14ac:dyDescent="0.2">
      <c r="A79" s="49" t="s">
        <v>166</v>
      </c>
      <c r="B79" s="47">
        <v>91927</v>
      </c>
      <c r="C79" s="48" t="s">
        <v>126</v>
      </c>
      <c r="D79" s="49" t="s">
        <v>56</v>
      </c>
      <c r="E79" s="50">
        <v>700</v>
      </c>
      <c r="F79" s="50">
        <v>3.58</v>
      </c>
      <c r="G79" s="51">
        <f t="shared" si="10"/>
        <v>4.51</v>
      </c>
      <c r="H79" s="51">
        <f t="shared" si="11"/>
        <v>3157</v>
      </c>
      <c r="I79" s="106"/>
      <c r="J79" s="95"/>
      <c r="K79" s="96"/>
      <c r="L79" s="96"/>
      <c r="M79" s="97"/>
      <c r="N79" s="40"/>
      <c r="O79" s="97"/>
      <c r="P79" s="107"/>
      <c r="Q79" s="98"/>
      <c r="R79" s="99"/>
    </row>
    <row r="80" spans="1:18" s="100" customFormat="1" ht="30" customHeight="1" outlineLevel="1" x14ac:dyDescent="0.2">
      <c r="A80" s="49" t="s">
        <v>167</v>
      </c>
      <c r="B80" s="47">
        <v>90447</v>
      </c>
      <c r="C80" s="48" t="s">
        <v>128</v>
      </c>
      <c r="D80" s="49" t="s">
        <v>56</v>
      </c>
      <c r="E80" s="50">
        <v>180</v>
      </c>
      <c r="F80" s="50">
        <v>4.45</v>
      </c>
      <c r="G80" s="51">
        <f t="shared" si="10"/>
        <v>5.6</v>
      </c>
      <c r="H80" s="51">
        <f t="shared" si="11"/>
        <v>1008</v>
      </c>
      <c r="I80" s="106"/>
      <c r="J80" s="95"/>
      <c r="K80" s="96" t="s">
        <v>129</v>
      </c>
      <c r="L80" s="96"/>
      <c r="M80" s="97"/>
      <c r="N80" s="40"/>
      <c r="O80" s="97"/>
      <c r="P80" s="107"/>
      <c r="Q80" s="98"/>
      <c r="R80" s="99"/>
    </row>
    <row r="81" spans="1:18" s="65" customFormat="1" ht="30" customHeight="1" outlineLevel="1" x14ac:dyDescent="0.2">
      <c r="A81" s="49" t="s">
        <v>168</v>
      </c>
      <c r="B81" s="47">
        <v>91836</v>
      </c>
      <c r="C81" s="48" t="s">
        <v>131</v>
      </c>
      <c r="D81" s="49" t="s">
        <v>56</v>
      </c>
      <c r="E81" s="50">
        <v>100</v>
      </c>
      <c r="F81" s="50">
        <v>7.55</v>
      </c>
      <c r="G81" s="51">
        <f t="shared" si="10"/>
        <v>9.51</v>
      </c>
      <c r="H81" s="51">
        <f t="shared" si="11"/>
        <v>951</v>
      </c>
      <c r="I81" s="106"/>
      <c r="J81" s="95"/>
      <c r="K81" s="96"/>
      <c r="L81" s="96"/>
      <c r="M81" s="108"/>
      <c r="N81" s="109"/>
      <c r="O81" s="110"/>
      <c r="P81" s="111"/>
      <c r="Q81" s="61"/>
      <c r="R81" s="110"/>
    </row>
    <row r="82" spans="1:18" s="100" customFormat="1" ht="30" customHeight="1" outlineLevel="1" x14ac:dyDescent="0.2">
      <c r="A82" s="49" t="s">
        <v>170</v>
      </c>
      <c r="B82" s="47">
        <v>91869</v>
      </c>
      <c r="C82" s="48" t="s">
        <v>133</v>
      </c>
      <c r="D82" s="49" t="s">
        <v>56</v>
      </c>
      <c r="E82" s="50">
        <v>50</v>
      </c>
      <c r="F82" s="50">
        <v>10.32</v>
      </c>
      <c r="G82" s="51">
        <f t="shared" si="10"/>
        <v>13</v>
      </c>
      <c r="H82" s="51">
        <f t="shared" si="11"/>
        <v>650</v>
      </c>
      <c r="I82" s="106"/>
      <c r="J82" s="95"/>
      <c r="N82" s="112"/>
      <c r="O82" s="97"/>
      <c r="P82" s="107"/>
      <c r="Q82" s="98"/>
      <c r="R82" s="99"/>
    </row>
    <row r="83" spans="1:18" s="100" customFormat="1" outlineLevel="1" x14ac:dyDescent="0.2">
      <c r="A83" s="49" t="s">
        <v>172</v>
      </c>
      <c r="B83" s="47">
        <v>91990</v>
      </c>
      <c r="C83" s="48" t="s">
        <v>135</v>
      </c>
      <c r="D83" s="49" t="s">
        <v>45</v>
      </c>
      <c r="E83" s="50">
        <v>100</v>
      </c>
      <c r="F83" s="50">
        <v>20.73</v>
      </c>
      <c r="G83" s="51">
        <f t="shared" si="10"/>
        <v>26.11</v>
      </c>
      <c r="H83" s="51">
        <f t="shared" si="11"/>
        <v>2611</v>
      </c>
      <c r="I83" s="106"/>
      <c r="J83" s="95"/>
      <c r="K83" s="96" t="s">
        <v>136</v>
      </c>
      <c r="L83" s="96"/>
      <c r="M83" s="97"/>
      <c r="N83" s="40"/>
      <c r="O83" s="97"/>
      <c r="P83" s="107"/>
      <c r="Q83" s="98"/>
      <c r="R83" s="99"/>
    </row>
    <row r="84" spans="1:18" s="100" customFormat="1" outlineLevel="1" x14ac:dyDescent="0.2">
      <c r="A84" s="49" t="s">
        <v>174</v>
      </c>
      <c r="B84" s="47">
        <v>91991</v>
      </c>
      <c r="C84" s="48" t="s">
        <v>138</v>
      </c>
      <c r="D84" s="49" t="s">
        <v>45</v>
      </c>
      <c r="E84" s="50">
        <v>32</v>
      </c>
      <c r="F84" s="50">
        <v>21.99</v>
      </c>
      <c r="G84" s="51">
        <f t="shared" si="10"/>
        <v>27.7</v>
      </c>
      <c r="H84" s="51">
        <f t="shared" si="11"/>
        <v>886.4</v>
      </c>
      <c r="I84" s="106"/>
      <c r="J84" s="95"/>
      <c r="K84" s="95"/>
      <c r="L84" s="95"/>
      <c r="M84" s="97"/>
      <c r="N84" s="40"/>
      <c r="O84" s="97"/>
      <c r="P84" s="107"/>
      <c r="Q84" s="98"/>
      <c r="R84" s="99"/>
    </row>
    <row r="85" spans="1:18" s="100" customFormat="1" ht="22.5" outlineLevel="1" x14ac:dyDescent="0.2">
      <c r="A85" s="49" t="s">
        <v>176</v>
      </c>
      <c r="B85" s="47">
        <v>91953</v>
      </c>
      <c r="C85" s="48" t="s">
        <v>140</v>
      </c>
      <c r="D85" s="49" t="s">
        <v>45</v>
      </c>
      <c r="E85" s="50">
        <v>15</v>
      </c>
      <c r="F85" s="50">
        <v>16.14</v>
      </c>
      <c r="G85" s="51">
        <f t="shared" si="10"/>
        <v>20.329999999999998</v>
      </c>
      <c r="H85" s="51">
        <f t="shared" si="11"/>
        <v>304.95</v>
      </c>
      <c r="I85" s="106"/>
      <c r="J85" s="95"/>
      <c r="K85" s="95"/>
      <c r="L85" s="95"/>
      <c r="M85" s="97"/>
      <c r="N85" s="40"/>
      <c r="O85" s="97"/>
      <c r="P85" s="107"/>
      <c r="Q85" s="98"/>
      <c r="R85" s="99"/>
    </row>
    <row r="86" spans="1:18" s="100" customFormat="1" ht="22.5" outlineLevel="1" x14ac:dyDescent="0.2">
      <c r="A86" s="49" t="s">
        <v>178</v>
      </c>
      <c r="B86" s="47">
        <v>91959</v>
      </c>
      <c r="C86" s="48" t="s">
        <v>141</v>
      </c>
      <c r="D86" s="49" t="s">
        <v>45</v>
      </c>
      <c r="E86" s="50">
        <v>10</v>
      </c>
      <c r="F86" s="50">
        <v>25.5</v>
      </c>
      <c r="G86" s="51">
        <f t="shared" si="10"/>
        <v>32.130000000000003</v>
      </c>
      <c r="H86" s="51">
        <f t="shared" si="11"/>
        <v>321.3</v>
      </c>
      <c r="I86" s="106"/>
      <c r="J86" s="95"/>
      <c r="K86" s="95"/>
      <c r="L86" s="95"/>
      <c r="M86" s="97"/>
      <c r="N86" s="40"/>
      <c r="O86" s="97"/>
      <c r="P86" s="107"/>
      <c r="Q86" s="98"/>
      <c r="R86" s="99"/>
    </row>
    <row r="87" spans="1:18" s="100" customFormat="1" ht="22.5" outlineLevel="1" x14ac:dyDescent="0.2">
      <c r="A87" s="49" t="s">
        <v>676</v>
      </c>
      <c r="B87" s="47">
        <v>93653</v>
      </c>
      <c r="C87" s="48" t="s">
        <v>142</v>
      </c>
      <c r="D87" s="49" t="s">
        <v>45</v>
      </c>
      <c r="E87" s="50">
        <v>8</v>
      </c>
      <c r="F87" s="50">
        <v>9.3699999999999992</v>
      </c>
      <c r="G87" s="51">
        <f t="shared" si="10"/>
        <v>11.8</v>
      </c>
      <c r="H87" s="51">
        <f t="shared" si="11"/>
        <v>94.4</v>
      </c>
      <c r="I87" s="106"/>
      <c r="J87" s="95"/>
      <c r="K87" s="95"/>
      <c r="L87" s="95"/>
      <c r="M87" s="97"/>
      <c r="N87" s="40"/>
      <c r="O87" s="97"/>
      <c r="P87" s="107"/>
      <c r="Q87" s="98"/>
      <c r="R87" s="99"/>
    </row>
    <row r="88" spans="1:18" s="100" customFormat="1" ht="22.5" outlineLevel="1" x14ac:dyDescent="0.2">
      <c r="A88" s="49" t="s">
        <v>677</v>
      </c>
      <c r="B88" s="47">
        <v>93655</v>
      </c>
      <c r="C88" s="48" t="s">
        <v>143</v>
      </c>
      <c r="D88" s="49" t="s">
        <v>45</v>
      </c>
      <c r="E88" s="50">
        <v>5</v>
      </c>
      <c r="F88" s="50">
        <v>10.59</v>
      </c>
      <c r="G88" s="51">
        <f>TRUNC(F88*$J$13,2)</f>
        <v>13.34</v>
      </c>
      <c r="H88" s="51">
        <f>TRUNC(E88*G88,2)</f>
        <v>66.7</v>
      </c>
      <c r="I88" s="106"/>
      <c r="J88" s="95"/>
      <c r="K88" s="95"/>
      <c r="L88" s="95"/>
      <c r="M88" s="97"/>
      <c r="N88" s="40"/>
      <c r="O88" s="97"/>
      <c r="P88" s="107"/>
      <c r="Q88" s="98"/>
      <c r="R88" s="99"/>
    </row>
    <row r="89" spans="1:18" s="100" customFormat="1" ht="22.5" outlineLevel="1" x14ac:dyDescent="0.2">
      <c r="A89" s="49" t="s">
        <v>312</v>
      </c>
      <c r="B89" s="47">
        <v>93657</v>
      </c>
      <c r="C89" s="48" t="s">
        <v>144</v>
      </c>
      <c r="D89" s="49" t="s">
        <v>45</v>
      </c>
      <c r="E89" s="50">
        <v>3</v>
      </c>
      <c r="F89" s="50">
        <v>11.59</v>
      </c>
      <c r="G89" s="51">
        <f>TRUNC(F89*$J$13,2)</f>
        <v>14.6</v>
      </c>
      <c r="H89" s="51">
        <f>TRUNC(E89*G89,2)</f>
        <v>43.8</v>
      </c>
      <c r="I89" s="106"/>
      <c r="J89" s="95"/>
      <c r="K89" s="95"/>
      <c r="L89" s="95"/>
      <c r="M89" s="97"/>
      <c r="N89" s="40"/>
      <c r="O89" s="97"/>
      <c r="P89" s="107"/>
      <c r="Q89" s="98"/>
      <c r="R89" s="99"/>
    </row>
    <row r="90" spans="1:18" s="100" customFormat="1" ht="22.5" outlineLevel="1" x14ac:dyDescent="0.2">
      <c r="A90" s="49" t="s">
        <v>182</v>
      </c>
      <c r="B90" s="47">
        <v>93660</v>
      </c>
      <c r="C90" s="48" t="s">
        <v>145</v>
      </c>
      <c r="D90" s="49" t="s">
        <v>45</v>
      </c>
      <c r="E90" s="50">
        <v>9</v>
      </c>
      <c r="F90" s="50">
        <v>46.9</v>
      </c>
      <c r="G90" s="51">
        <f>TRUNC(F90*$J$13,2)</f>
        <v>59.09</v>
      </c>
      <c r="H90" s="51">
        <f>TRUNC(E90*G90,2)</f>
        <v>531.80999999999995</v>
      </c>
      <c r="I90" s="106"/>
      <c r="J90" s="95"/>
      <c r="K90" s="95"/>
      <c r="L90" s="95"/>
      <c r="M90" s="97"/>
      <c r="N90" s="40"/>
      <c r="O90" s="97"/>
      <c r="P90" s="107"/>
      <c r="Q90" s="98"/>
      <c r="R90" s="99"/>
    </row>
    <row r="91" spans="1:18" s="100" customFormat="1" ht="22.5" outlineLevel="1" x14ac:dyDescent="0.2">
      <c r="A91" s="49" t="s">
        <v>184</v>
      </c>
      <c r="B91" s="47">
        <v>93662</v>
      </c>
      <c r="C91" s="48" t="s">
        <v>146</v>
      </c>
      <c r="D91" s="49" t="s">
        <v>45</v>
      </c>
      <c r="E91" s="50">
        <v>8</v>
      </c>
      <c r="F91" s="50">
        <v>49.38</v>
      </c>
      <c r="G91" s="51">
        <f>TRUNC(F91*$J$13,2)</f>
        <v>62.21</v>
      </c>
      <c r="H91" s="51">
        <f>TRUNC(E91*G91,2)</f>
        <v>497.68</v>
      </c>
      <c r="I91" s="106"/>
      <c r="J91" s="95"/>
      <c r="K91" s="95"/>
      <c r="L91" s="95"/>
      <c r="M91" s="97"/>
      <c r="N91" s="40"/>
      <c r="O91" s="97"/>
      <c r="P91" s="107"/>
      <c r="Q91" s="98"/>
      <c r="R91" s="99"/>
    </row>
    <row r="92" spans="1:18" s="100" customFormat="1" ht="22.5" outlineLevel="1" x14ac:dyDescent="0.2">
      <c r="A92" s="49" t="s">
        <v>678</v>
      </c>
      <c r="B92" s="47">
        <v>93664</v>
      </c>
      <c r="C92" s="48" t="s">
        <v>147</v>
      </c>
      <c r="D92" s="49" t="s">
        <v>45</v>
      </c>
      <c r="E92" s="50">
        <v>12</v>
      </c>
      <c r="F92" s="50">
        <v>51.34</v>
      </c>
      <c r="G92" s="51">
        <f>TRUNC(F92*$J$13,2)</f>
        <v>64.680000000000007</v>
      </c>
      <c r="H92" s="51">
        <f>TRUNC(E92*G92,2)</f>
        <v>776.16</v>
      </c>
      <c r="I92" s="106"/>
      <c r="J92" s="95"/>
      <c r="K92" s="95"/>
      <c r="L92" s="95"/>
      <c r="M92" s="97"/>
      <c r="N92" s="40"/>
      <c r="O92" s="97"/>
      <c r="P92" s="107"/>
      <c r="Q92" s="98"/>
      <c r="R92" s="99"/>
    </row>
    <row r="93" spans="1:18" s="100" customFormat="1" ht="22.5" outlineLevel="1" x14ac:dyDescent="0.2">
      <c r="A93" s="49" t="s">
        <v>679</v>
      </c>
      <c r="B93" s="47">
        <v>93673</v>
      </c>
      <c r="C93" s="48" t="s">
        <v>148</v>
      </c>
      <c r="D93" s="49" t="s">
        <v>45</v>
      </c>
      <c r="E93" s="50">
        <v>2</v>
      </c>
      <c r="F93" s="50">
        <v>75.680000000000007</v>
      </c>
      <c r="G93" s="51">
        <f t="shared" ref="G93:G96" si="12">TRUNC(F93*$J$13,2)</f>
        <v>95.35</v>
      </c>
      <c r="H93" s="51">
        <f t="shared" ref="H93:H96" si="13">TRUNC(E93*G93,2)</f>
        <v>190.7</v>
      </c>
      <c r="I93" s="106"/>
      <c r="J93" s="95"/>
      <c r="K93" s="95"/>
      <c r="L93" s="95"/>
      <c r="M93" s="97"/>
      <c r="N93" s="40"/>
      <c r="O93" s="97"/>
      <c r="P93" s="107"/>
      <c r="Q93" s="98"/>
      <c r="R93" s="99"/>
    </row>
    <row r="94" spans="1:18" s="100" customFormat="1" ht="22.5" outlineLevel="1" x14ac:dyDescent="0.2">
      <c r="A94" s="49" t="s">
        <v>680</v>
      </c>
      <c r="B94" s="47">
        <v>93667</v>
      </c>
      <c r="C94" s="48" t="s">
        <v>149</v>
      </c>
      <c r="D94" s="49" t="s">
        <v>45</v>
      </c>
      <c r="E94" s="50">
        <v>5</v>
      </c>
      <c r="F94" s="50">
        <v>58.47</v>
      </c>
      <c r="G94" s="51">
        <f t="shared" si="12"/>
        <v>73.67</v>
      </c>
      <c r="H94" s="51">
        <f t="shared" si="13"/>
        <v>368.35</v>
      </c>
      <c r="I94" s="106"/>
      <c r="J94" s="95"/>
      <c r="K94" s="95"/>
      <c r="L94" s="95"/>
      <c r="M94" s="97"/>
      <c r="N94" s="40"/>
      <c r="O94" s="97"/>
      <c r="P94" s="107"/>
      <c r="Q94" s="98"/>
      <c r="R94" s="99"/>
    </row>
    <row r="95" spans="1:18" s="100" customFormat="1" ht="22.5" outlineLevel="1" x14ac:dyDescent="0.2">
      <c r="A95" s="49" t="s">
        <v>681</v>
      </c>
      <c r="B95" s="47">
        <v>93669</v>
      </c>
      <c r="C95" s="48" t="s">
        <v>150</v>
      </c>
      <c r="D95" s="49" t="s">
        <v>45</v>
      </c>
      <c r="E95" s="50">
        <v>5</v>
      </c>
      <c r="F95" s="50">
        <v>62.18</v>
      </c>
      <c r="G95" s="51">
        <f t="shared" si="12"/>
        <v>78.34</v>
      </c>
      <c r="H95" s="51">
        <f t="shared" si="13"/>
        <v>391.7</v>
      </c>
      <c r="I95" s="106"/>
      <c r="J95" s="95"/>
      <c r="K95" s="95"/>
      <c r="L95" s="95"/>
      <c r="M95" s="97"/>
      <c r="N95" s="40"/>
      <c r="O95" s="97"/>
      <c r="P95" s="107"/>
      <c r="Q95" s="98"/>
      <c r="R95" s="99"/>
    </row>
    <row r="96" spans="1:18" s="100" customFormat="1" ht="22.5" outlineLevel="1" x14ac:dyDescent="0.2">
      <c r="A96" s="49" t="s">
        <v>682</v>
      </c>
      <c r="B96" s="47">
        <v>91941</v>
      </c>
      <c r="C96" s="48" t="s">
        <v>151</v>
      </c>
      <c r="D96" s="49" t="s">
        <v>45</v>
      </c>
      <c r="E96" s="50">
        <v>52</v>
      </c>
      <c r="F96" s="50">
        <v>6.8</v>
      </c>
      <c r="G96" s="51">
        <f t="shared" si="12"/>
        <v>8.56</v>
      </c>
      <c r="H96" s="51">
        <f t="shared" si="13"/>
        <v>445.12</v>
      </c>
      <c r="I96" s="106"/>
      <c r="J96" s="95"/>
      <c r="K96" s="95"/>
      <c r="L96" s="95"/>
      <c r="M96" s="97"/>
      <c r="N96" s="40"/>
      <c r="O96" s="97"/>
      <c r="P96" s="107"/>
      <c r="Q96" s="98"/>
      <c r="R96" s="99"/>
    </row>
    <row r="97" spans="1:18" s="100" customFormat="1" ht="22.5" outlineLevel="1" x14ac:dyDescent="0.2">
      <c r="A97" s="49" t="s">
        <v>683</v>
      </c>
      <c r="B97" s="47">
        <v>91944</v>
      </c>
      <c r="C97" s="48" t="s">
        <v>152</v>
      </c>
      <c r="D97" s="49" t="s">
        <v>45</v>
      </c>
      <c r="E97" s="50">
        <v>15</v>
      </c>
      <c r="F97" s="50">
        <v>9.3000000000000007</v>
      </c>
      <c r="G97" s="51">
        <f t="shared" si="10"/>
        <v>11.71</v>
      </c>
      <c r="H97" s="51">
        <f t="shared" si="11"/>
        <v>175.65</v>
      </c>
      <c r="I97" s="113"/>
      <c r="J97" s="95"/>
      <c r="K97" s="95"/>
      <c r="L97" s="95"/>
      <c r="M97" s="97"/>
      <c r="N97" s="40"/>
      <c r="O97" s="97"/>
      <c r="P97" s="107"/>
      <c r="Q97" s="98"/>
      <c r="R97" s="99"/>
    </row>
    <row r="98" spans="1:18" s="100" customFormat="1" ht="33.75" outlineLevel="1" x14ac:dyDescent="0.2">
      <c r="A98" s="49" t="s">
        <v>684</v>
      </c>
      <c r="B98" s="47">
        <v>83463</v>
      </c>
      <c r="C98" s="48" t="s">
        <v>153</v>
      </c>
      <c r="D98" s="49" t="s">
        <v>45</v>
      </c>
      <c r="E98" s="50">
        <v>1</v>
      </c>
      <c r="F98" s="50">
        <v>356.52</v>
      </c>
      <c r="G98" s="51">
        <f t="shared" si="10"/>
        <v>449.21</v>
      </c>
      <c r="H98" s="51">
        <f t="shared" si="11"/>
        <v>449.21</v>
      </c>
      <c r="I98" s="106"/>
      <c r="J98" s="95"/>
      <c r="K98" s="95"/>
      <c r="L98" s="95"/>
      <c r="M98" s="97"/>
      <c r="N98" s="40"/>
      <c r="O98" s="97"/>
      <c r="P98" s="107"/>
      <c r="Q98" s="98"/>
      <c r="R98" s="99"/>
    </row>
    <row r="99" spans="1:18" s="100" customFormat="1" ht="33.75" outlineLevel="1" x14ac:dyDescent="0.2">
      <c r="A99" s="49" t="s">
        <v>685</v>
      </c>
      <c r="B99" s="47" t="s">
        <v>154</v>
      </c>
      <c r="C99" s="48" t="s">
        <v>155</v>
      </c>
      <c r="D99" s="49" t="s">
        <v>45</v>
      </c>
      <c r="E99" s="50">
        <v>1</v>
      </c>
      <c r="F99" s="50">
        <v>606.13</v>
      </c>
      <c r="G99" s="51">
        <f t="shared" si="10"/>
        <v>763.72</v>
      </c>
      <c r="H99" s="51">
        <f t="shared" si="11"/>
        <v>763.72</v>
      </c>
      <c r="I99" s="106"/>
      <c r="J99" s="95"/>
      <c r="K99" s="95"/>
      <c r="L99" s="95"/>
      <c r="M99" s="97"/>
      <c r="N99" s="40"/>
      <c r="O99" s="97"/>
      <c r="P99" s="107"/>
      <c r="Q99" s="98"/>
      <c r="R99" s="99"/>
    </row>
    <row r="100" spans="1:18" s="100" customFormat="1" ht="22.5" outlineLevel="1" x14ac:dyDescent="0.2">
      <c r="A100" s="49" t="s">
        <v>686</v>
      </c>
      <c r="B100" s="47">
        <v>93012</v>
      </c>
      <c r="C100" s="48" t="s">
        <v>156</v>
      </c>
      <c r="D100" s="49" t="s">
        <v>56</v>
      </c>
      <c r="E100" s="50">
        <v>12</v>
      </c>
      <c r="F100" s="50">
        <v>36.47</v>
      </c>
      <c r="G100" s="51">
        <f t="shared" si="10"/>
        <v>45.95</v>
      </c>
      <c r="H100" s="51">
        <f t="shared" si="11"/>
        <v>551.4</v>
      </c>
      <c r="I100" s="106"/>
      <c r="J100" s="95"/>
      <c r="K100" s="95"/>
      <c r="L100" s="95"/>
      <c r="M100" s="97"/>
      <c r="N100" s="40"/>
      <c r="O100" s="97"/>
      <c r="P100" s="107"/>
      <c r="Q100" s="98"/>
      <c r="R100" s="99"/>
    </row>
    <row r="101" spans="1:18" s="100" customFormat="1" ht="33.75" outlineLevel="1" x14ac:dyDescent="0.2">
      <c r="A101" s="49" t="s">
        <v>687</v>
      </c>
      <c r="B101" s="47" t="s">
        <v>157</v>
      </c>
      <c r="C101" s="48" t="s">
        <v>158</v>
      </c>
      <c r="D101" s="49" t="s">
        <v>45</v>
      </c>
      <c r="E101" s="50">
        <v>1</v>
      </c>
      <c r="F101" s="50">
        <v>852.27</v>
      </c>
      <c r="G101" s="51">
        <f t="shared" si="10"/>
        <v>1073.8599999999999</v>
      </c>
      <c r="H101" s="51">
        <f>TRUNC(E101*G101,2)</f>
        <v>1073.8599999999999</v>
      </c>
      <c r="I101" s="106"/>
      <c r="J101" s="95"/>
      <c r="K101" s="95"/>
      <c r="L101" s="95"/>
      <c r="M101" s="97"/>
      <c r="N101" s="40"/>
      <c r="O101" s="97"/>
      <c r="P101" s="107"/>
      <c r="Q101" s="98"/>
      <c r="R101" s="99"/>
    </row>
    <row r="102" spans="1:18" s="100" customFormat="1" ht="33.75" outlineLevel="1" x14ac:dyDescent="0.2">
      <c r="A102" s="49" t="s">
        <v>688</v>
      </c>
      <c r="B102" s="47" t="s">
        <v>159</v>
      </c>
      <c r="C102" s="48" t="s">
        <v>160</v>
      </c>
      <c r="D102" s="49" t="s">
        <v>56</v>
      </c>
      <c r="E102" s="50">
        <v>354.2</v>
      </c>
      <c r="F102" s="50">
        <f>[1]COMPOSIÇÃO!G12</f>
        <v>73.088999999999999</v>
      </c>
      <c r="G102" s="51">
        <f>TRUNC(F102*$J$13,2)</f>
        <v>92.09</v>
      </c>
      <c r="H102" s="51">
        <f>TRUNC(E102*G102,2)</f>
        <v>32618.27</v>
      </c>
      <c r="I102" s="106"/>
      <c r="J102" s="95"/>
      <c r="K102" s="95"/>
      <c r="L102" s="95"/>
      <c r="M102" s="97"/>
      <c r="N102" s="40"/>
      <c r="O102" s="97"/>
      <c r="P102" s="107"/>
      <c r="Q102" s="98"/>
      <c r="R102" s="99"/>
    </row>
    <row r="103" spans="1:18" s="27" customFormat="1" outlineLevel="1" x14ac:dyDescent="0.2">
      <c r="A103" s="66" t="s">
        <v>187</v>
      </c>
      <c r="B103" s="66"/>
      <c r="C103" s="43" t="s">
        <v>162</v>
      </c>
      <c r="D103" s="41"/>
      <c r="E103" s="43"/>
      <c r="F103" s="43"/>
      <c r="G103" s="67" t="s">
        <v>39</v>
      </c>
      <c r="H103" s="41"/>
      <c r="I103" s="44">
        <f>SUM(H104:H117)</f>
        <v>21537.829999999998</v>
      </c>
      <c r="J103" s="24"/>
      <c r="K103" s="25"/>
      <c r="L103" s="25"/>
      <c r="M103" s="26"/>
      <c r="N103" s="114"/>
      <c r="O103" s="26"/>
      <c r="P103" s="115"/>
      <c r="Q103" s="26"/>
      <c r="R103" s="26"/>
    </row>
    <row r="104" spans="1:18" s="116" customFormat="1" ht="22.5" outlineLevel="1" x14ac:dyDescent="0.2">
      <c r="A104" s="49" t="s">
        <v>189</v>
      </c>
      <c r="B104" s="47">
        <v>91944</v>
      </c>
      <c r="C104" s="48" t="s">
        <v>152</v>
      </c>
      <c r="D104" s="49" t="s">
        <v>45</v>
      </c>
      <c r="E104" s="50">
        <v>60</v>
      </c>
      <c r="F104" s="50">
        <v>9.3000000000000007</v>
      </c>
      <c r="G104" s="51">
        <f>TRUNC(F104*$J$13,2)</f>
        <v>11.71</v>
      </c>
      <c r="H104" s="51">
        <f t="shared" ref="H104:H117" si="14">TRUNC(E104*G104,2)</f>
        <v>702.6</v>
      </c>
      <c r="I104" s="106"/>
      <c r="J104" s="95"/>
      <c r="K104" s="95"/>
      <c r="L104" s="95"/>
      <c r="M104" s="97"/>
      <c r="N104" s="40"/>
      <c r="O104" s="97"/>
      <c r="P104" s="107"/>
      <c r="Q104" s="97"/>
      <c r="R104" s="97"/>
    </row>
    <row r="105" spans="1:18" s="100" customFormat="1" ht="22.5" outlineLevel="1" x14ac:dyDescent="0.2">
      <c r="A105" s="49" t="s">
        <v>201</v>
      </c>
      <c r="B105" s="47">
        <v>90447</v>
      </c>
      <c r="C105" s="48" t="s">
        <v>128</v>
      </c>
      <c r="D105" s="49" t="s">
        <v>56</v>
      </c>
      <c r="E105" s="50">
        <v>25</v>
      </c>
      <c r="F105" s="50">
        <v>4.45</v>
      </c>
      <c r="G105" s="51">
        <f t="shared" ref="G105:G117" si="15">TRUNC(F105*$J$13,2)</f>
        <v>5.6</v>
      </c>
      <c r="H105" s="51">
        <f t="shared" si="14"/>
        <v>140</v>
      </c>
      <c r="I105" s="106"/>
      <c r="J105" s="95"/>
      <c r="K105" s="95"/>
      <c r="L105" s="95"/>
      <c r="M105" s="98"/>
      <c r="N105" s="114"/>
      <c r="O105" s="98"/>
      <c r="P105" s="117"/>
      <c r="Q105" s="98"/>
      <c r="R105" s="98"/>
    </row>
    <row r="106" spans="1:18" s="100" customFormat="1" ht="22.5" outlineLevel="1" x14ac:dyDescent="0.2">
      <c r="A106" s="49" t="s">
        <v>237</v>
      </c>
      <c r="B106" s="47">
        <v>91836</v>
      </c>
      <c r="C106" s="48" t="s">
        <v>131</v>
      </c>
      <c r="D106" s="49" t="s">
        <v>56</v>
      </c>
      <c r="E106" s="50">
        <v>24</v>
      </c>
      <c r="F106" s="50">
        <v>7.55</v>
      </c>
      <c r="G106" s="51">
        <f t="shared" si="15"/>
        <v>9.51</v>
      </c>
      <c r="H106" s="51">
        <f t="shared" si="14"/>
        <v>228.24</v>
      </c>
      <c r="I106" s="106"/>
      <c r="J106" s="95"/>
      <c r="K106" s="95"/>
      <c r="L106" s="95"/>
      <c r="M106" s="98"/>
      <c r="N106" s="114"/>
      <c r="O106" s="98"/>
      <c r="P106" s="117"/>
      <c r="Q106" s="98"/>
      <c r="R106" s="98"/>
    </row>
    <row r="107" spans="1:18" s="116" customFormat="1" ht="22.5" outlineLevel="1" x14ac:dyDescent="0.2">
      <c r="A107" s="49" t="s">
        <v>238</v>
      </c>
      <c r="B107" s="47">
        <v>91869</v>
      </c>
      <c r="C107" s="48" t="s">
        <v>133</v>
      </c>
      <c r="D107" s="49" t="s">
        <v>56</v>
      </c>
      <c r="E107" s="50">
        <v>120</v>
      </c>
      <c r="F107" s="50">
        <v>10.32</v>
      </c>
      <c r="G107" s="51">
        <f t="shared" si="15"/>
        <v>13</v>
      </c>
      <c r="H107" s="51">
        <f t="shared" si="14"/>
        <v>1560</v>
      </c>
      <c r="I107" s="106"/>
      <c r="J107" s="95"/>
      <c r="K107" s="118"/>
      <c r="L107" s="95"/>
      <c r="M107" s="97"/>
      <c r="N107" s="40"/>
      <c r="O107" s="97"/>
      <c r="P107" s="107"/>
      <c r="Q107" s="97"/>
      <c r="R107" s="97"/>
    </row>
    <row r="108" spans="1:18" s="116" customFormat="1" ht="22.5" outlineLevel="1" x14ac:dyDescent="0.2">
      <c r="A108" s="49" t="s">
        <v>239</v>
      </c>
      <c r="B108" s="47">
        <v>91941</v>
      </c>
      <c r="C108" s="48" t="s">
        <v>151</v>
      </c>
      <c r="D108" s="49" t="s">
        <v>45</v>
      </c>
      <c r="E108" s="50">
        <v>60</v>
      </c>
      <c r="F108" s="50">
        <v>6.8</v>
      </c>
      <c r="G108" s="51">
        <f t="shared" si="15"/>
        <v>8.56</v>
      </c>
      <c r="H108" s="51">
        <f t="shared" si="14"/>
        <v>513.6</v>
      </c>
      <c r="I108" s="106"/>
      <c r="J108" s="95"/>
      <c r="K108" s="95"/>
      <c r="L108" s="95"/>
      <c r="M108" s="97"/>
      <c r="N108" s="40"/>
      <c r="O108" s="97"/>
      <c r="P108" s="107"/>
      <c r="Q108" s="97"/>
      <c r="R108" s="97"/>
    </row>
    <row r="109" spans="1:18" s="116" customFormat="1" ht="25.5" customHeight="1" outlineLevel="1" x14ac:dyDescent="0.2">
      <c r="A109" s="49" t="s">
        <v>240</v>
      </c>
      <c r="B109" s="47">
        <v>95778</v>
      </c>
      <c r="C109" s="48" t="s">
        <v>169</v>
      </c>
      <c r="D109" s="49" t="s">
        <v>56</v>
      </c>
      <c r="E109" s="50">
        <v>120</v>
      </c>
      <c r="F109" s="50">
        <v>20.28</v>
      </c>
      <c r="G109" s="51">
        <f t="shared" si="15"/>
        <v>25.55</v>
      </c>
      <c r="H109" s="51">
        <f t="shared" si="14"/>
        <v>3066</v>
      </c>
      <c r="I109" s="106"/>
      <c r="J109" s="95"/>
      <c r="K109" s="95"/>
      <c r="L109" s="95"/>
      <c r="M109" s="97"/>
      <c r="N109" s="40"/>
      <c r="O109" s="97"/>
      <c r="P109" s="107"/>
      <c r="Q109" s="97"/>
      <c r="R109" s="97"/>
    </row>
    <row r="110" spans="1:18" s="100" customFormat="1" ht="22.5" outlineLevel="1" x14ac:dyDescent="0.2">
      <c r="A110" s="49" t="s">
        <v>241</v>
      </c>
      <c r="B110" s="119">
        <v>98294</v>
      </c>
      <c r="C110" s="105" t="s">
        <v>171</v>
      </c>
      <c r="D110" s="49" t="s">
        <v>56</v>
      </c>
      <c r="E110" s="50">
        <v>2000</v>
      </c>
      <c r="F110" s="50">
        <v>1.65</v>
      </c>
      <c r="G110" s="51">
        <f t="shared" si="15"/>
        <v>2.0699999999999998</v>
      </c>
      <c r="H110" s="51">
        <f t="shared" si="14"/>
        <v>4140</v>
      </c>
      <c r="I110" s="106"/>
      <c r="J110" s="95"/>
      <c r="K110" s="95"/>
      <c r="L110" s="95"/>
      <c r="M110" s="98"/>
      <c r="N110" s="114"/>
      <c r="O110" s="98"/>
      <c r="P110" s="117"/>
      <c r="Q110" s="98"/>
      <c r="R110" s="98"/>
    </row>
    <row r="111" spans="1:18" s="100" customFormat="1" ht="22.5" outlineLevel="1" x14ac:dyDescent="0.2">
      <c r="A111" s="49" t="s">
        <v>242</v>
      </c>
      <c r="B111" s="119">
        <v>98296</v>
      </c>
      <c r="C111" s="105" t="s">
        <v>173</v>
      </c>
      <c r="D111" s="49" t="s">
        <v>56</v>
      </c>
      <c r="E111" s="50">
        <v>900</v>
      </c>
      <c r="F111" s="50">
        <v>2.52</v>
      </c>
      <c r="G111" s="51">
        <f t="shared" si="15"/>
        <v>3.17</v>
      </c>
      <c r="H111" s="51">
        <f t="shared" si="14"/>
        <v>2853</v>
      </c>
      <c r="I111" s="106"/>
      <c r="J111" s="95"/>
      <c r="K111" s="95"/>
      <c r="L111" s="95"/>
      <c r="M111" s="98"/>
      <c r="N111" s="114"/>
      <c r="O111" s="98"/>
      <c r="P111" s="117"/>
      <c r="Q111" s="98"/>
      <c r="R111" s="98"/>
    </row>
    <row r="112" spans="1:18" s="100" customFormat="1" ht="15" customHeight="1" outlineLevel="1" x14ac:dyDescent="0.2">
      <c r="A112" s="49" t="s">
        <v>243</v>
      </c>
      <c r="B112" s="47">
        <v>98302</v>
      </c>
      <c r="C112" s="101" t="s">
        <v>175</v>
      </c>
      <c r="D112" s="49" t="s">
        <v>45</v>
      </c>
      <c r="E112" s="50">
        <v>4</v>
      </c>
      <c r="F112" s="50">
        <v>497.66</v>
      </c>
      <c r="G112" s="51">
        <f t="shared" si="15"/>
        <v>627.04999999999995</v>
      </c>
      <c r="H112" s="51">
        <f t="shared" si="14"/>
        <v>2508.1999999999998</v>
      </c>
      <c r="I112" s="106"/>
      <c r="J112" s="95"/>
      <c r="K112" s="95"/>
      <c r="L112" s="95"/>
      <c r="M112" s="98"/>
      <c r="N112" s="114"/>
      <c r="O112" s="98"/>
      <c r="P112" s="117"/>
      <c r="Q112" s="98"/>
      <c r="R112" s="98"/>
    </row>
    <row r="113" spans="1:18" s="100" customFormat="1" ht="15" customHeight="1" outlineLevel="1" x14ac:dyDescent="0.2">
      <c r="A113" s="49" t="s">
        <v>244</v>
      </c>
      <c r="B113" s="47">
        <v>98593</v>
      </c>
      <c r="C113" s="120" t="s">
        <v>177</v>
      </c>
      <c r="D113" s="49" t="s">
        <v>45</v>
      </c>
      <c r="E113" s="50">
        <v>2</v>
      </c>
      <c r="F113" s="50">
        <v>650.59</v>
      </c>
      <c r="G113" s="51">
        <f t="shared" si="15"/>
        <v>819.74</v>
      </c>
      <c r="H113" s="51">
        <f t="shared" si="14"/>
        <v>1639.48</v>
      </c>
      <c r="I113" s="106"/>
      <c r="J113" s="95"/>
      <c r="K113" s="95"/>
      <c r="L113" s="95"/>
      <c r="M113" s="98"/>
      <c r="N113" s="114"/>
      <c r="O113" s="98"/>
      <c r="P113" s="117"/>
      <c r="Q113" s="98"/>
      <c r="R113" s="98"/>
    </row>
    <row r="114" spans="1:18" s="100" customFormat="1" ht="33.75" outlineLevel="1" x14ac:dyDescent="0.2">
      <c r="A114" s="49" t="s">
        <v>245</v>
      </c>
      <c r="B114" s="47" t="s">
        <v>179</v>
      </c>
      <c r="C114" s="101" t="s">
        <v>180</v>
      </c>
      <c r="D114" s="49" t="s">
        <v>45</v>
      </c>
      <c r="E114" s="50">
        <v>1</v>
      </c>
      <c r="F114" s="50">
        <v>1489.4</v>
      </c>
      <c r="G114" s="51">
        <f t="shared" si="15"/>
        <v>1876.64</v>
      </c>
      <c r="H114" s="51">
        <f t="shared" si="14"/>
        <v>1876.64</v>
      </c>
      <c r="I114" s="106"/>
      <c r="J114" s="95"/>
      <c r="K114" s="95"/>
      <c r="L114" s="95"/>
      <c r="M114" s="98"/>
      <c r="N114" s="114"/>
      <c r="O114" s="98"/>
      <c r="P114" s="117"/>
      <c r="Q114" s="98"/>
      <c r="R114" s="98"/>
    </row>
    <row r="115" spans="1:18" s="100" customFormat="1" outlineLevel="1" x14ac:dyDescent="0.2">
      <c r="A115" s="49" t="s">
        <v>369</v>
      </c>
      <c r="B115" s="121">
        <v>98308</v>
      </c>
      <c r="C115" s="122" t="s">
        <v>181</v>
      </c>
      <c r="D115" s="49" t="s">
        <v>45</v>
      </c>
      <c r="E115" s="123">
        <v>6</v>
      </c>
      <c r="F115" s="123">
        <v>18.43</v>
      </c>
      <c r="G115" s="51">
        <f>TRUNC(F115*$J$13,2)</f>
        <v>23.22</v>
      </c>
      <c r="H115" s="51">
        <f>TRUNC(E115*G115,2)</f>
        <v>139.32</v>
      </c>
      <c r="I115" s="106"/>
      <c r="J115" s="95"/>
      <c r="K115" s="95"/>
      <c r="L115" s="95"/>
      <c r="M115" s="98"/>
      <c r="N115" s="114"/>
      <c r="O115" s="98"/>
      <c r="P115" s="117"/>
      <c r="Q115" s="98"/>
      <c r="R115" s="98"/>
    </row>
    <row r="116" spans="1:18" s="89" customFormat="1" outlineLevel="1" x14ac:dyDescent="0.2">
      <c r="A116" s="49" t="s">
        <v>340</v>
      </c>
      <c r="B116" s="47">
        <v>98307</v>
      </c>
      <c r="C116" s="48" t="s">
        <v>183</v>
      </c>
      <c r="D116" s="49" t="s">
        <v>45</v>
      </c>
      <c r="E116" s="50">
        <v>60</v>
      </c>
      <c r="F116" s="50">
        <v>27.38</v>
      </c>
      <c r="G116" s="51">
        <f t="shared" si="15"/>
        <v>34.49</v>
      </c>
      <c r="H116" s="51">
        <f t="shared" si="14"/>
        <v>2069.4</v>
      </c>
      <c r="I116" s="82"/>
      <c r="J116" s="83"/>
      <c r="K116" s="83"/>
      <c r="L116" s="83"/>
      <c r="M116" s="87"/>
      <c r="N116" s="114"/>
      <c r="O116" s="87"/>
      <c r="P116" s="124"/>
      <c r="Q116" s="87"/>
      <c r="R116" s="87"/>
    </row>
    <row r="117" spans="1:18" s="100" customFormat="1" ht="22.5" outlineLevel="1" x14ac:dyDescent="0.2">
      <c r="A117" s="49" t="s">
        <v>341</v>
      </c>
      <c r="B117" s="47">
        <v>100560</v>
      </c>
      <c r="C117" s="48" t="s">
        <v>185</v>
      </c>
      <c r="D117" s="49" t="s">
        <v>186</v>
      </c>
      <c r="E117" s="50">
        <v>1</v>
      </c>
      <c r="F117" s="50">
        <v>80.44</v>
      </c>
      <c r="G117" s="51">
        <f t="shared" si="15"/>
        <v>101.35</v>
      </c>
      <c r="H117" s="51">
        <f t="shared" si="14"/>
        <v>101.35</v>
      </c>
      <c r="I117" s="106"/>
      <c r="J117" s="95"/>
      <c r="K117" s="95"/>
      <c r="L117" s="95"/>
      <c r="M117" s="97"/>
      <c r="N117" s="40"/>
      <c r="O117" s="97"/>
      <c r="P117" s="107"/>
      <c r="Q117" s="98"/>
      <c r="R117" s="99"/>
    </row>
    <row r="118" spans="1:18" s="27" customFormat="1" outlineLevel="1" x14ac:dyDescent="0.2">
      <c r="A118" s="66" t="s">
        <v>207</v>
      </c>
      <c r="B118" s="66"/>
      <c r="C118" s="43" t="s">
        <v>188</v>
      </c>
      <c r="D118" s="41"/>
      <c r="E118" s="125"/>
      <c r="F118" s="43"/>
      <c r="G118" s="67" t="s">
        <v>39</v>
      </c>
      <c r="H118" s="41"/>
      <c r="I118" s="44">
        <f>SUM(H119:H136)</f>
        <v>8112.7300000000014</v>
      </c>
      <c r="J118" s="74"/>
      <c r="K118" s="12"/>
      <c r="L118" s="12"/>
      <c r="M118" s="4"/>
      <c r="N118" s="40"/>
      <c r="O118" s="4"/>
      <c r="P118" s="5"/>
      <c r="Q118" s="26"/>
      <c r="R118" s="6"/>
    </row>
    <row r="119" spans="1:18" s="27" customFormat="1" outlineLevel="1" x14ac:dyDescent="0.2">
      <c r="A119" s="75" t="s">
        <v>209</v>
      </c>
      <c r="B119" s="47"/>
      <c r="C119" s="126" t="s">
        <v>190</v>
      </c>
      <c r="D119" s="49"/>
      <c r="E119" s="68"/>
      <c r="F119" s="78"/>
      <c r="G119" s="78"/>
      <c r="H119" s="127"/>
      <c r="I119" s="128"/>
      <c r="J119" s="74"/>
      <c r="K119" s="12"/>
      <c r="L119" s="12"/>
      <c r="M119" s="4"/>
      <c r="N119" s="40"/>
      <c r="O119" s="4"/>
      <c r="P119" s="5"/>
      <c r="Q119" s="26"/>
      <c r="R119" s="6"/>
    </row>
    <row r="120" spans="1:18" s="100" customFormat="1" ht="26.25" customHeight="1" outlineLevel="1" x14ac:dyDescent="0.2">
      <c r="A120" s="49" t="s">
        <v>689</v>
      </c>
      <c r="B120" s="47">
        <v>90443</v>
      </c>
      <c r="C120" s="48" t="s">
        <v>191</v>
      </c>
      <c r="D120" s="49" t="s">
        <v>56</v>
      </c>
      <c r="E120" s="50">
        <v>12</v>
      </c>
      <c r="F120" s="50">
        <v>8.9499999999999993</v>
      </c>
      <c r="G120" s="51">
        <f>TRUNC(F120*$J$13,2)</f>
        <v>11.27</v>
      </c>
      <c r="H120" s="51">
        <f t="shared" ref="H120:H129" si="16">TRUNC(E120*G120,2)</f>
        <v>135.24</v>
      </c>
      <c r="I120" s="129"/>
      <c r="J120" s="95"/>
      <c r="K120" s="96"/>
      <c r="L120" s="96"/>
      <c r="M120" s="97"/>
      <c r="N120" s="40"/>
      <c r="O120" s="97"/>
      <c r="P120" s="107"/>
      <c r="Q120" s="98"/>
      <c r="R120" s="99"/>
    </row>
    <row r="121" spans="1:18" s="65" customFormat="1" ht="27" customHeight="1" outlineLevel="1" x14ac:dyDescent="0.2">
      <c r="A121" s="75" t="s">
        <v>690</v>
      </c>
      <c r="B121" s="47">
        <v>86895</v>
      </c>
      <c r="C121" s="48" t="s">
        <v>192</v>
      </c>
      <c r="D121" s="49" t="s">
        <v>45</v>
      </c>
      <c r="E121" s="50">
        <v>6</v>
      </c>
      <c r="F121" s="50">
        <v>269.19</v>
      </c>
      <c r="G121" s="51">
        <f t="shared" ref="G121:G136" si="17">TRUNC(F121*$J$13,2)</f>
        <v>339.17</v>
      </c>
      <c r="H121" s="51">
        <f t="shared" si="16"/>
        <v>2035.02</v>
      </c>
      <c r="I121" s="129"/>
      <c r="J121" s="95"/>
      <c r="K121" s="96"/>
      <c r="L121" s="96"/>
      <c r="M121" s="110"/>
      <c r="N121" s="130"/>
      <c r="O121" s="110"/>
      <c r="P121" s="111"/>
      <c r="Q121" s="61"/>
      <c r="R121" s="110"/>
    </row>
    <row r="122" spans="1:18" s="65" customFormat="1" ht="22.5" outlineLevel="1" x14ac:dyDescent="0.2">
      <c r="A122" s="49" t="s">
        <v>691</v>
      </c>
      <c r="B122" s="47">
        <v>86901</v>
      </c>
      <c r="C122" s="48" t="s">
        <v>193</v>
      </c>
      <c r="D122" s="49" t="s">
        <v>45</v>
      </c>
      <c r="E122" s="50">
        <v>6</v>
      </c>
      <c r="F122" s="50">
        <v>108.45</v>
      </c>
      <c r="G122" s="51">
        <f t="shared" si="17"/>
        <v>136.63999999999999</v>
      </c>
      <c r="H122" s="51">
        <f t="shared" si="16"/>
        <v>819.84</v>
      </c>
      <c r="I122" s="129"/>
      <c r="J122" s="95"/>
      <c r="K122" s="96"/>
      <c r="L122" s="96"/>
      <c r="M122" s="110"/>
      <c r="N122" s="130"/>
      <c r="O122" s="110"/>
      <c r="P122" s="111"/>
      <c r="Q122" s="61"/>
      <c r="R122" s="110"/>
    </row>
    <row r="123" spans="1:18" s="65" customFormat="1" ht="22.5" outlineLevel="1" x14ac:dyDescent="0.2">
      <c r="A123" s="75" t="s">
        <v>692</v>
      </c>
      <c r="B123" s="47">
        <v>86915</v>
      </c>
      <c r="C123" s="48" t="s">
        <v>194</v>
      </c>
      <c r="D123" s="49" t="s">
        <v>45</v>
      </c>
      <c r="E123" s="50">
        <v>6</v>
      </c>
      <c r="F123" s="50">
        <v>84.78</v>
      </c>
      <c r="G123" s="51">
        <f t="shared" si="17"/>
        <v>106.82</v>
      </c>
      <c r="H123" s="51">
        <f t="shared" si="16"/>
        <v>640.91999999999996</v>
      </c>
      <c r="I123" s="129"/>
      <c r="J123" s="95"/>
      <c r="K123" s="96"/>
      <c r="L123" s="96"/>
      <c r="M123" s="110"/>
      <c r="N123" s="130"/>
      <c r="O123" s="110"/>
      <c r="P123" s="111"/>
      <c r="Q123" s="61"/>
      <c r="R123" s="110"/>
    </row>
    <row r="124" spans="1:18" s="131" customFormat="1" ht="22.5" outlineLevel="1" x14ac:dyDescent="0.2">
      <c r="A124" s="49" t="s">
        <v>693</v>
      </c>
      <c r="B124" s="47">
        <v>99635</v>
      </c>
      <c r="C124" s="48" t="s">
        <v>195</v>
      </c>
      <c r="D124" s="49" t="s">
        <v>45</v>
      </c>
      <c r="E124" s="50">
        <v>2</v>
      </c>
      <c r="F124" s="50">
        <v>184.35</v>
      </c>
      <c r="G124" s="51">
        <f t="shared" si="17"/>
        <v>232.28</v>
      </c>
      <c r="H124" s="51">
        <f t="shared" si="16"/>
        <v>464.56</v>
      </c>
      <c r="I124" s="129"/>
      <c r="J124" s="95"/>
      <c r="K124" s="96"/>
      <c r="L124" s="96"/>
      <c r="M124" s="97"/>
      <c r="N124" s="40"/>
      <c r="O124" s="97"/>
      <c r="P124" s="107"/>
      <c r="Q124" s="99"/>
      <c r="R124" s="99"/>
    </row>
    <row r="125" spans="1:18" s="131" customFormat="1" ht="22.5" outlineLevel="1" x14ac:dyDescent="0.2">
      <c r="A125" s="75" t="s">
        <v>694</v>
      </c>
      <c r="B125" s="47">
        <v>89714</v>
      </c>
      <c r="C125" s="48" t="s">
        <v>196</v>
      </c>
      <c r="D125" s="49" t="s">
        <v>56</v>
      </c>
      <c r="E125" s="50">
        <v>6</v>
      </c>
      <c r="F125" s="50">
        <v>42.17</v>
      </c>
      <c r="G125" s="51">
        <f>TRUNC(F125*$J$13,2)</f>
        <v>53.13</v>
      </c>
      <c r="H125" s="51">
        <f t="shared" si="16"/>
        <v>318.77999999999997</v>
      </c>
      <c r="I125" s="129"/>
      <c r="J125" s="95"/>
      <c r="K125" s="96"/>
      <c r="L125" s="96"/>
      <c r="M125" s="97"/>
      <c r="N125" s="40"/>
      <c r="O125" s="97"/>
      <c r="P125" s="107"/>
      <c r="Q125" s="99"/>
      <c r="R125" s="99"/>
    </row>
    <row r="126" spans="1:18" s="131" customFormat="1" ht="22.5" outlineLevel="1" x14ac:dyDescent="0.2">
      <c r="A126" s="49" t="s">
        <v>695</v>
      </c>
      <c r="B126" s="47">
        <v>89712</v>
      </c>
      <c r="C126" s="48" t="s">
        <v>197</v>
      </c>
      <c r="D126" s="49" t="s">
        <v>56</v>
      </c>
      <c r="E126" s="50">
        <v>8</v>
      </c>
      <c r="F126" s="50">
        <v>21.1</v>
      </c>
      <c r="G126" s="51">
        <f>TRUNC(F126*$J$13,2)</f>
        <v>26.58</v>
      </c>
      <c r="H126" s="51">
        <f t="shared" si="16"/>
        <v>212.64</v>
      </c>
      <c r="I126" s="129"/>
      <c r="J126" s="95"/>
      <c r="K126" s="96"/>
      <c r="L126" s="96"/>
      <c r="M126" s="97"/>
      <c r="N126" s="40"/>
      <c r="O126" s="97"/>
      <c r="P126" s="107"/>
      <c r="Q126" s="99"/>
      <c r="R126" s="99"/>
    </row>
    <row r="127" spans="1:18" s="131" customFormat="1" ht="22.5" outlineLevel="1" x14ac:dyDescent="0.2">
      <c r="A127" s="75" t="s">
        <v>696</v>
      </c>
      <c r="B127" s="47">
        <v>89567</v>
      </c>
      <c r="C127" s="48" t="s">
        <v>198</v>
      </c>
      <c r="D127" s="49" t="s">
        <v>45</v>
      </c>
      <c r="E127" s="50">
        <v>2</v>
      </c>
      <c r="F127" s="50">
        <v>57.95</v>
      </c>
      <c r="G127" s="51">
        <f>TRUNC(F127*$J$13,2)</f>
        <v>73.010000000000005</v>
      </c>
      <c r="H127" s="51">
        <f t="shared" si="16"/>
        <v>146.02000000000001</v>
      </c>
      <c r="I127" s="129"/>
      <c r="J127" s="95"/>
      <c r="K127" s="96"/>
      <c r="L127" s="96"/>
      <c r="M127" s="97"/>
      <c r="N127" s="40"/>
      <c r="O127" s="97"/>
      <c r="P127" s="107"/>
      <c r="Q127" s="99"/>
      <c r="R127" s="99"/>
    </row>
    <row r="128" spans="1:18" s="131" customFormat="1" ht="33.75" outlineLevel="1" x14ac:dyDescent="0.2">
      <c r="A128" s="49" t="s">
        <v>697</v>
      </c>
      <c r="B128" s="47">
        <v>89731</v>
      </c>
      <c r="C128" s="48" t="s">
        <v>199</v>
      </c>
      <c r="D128" s="49" t="s">
        <v>45</v>
      </c>
      <c r="E128" s="50">
        <v>6</v>
      </c>
      <c r="F128" s="50">
        <v>8.56</v>
      </c>
      <c r="G128" s="51">
        <f>TRUNC(F128*$J$13,2)</f>
        <v>10.78</v>
      </c>
      <c r="H128" s="51">
        <f t="shared" si="16"/>
        <v>64.680000000000007</v>
      </c>
      <c r="I128" s="129"/>
      <c r="J128" s="95"/>
      <c r="K128" s="96"/>
      <c r="L128" s="96"/>
      <c r="M128" s="97"/>
      <c r="N128" s="40"/>
      <c r="O128" s="97"/>
      <c r="P128" s="107"/>
      <c r="Q128" s="99"/>
      <c r="R128" s="99"/>
    </row>
    <row r="129" spans="1:18" s="131" customFormat="1" ht="33.75" outlineLevel="1" x14ac:dyDescent="0.2">
      <c r="A129" s="75" t="s">
        <v>698</v>
      </c>
      <c r="B129" s="47">
        <v>89744</v>
      </c>
      <c r="C129" s="48" t="s">
        <v>200</v>
      </c>
      <c r="D129" s="49" t="s">
        <v>45</v>
      </c>
      <c r="E129" s="50">
        <v>6</v>
      </c>
      <c r="F129" s="50">
        <v>18.88</v>
      </c>
      <c r="G129" s="51">
        <f>TRUNC(F129*$J$13,2)</f>
        <v>23.78</v>
      </c>
      <c r="H129" s="51">
        <f t="shared" si="16"/>
        <v>142.68</v>
      </c>
      <c r="I129" s="129"/>
      <c r="J129" s="95"/>
      <c r="K129" s="96"/>
      <c r="L129" s="96"/>
      <c r="M129" s="97"/>
      <c r="N129" s="40"/>
      <c r="O129" s="97"/>
      <c r="P129" s="107"/>
      <c r="Q129" s="99"/>
      <c r="R129" s="99"/>
    </row>
    <row r="130" spans="1:18" s="131" customFormat="1" ht="14.25" customHeight="1" outlineLevel="1" x14ac:dyDescent="0.2">
      <c r="A130" s="49" t="s">
        <v>253</v>
      </c>
      <c r="B130" s="47"/>
      <c r="C130" s="132" t="s">
        <v>202</v>
      </c>
      <c r="D130" s="49"/>
      <c r="E130" s="50"/>
      <c r="F130" s="50"/>
      <c r="G130" s="51"/>
      <c r="H130" s="51"/>
      <c r="I130" s="129"/>
      <c r="J130" s="95"/>
      <c r="K130" s="95"/>
      <c r="L130" s="95"/>
      <c r="M130" s="97"/>
      <c r="N130" s="40"/>
      <c r="O130" s="97"/>
      <c r="P130" s="107"/>
      <c r="Q130" s="99"/>
    </row>
    <row r="131" spans="1:18" s="116" customFormat="1" ht="26.25" customHeight="1" outlineLevel="1" x14ac:dyDescent="0.2">
      <c r="A131" s="49" t="s">
        <v>699</v>
      </c>
      <c r="B131" s="47">
        <v>95544</v>
      </c>
      <c r="C131" s="48" t="s">
        <v>203</v>
      </c>
      <c r="D131" s="49" t="s">
        <v>45</v>
      </c>
      <c r="E131" s="50">
        <v>6</v>
      </c>
      <c r="F131" s="50">
        <v>30.21</v>
      </c>
      <c r="G131" s="51">
        <f t="shared" si="17"/>
        <v>38.06</v>
      </c>
      <c r="H131" s="51">
        <f t="shared" ref="H131:H136" si="18">TRUNC(E131*G131,2)</f>
        <v>228.36</v>
      </c>
      <c r="I131" s="129"/>
      <c r="J131" s="95"/>
      <c r="K131" s="95"/>
      <c r="L131" s="95"/>
      <c r="M131" s="97"/>
      <c r="N131" s="40"/>
      <c r="O131" s="97"/>
      <c r="P131" s="107"/>
      <c r="Q131" s="97"/>
    </row>
    <row r="132" spans="1:18" s="116" customFormat="1" ht="15" customHeight="1" outlineLevel="1" x14ac:dyDescent="0.2">
      <c r="A132" s="49" t="s">
        <v>700</v>
      </c>
      <c r="B132" s="47">
        <v>95545</v>
      </c>
      <c r="C132" s="48" t="s">
        <v>204</v>
      </c>
      <c r="D132" s="49" t="s">
        <v>45</v>
      </c>
      <c r="E132" s="50">
        <v>6</v>
      </c>
      <c r="F132" s="50">
        <v>29.63</v>
      </c>
      <c r="G132" s="51">
        <f t="shared" si="17"/>
        <v>37.33</v>
      </c>
      <c r="H132" s="51">
        <f t="shared" si="18"/>
        <v>223.98</v>
      </c>
      <c r="I132" s="129"/>
      <c r="J132" s="95"/>
      <c r="K132" s="95"/>
      <c r="L132" s="95"/>
      <c r="M132" s="97"/>
      <c r="N132" s="40"/>
      <c r="O132" s="97"/>
      <c r="P132" s="107"/>
      <c r="Q132" s="97"/>
    </row>
    <row r="133" spans="1:18" s="116" customFormat="1" ht="24" customHeight="1" outlineLevel="1" x14ac:dyDescent="0.2">
      <c r="A133" s="49" t="s">
        <v>701</v>
      </c>
      <c r="B133" s="47">
        <v>95471</v>
      </c>
      <c r="C133" s="48" t="s">
        <v>205</v>
      </c>
      <c r="D133" s="49" t="s">
        <v>45</v>
      </c>
      <c r="E133" s="50">
        <v>1</v>
      </c>
      <c r="F133" s="50">
        <v>611.63</v>
      </c>
      <c r="G133" s="51">
        <f>TRUNC(F133*$J$13,2)</f>
        <v>770.65</v>
      </c>
      <c r="H133" s="51">
        <f t="shared" si="18"/>
        <v>770.65</v>
      </c>
      <c r="I133" s="129"/>
      <c r="J133" s="95"/>
      <c r="K133" s="95"/>
      <c r="L133" s="95"/>
      <c r="M133" s="97"/>
      <c r="N133" s="40"/>
      <c r="O133" s="97"/>
      <c r="P133" s="107"/>
      <c r="Q133" s="97"/>
    </row>
    <row r="134" spans="1:18" s="116" customFormat="1" ht="24" customHeight="1" outlineLevel="1" x14ac:dyDescent="0.2">
      <c r="A134" s="49" t="s">
        <v>702</v>
      </c>
      <c r="B134" s="47" t="s">
        <v>811</v>
      </c>
      <c r="C134" s="48" t="s">
        <v>809</v>
      </c>
      <c r="D134" s="393" t="s">
        <v>186</v>
      </c>
      <c r="E134" s="50">
        <v>2</v>
      </c>
      <c r="F134" s="50">
        <v>234.43</v>
      </c>
      <c r="G134" s="51">
        <f>TRUNC(F134*$J$13,2)</f>
        <v>295.38</v>
      </c>
      <c r="H134" s="51">
        <f t="shared" si="18"/>
        <v>590.76</v>
      </c>
      <c r="I134" s="129"/>
      <c r="J134" s="95"/>
      <c r="K134" s="95"/>
      <c r="L134" s="95"/>
      <c r="M134" s="97"/>
      <c r="N134" s="40"/>
      <c r="O134" s="97"/>
      <c r="P134" s="107"/>
      <c r="Q134" s="97"/>
    </row>
    <row r="135" spans="1:18" s="116" customFormat="1" ht="24" customHeight="1" outlineLevel="1" x14ac:dyDescent="0.2">
      <c r="A135" s="49" t="s">
        <v>817</v>
      </c>
      <c r="B135" s="47" t="s">
        <v>812</v>
      </c>
      <c r="C135" s="48" t="s">
        <v>810</v>
      </c>
      <c r="D135" s="393" t="s">
        <v>186</v>
      </c>
      <c r="E135" s="50">
        <v>1</v>
      </c>
      <c r="F135" s="50">
        <v>198.89</v>
      </c>
      <c r="G135" s="51">
        <f>TRUNC(F135*$J$13,2)</f>
        <v>250.6</v>
      </c>
      <c r="H135" s="51">
        <f t="shared" si="18"/>
        <v>250.6</v>
      </c>
      <c r="I135" s="129"/>
      <c r="J135" s="95"/>
      <c r="K135" s="95"/>
      <c r="L135" s="95"/>
      <c r="M135" s="97"/>
      <c r="N135" s="40"/>
      <c r="O135" s="97"/>
      <c r="P135" s="107"/>
      <c r="Q135" s="97"/>
    </row>
    <row r="136" spans="1:18" s="131" customFormat="1" ht="35.1" customHeight="1" outlineLevel="1" x14ac:dyDescent="0.2">
      <c r="A136" s="49" t="s">
        <v>818</v>
      </c>
      <c r="B136" s="47">
        <v>95470</v>
      </c>
      <c r="C136" s="48" t="s">
        <v>206</v>
      </c>
      <c r="D136" s="49" t="s">
        <v>45</v>
      </c>
      <c r="E136" s="50">
        <v>5</v>
      </c>
      <c r="F136" s="50">
        <v>169.53</v>
      </c>
      <c r="G136" s="51">
        <f t="shared" si="17"/>
        <v>213.6</v>
      </c>
      <c r="H136" s="51">
        <f t="shared" si="18"/>
        <v>1068</v>
      </c>
      <c r="I136" s="129"/>
      <c r="J136" s="95"/>
      <c r="K136" s="95"/>
      <c r="L136" s="95"/>
      <c r="M136" s="97"/>
      <c r="N136" s="40"/>
      <c r="O136" s="97"/>
      <c r="P136" s="107"/>
      <c r="Q136" s="99"/>
      <c r="R136" s="99"/>
    </row>
    <row r="137" spans="1:18" s="131" customFormat="1" outlineLevel="1" x14ac:dyDescent="0.2">
      <c r="A137" s="73" t="s">
        <v>212</v>
      </c>
      <c r="B137" s="73"/>
      <c r="C137" s="43" t="s">
        <v>208</v>
      </c>
      <c r="D137" s="41"/>
      <c r="E137" s="43"/>
      <c r="F137" s="43"/>
      <c r="G137" s="67" t="s">
        <v>39</v>
      </c>
      <c r="H137" s="43"/>
      <c r="I137" s="44">
        <f>SUM(H138:H139)</f>
        <v>2073.6</v>
      </c>
      <c r="J137" s="74"/>
      <c r="K137" s="12"/>
      <c r="L137" s="12"/>
      <c r="M137" s="97"/>
      <c r="N137" s="133"/>
      <c r="O137" s="97"/>
      <c r="P137" s="107"/>
      <c r="Q137" s="99"/>
      <c r="R137" s="6"/>
    </row>
    <row r="138" spans="1:18" s="131" customFormat="1" outlineLevel="1" x14ac:dyDescent="0.2">
      <c r="A138" s="49" t="s">
        <v>214</v>
      </c>
      <c r="B138" s="47">
        <v>72178</v>
      </c>
      <c r="C138" s="48" t="s">
        <v>51</v>
      </c>
      <c r="D138" s="49" t="s">
        <v>24</v>
      </c>
      <c r="E138" s="50">
        <v>32</v>
      </c>
      <c r="F138" s="50">
        <v>22.6</v>
      </c>
      <c r="G138" s="51">
        <f>TRUNC(F138*$J$13,2)</f>
        <v>28.47</v>
      </c>
      <c r="H138" s="51">
        <f>TRUNC(E138*G138,2)</f>
        <v>911.04</v>
      </c>
      <c r="I138" s="134"/>
      <c r="J138" s="95"/>
      <c r="K138" s="95"/>
      <c r="L138" s="95"/>
      <c r="M138" s="97"/>
      <c r="N138" s="133"/>
      <c r="O138" s="97"/>
      <c r="P138" s="107"/>
      <c r="Q138" s="99"/>
      <c r="R138" s="99"/>
    </row>
    <row r="139" spans="1:18" s="131" customFormat="1" ht="40.5" customHeight="1" outlineLevel="1" x14ac:dyDescent="0.2">
      <c r="A139" s="49" t="s">
        <v>279</v>
      </c>
      <c r="B139" s="47">
        <v>72181</v>
      </c>
      <c r="C139" s="105" t="s">
        <v>211</v>
      </c>
      <c r="D139" s="49" t="s">
        <v>24</v>
      </c>
      <c r="E139" s="50">
        <v>32</v>
      </c>
      <c r="F139" s="50">
        <v>28.84</v>
      </c>
      <c r="G139" s="51">
        <f>TRUNC(F139*$J$13,2)</f>
        <v>36.33</v>
      </c>
      <c r="H139" s="51">
        <f>TRUNC(E139*G139,2)</f>
        <v>1162.56</v>
      </c>
      <c r="I139" s="134"/>
      <c r="J139" s="95"/>
      <c r="M139" s="97"/>
      <c r="N139" s="133"/>
      <c r="O139" s="97"/>
      <c r="P139" s="107"/>
      <c r="Q139" s="99"/>
      <c r="R139" s="99"/>
    </row>
    <row r="140" spans="1:18" s="131" customFormat="1" ht="20.25" customHeight="1" outlineLevel="1" x14ac:dyDescent="0.2">
      <c r="A140" s="73">
        <v>11</v>
      </c>
      <c r="B140" s="125"/>
      <c r="C140" s="43" t="s">
        <v>213</v>
      </c>
      <c r="D140" s="41"/>
      <c r="E140" s="43"/>
      <c r="F140" s="43"/>
      <c r="G140" s="43"/>
      <c r="H140" s="41"/>
      <c r="I140" s="135">
        <f>SUM(H141:H141)</f>
        <v>3589.5</v>
      </c>
      <c r="J140" s="95"/>
      <c r="M140" s="97"/>
      <c r="N140" s="133"/>
      <c r="O140" s="97"/>
      <c r="P140" s="107"/>
      <c r="Q140" s="99"/>
      <c r="R140" s="99"/>
    </row>
    <row r="141" spans="1:18" s="131" customFormat="1" ht="27.75" customHeight="1" outlineLevel="1" x14ac:dyDescent="0.2">
      <c r="A141" s="49" t="s">
        <v>301</v>
      </c>
      <c r="B141" s="47">
        <v>96114</v>
      </c>
      <c r="C141" s="101" t="s">
        <v>640</v>
      </c>
      <c r="D141" s="49" t="s">
        <v>24</v>
      </c>
      <c r="E141" s="50">
        <v>50</v>
      </c>
      <c r="F141" s="50">
        <v>56.98</v>
      </c>
      <c r="G141" s="51">
        <f>TRUNC(F141*$J$13,2)</f>
        <v>71.790000000000006</v>
      </c>
      <c r="H141" s="51">
        <f>TRUNC(E141*G141,2)</f>
        <v>3589.5</v>
      </c>
      <c r="I141" s="134"/>
      <c r="J141" s="95"/>
      <c r="M141" s="97"/>
      <c r="N141" s="133"/>
      <c r="O141" s="97"/>
      <c r="P141" s="107"/>
      <c r="Q141" s="99"/>
      <c r="R141" s="99"/>
    </row>
    <row r="142" spans="1:18" s="131" customFormat="1" x14ac:dyDescent="0.2">
      <c r="A142" s="49"/>
      <c r="B142" s="121"/>
      <c r="C142" s="136"/>
      <c r="D142" s="49"/>
      <c r="E142" s="137"/>
      <c r="F142" s="68"/>
      <c r="G142" s="68"/>
      <c r="H142" s="138"/>
      <c r="I142" s="134"/>
      <c r="J142" s="95"/>
      <c r="K142" s="95"/>
      <c r="L142" s="95"/>
      <c r="M142" s="97"/>
      <c r="N142" s="133"/>
      <c r="O142" s="97"/>
      <c r="P142" s="107"/>
      <c r="Q142" s="99"/>
      <c r="R142" s="99"/>
    </row>
    <row r="143" spans="1:18" s="65" customFormat="1" ht="18" customHeight="1" x14ac:dyDescent="0.2">
      <c r="A143" s="139" t="s">
        <v>216</v>
      </c>
      <c r="B143" s="140"/>
      <c r="C143" s="141"/>
      <c r="D143" s="142"/>
      <c r="E143" s="141"/>
      <c r="F143" s="143"/>
      <c r="G143" s="37" t="s">
        <v>19</v>
      </c>
      <c r="H143" s="144"/>
      <c r="I143" s="145">
        <f>SUM(I144:I259)</f>
        <v>298031.2</v>
      </c>
      <c r="J143" s="58" t="s">
        <v>37</v>
      </c>
      <c r="K143" s="59"/>
      <c r="L143" s="60"/>
      <c r="M143" s="61"/>
      <c r="N143" s="146"/>
      <c r="O143" s="61"/>
      <c r="P143" s="63"/>
      <c r="Q143" s="61"/>
      <c r="R143" s="64"/>
    </row>
    <row r="144" spans="1:18" s="153" customFormat="1" ht="18" customHeight="1" outlineLevel="1" x14ac:dyDescent="0.2">
      <c r="A144" s="66" t="s">
        <v>20</v>
      </c>
      <c r="B144" s="66"/>
      <c r="C144" s="43" t="s">
        <v>38</v>
      </c>
      <c r="D144" s="41"/>
      <c r="E144" s="43"/>
      <c r="F144" s="43"/>
      <c r="G144" s="67" t="s">
        <v>39</v>
      </c>
      <c r="H144" s="41"/>
      <c r="I144" s="44">
        <f>SUM(H145:H152)</f>
        <v>6779.3600000000015</v>
      </c>
      <c r="J144" s="147"/>
      <c r="K144" s="148"/>
      <c r="L144" s="149"/>
      <c r="M144" s="150"/>
      <c r="N144" s="151"/>
      <c r="O144" s="150"/>
      <c r="P144" s="152"/>
      <c r="Q144" s="150"/>
      <c r="R144" s="150"/>
    </row>
    <row r="145" spans="1:18" s="153" customFormat="1" ht="18" customHeight="1" outlineLevel="1" x14ac:dyDescent="0.2">
      <c r="A145" s="49" t="s">
        <v>22</v>
      </c>
      <c r="B145" s="71" t="s">
        <v>40</v>
      </c>
      <c r="C145" s="68" t="s">
        <v>41</v>
      </c>
      <c r="D145" s="49" t="s">
        <v>42</v>
      </c>
      <c r="E145" s="50">
        <f t="shared" ref="E145:E156" si="19">J145</f>
        <v>8.8869999999999987</v>
      </c>
      <c r="F145" s="50">
        <f>[1]COMPOSIÇÃO!G41</f>
        <v>216.762</v>
      </c>
      <c r="G145" s="51">
        <f t="shared" ref="G145:G156" si="20">TRUNC(F145*$J$13,2)</f>
        <v>273.12</v>
      </c>
      <c r="H145" s="51">
        <f t="shared" ref="H145:H156" si="21">TRUNC(E145*G145,2)</f>
        <v>2427.21</v>
      </c>
      <c r="I145" s="50"/>
      <c r="J145" s="147">
        <f>(131.35+18.78+18.78+1.44+7.39)*0.05</f>
        <v>8.8869999999999987</v>
      </c>
      <c r="K145" s="148"/>
      <c r="L145" s="149"/>
      <c r="M145" s="150"/>
      <c r="N145" s="151"/>
      <c r="O145" s="150"/>
      <c r="P145" s="152"/>
      <c r="Q145" s="150"/>
      <c r="R145" s="150"/>
    </row>
    <row r="146" spans="1:18" s="153" customFormat="1" ht="21" customHeight="1" outlineLevel="1" x14ac:dyDescent="0.2">
      <c r="A146" s="49" t="s">
        <v>25</v>
      </c>
      <c r="B146" s="71">
        <v>97633</v>
      </c>
      <c r="C146" s="48" t="s">
        <v>43</v>
      </c>
      <c r="D146" s="70" t="s">
        <v>24</v>
      </c>
      <c r="E146" s="50">
        <f t="shared" si="19"/>
        <v>86.961000000000013</v>
      </c>
      <c r="F146" s="50">
        <v>14.85</v>
      </c>
      <c r="G146" s="51">
        <f t="shared" si="20"/>
        <v>18.71</v>
      </c>
      <c r="H146" s="51">
        <f t="shared" si="21"/>
        <v>1627.04</v>
      </c>
      <c r="I146" s="50"/>
      <c r="J146" s="147">
        <f>(18.3+18.3+4.81)*2.1</f>
        <v>86.961000000000013</v>
      </c>
      <c r="K146" s="148"/>
      <c r="L146" s="149"/>
      <c r="M146" s="150"/>
      <c r="N146" s="151"/>
      <c r="O146" s="150"/>
      <c r="P146" s="152"/>
      <c r="Q146" s="150"/>
      <c r="R146" s="150"/>
    </row>
    <row r="147" spans="1:18" s="153" customFormat="1" ht="18" customHeight="1" outlineLevel="1" x14ac:dyDescent="0.2">
      <c r="A147" s="49" t="s">
        <v>57</v>
      </c>
      <c r="B147" s="71">
        <v>97644</v>
      </c>
      <c r="C147" s="68" t="s">
        <v>44</v>
      </c>
      <c r="D147" s="70" t="s">
        <v>45</v>
      </c>
      <c r="E147" s="50">
        <f t="shared" si="19"/>
        <v>32</v>
      </c>
      <c r="F147" s="50">
        <v>6.04</v>
      </c>
      <c r="G147" s="51">
        <f t="shared" si="20"/>
        <v>7.61</v>
      </c>
      <c r="H147" s="51">
        <f t="shared" si="21"/>
        <v>243.52</v>
      </c>
      <c r="I147" s="50"/>
      <c r="J147" s="147">
        <v>32</v>
      </c>
      <c r="K147" s="148"/>
      <c r="L147" s="149"/>
      <c r="M147" s="150"/>
      <c r="N147" s="151"/>
      <c r="O147" s="150"/>
      <c r="P147" s="152"/>
      <c r="Q147" s="150"/>
      <c r="R147" s="150"/>
    </row>
    <row r="148" spans="1:18" s="153" customFormat="1" ht="18" customHeight="1" outlineLevel="1" x14ac:dyDescent="0.2">
      <c r="A148" s="49" t="s">
        <v>217</v>
      </c>
      <c r="B148" s="71">
        <v>97663</v>
      </c>
      <c r="C148" s="68" t="s">
        <v>46</v>
      </c>
      <c r="D148" s="70" t="s">
        <v>45</v>
      </c>
      <c r="E148" s="50">
        <f t="shared" si="19"/>
        <v>22</v>
      </c>
      <c r="F148" s="50">
        <v>8.07</v>
      </c>
      <c r="G148" s="51">
        <f t="shared" si="20"/>
        <v>10.16</v>
      </c>
      <c r="H148" s="51">
        <f t="shared" si="21"/>
        <v>223.52</v>
      </c>
      <c r="I148" s="50"/>
      <c r="J148" s="147">
        <v>22</v>
      </c>
      <c r="K148" s="148"/>
      <c r="L148" s="149"/>
      <c r="M148" s="150"/>
      <c r="N148" s="151"/>
      <c r="O148" s="150"/>
      <c r="P148" s="152"/>
      <c r="Q148" s="150"/>
      <c r="R148" s="150"/>
    </row>
    <row r="149" spans="1:18" s="153" customFormat="1" ht="19.5" customHeight="1" outlineLevel="1" x14ac:dyDescent="0.2">
      <c r="A149" s="49" t="s">
        <v>218</v>
      </c>
      <c r="B149" s="71">
        <v>97666</v>
      </c>
      <c r="C149" s="48" t="s">
        <v>47</v>
      </c>
      <c r="D149" s="70" t="s">
        <v>45</v>
      </c>
      <c r="E149" s="50">
        <f t="shared" si="19"/>
        <v>22</v>
      </c>
      <c r="F149" s="50">
        <v>5.88</v>
      </c>
      <c r="G149" s="51">
        <f t="shared" si="20"/>
        <v>7.4</v>
      </c>
      <c r="H149" s="51">
        <f t="shared" si="21"/>
        <v>162.80000000000001</v>
      </c>
      <c r="I149" s="50"/>
      <c r="J149" s="147">
        <v>22</v>
      </c>
      <c r="K149" s="148"/>
      <c r="L149" s="149"/>
      <c r="M149" s="150"/>
      <c r="N149" s="151"/>
      <c r="O149" s="150"/>
      <c r="P149" s="152"/>
      <c r="Q149" s="150"/>
      <c r="R149" s="150"/>
    </row>
    <row r="150" spans="1:18" s="153" customFormat="1" ht="21" customHeight="1" outlineLevel="1" x14ac:dyDescent="0.2">
      <c r="A150" s="49" t="s">
        <v>219</v>
      </c>
      <c r="B150" s="47">
        <v>97622</v>
      </c>
      <c r="C150" s="48" t="s">
        <v>48</v>
      </c>
      <c r="D150" s="49" t="s">
        <v>42</v>
      </c>
      <c r="E150" s="50">
        <f t="shared" si="19"/>
        <v>8.4238499999999998</v>
      </c>
      <c r="F150" s="50">
        <v>37.39</v>
      </c>
      <c r="G150" s="51">
        <f t="shared" si="20"/>
        <v>47.11</v>
      </c>
      <c r="H150" s="51">
        <f t="shared" si="21"/>
        <v>396.84</v>
      </c>
      <c r="I150" s="50"/>
      <c r="J150" s="147">
        <f>((3.25+1+3.47)*3.2+0.8*2.1+59.55*0.5)*0.15</f>
        <v>8.4238499999999998</v>
      </c>
      <c r="K150" s="148"/>
      <c r="L150" s="149"/>
      <c r="M150" s="150"/>
      <c r="N150" s="151"/>
      <c r="O150" s="150"/>
      <c r="P150" s="152"/>
      <c r="Q150" s="150"/>
      <c r="R150" s="150"/>
    </row>
    <row r="151" spans="1:18" s="153" customFormat="1" ht="18" customHeight="1" outlineLevel="1" x14ac:dyDescent="0.2">
      <c r="A151" s="49" t="s">
        <v>220</v>
      </c>
      <c r="B151" s="72" t="s">
        <v>49</v>
      </c>
      <c r="C151" s="68" t="s">
        <v>50</v>
      </c>
      <c r="D151" s="70" t="s">
        <v>24</v>
      </c>
      <c r="E151" s="50">
        <f t="shared" si="19"/>
        <v>20.52</v>
      </c>
      <c r="F151" s="50">
        <v>16.420000000000002</v>
      </c>
      <c r="G151" s="51">
        <f t="shared" si="20"/>
        <v>20.68</v>
      </c>
      <c r="H151" s="51">
        <f t="shared" si="21"/>
        <v>424.35</v>
      </c>
      <c r="I151" s="50"/>
      <c r="J151" s="147">
        <f>(6*1.2+1.7+0.1+0.3+1.7+0.1+0.3)*1.8</f>
        <v>20.52</v>
      </c>
      <c r="K151" s="148"/>
      <c r="L151" s="149"/>
      <c r="M151" s="150"/>
      <c r="N151" s="151"/>
      <c r="O151" s="150"/>
      <c r="P151" s="152"/>
      <c r="Q151" s="150"/>
      <c r="R151" s="150"/>
    </row>
    <row r="152" spans="1:18" s="153" customFormat="1" ht="18" customHeight="1" outlineLevel="1" x14ac:dyDescent="0.2">
      <c r="A152" s="49" t="s">
        <v>221</v>
      </c>
      <c r="B152" s="71">
        <v>72178</v>
      </c>
      <c r="C152" s="68" t="s">
        <v>51</v>
      </c>
      <c r="D152" s="49" t="s">
        <v>24</v>
      </c>
      <c r="E152" s="50">
        <f t="shared" si="19"/>
        <v>44.75200000000001</v>
      </c>
      <c r="F152" s="50">
        <v>22.6</v>
      </c>
      <c r="G152" s="51">
        <f t="shared" si="20"/>
        <v>28.47</v>
      </c>
      <c r="H152" s="51">
        <f t="shared" si="21"/>
        <v>1274.08</v>
      </c>
      <c r="I152" s="50"/>
      <c r="J152" s="147">
        <f>(5.15+6.06)*3.2+(2.6+4.8)*1.2</f>
        <v>44.75200000000001</v>
      </c>
      <c r="K152" s="148"/>
      <c r="L152" s="149"/>
      <c r="M152" s="150"/>
      <c r="N152" s="151"/>
      <c r="O152" s="150"/>
      <c r="P152" s="152"/>
      <c r="Q152" s="150"/>
      <c r="R152" s="150"/>
    </row>
    <row r="153" spans="1:18" s="153" customFormat="1" ht="18" customHeight="1" outlineLevel="1" x14ac:dyDescent="0.2">
      <c r="A153" s="66" t="s">
        <v>61</v>
      </c>
      <c r="B153" s="66"/>
      <c r="C153" s="43" t="s">
        <v>222</v>
      </c>
      <c r="D153" s="41"/>
      <c r="E153" s="43"/>
      <c r="F153" s="43"/>
      <c r="G153" s="67" t="s">
        <v>39</v>
      </c>
      <c r="H153" s="41"/>
      <c r="I153" s="44">
        <f>SUM(H154:H156)</f>
        <v>37735.240000000005</v>
      </c>
      <c r="J153" s="147"/>
      <c r="K153" s="148"/>
      <c r="L153" s="149"/>
      <c r="M153" s="150"/>
      <c r="N153" s="151"/>
      <c r="O153" s="150"/>
      <c r="P153" s="152"/>
      <c r="Q153" s="150"/>
      <c r="R153" s="150"/>
    </row>
    <row r="154" spans="1:18" s="153" customFormat="1" ht="36.75" customHeight="1" outlineLevel="1" x14ac:dyDescent="0.2">
      <c r="A154" s="49" t="s">
        <v>65</v>
      </c>
      <c r="B154" s="47">
        <v>87477</v>
      </c>
      <c r="C154" s="48" t="s">
        <v>71</v>
      </c>
      <c r="D154" s="49" t="s">
        <v>24</v>
      </c>
      <c r="E154" s="50">
        <f>J154</f>
        <v>79.359000000000009</v>
      </c>
      <c r="F154" s="50">
        <v>40.9</v>
      </c>
      <c r="G154" s="51">
        <f>TRUNC(F154*$J$13,2)</f>
        <v>51.53</v>
      </c>
      <c r="H154" s="51">
        <f>TRUNC(E154*G154,2)</f>
        <v>4089.36</v>
      </c>
      <c r="I154" s="154"/>
      <c r="J154" s="83">
        <f>1.2*1.1*6+0.8*2.1*6+(6.4+3.47)*3.2+59.55*0.5</f>
        <v>79.359000000000009</v>
      </c>
      <c r="K154" s="148"/>
      <c r="L154" s="149"/>
      <c r="M154" s="150"/>
      <c r="N154" s="151"/>
      <c r="O154" s="150"/>
      <c r="P154" s="152"/>
      <c r="Q154" s="150"/>
      <c r="R154" s="150"/>
    </row>
    <row r="155" spans="1:18" s="153" customFormat="1" ht="27" customHeight="1" outlineLevel="1" x14ac:dyDescent="0.2">
      <c r="A155" s="49" t="s">
        <v>70</v>
      </c>
      <c r="B155" s="72">
        <v>79627</v>
      </c>
      <c r="C155" s="48" t="s">
        <v>223</v>
      </c>
      <c r="D155" s="70" t="s">
        <v>24</v>
      </c>
      <c r="E155" s="155">
        <f>J155</f>
        <v>20.52</v>
      </c>
      <c r="F155" s="155">
        <v>658</v>
      </c>
      <c r="G155" s="156">
        <f>TRUNC(F155*$J$13,2)</f>
        <v>829.08</v>
      </c>
      <c r="H155" s="156">
        <f>TRUNC(E155*G155,2)</f>
        <v>17012.72</v>
      </c>
      <c r="I155" s="50"/>
      <c r="J155" s="147">
        <f>(6*1.2+1.7+0.1+0.3+1.7+0.1+0.3)*1.8</f>
        <v>20.52</v>
      </c>
      <c r="K155" s="148"/>
      <c r="L155" s="149"/>
      <c r="M155" s="150"/>
      <c r="N155" s="151"/>
      <c r="O155" s="150"/>
      <c r="P155" s="152"/>
      <c r="Q155" s="150"/>
      <c r="R155" s="150"/>
    </row>
    <row r="156" spans="1:18" s="153" customFormat="1" ht="36" customHeight="1" outlineLevel="1" x14ac:dyDescent="0.2">
      <c r="A156" s="49" t="s">
        <v>73</v>
      </c>
      <c r="B156" s="72">
        <v>96359</v>
      </c>
      <c r="C156" s="48" t="s">
        <v>224</v>
      </c>
      <c r="D156" s="49" t="s">
        <v>24</v>
      </c>
      <c r="E156" s="50">
        <f t="shared" si="19"/>
        <v>156.22400000000002</v>
      </c>
      <c r="F156" s="50">
        <v>84.5</v>
      </c>
      <c r="G156" s="51">
        <f t="shared" si="20"/>
        <v>106.47</v>
      </c>
      <c r="H156" s="51">
        <f t="shared" si="21"/>
        <v>16633.16</v>
      </c>
      <c r="I156" s="50"/>
      <c r="J156" s="147">
        <f>(5.25+6.06+2.55+3.97+1.18+4.18+5.25+5.25+3.67+4.18+3.38+3.9)*3.2</f>
        <v>156.22400000000002</v>
      </c>
      <c r="K156" s="148"/>
      <c r="L156" s="149"/>
      <c r="M156" s="150"/>
      <c r="N156" s="151"/>
      <c r="O156" s="150"/>
      <c r="P156" s="152"/>
      <c r="Q156" s="150"/>
      <c r="R156" s="150"/>
    </row>
    <row r="157" spans="1:18" s="27" customFormat="1" outlineLevel="1" x14ac:dyDescent="0.2">
      <c r="A157" s="66" t="s">
        <v>75</v>
      </c>
      <c r="B157" s="66"/>
      <c r="C157" s="43" t="s">
        <v>52</v>
      </c>
      <c r="D157" s="42"/>
      <c r="E157" s="43"/>
      <c r="F157" s="43"/>
      <c r="G157" s="67" t="s">
        <v>39</v>
      </c>
      <c r="H157" s="41"/>
      <c r="I157" s="44">
        <f>SUM(H158:H159)</f>
        <v>22934.19</v>
      </c>
      <c r="J157" s="74"/>
      <c r="K157" s="12"/>
      <c r="L157" s="12"/>
      <c r="M157" s="4"/>
      <c r="N157" s="4"/>
      <c r="O157" s="4"/>
      <c r="P157" s="5"/>
      <c r="Q157" s="26"/>
      <c r="R157" s="6"/>
    </row>
    <row r="158" spans="1:18" s="27" customFormat="1" ht="45" outlineLevel="1" x14ac:dyDescent="0.2">
      <c r="A158" s="46" t="s">
        <v>78</v>
      </c>
      <c r="B158" s="47">
        <v>90843</v>
      </c>
      <c r="C158" s="48" t="s">
        <v>54</v>
      </c>
      <c r="D158" s="49" t="s">
        <v>45</v>
      </c>
      <c r="E158" s="50">
        <v>16</v>
      </c>
      <c r="F158" s="50">
        <v>742.69</v>
      </c>
      <c r="G158" s="51">
        <f>TRUNC(F158*$J$13,2)</f>
        <v>935.78</v>
      </c>
      <c r="H158" s="51">
        <f>TRUNC(E158*G158,2)</f>
        <v>14972.48</v>
      </c>
      <c r="I158" s="157"/>
      <c r="J158" s="74">
        <v>32</v>
      </c>
      <c r="K158" s="12">
        <v>32</v>
      </c>
      <c r="L158" s="12"/>
      <c r="M158" s="4"/>
      <c r="N158" s="4"/>
      <c r="O158" s="4"/>
      <c r="P158" s="5"/>
      <c r="Q158" s="26"/>
      <c r="R158" s="6"/>
    </row>
    <row r="159" spans="1:18" s="89" customFormat="1" ht="30" customHeight="1" outlineLevel="1" x14ac:dyDescent="0.2">
      <c r="A159" s="46" t="s">
        <v>84</v>
      </c>
      <c r="B159" s="47">
        <v>91338</v>
      </c>
      <c r="C159" s="48" t="s">
        <v>58</v>
      </c>
      <c r="D159" s="49" t="s">
        <v>24</v>
      </c>
      <c r="E159" s="50">
        <f>J159</f>
        <v>6.48</v>
      </c>
      <c r="F159" s="50">
        <v>975.13</v>
      </c>
      <c r="G159" s="51">
        <f>TRUNC(F159*$J$13,2)</f>
        <v>1228.6600000000001</v>
      </c>
      <c r="H159" s="51">
        <f>TRUNC(E159*G159,2)</f>
        <v>7961.71</v>
      </c>
      <c r="I159" s="158"/>
      <c r="J159" s="83">
        <f>0.8*1.2+0.9*1.2*2+0.8*2.1*2</f>
        <v>6.48</v>
      </c>
      <c r="K159" s="84" t="s">
        <v>59</v>
      </c>
      <c r="L159" s="84"/>
      <c r="M159" s="85">
        <f>(0.8*2.1)+(0.7*2.1*6)</f>
        <v>10.5</v>
      </c>
      <c r="N159" s="85"/>
      <c r="O159" s="85"/>
      <c r="P159" s="86" t="s">
        <v>60</v>
      </c>
      <c r="Q159" s="87"/>
      <c r="R159" s="88"/>
    </row>
    <row r="160" spans="1:18" s="27" customFormat="1" outlineLevel="1" x14ac:dyDescent="0.2">
      <c r="A160" s="73" t="s">
        <v>86</v>
      </c>
      <c r="B160" s="66"/>
      <c r="C160" s="43" t="s">
        <v>62</v>
      </c>
      <c r="D160" s="41"/>
      <c r="E160" s="43"/>
      <c r="F160" s="43"/>
      <c r="G160" s="67" t="s">
        <v>39</v>
      </c>
      <c r="H160" s="41"/>
      <c r="I160" s="44">
        <f>SUM(H161:H165)</f>
        <v>21481.510000000002</v>
      </c>
      <c r="J160" s="74"/>
      <c r="K160" s="12"/>
      <c r="L160" s="12"/>
      <c r="M160" s="4"/>
      <c r="N160" s="4"/>
      <c r="O160" s="4"/>
      <c r="P160" s="5"/>
      <c r="Q160" s="26"/>
      <c r="R160" s="6"/>
    </row>
    <row r="161" spans="1:18" s="89" customFormat="1" ht="32.25" customHeight="1" outlineLevel="1" x14ac:dyDescent="0.2">
      <c r="A161" s="49" t="s">
        <v>88</v>
      </c>
      <c r="B161" s="47">
        <v>87266</v>
      </c>
      <c r="C161" s="48" t="s">
        <v>66</v>
      </c>
      <c r="D161" s="49" t="s">
        <v>24</v>
      </c>
      <c r="E161" s="50">
        <f>J161</f>
        <v>168.042</v>
      </c>
      <c r="F161" s="50">
        <v>40.9</v>
      </c>
      <c r="G161" s="51">
        <f>TRUNC(F161*$J$13,2)</f>
        <v>51.53</v>
      </c>
      <c r="H161" s="51">
        <f>TRUNC(E161*G161,2)</f>
        <v>8659.2000000000007</v>
      </c>
      <c r="I161" s="154"/>
      <c r="J161" s="83">
        <f>(4.81+16.16+18.79+18.62+9.8+11.84)*2.1</f>
        <v>168.042</v>
      </c>
      <c r="K161" s="83" t="s">
        <v>67</v>
      </c>
      <c r="L161" s="83"/>
      <c r="M161" s="85">
        <v>248.42</v>
      </c>
      <c r="N161" s="85"/>
      <c r="O161" s="85"/>
      <c r="P161" s="86" t="s">
        <v>69</v>
      </c>
      <c r="Q161" s="87"/>
      <c r="R161" s="88"/>
    </row>
    <row r="162" spans="1:18" s="89" customFormat="1" ht="32.25" customHeight="1" outlineLevel="1" x14ac:dyDescent="0.2">
      <c r="A162" s="49" t="s">
        <v>91</v>
      </c>
      <c r="B162" s="47">
        <v>87477</v>
      </c>
      <c r="C162" s="48" t="s">
        <v>71</v>
      </c>
      <c r="D162" s="49" t="s">
        <v>24</v>
      </c>
      <c r="E162" s="50">
        <f>J162</f>
        <v>70.359000000000009</v>
      </c>
      <c r="F162" s="50">
        <v>40.9</v>
      </c>
      <c r="G162" s="51">
        <f>TRUNC(F162*$J$13,2)</f>
        <v>51.53</v>
      </c>
      <c r="H162" s="51">
        <f>TRUNC(E162*G162,2)</f>
        <v>3625.59</v>
      </c>
      <c r="I162" s="154"/>
      <c r="J162" s="83">
        <f>1.2*1.1*3+0.8*2.1*3+(6.4+3.47)*3.2+59.55*0.5</f>
        <v>70.359000000000009</v>
      </c>
      <c r="K162" s="93" t="s">
        <v>225</v>
      </c>
      <c r="L162" s="83"/>
      <c r="M162" s="85">
        <f>40.65*3.3</f>
        <v>134.14499999999998</v>
      </c>
      <c r="N162" s="85"/>
      <c r="O162" s="85"/>
      <c r="P162" s="86"/>
      <c r="Q162" s="87"/>
      <c r="R162" s="88"/>
    </row>
    <row r="163" spans="1:18" s="89" customFormat="1" ht="32.25" customHeight="1" outlineLevel="1" x14ac:dyDescent="0.2">
      <c r="A163" s="49" t="s">
        <v>94</v>
      </c>
      <c r="B163" s="72">
        <v>87879</v>
      </c>
      <c r="C163" s="48" t="s">
        <v>226</v>
      </c>
      <c r="D163" s="49" t="s">
        <v>24</v>
      </c>
      <c r="E163" s="50">
        <f>J163</f>
        <v>140.71800000000002</v>
      </c>
      <c r="F163" s="50">
        <v>2.72</v>
      </c>
      <c r="G163" s="51">
        <f>TRUNC(F163*$J$13,2)</f>
        <v>3.42</v>
      </c>
      <c r="H163" s="51">
        <f>TRUNC(E163*G163,2)</f>
        <v>481.25</v>
      </c>
      <c r="I163" s="154"/>
      <c r="J163" s="83">
        <f>J165</f>
        <v>140.71800000000002</v>
      </c>
      <c r="K163" s="93"/>
      <c r="L163" s="83"/>
      <c r="M163" s="85"/>
      <c r="N163" s="85"/>
      <c r="O163" s="85"/>
      <c r="P163" s="86"/>
      <c r="Q163" s="87"/>
      <c r="R163" s="88"/>
    </row>
    <row r="164" spans="1:18" s="89" customFormat="1" ht="32.25" customHeight="1" outlineLevel="1" x14ac:dyDescent="0.2">
      <c r="A164" s="49" t="s">
        <v>227</v>
      </c>
      <c r="B164" s="47">
        <v>87266</v>
      </c>
      <c r="C164" s="48" t="s">
        <v>66</v>
      </c>
      <c r="D164" s="49" t="s">
        <v>24</v>
      </c>
      <c r="E164" s="68">
        <v>85</v>
      </c>
      <c r="F164" s="50">
        <v>43.91</v>
      </c>
      <c r="G164" s="51">
        <f>TRUNC(F164*$J$13,2)</f>
        <v>55.32</v>
      </c>
      <c r="H164" s="51">
        <f>TRUNC(E164*G164,2)</f>
        <v>4702.2</v>
      </c>
      <c r="I164" s="154"/>
      <c r="J164" s="83"/>
      <c r="K164" s="93"/>
      <c r="L164" s="83"/>
      <c r="M164" s="85"/>
      <c r="N164" s="85"/>
      <c r="O164" s="85"/>
      <c r="P164" s="86"/>
      <c r="Q164" s="87"/>
      <c r="R164" s="88"/>
    </row>
    <row r="165" spans="1:18" s="89" customFormat="1" ht="32.25" customHeight="1" outlineLevel="1" x14ac:dyDescent="0.2">
      <c r="A165" s="49" t="s">
        <v>395</v>
      </c>
      <c r="B165" s="47">
        <v>90408</v>
      </c>
      <c r="C165" s="48" t="s">
        <v>74</v>
      </c>
      <c r="D165" s="49" t="s">
        <v>24</v>
      </c>
      <c r="E165" s="50">
        <f>J165</f>
        <v>140.71800000000002</v>
      </c>
      <c r="F165" s="50">
        <v>22.64</v>
      </c>
      <c r="G165" s="51">
        <f>TRUNC(F165*$J$13,2)</f>
        <v>28.52</v>
      </c>
      <c r="H165" s="51">
        <f>TRUNC(E165*G165,2)</f>
        <v>4013.27</v>
      </c>
      <c r="I165" s="154"/>
      <c r="J165" s="83">
        <f>J162*2</f>
        <v>140.71800000000002</v>
      </c>
      <c r="K165" s="93" t="s">
        <v>228</v>
      </c>
      <c r="L165" s="83"/>
      <c r="M165" s="85">
        <f>40.65*3.3</f>
        <v>134.14499999999998</v>
      </c>
      <c r="N165" s="85"/>
      <c r="O165" s="85"/>
      <c r="P165" s="86"/>
      <c r="Q165" s="87"/>
      <c r="R165" s="88"/>
    </row>
    <row r="166" spans="1:18" s="27" customFormat="1" outlineLevel="1" x14ac:dyDescent="0.2">
      <c r="A166" s="73" t="s">
        <v>96</v>
      </c>
      <c r="B166" s="66"/>
      <c r="C166" s="43" t="s">
        <v>76</v>
      </c>
      <c r="D166" s="41"/>
      <c r="E166" s="43"/>
      <c r="F166" s="43"/>
      <c r="G166" s="67" t="s">
        <v>39</v>
      </c>
      <c r="H166" s="41"/>
      <c r="I166" s="44">
        <f>SUM(H167:H168)</f>
        <v>18209.080000000002</v>
      </c>
      <c r="J166" s="74"/>
      <c r="K166" s="12"/>
      <c r="L166" s="12"/>
      <c r="M166" s="4"/>
      <c r="N166" s="4"/>
      <c r="O166" s="4"/>
      <c r="P166" s="5"/>
      <c r="Q166" s="26"/>
      <c r="R166" s="6"/>
    </row>
    <row r="167" spans="1:18" s="89" customFormat="1" ht="36.75" customHeight="1" outlineLevel="1" x14ac:dyDescent="0.2">
      <c r="A167" s="49" t="s">
        <v>98</v>
      </c>
      <c r="B167" s="47">
        <v>94993</v>
      </c>
      <c r="C167" s="48" t="s">
        <v>79</v>
      </c>
      <c r="D167" s="49" t="s">
        <v>24</v>
      </c>
      <c r="E167" s="50">
        <f>J167</f>
        <v>131.55000000000001</v>
      </c>
      <c r="F167" s="50">
        <v>62.94</v>
      </c>
      <c r="G167" s="51">
        <f>TRUNC(F167*$J$13,2)</f>
        <v>79.3</v>
      </c>
      <c r="H167" s="51">
        <f>TRUNC(E167*G167,2)</f>
        <v>10431.91</v>
      </c>
      <c r="I167" s="158"/>
      <c r="J167" s="83">
        <f>131.55</f>
        <v>131.55000000000001</v>
      </c>
      <c r="K167" s="84" t="s">
        <v>80</v>
      </c>
      <c r="L167" s="84"/>
      <c r="M167" s="85">
        <f>0.6*21.81*2</f>
        <v>26.171999999999997</v>
      </c>
      <c r="N167" s="85"/>
      <c r="O167" s="85"/>
      <c r="P167" s="86" t="s">
        <v>81</v>
      </c>
      <c r="Q167" s="87"/>
      <c r="R167" s="88"/>
    </row>
    <row r="168" spans="1:18" s="100" customFormat="1" ht="33.75" outlineLevel="1" x14ac:dyDescent="0.2">
      <c r="A168" s="49" t="s">
        <v>101</v>
      </c>
      <c r="B168" s="47">
        <v>87262</v>
      </c>
      <c r="C168" s="48" t="s">
        <v>85</v>
      </c>
      <c r="D168" s="49" t="s">
        <v>24</v>
      </c>
      <c r="E168" s="50">
        <f>J168</f>
        <v>66.5</v>
      </c>
      <c r="F168" s="50">
        <v>92.82</v>
      </c>
      <c r="G168" s="51">
        <f>TRUNC(F168*$J$13,2)</f>
        <v>116.95</v>
      </c>
      <c r="H168" s="51">
        <f>TRUNC(E168*G168,2)</f>
        <v>7777.17</v>
      </c>
      <c r="I168" s="159"/>
      <c r="J168" s="147">
        <f>18.78+18.78+1.44+7.39+3.8+16.31</f>
        <v>66.5</v>
      </c>
      <c r="K168" s="96" t="s">
        <v>67</v>
      </c>
      <c r="L168" s="96"/>
      <c r="M168" s="97">
        <v>60.22</v>
      </c>
      <c r="N168" s="97"/>
      <c r="O168" s="97"/>
      <c r="P168" s="86" t="s">
        <v>69</v>
      </c>
      <c r="Q168" s="98"/>
      <c r="R168" s="99"/>
    </row>
    <row r="169" spans="1:18" s="27" customFormat="1" outlineLevel="1" x14ac:dyDescent="0.2">
      <c r="A169" s="73" t="s">
        <v>117</v>
      </c>
      <c r="B169" s="66"/>
      <c r="C169" s="43" t="s">
        <v>87</v>
      </c>
      <c r="D169" s="41"/>
      <c r="E169" s="43"/>
      <c r="F169" s="43"/>
      <c r="G169" s="67" t="s">
        <v>39</v>
      </c>
      <c r="H169" s="41"/>
      <c r="I169" s="44">
        <f>SUM(H170:H173)</f>
        <v>8806.67</v>
      </c>
      <c r="J169" s="74"/>
      <c r="K169" s="12"/>
      <c r="L169" s="12"/>
      <c r="M169" s="4"/>
      <c r="N169" s="4"/>
      <c r="O169" s="4"/>
      <c r="P169" s="5"/>
      <c r="Q169" s="26"/>
      <c r="R169" s="6"/>
    </row>
    <row r="170" spans="1:18" s="89" customFormat="1" ht="15" customHeight="1" outlineLevel="1" x14ac:dyDescent="0.2">
      <c r="A170" s="49" t="s">
        <v>119</v>
      </c>
      <c r="B170" s="47">
        <v>72117</v>
      </c>
      <c r="C170" s="101" t="s">
        <v>89</v>
      </c>
      <c r="D170" s="49" t="s">
        <v>24</v>
      </c>
      <c r="E170" s="50">
        <f>M170</f>
        <v>9.89</v>
      </c>
      <c r="F170" s="50">
        <v>159.13</v>
      </c>
      <c r="G170" s="51">
        <f>TRUNC(F170*$J$13,2)</f>
        <v>200.5</v>
      </c>
      <c r="H170" s="51">
        <f>TRUNC(E170*G170,2)</f>
        <v>1982.94</v>
      </c>
      <c r="I170" s="154"/>
      <c r="J170" s="83"/>
      <c r="K170" s="83" t="s">
        <v>229</v>
      </c>
      <c r="L170" s="83"/>
      <c r="M170" s="85">
        <f>49.45*0.2</f>
        <v>9.89</v>
      </c>
      <c r="N170" s="85"/>
      <c r="O170" s="85"/>
      <c r="P170" s="86"/>
      <c r="Q170" s="87"/>
      <c r="R170" s="88"/>
    </row>
    <row r="171" spans="1:18" s="89" customFormat="1" outlineLevel="1" x14ac:dyDescent="0.2">
      <c r="A171" s="49" t="s">
        <v>121</v>
      </c>
      <c r="B171" s="47">
        <v>84886</v>
      </c>
      <c r="C171" s="101" t="s">
        <v>92</v>
      </c>
      <c r="D171" s="49" t="s">
        <v>93</v>
      </c>
      <c r="E171" s="50">
        <v>2</v>
      </c>
      <c r="F171" s="50">
        <v>1139.6199999999999</v>
      </c>
      <c r="G171" s="51">
        <f>TRUNC(F171*$J$13,2)</f>
        <v>1435.92</v>
      </c>
      <c r="H171" s="51">
        <f>TRUNC(E171*G171,2)</f>
        <v>2871.84</v>
      </c>
      <c r="I171" s="154"/>
      <c r="J171" s="83"/>
      <c r="K171" s="83"/>
      <c r="L171" s="83"/>
      <c r="M171" s="85"/>
      <c r="N171" s="85"/>
      <c r="O171" s="85"/>
      <c r="P171" s="86"/>
      <c r="Q171" s="87"/>
      <c r="R171" s="88"/>
    </row>
    <row r="172" spans="1:18" s="89" customFormat="1" ht="45" customHeight="1" outlineLevel="1" x14ac:dyDescent="0.2">
      <c r="A172" s="49" t="s">
        <v>123</v>
      </c>
      <c r="B172" s="47">
        <v>84885</v>
      </c>
      <c r="C172" s="48" t="s">
        <v>95</v>
      </c>
      <c r="D172" s="49" t="s">
        <v>45</v>
      </c>
      <c r="E172" s="50">
        <v>1</v>
      </c>
      <c r="F172" s="50">
        <v>612.76</v>
      </c>
      <c r="G172" s="51">
        <f>TRUNC(F172*$J$13,2)</f>
        <v>772.07</v>
      </c>
      <c r="H172" s="51">
        <f>TRUNC(E172*G172,2)</f>
        <v>772.07</v>
      </c>
      <c r="I172" s="154"/>
      <c r="J172" s="83"/>
      <c r="K172" s="83"/>
      <c r="L172" s="83"/>
      <c r="M172" s="85"/>
      <c r="N172" s="85"/>
      <c r="O172" s="85"/>
      <c r="P172" s="86"/>
      <c r="Q172" s="87"/>
      <c r="R172" s="88"/>
    </row>
    <row r="173" spans="1:18" s="89" customFormat="1" ht="22.5" outlineLevel="1" x14ac:dyDescent="0.2">
      <c r="A173" s="49" t="s">
        <v>125</v>
      </c>
      <c r="B173" s="47">
        <v>72120</v>
      </c>
      <c r="C173" s="48" t="s">
        <v>230</v>
      </c>
      <c r="D173" s="49" t="s">
        <v>24</v>
      </c>
      <c r="E173" s="50">
        <f>N173</f>
        <v>7.2675000000000001</v>
      </c>
      <c r="F173" s="50">
        <v>347.26</v>
      </c>
      <c r="G173" s="51">
        <f>TRUNC(F173*$J$13,2)</f>
        <v>437.54</v>
      </c>
      <c r="H173" s="51">
        <f>TRUNC(E173*G173,2)</f>
        <v>3179.82</v>
      </c>
      <c r="I173" s="154"/>
      <c r="J173" s="83"/>
      <c r="K173" s="83"/>
      <c r="L173" s="83" t="s">
        <v>231</v>
      </c>
      <c r="M173" s="85"/>
      <c r="N173" s="85">
        <f>2.55*2.85</f>
        <v>7.2675000000000001</v>
      </c>
      <c r="O173" s="85"/>
      <c r="P173" s="86"/>
      <c r="Q173" s="87"/>
      <c r="R173" s="88"/>
    </row>
    <row r="174" spans="1:18" s="27" customFormat="1" outlineLevel="1" x14ac:dyDescent="0.2">
      <c r="A174" s="73" t="s">
        <v>161</v>
      </c>
      <c r="B174" s="66"/>
      <c r="C174" s="43" t="s">
        <v>97</v>
      </c>
      <c r="D174" s="41"/>
      <c r="E174" s="43"/>
      <c r="F174" s="43"/>
      <c r="G174" s="67" t="s">
        <v>39</v>
      </c>
      <c r="H174" s="41"/>
      <c r="I174" s="44">
        <f>SUM(H175:H184)</f>
        <v>77128.589999999982</v>
      </c>
      <c r="J174" s="74"/>
      <c r="K174" s="12"/>
      <c r="L174" s="12"/>
      <c r="M174" s="4"/>
      <c r="N174" s="4"/>
      <c r="O174" s="4"/>
      <c r="P174" s="5"/>
      <c r="Q174" s="26"/>
      <c r="R174" s="6"/>
    </row>
    <row r="175" spans="1:18" s="104" customFormat="1" outlineLevel="1" x14ac:dyDescent="0.2">
      <c r="A175" s="49" t="s">
        <v>163</v>
      </c>
      <c r="B175" s="47">
        <v>88496</v>
      </c>
      <c r="C175" s="68" t="s">
        <v>102</v>
      </c>
      <c r="D175" s="49" t="s">
        <v>24</v>
      </c>
      <c r="E175" s="103">
        <f>J175</f>
        <v>584.24204699999984</v>
      </c>
      <c r="F175" s="50">
        <v>19.940000000000001</v>
      </c>
      <c r="G175" s="51">
        <f t="shared" ref="G175:G184" si="22">TRUNC(F175*$J$13,2)</f>
        <v>25.12</v>
      </c>
      <c r="H175" s="51">
        <f t="shared" ref="H175:H184" si="23">TRUNC(E175*G175,2)</f>
        <v>14676.16</v>
      </c>
      <c r="I175" s="154"/>
      <c r="J175" s="83">
        <f>1.44+25.74+20.47+6.5+11.24+20.45+20.39+20.27+48.82+13.38+16.31+29.36+9.08+27.56+10.12+17.94+17.94+27.56+9.84+27.45+12+9.95+7.39+33.46+20.27+41.732047+15.4+50.8+6.5+4.88</f>
        <v>584.24204699999984</v>
      </c>
      <c r="K175" s="83" t="s">
        <v>103</v>
      </c>
      <c r="L175" s="83"/>
      <c r="M175" s="85">
        <v>347.22</v>
      </c>
      <c r="N175" s="85"/>
      <c r="O175" s="85"/>
      <c r="P175" s="86"/>
      <c r="Q175" s="85"/>
      <c r="R175" s="85"/>
    </row>
    <row r="176" spans="1:18" s="89" customFormat="1" ht="22.5" outlineLevel="1" x14ac:dyDescent="0.2">
      <c r="A176" s="49" t="s">
        <v>164</v>
      </c>
      <c r="B176" s="47">
        <v>88486</v>
      </c>
      <c r="C176" s="48" t="s">
        <v>232</v>
      </c>
      <c r="D176" s="49" t="s">
        <v>24</v>
      </c>
      <c r="E176" s="103">
        <f>J176</f>
        <v>584.24204699999984</v>
      </c>
      <c r="F176" s="50">
        <v>9.9499999999999993</v>
      </c>
      <c r="G176" s="51">
        <f t="shared" si="22"/>
        <v>12.53</v>
      </c>
      <c r="H176" s="51">
        <f t="shared" si="23"/>
        <v>7320.55</v>
      </c>
      <c r="I176" s="154"/>
      <c r="J176" s="83">
        <f>J175</f>
        <v>584.24204699999984</v>
      </c>
      <c r="K176" s="83"/>
      <c r="L176" s="83"/>
      <c r="M176" s="85"/>
      <c r="N176" s="85"/>
      <c r="O176" s="85"/>
      <c r="P176" s="86"/>
      <c r="Q176" s="87"/>
      <c r="R176" s="88"/>
    </row>
    <row r="177" spans="1:18" s="89" customFormat="1" outlineLevel="1" x14ac:dyDescent="0.2">
      <c r="A177" s="49" t="s">
        <v>165</v>
      </c>
      <c r="B177" s="47">
        <v>88497</v>
      </c>
      <c r="C177" s="68" t="s">
        <v>233</v>
      </c>
      <c r="D177" s="49" t="s">
        <v>24</v>
      </c>
      <c r="E177" s="103">
        <f>J177</f>
        <v>1586.3270000000002</v>
      </c>
      <c r="F177" s="50">
        <v>11.24</v>
      </c>
      <c r="G177" s="51">
        <f t="shared" si="22"/>
        <v>14.16</v>
      </c>
      <c r="H177" s="51">
        <f t="shared" si="23"/>
        <v>22462.39</v>
      </c>
      <c r="I177" s="154"/>
      <c r="J177" s="83">
        <f>(21+18.3+10.2+4.8+18.3+18.26+21+29.1+15.6+23.34+13.04+21+16.26+7.46+68.56+17+17+21+14.25+20.96+21.32+13.18+26.54+21+26.4+18.3+15.7+10.2+31.8+8.98)*3.2+(16.16+11.84+4.8+7.57+18.8+18.8)*1.1-((58*1.2*1.1+32*0.8*2.1)+(5.25+7.26+3.67+3.28+4.18+2.55+3.67+4.18+6.06)*3.2*2)</f>
        <v>1586.3270000000002</v>
      </c>
      <c r="K177" s="83" t="s">
        <v>234</v>
      </c>
      <c r="L177" s="83"/>
      <c r="M177" s="85">
        <f>(243.1*3.25)-66</f>
        <v>724.07499999999993</v>
      </c>
      <c r="N177" s="85"/>
      <c r="O177" s="85"/>
      <c r="P177" s="86"/>
      <c r="Q177" s="87"/>
      <c r="R177" s="88"/>
    </row>
    <row r="178" spans="1:18" s="89" customFormat="1" ht="22.5" outlineLevel="1" x14ac:dyDescent="0.2">
      <c r="A178" s="49" t="s">
        <v>166</v>
      </c>
      <c r="B178" s="47">
        <v>88489</v>
      </c>
      <c r="C178" s="48" t="s">
        <v>109</v>
      </c>
      <c r="D178" s="49" t="s">
        <v>24</v>
      </c>
      <c r="E178" s="103">
        <f>J178</f>
        <v>1586.3270000000002</v>
      </c>
      <c r="F178" s="50">
        <v>11.3</v>
      </c>
      <c r="G178" s="51">
        <f t="shared" si="22"/>
        <v>14.23</v>
      </c>
      <c r="H178" s="51">
        <f t="shared" si="23"/>
        <v>22573.43</v>
      </c>
      <c r="I178" s="154"/>
      <c r="J178" s="83">
        <f>J177</f>
        <v>1586.3270000000002</v>
      </c>
      <c r="K178" s="83"/>
      <c r="L178" s="83"/>
      <c r="M178" s="85"/>
      <c r="N178" s="85"/>
      <c r="O178" s="85"/>
      <c r="P178" s="86"/>
      <c r="Q178" s="87"/>
      <c r="R178" s="88"/>
    </row>
    <row r="179" spans="1:18" s="89" customFormat="1" ht="35.25" customHeight="1" outlineLevel="1" x14ac:dyDescent="0.2">
      <c r="A179" s="49" t="s">
        <v>167</v>
      </c>
      <c r="B179" s="47">
        <v>100725</v>
      </c>
      <c r="C179" s="48" t="s">
        <v>235</v>
      </c>
      <c r="D179" s="49" t="s">
        <v>24</v>
      </c>
      <c r="E179" s="50">
        <v>107.62</v>
      </c>
      <c r="F179" s="50">
        <v>16.12</v>
      </c>
      <c r="G179" s="51">
        <f t="shared" si="22"/>
        <v>20.309999999999999</v>
      </c>
      <c r="H179" s="51">
        <f t="shared" si="23"/>
        <v>2185.7600000000002</v>
      </c>
      <c r="I179" s="154"/>
      <c r="J179" s="83" t="e">
        <f>#REF!</f>
        <v>#REF!</v>
      </c>
      <c r="K179" s="83"/>
      <c r="L179" s="83"/>
      <c r="M179" s="85" t="e">
        <f>#REF!</f>
        <v>#REF!</v>
      </c>
      <c r="N179" s="85"/>
      <c r="O179" s="85"/>
      <c r="P179" s="86"/>
      <c r="Q179" s="87"/>
      <c r="R179" s="88"/>
    </row>
    <row r="180" spans="1:18" s="89" customFormat="1" ht="35.25" customHeight="1" outlineLevel="1" x14ac:dyDescent="0.2">
      <c r="A180" s="49" t="s">
        <v>168</v>
      </c>
      <c r="B180" s="47">
        <v>100725</v>
      </c>
      <c r="C180" s="48" t="s">
        <v>805</v>
      </c>
      <c r="D180" s="49" t="s">
        <v>24</v>
      </c>
      <c r="E180" s="103">
        <f>62*2</f>
        <v>124</v>
      </c>
      <c r="F180" s="50">
        <v>17.12</v>
      </c>
      <c r="G180" s="51">
        <f t="shared" ref="G180" si="24">TRUNC(F180*$J$13,2)</f>
        <v>21.57</v>
      </c>
      <c r="H180" s="51">
        <f t="shared" ref="H180" si="25">TRUNC(E180*G180,2)</f>
        <v>2674.68</v>
      </c>
      <c r="I180" s="154"/>
      <c r="J180" s="83"/>
      <c r="K180" s="83"/>
      <c r="L180" s="83"/>
      <c r="M180" s="85"/>
      <c r="N180" s="85"/>
      <c r="O180" s="85"/>
      <c r="P180" s="86"/>
      <c r="Q180" s="87"/>
      <c r="R180" s="88"/>
    </row>
    <row r="181" spans="1:18" s="89" customFormat="1" ht="35.25" customHeight="1" outlineLevel="1" x14ac:dyDescent="0.2">
      <c r="A181" s="49" t="s">
        <v>170</v>
      </c>
      <c r="B181" s="47">
        <v>100727</v>
      </c>
      <c r="C181" s="105" t="s">
        <v>806</v>
      </c>
      <c r="D181" s="49" t="s">
        <v>24</v>
      </c>
      <c r="E181" s="103">
        <f>84*2</f>
        <v>168</v>
      </c>
      <c r="F181" s="50">
        <v>11.97</v>
      </c>
      <c r="G181" s="51">
        <f t="shared" si="22"/>
        <v>15.08</v>
      </c>
      <c r="H181" s="51">
        <f t="shared" si="23"/>
        <v>2533.44</v>
      </c>
      <c r="I181" s="154"/>
      <c r="J181" s="83"/>
      <c r="K181" s="383" t="s">
        <v>799</v>
      </c>
      <c r="L181" s="83">
        <f>42*1*2</f>
        <v>84</v>
      </c>
      <c r="M181" s="85"/>
      <c r="N181" s="85"/>
      <c r="O181" s="85"/>
      <c r="P181" s="86"/>
      <c r="Q181" s="87"/>
      <c r="R181" s="88"/>
    </row>
    <row r="182" spans="1:18" s="89" customFormat="1" ht="24" customHeight="1" outlineLevel="1" x14ac:dyDescent="0.2">
      <c r="A182" s="49" t="s">
        <v>172</v>
      </c>
      <c r="B182" s="47" t="s">
        <v>110</v>
      </c>
      <c r="C182" s="48" t="s">
        <v>111</v>
      </c>
      <c r="D182" s="49" t="s">
        <v>24</v>
      </c>
      <c r="E182" s="103">
        <f>J182</f>
        <v>3.3600000000000003</v>
      </c>
      <c r="F182" s="50">
        <v>15.01</v>
      </c>
      <c r="G182" s="51">
        <f t="shared" si="22"/>
        <v>18.91</v>
      </c>
      <c r="H182" s="51">
        <f t="shared" si="23"/>
        <v>63.53</v>
      </c>
      <c r="I182" s="154"/>
      <c r="J182" s="83">
        <f>0.8*2.1*2</f>
        <v>3.3600000000000003</v>
      </c>
      <c r="K182" s="83"/>
      <c r="L182" s="83"/>
      <c r="M182" s="85"/>
      <c r="N182" s="85"/>
      <c r="O182" s="85"/>
      <c r="P182" s="86"/>
      <c r="Q182" s="87"/>
      <c r="R182" s="88"/>
    </row>
    <row r="183" spans="1:18" s="89" customFormat="1" ht="23.25" customHeight="1" outlineLevel="1" x14ac:dyDescent="0.2">
      <c r="A183" s="49" t="s">
        <v>174</v>
      </c>
      <c r="B183" s="47">
        <v>88489</v>
      </c>
      <c r="C183" s="48" t="s">
        <v>236</v>
      </c>
      <c r="D183" s="49" t="s">
        <v>24</v>
      </c>
      <c r="E183" s="103">
        <f>J183</f>
        <v>82.889999999999986</v>
      </c>
      <c r="F183" s="50">
        <v>11.24</v>
      </c>
      <c r="G183" s="51">
        <f>TRUNC(F183*$J$13,2)</f>
        <v>14.16</v>
      </c>
      <c r="H183" s="51">
        <f>TRUNC(E183*G183,2)</f>
        <v>1173.72</v>
      </c>
      <c r="I183" s="154"/>
      <c r="J183" s="83">
        <f>(40.35+40.35+18.75+18.75*3.2-(58*1.1*1.2))</f>
        <v>82.889999999999986</v>
      </c>
      <c r="K183" s="83"/>
      <c r="L183" s="83"/>
      <c r="M183" s="85"/>
      <c r="N183" s="85"/>
      <c r="O183" s="85"/>
      <c r="P183" s="86"/>
      <c r="Q183" s="87"/>
      <c r="R183" s="88"/>
    </row>
    <row r="184" spans="1:18" s="89" customFormat="1" ht="15" customHeight="1" outlineLevel="1" x14ac:dyDescent="0.2">
      <c r="A184" s="49" t="s">
        <v>176</v>
      </c>
      <c r="B184" s="47">
        <v>84665</v>
      </c>
      <c r="C184" s="48" t="s">
        <v>115</v>
      </c>
      <c r="D184" s="49" t="s">
        <v>24</v>
      </c>
      <c r="E184" s="50">
        <f>M184</f>
        <v>69.792000000000002</v>
      </c>
      <c r="F184" s="50">
        <v>16.66</v>
      </c>
      <c r="G184" s="51">
        <f t="shared" si="22"/>
        <v>20.99</v>
      </c>
      <c r="H184" s="51">
        <f t="shared" si="23"/>
        <v>1464.93</v>
      </c>
      <c r="I184" s="154"/>
      <c r="J184" s="83"/>
      <c r="K184" s="93" t="s">
        <v>116</v>
      </c>
      <c r="L184" s="83"/>
      <c r="M184" s="93">
        <f>1.6*21.81*2</f>
        <v>69.792000000000002</v>
      </c>
      <c r="N184" s="85"/>
      <c r="O184" s="85"/>
      <c r="P184" s="86"/>
      <c r="Q184" s="87"/>
      <c r="R184" s="88"/>
    </row>
    <row r="185" spans="1:18" s="131" customFormat="1" outlineLevel="1" x14ac:dyDescent="0.2">
      <c r="A185" s="73" t="s">
        <v>187</v>
      </c>
      <c r="B185" s="66"/>
      <c r="C185" s="43" t="s">
        <v>118</v>
      </c>
      <c r="D185" s="41"/>
      <c r="E185" s="43"/>
      <c r="F185" s="43"/>
      <c r="G185" s="67" t="s">
        <v>39</v>
      </c>
      <c r="H185" s="41"/>
      <c r="I185" s="44">
        <f>SUM(H186:H212)</f>
        <v>59217.570000000007</v>
      </c>
      <c r="J185" s="74"/>
      <c r="K185" s="12"/>
      <c r="L185" s="12"/>
      <c r="M185" s="97"/>
      <c r="N185" s="160"/>
      <c r="O185" s="97"/>
      <c r="P185" s="107"/>
      <c r="Q185" s="99"/>
      <c r="R185" s="6"/>
    </row>
    <row r="186" spans="1:18" s="131" customFormat="1" ht="22.5" outlineLevel="1" x14ac:dyDescent="0.2">
      <c r="A186" s="49" t="s">
        <v>189</v>
      </c>
      <c r="B186" s="47">
        <v>91932</v>
      </c>
      <c r="C186" s="48" t="s">
        <v>120</v>
      </c>
      <c r="D186" s="49" t="s">
        <v>56</v>
      </c>
      <c r="E186" s="50">
        <v>150</v>
      </c>
      <c r="F186" s="50">
        <v>9.9499999999999993</v>
      </c>
      <c r="G186" s="51">
        <f t="shared" ref="G186:G211" si="26">TRUNC(F186*$J$13,2)</f>
        <v>12.53</v>
      </c>
      <c r="H186" s="51">
        <f>TRUNC(E186*G186,2)</f>
        <v>1879.5</v>
      </c>
      <c r="I186" s="106"/>
      <c r="J186" s="74"/>
      <c r="K186" s="12"/>
      <c r="L186" s="12"/>
      <c r="M186" s="97"/>
      <c r="N186" s="160"/>
      <c r="O186" s="97"/>
      <c r="P186" s="107"/>
      <c r="Q186" s="99"/>
      <c r="R186" s="6"/>
    </row>
    <row r="187" spans="1:18" s="131" customFormat="1" ht="22.5" outlineLevel="1" x14ac:dyDescent="0.2">
      <c r="A187" s="49" t="s">
        <v>201</v>
      </c>
      <c r="B187" s="47">
        <v>91930</v>
      </c>
      <c r="C187" s="48" t="s">
        <v>122</v>
      </c>
      <c r="D187" s="49" t="s">
        <v>56</v>
      </c>
      <c r="E187" s="50">
        <v>300</v>
      </c>
      <c r="F187" s="50">
        <v>6.06</v>
      </c>
      <c r="G187" s="51">
        <f t="shared" si="26"/>
        <v>7.63</v>
      </c>
      <c r="H187" s="51">
        <f>TRUNC(E187*G187,2)</f>
        <v>2289</v>
      </c>
      <c r="I187" s="106"/>
      <c r="J187" s="74"/>
      <c r="K187" s="12"/>
      <c r="L187" s="12"/>
      <c r="M187" s="97"/>
      <c r="N187" s="160"/>
      <c r="O187" s="97"/>
      <c r="P187" s="107"/>
      <c r="Q187" s="99"/>
      <c r="R187" s="6"/>
    </row>
    <row r="188" spans="1:18" s="131" customFormat="1" ht="22.5" outlineLevel="1" x14ac:dyDescent="0.2">
      <c r="A188" s="49" t="s">
        <v>237</v>
      </c>
      <c r="B188" s="47">
        <v>91928</v>
      </c>
      <c r="C188" s="48" t="s">
        <v>124</v>
      </c>
      <c r="D188" s="49" t="s">
        <v>56</v>
      </c>
      <c r="E188" s="50">
        <v>700</v>
      </c>
      <c r="F188" s="50">
        <v>4.42</v>
      </c>
      <c r="G188" s="51">
        <f t="shared" si="26"/>
        <v>5.56</v>
      </c>
      <c r="H188" s="51">
        <f t="shared" ref="H188:H210" si="27">TRUNC(E188*G188,2)</f>
        <v>3892</v>
      </c>
      <c r="I188" s="106"/>
      <c r="J188" s="74"/>
      <c r="K188" s="12"/>
      <c r="L188" s="12"/>
      <c r="M188" s="97"/>
      <c r="N188" s="160"/>
      <c r="O188" s="97"/>
      <c r="P188" s="107"/>
      <c r="Q188" s="99"/>
      <c r="R188" s="6"/>
    </row>
    <row r="189" spans="1:18" s="131" customFormat="1" ht="22.5" outlineLevel="1" x14ac:dyDescent="0.2">
      <c r="A189" s="49" t="s">
        <v>238</v>
      </c>
      <c r="B189" s="47">
        <v>91927</v>
      </c>
      <c r="C189" s="48" t="s">
        <v>126</v>
      </c>
      <c r="D189" s="49" t="s">
        <v>56</v>
      </c>
      <c r="E189" s="50">
        <v>1200</v>
      </c>
      <c r="F189" s="50">
        <v>3.58</v>
      </c>
      <c r="G189" s="51">
        <f t="shared" si="26"/>
        <v>4.51</v>
      </c>
      <c r="H189" s="51">
        <f t="shared" si="27"/>
        <v>5412</v>
      </c>
      <c r="I189" s="106"/>
      <c r="J189" s="74"/>
      <c r="K189" s="12"/>
      <c r="L189" s="12"/>
      <c r="M189" s="97"/>
      <c r="N189" s="160"/>
      <c r="O189" s="97"/>
      <c r="P189" s="107"/>
      <c r="Q189" s="99"/>
      <c r="R189" s="6"/>
    </row>
    <row r="190" spans="1:18" s="131" customFormat="1" ht="22.5" outlineLevel="1" x14ac:dyDescent="0.2">
      <c r="A190" s="49" t="s">
        <v>239</v>
      </c>
      <c r="B190" s="47">
        <v>90447</v>
      </c>
      <c r="C190" s="48" t="s">
        <v>128</v>
      </c>
      <c r="D190" s="49" t="s">
        <v>56</v>
      </c>
      <c r="E190" s="50">
        <v>180</v>
      </c>
      <c r="F190" s="50">
        <v>4.45</v>
      </c>
      <c r="G190" s="51">
        <f t="shared" si="26"/>
        <v>5.6</v>
      </c>
      <c r="H190" s="51">
        <f t="shared" si="27"/>
        <v>1008</v>
      </c>
      <c r="I190" s="106"/>
      <c r="J190" s="74"/>
      <c r="K190" s="12"/>
      <c r="L190" s="12"/>
      <c r="M190" s="97"/>
      <c r="N190" s="160"/>
      <c r="O190" s="97"/>
      <c r="P190" s="107"/>
      <c r="Q190" s="99"/>
      <c r="R190" s="6"/>
    </row>
    <row r="191" spans="1:18" s="131" customFormat="1" ht="22.5" outlineLevel="1" x14ac:dyDescent="0.2">
      <c r="A191" s="49" t="s">
        <v>240</v>
      </c>
      <c r="B191" s="47">
        <v>91836</v>
      </c>
      <c r="C191" s="48" t="s">
        <v>131</v>
      </c>
      <c r="D191" s="49" t="s">
        <v>56</v>
      </c>
      <c r="E191" s="50">
        <v>100</v>
      </c>
      <c r="F191" s="50">
        <v>7.55</v>
      </c>
      <c r="G191" s="51">
        <f t="shared" si="26"/>
        <v>9.51</v>
      </c>
      <c r="H191" s="51">
        <f t="shared" si="27"/>
        <v>951</v>
      </c>
      <c r="I191" s="106"/>
      <c r="J191" s="74"/>
      <c r="K191" s="12"/>
      <c r="L191" s="12"/>
      <c r="M191" s="97"/>
      <c r="N191" s="160"/>
      <c r="O191" s="97"/>
      <c r="P191" s="107"/>
      <c r="Q191" s="99"/>
      <c r="R191" s="6"/>
    </row>
    <row r="192" spans="1:18" s="131" customFormat="1" ht="22.5" outlineLevel="1" x14ac:dyDescent="0.2">
      <c r="A192" s="49" t="s">
        <v>241</v>
      </c>
      <c r="B192" s="47">
        <v>91869</v>
      </c>
      <c r="C192" s="48" t="s">
        <v>133</v>
      </c>
      <c r="D192" s="49" t="s">
        <v>56</v>
      </c>
      <c r="E192" s="50">
        <v>50</v>
      </c>
      <c r="F192" s="50">
        <v>10.32</v>
      </c>
      <c r="G192" s="51">
        <f t="shared" si="26"/>
        <v>13</v>
      </c>
      <c r="H192" s="51">
        <f t="shared" si="27"/>
        <v>650</v>
      </c>
      <c r="I192" s="106"/>
      <c r="J192" s="74"/>
      <c r="K192" s="12"/>
      <c r="L192" s="12"/>
      <c r="M192" s="97"/>
      <c r="N192" s="160"/>
      <c r="O192" s="97"/>
      <c r="P192" s="107"/>
      <c r="Q192" s="99"/>
      <c r="R192" s="6"/>
    </row>
    <row r="193" spans="1:18" s="131" customFormat="1" outlineLevel="1" x14ac:dyDescent="0.2">
      <c r="A193" s="49" t="s">
        <v>242</v>
      </c>
      <c r="B193" s="47">
        <v>91990</v>
      </c>
      <c r="C193" s="48" t="s">
        <v>135</v>
      </c>
      <c r="D193" s="49" t="s">
        <v>45</v>
      </c>
      <c r="E193" s="50">
        <v>100</v>
      </c>
      <c r="F193" s="50">
        <v>20.73</v>
      </c>
      <c r="G193" s="51">
        <f t="shared" si="26"/>
        <v>26.11</v>
      </c>
      <c r="H193" s="51">
        <f t="shared" si="27"/>
        <v>2611</v>
      </c>
      <c r="I193" s="106"/>
      <c r="J193" s="74"/>
      <c r="K193" s="12"/>
      <c r="L193" s="12"/>
      <c r="M193" s="97"/>
      <c r="N193" s="160"/>
      <c r="O193" s="97"/>
      <c r="P193" s="107"/>
      <c r="Q193" s="99"/>
      <c r="R193" s="6"/>
    </row>
    <row r="194" spans="1:18" s="131" customFormat="1" outlineLevel="1" x14ac:dyDescent="0.2">
      <c r="A194" s="49" t="s">
        <v>243</v>
      </c>
      <c r="B194" s="47">
        <v>91991</v>
      </c>
      <c r="C194" s="48" t="s">
        <v>138</v>
      </c>
      <c r="D194" s="49" t="s">
        <v>45</v>
      </c>
      <c r="E194" s="50">
        <v>32</v>
      </c>
      <c r="F194" s="50">
        <v>21.99</v>
      </c>
      <c r="G194" s="51">
        <f t="shared" si="26"/>
        <v>27.7</v>
      </c>
      <c r="H194" s="51">
        <f t="shared" si="27"/>
        <v>886.4</v>
      </c>
      <c r="I194" s="106"/>
      <c r="J194" s="74"/>
      <c r="K194" s="12"/>
      <c r="L194" s="12"/>
      <c r="M194" s="97"/>
      <c r="N194" s="160"/>
      <c r="O194" s="97"/>
      <c r="P194" s="107"/>
      <c r="Q194" s="99"/>
      <c r="R194" s="6"/>
    </row>
    <row r="195" spans="1:18" s="131" customFormat="1" ht="22.5" outlineLevel="1" x14ac:dyDescent="0.2">
      <c r="A195" s="49" t="s">
        <v>244</v>
      </c>
      <c r="B195" s="47">
        <v>91953</v>
      </c>
      <c r="C195" s="48" t="s">
        <v>140</v>
      </c>
      <c r="D195" s="49" t="s">
        <v>45</v>
      </c>
      <c r="E195" s="50">
        <v>15</v>
      </c>
      <c r="F195" s="50">
        <v>16.14</v>
      </c>
      <c r="G195" s="51">
        <f t="shared" si="26"/>
        <v>20.329999999999998</v>
      </c>
      <c r="H195" s="51">
        <f t="shared" si="27"/>
        <v>304.95</v>
      </c>
      <c r="I195" s="106"/>
      <c r="J195" s="74"/>
      <c r="K195" s="12"/>
      <c r="L195" s="12"/>
      <c r="M195" s="97"/>
      <c r="N195" s="160"/>
      <c r="O195" s="97"/>
      <c r="P195" s="107"/>
      <c r="Q195" s="99"/>
      <c r="R195" s="6"/>
    </row>
    <row r="196" spans="1:18" s="131" customFormat="1" ht="22.5" outlineLevel="1" x14ac:dyDescent="0.2">
      <c r="A196" s="49" t="s">
        <v>245</v>
      </c>
      <c r="B196" s="47">
        <v>91959</v>
      </c>
      <c r="C196" s="48" t="s">
        <v>141</v>
      </c>
      <c r="D196" s="49" t="s">
        <v>45</v>
      </c>
      <c r="E196" s="50">
        <v>10</v>
      </c>
      <c r="F196" s="50">
        <v>25.5</v>
      </c>
      <c r="G196" s="51">
        <f t="shared" si="26"/>
        <v>32.130000000000003</v>
      </c>
      <c r="H196" s="51">
        <f t="shared" si="27"/>
        <v>321.3</v>
      </c>
      <c r="I196" s="106"/>
      <c r="J196" s="74"/>
      <c r="K196" s="12"/>
      <c r="L196" s="12"/>
      <c r="M196" s="97"/>
      <c r="N196" s="160"/>
      <c r="O196" s="97"/>
      <c r="P196" s="107"/>
      <c r="Q196" s="99"/>
      <c r="R196" s="6"/>
    </row>
    <row r="197" spans="1:18" s="131" customFormat="1" ht="22.5" outlineLevel="1" x14ac:dyDescent="0.2">
      <c r="A197" s="49" t="s">
        <v>369</v>
      </c>
      <c r="B197" s="47">
        <v>93653</v>
      </c>
      <c r="C197" s="48" t="s">
        <v>142</v>
      </c>
      <c r="D197" s="49" t="s">
        <v>45</v>
      </c>
      <c r="E197" s="50">
        <v>10</v>
      </c>
      <c r="F197" s="50">
        <v>9.3699999999999992</v>
      </c>
      <c r="G197" s="51">
        <f t="shared" si="26"/>
        <v>11.8</v>
      </c>
      <c r="H197" s="51">
        <f t="shared" si="27"/>
        <v>118</v>
      </c>
      <c r="I197" s="106"/>
      <c r="J197" s="74"/>
      <c r="K197" s="12"/>
      <c r="L197" s="12"/>
      <c r="M197" s="97"/>
      <c r="N197" s="160"/>
      <c r="O197" s="97"/>
      <c r="P197" s="107"/>
      <c r="Q197" s="99"/>
      <c r="R197" s="6"/>
    </row>
    <row r="198" spans="1:18" s="131" customFormat="1" ht="22.5" outlineLevel="1" x14ac:dyDescent="0.2">
      <c r="A198" s="49" t="s">
        <v>340</v>
      </c>
      <c r="B198" s="47">
        <v>93655</v>
      </c>
      <c r="C198" s="48" t="s">
        <v>143</v>
      </c>
      <c r="D198" s="49" t="s">
        <v>45</v>
      </c>
      <c r="E198" s="50">
        <v>8</v>
      </c>
      <c r="F198" s="50">
        <v>10.59</v>
      </c>
      <c r="G198" s="51">
        <f t="shared" si="26"/>
        <v>13.34</v>
      </c>
      <c r="H198" s="51">
        <f t="shared" si="27"/>
        <v>106.72</v>
      </c>
      <c r="I198" s="106"/>
      <c r="J198" s="74"/>
      <c r="K198" s="12"/>
      <c r="L198" s="12"/>
      <c r="M198" s="97"/>
      <c r="N198" s="160"/>
      <c r="O198" s="97"/>
      <c r="P198" s="107"/>
      <c r="Q198" s="99"/>
      <c r="R198" s="6"/>
    </row>
    <row r="199" spans="1:18" s="131" customFormat="1" ht="22.5" outlineLevel="1" x14ac:dyDescent="0.2">
      <c r="A199" s="49" t="s">
        <v>341</v>
      </c>
      <c r="B199" s="47">
        <v>93657</v>
      </c>
      <c r="C199" s="48" t="s">
        <v>144</v>
      </c>
      <c r="D199" s="49" t="s">
        <v>45</v>
      </c>
      <c r="E199" s="50">
        <v>6</v>
      </c>
      <c r="F199" s="50">
        <v>11.59</v>
      </c>
      <c r="G199" s="51">
        <f t="shared" si="26"/>
        <v>14.6</v>
      </c>
      <c r="H199" s="51">
        <f t="shared" si="27"/>
        <v>87.6</v>
      </c>
      <c r="I199" s="106"/>
      <c r="J199" s="74"/>
      <c r="K199" s="12"/>
      <c r="L199" s="12"/>
      <c r="M199" s="97"/>
      <c r="N199" s="160"/>
      <c r="O199" s="97"/>
      <c r="P199" s="107"/>
      <c r="Q199" s="99"/>
      <c r="R199" s="6"/>
    </row>
    <row r="200" spans="1:18" s="131" customFormat="1" ht="22.5" outlineLevel="1" x14ac:dyDescent="0.2">
      <c r="A200" s="49" t="s">
        <v>344</v>
      </c>
      <c r="B200" s="47">
        <v>93660</v>
      </c>
      <c r="C200" s="48" t="s">
        <v>145</v>
      </c>
      <c r="D200" s="49" t="s">
        <v>45</v>
      </c>
      <c r="E200" s="50">
        <v>8</v>
      </c>
      <c r="F200" s="50">
        <v>46.9</v>
      </c>
      <c r="G200" s="51">
        <f t="shared" si="26"/>
        <v>59.09</v>
      </c>
      <c r="H200" s="51">
        <f t="shared" si="27"/>
        <v>472.72</v>
      </c>
      <c r="I200" s="106"/>
      <c r="J200" s="74"/>
      <c r="K200" s="12"/>
      <c r="L200" s="12"/>
      <c r="M200" s="97"/>
      <c r="N200" s="160"/>
      <c r="O200" s="97"/>
      <c r="P200" s="107"/>
      <c r="Q200" s="99"/>
      <c r="R200" s="6"/>
    </row>
    <row r="201" spans="1:18" s="131" customFormat="1" ht="22.5" outlineLevel="1" x14ac:dyDescent="0.2">
      <c r="A201" s="49" t="s">
        <v>347</v>
      </c>
      <c r="B201" s="47">
        <v>93662</v>
      </c>
      <c r="C201" s="48" t="s">
        <v>146</v>
      </c>
      <c r="D201" s="49" t="s">
        <v>45</v>
      </c>
      <c r="E201" s="50">
        <v>6</v>
      </c>
      <c r="F201" s="50">
        <v>49.38</v>
      </c>
      <c r="G201" s="51">
        <f t="shared" si="26"/>
        <v>62.21</v>
      </c>
      <c r="H201" s="51">
        <f t="shared" si="27"/>
        <v>373.26</v>
      </c>
      <c r="I201" s="106"/>
      <c r="J201" s="74"/>
      <c r="K201" s="12"/>
      <c r="L201" s="12"/>
      <c r="M201" s="97"/>
      <c r="N201" s="160"/>
      <c r="O201" s="97"/>
      <c r="P201" s="107"/>
      <c r="Q201" s="99"/>
      <c r="R201" s="6"/>
    </row>
    <row r="202" spans="1:18" s="131" customFormat="1" ht="22.5" outlineLevel="1" x14ac:dyDescent="0.2">
      <c r="A202" s="49" t="s">
        <v>246</v>
      </c>
      <c r="B202" s="47">
        <v>93664</v>
      </c>
      <c r="C202" s="48" t="s">
        <v>147</v>
      </c>
      <c r="D202" s="49" t="s">
        <v>45</v>
      </c>
      <c r="E202" s="50">
        <v>6</v>
      </c>
      <c r="F202" s="50">
        <v>51.34</v>
      </c>
      <c r="G202" s="51">
        <f t="shared" si="26"/>
        <v>64.680000000000007</v>
      </c>
      <c r="H202" s="51">
        <f t="shared" si="27"/>
        <v>388.08</v>
      </c>
      <c r="I202" s="106"/>
      <c r="J202" s="74"/>
      <c r="K202" s="12"/>
      <c r="L202" s="12"/>
      <c r="M202" s="97"/>
      <c r="N202" s="160"/>
      <c r="O202" s="97"/>
      <c r="P202" s="107"/>
      <c r="Q202" s="99"/>
      <c r="R202" s="6"/>
    </row>
    <row r="203" spans="1:18" s="131" customFormat="1" ht="22.5" outlineLevel="1" x14ac:dyDescent="0.2">
      <c r="A203" s="49" t="s">
        <v>247</v>
      </c>
      <c r="B203" s="47">
        <v>93673</v>
      </c>
      <c r="C203" s="48" t="s">
        <v>148</v>
      </c>
      <c r="D203" s="49" t="s">
        <v>45</v>
      </c>
      <c r="E203" s="50">
        <v>5</v>
      </c>
      <c r="F203" s="50">
        <v>75.680000000000007</v>
      </c>
      <c r="G203" s="51">
        <f t="shared" si="26"/>
        <v>95.35</v>
      </c>
      <c r="H203" s="51">
        <f t="shared" si="27"/>
        <v>476.75</v>
      </c>
      <c r="I203" s="106"/>
      <c r="J203" s="74"/>
      <c r="K203" s="12"/>
      <c r="L203" s="12"/>
      <c r="M203" s="97"/>
      <c r="N203" s="160"/>
      <c r="O203" s="97"/>
      <c r="P203" s="107"/>
      <c r="Q203" s="99"/>
      <c r="R203" s="6"/>
    </row>
    <row r="204" spans="1:18" s="131" customFormat="1" ht="22.5" outlineLevel="1" x14ac:dyDescent="0.2">
      <c r="A204" s="49" t="s">
        <v>248</v>
      </c>
      <c r="B204" s="47">
        <v>93667</v>
      </c>
      <c r="C204" s="48" t="s">
        <v>149</v>
      </c>
      <c r="D204" s="49" t="s">
        <v>45</v>
      </c>
      <c r="E204" s="50">
        <v>6</v>
      </c>
      <c r="F204" s="50">
        <v>58.47</v>
      </c>
      <c r="G204" s="51">
        <f t="shared" si="26"/>
        <v>73.67</v>
      </c>
      <c r="H204" s="51">
        <f t="shared" si="27"/>
        <v>442.02</v>
      </c>
      <c r="I204" s="106"/>
      <c r="J204" s="74"/>
      <c r="K204" s="12"/>
      <c r="L204" s="12"/>
      <c r="M204" s="97"/>
      <c r="N204" s="160"/>
      <c r="O204" s="97"/>
      <c r="P204" s="107"/>
      <c r="Q204" s="99"/>
      <c r="R204" s="6"/>
    </row>
    <row r="205" spans="1:18" s="131" customFormat="1" ht="22.5" outlineLevel="1" x14ac:dyDescent="0.2">
      <c r="A205" s="49" t="s">
        <v>249</v>
      </c>
      <c r="B205" s="47">
        <v>93669</v>
      </c>
      <c r="C205" s="48" t="s">
        <v>150</v>
      </c>
      <c r="D205" s="49" t="s">
        <v>45</v>
      </c>
      <c r="E205" s="50">
        <v>6</v>
      </c>
      <c r="F205" s="50">
        <v>62.18</v>
      </c>
      <c r="G205" s="51">
        <f t="shared" si="26"/>
        <v>78.34</v>
      </c>
      <c r="H205" s="51">
        <f t="shared" si="27"/>
        <v>470.04</v>
      </c>
      <c r="I205" s="106"/>
      <c r="J205" s="74"/>
      <c r="K205" s="12"/>
      <c r="L205" s="12"/>
      <c r="M205" s="97"/>
      <c r="N205" s="160"/>
      <c r="O205" s="97"/>
      <c r="P205" s="107"/>
      <c r="Q205" s="99"/>
      <c r="R205" s="6"/>
    </row>
    <row r="206" spans="1:18" s="131" customFormat="1" ht="22.5" outlineLevel="1" x14ac:dyDescent="0.2">
      <c r="A206" s="49" t="s">
        <v>250</v>
      </c>
      <c r="B206" s="47">
        <v>91944</v>
      </c>
      <c r="C206" s="48" t="s">
        <v>152</v>
      </c>
      <c r="D206" s="49" t="s">
        <v>45</v>
      </c>
      <c r="E206" s="50">
        <v>15</v>
      </c>
      <c r="F206" s="50">
        <v>9.3000000000000007</v>
      </c>
      <c r="G206" s="51">
        <f t="shared" si="26"/>
        <v>11.71</v>
      </c>
      <c r="H206" s="51">
        <f t="shared" si="27"/>
        <v>175.65</v>
      </c>
      <c r="I206" s="113"/>
      <c r="J206" s="74"/>
      <c r="K206" s="12"/>
      <c r="L206" s="12"/>
      <c r="M206" s="97"/>
      <c r="N206" s="160"/>
      <c r="O206" s="97"/>
      <c r="P206" s="107"/>
      <c r="Q206" s="99"/>
      <c r="R206" s="6"/>
    </row>
    <row r="207" spans="1:18" s="131" customFormat="1" ht="33.75" outlineLevel="1" x14ac:dyDescent="0.2">
      <c r="A207" s="49" t="s">
        <v>251</v>
      </c>
      <c r="B207" s="47">
        <v>83463</v>
      </c>
      <c r="C207" s="48" t="s">
        <v>153</v>
      </c>
      <c r="D207" s="49" t="s">
        <v>45</v>
      </c>
      <c r="E207" s="50">
        <v>1</v>
      </c>
      <c r="F207" s="50">
        <v>356.52</v>
      </c>
      <c r="G207" s="51">
        <f t="shared" si="26"/>
        <v>449.21</v>
      </c>
      <c r="H207" s="51">
        <f t="shared" si="27"/>
        <v>449.21</v>
      </c>
      <c r="I207" s="106"/>
      <c r="J207" s="74"/>
      <c r="K207" s="12"/>
      <c r="L207" s="12"/>
      <c r="M207" s="97"/>
      <c r="N207" s="160"/>
      <c r="O207" s="97"/>
      <c r="P207" s="107"/>
      <c r="Q207" s="99"/>
      <c r="R207" s="6"/>
    </row>
    <row r="208" spans="1:18" s="131" customFormat="1" ht="33.75" outlineLevel="1" x14ac:dyDescent="0.2">
      <c r="A208" s="49" t="s">
        <v>252</v>
      </c>
      <c r="B208" s="47" t="s">
        <v>154</v>
      </c>
      <c r="C208" s="48" t="s">
        <v>155</v>
      </c>
      <c r="D208" s="49" t="s">
        <v>45</v>
      </c>
      <c r="E208" s="50">
        <v>1</v>
      </c>
      <c r="F208" s="50">
        <v>606.13</v>
      </c>
      <c r="G208" s="51">
        <f t="shared" si="26"/>
        <v>763.72</v>
      </c>
      <c r="H208" s="51">
        <f t="shared" si="27"/>
        <v>763.72</v>
      </c>
      <c r="I208" s="106"/>
      <c r="J208" s="74"/>
      <c r="K208" s="12"/>
      <c r="L208" s="12"/>
      <c r="M208" s="97"/>
      <c r="N208" s="160"/>
      <c r="O208" s="97"/>
      <c r="P208" s="107"/>
      <c r="Q208" s="99"/>
      <c r="R208" s="6"/>
    </row>
    <row r="209" spans="1:18" s="131" customFormat="1" ht="22.5" outlineLevel="1" x14ac:dyDescent="0.2">
      <c r="A209" s="49" t="s">
        <v>703</v>
      </c>
      <c r="B209" s="47">
        <v>91941</v>
      </c>
      <c r="C209" s="48" t="s">
        <v>151</v>
      </c>
      <c r="D209" s="49" t="s">
        <v>45</v>
      </c>
      <c r="E209" s="50">
        <v>52</v>
      </c>
      <c r="F209" s="50">
        <v>6.8</v>
      </c>
      <c r="G209" s="51">
        <f t="shared" si="26"/>
        <v>8.56</v>
      </c>
      <c r="H209" s="51">
        <f t="shared" si="27"/>
        <v>445.12</v>
      </c>
      <c r="I209" s="106"/>
      <c r="J209" s="74"/>
      <c r="K209" s="12"/>
      <c r="L209" s="12"/>
      <c r="M209" s="97"/>
      <c r="N209" s="160"/>
      <c r="O209" s="97"/>
      <c r="P209" s="107"/>
      <c r="Q209" s="99"/>
      <c r="R209" s="6"/>
    </row>
    <row r="210" spans="1:18" s="131" customFormat="1" ht="22.5" outlineLevel="1" x14ac:dyDescent="0.2">
      <c r="A210" s="49" t="s">
        <v>704</v>
      </c>
      <c r="B210" s="47">
        <v>93012</v>
      </c>
      <c r="C210" s="48" t="s">
        <v>156</v>
      </c>
      <c r="D210" s="49" t="s">
        <v>56</v>
      </c>
      <c r="E210" s="50">
        <v>12</v>
      </c>
      <c r="F210" s="50">
        <v>36.47</v>
      </c>
      <c r="G210" s="51">
        <f t="shared" si="26"/>
        <v>45.95</v>
      </c>
      <c r="H210" s="51">
        <f t="shared" si="27"/>
        <v>551.4</v>
      </c>
      <c r="I210" s="106"/>
      <c r="J210" s="74"/>
      <c r="K210" s="12"/>
      <c r="L210" s="12"/>
      <c r="M210" s="97"/>
      <c r="N210" s="160"/>
      <c r="O210" s="97"/>
      <c r="P210" s="107"/>
      <c r="Q210" s="99"/>
      <c r="R210" s="6"/>
    </row>
    <row r="211" spans="1:18" s="131" customFormat="1" ht="33.75" outlineLevel="1" x14ac:dyDescent="0.2">
      <c r="A211" s="49" t="s">
        <v>705</v>
      </c>
      <c r="B211" s="47" t="s">
        <v>157</v>
      </c>
      <c r="C211" s="48" t="s">
        <v>158</v>
      </c>
      <c r="D211" s="49" t="s">
        <v>45</v>
      </c>
      <c r="E211" s="50">
        <v>1</v>
      </c>
      <c r="F211" s="50">
        <v>852.27</v>
      </c>
      <c r="G211" s="51">
        <f t="shared" si="26"/>
        <v>1073.8599999999999</v>
      </c>
      <c r="H211" s="51">
        <f>TRUNC(E211*G211,2)</f>
        <v>1073.8599999999999</v>
      </c>
      <c r="I211" s="106"/>
      <c r="J211" s="74"/>
      <c r="K211" s="12"/>
      <c r="L211" s="12"/>
      <c r="M211" s="97"/>
      <c r="N211" s="160"/>
      <c r="O211" s="97"/>
      <c r="P211" s="107"/>
      <c r="Q211" s="99"/>
      <c r="R211" s="6"/>
    </row>
    <row r="212" spans="1:18" s="131" customFormat="1" ht="33.75" outlineLevel="1" x14ac:dyDescent="0.2">
      <c r="A212" s="49" t="s">
        <v>706</v>
      </c>
      <c r="B212" s="47" t="s">
        <v>159</v>
      </c>
      <c r="C212" s="48" t="s">
        <v>160</v>
      </c>
      <c r="D212" s="49" t="s">
        <v>56</v>
      </c>
      <c r="E212" s="50">
        <v>354.2</v>
      </c>
      <c r="F212" s="50">
        <f>[1]COMPOSIÇÃO!G12</f>
        <v>73.088999999999999</v>
      </c>
      <c r="G212" s="51">
        <f>TRUNC(F212*$J$13,2)</f>
        <v>92.09</v>
      </c>
      <c r="H212" s="51">
        <f>TRUNC(E212*G212,2)</f>
        <v>32618.27</v>
      </c>
      <c r="I212" s="106"/>
      <c r="J212" s="74"/>
      <c r="K212" s="12"/>
      <c r="L212" s="12"/>
      <c r="M212" s="97"/>
      <c r="N212" s="160"/>
      <c r="O212" s="97"/>
      <c r="P212" s="107"/>
      <c r="Q212" s="99"/>
      <c r="R212" s="6"/>
    </row>
    <row r="213" spans="1:18" s="131" customFormat="1" outlineLevel="1" x14ac:dyDescent="0.2">
      <c r="A213" s="73" t="s">
        <v>207</v>
      </c>
      <c r="B213" s="66"/>
      <c r="C213" s="43" t="s">
        <v>162</v>
      </c>
      <c r="D213" s="41"/>
      <c r="E213" s="43"/>
      <c r="F213" s="43"/>
      <c r="G213" s="67" t="s">
        <v>39</v>
      </c>
      <c r="H213" s="41"/>
      <c r="I213" s="44">
        <f>SUM(H214:H226)</f>
        <v>23615.17</v>
      </c>
      <c r="J213" s="74"/>
      <c r="K213" s="12"/>
      <c r="L213" s="12"/>
      <c r="M213" s="97"/>
      <c r="N213" s="160"/>
      <c r="O213" s="97"/>
      <c r="P213" s="107"/>
      <c r="Q213" s="99"/>
      <c r="R213" s="6"/>
    </row>
    <row r="214" spans="1:18" s="131" customFormat="1" ht="22.5" outlineLevel="1" x14ac:dyDescent="0.2">
      <c r="A214" s="49" t="s">
        <v>209</v>
      </c>
      <c r="B214" s="47">
        <v>91944</v>
      </c>
      <c r="C214" s="122" t="s">
        <v>152</v>
      </c>
      <c r="D214" s="49" t="s">
        <v>45</v>
      </c>
      <c r="E214" s="50">
        <v>60</v>
      </c>
      <c r="F214" s="50">
        <v>9.3000000000000007</v>
      </c>
      <c r="G214" s="51">
        <f>TRUNC(F214*$J$13,2)</f>
        <v>11.71</v>
      </c>
      <c r="H214" s="51">
        <f>TRUNC(E214*G214,2)</f>
        <v>702.6</v>
      </c>
      <c r="I214" s="106"/>
      <c r="J214" s="74"/>
      <c r="K214" s="12"/>
      <c r="L214" s="12"/>
      <c r="M214" s="97"/>
      <c r="N214" s="160"/>
      <c r="O214" s="97"/>
      <c r="P214" s="107"/>
      <c r="Q214" s="99"/>
      <c r="R214" s="6"/>
    </row>
    <row r="215" spans="1:18" s="131" customFormat="1" ht="22.5" outlineLevel="1" x14ac:dyDescent="0.2">
      <c r="A215" s="49" t="s">
        <v>253</v>
      </c>
      <c r="B215" s="47">
        <v>90447</v>
      </c>
      <c r="C215" s="122" t="s">
        <v>128</v>
      </c>
      <c r="D215" s="49" t="s">
        <v>56</v>
      </c>
      <c r="E215" s="50">
        <v>200</v>
      </c>
      <c r="F215" s="50">
        <v>4.45</v>
      </c>
      <c r="G215" s="51">
        <f t="shared" ref="G215:G226" si="28">TRUNC(F215*$J$13,2)</f>
        <v>5.6</v>
      </c>
      <c r="H215" s="51">
        <f t="shared" ref="H215:H226" si="29">TRUNC(E215*G215,2)</f>
        <v>1120</v>
      </c>
      <c r="I215" s="106"/>
      <c r="J215" s="74"/>
      <c r="K215" s="12"/>
      <c r="L215" s="12"/>
      <c r="M215" s="97"/>
      <c r="N215" s="160"/>
      <c r="O215" s="97"/>
      <c r="P215" s="107"/>
      <c r="Q215" s="99"/>
      <c r="R215" s="6"/>
    </row>
    <row r="216" spans="1:18" s="131" customFormat="1" ht="22.5" outlineLevel="1" x14ac:dyDescent="0.2">
      <c r="A216" s="49" t="s">
        <v>210</v>
      </c>
      <c r="B216" s="47">
        <v>91836</v>
      </c>
      <c r="C216" s="122" t="s">
        <v>131</v>
      </c>
      <c r="D216" s="49" t="s">
        <v>56</v>
      </c>
      <c r="E216" s="50">
        <v>150</v>
      </c>
      <c r="F216" s="50">
        <v>7.55</v>
      </c>
      <c r="G216" s="51">
        <f t="shared" si="28"/>
        <v>9.51</v>
      </c>
      <c r="H216" s="51">
        <f t="shared" si="29"/>
        <v>1426.5</v>
      </c>
      <c r="I216" s="106"/>
      <c r="J216" s="74"/>
      <c r="K216" s="12"/>
      <c r="L216" s="12"/>
      <c r="M216" s="97"/>
      <c r="N216" s="160"/>
      <c r="O216" s="97"/>
      <c r="P216" s="107"/>
      <c r="Q216" s="99"/>
      <c r="R216" s="6"/>
    </row>
    <row r="217" spans="1:18" s="131" customFormat="1" ht="22.5" outlineLevel="1" x14ac:dyDescent="0.2">
      <c r="A217" s="49" t="s">
        <v>254</v>
      </c>
      <c r="B217" s="47">
        <v>91869</v>
      </c>
      <c r="C217" s="122" t="s">
        <v>133</v>
      </c>
      <c r="D217" s="49" t="s">
        <v>56</v>
      </c>
      <c r="E217" s="50">
        <v>200</v>
      </c>
      <c r="F217" s="50">
        <v>10.32</v>
      </c>
      <c r="G217" s="51">
        <f t="shared" si="28"/>
        <v>13</v>
      </c>
      <c r="H217" s="51">
        <f t="shared" si="29"/>
        <v>2600</v>
      </c>
      <c r="I217" s="106"/>
      <c r="J217" s="74"/>
      <c r="K217" s="12"/>
      <c r="L217" s="12"/>
      <c r="M217" s="97"/>
      <c r="N217" s="160"/>
      <c r="O217" s="97"/>
      <c r="P217" s="107"/>
      <c r="Q217" s="99"/>
      <c r="R217" s="6"/>
    </row>
    <row r="218" spans="1:18" s="131" customFormat="1" ht="22.5" outlineLevel="1" x14ac:dyDescent="0.2">
      <c r="A218" s="49" t="s">
        <v>255</v>
      </c>
      <c r="B218" s="47">
        <v>91941</v>
      </c>
      <c r="C218" s="122" t="s">
        <v>151</v>
      </c>
      <c r="D218" s="49" t="s">
        <v>45</v>
      </c>
      <c r="E218" s="50">
        <v>3</v>
      </c>
      <c r="F218" s="50">
        <v>6.8</v>
      </c>
      <c r="G218" s="51">
        <f t="shared" si="28"/>
        <v>8.56</v>
      </c>
      <c r="H218" s="51">
        <f t="shared" si="29"/>
        <v>25.68</v>
      </c>
      <c r="I218" s="106"/>
      <c r="J218" s="74"/>
      <c r="K218" s="12"/>
      <c r="L218" s="12"/>
      <c r="M218" s="97"/>
      <c r="N218" s="160"/>
      <c r="O218" s="97"/>
      <c r="P218" s="107"/>
      <c r="Q218" s="99"/>
      <c r="R218" s="6"/>
    </row>
    <row r="219" spans="1:18" s="131" customFormat="1" ht="22.5" outlineLevel="1" x14ac:dyDescent="0.2">
      <c r="A219" s="49" t="s">
        <v>256</v>
      </c>
      <c r="B219" s="47">
        <v>95778</v>
      </c>
      <c r="C219" s="48" t="s">
        <v>169</v>
      </c>
      <c r="D219" s="49" t="s">
        <v>56</v>
      </c>
      <c r="E219" s="50">
        <v>120</v>
      </c>
      <c r="F219" s="50">
        <v>20.28</v>
      </c>
      <c r="G219" s="51">
        <f t="shared" si="28"/>
        <v>25.55</v>
      </c>
      <c r="H219" s="51">
        <f t="shared" si="29"/>
        <v>3066</v>
      </c>
      <c r="I219" s="106"/>
      <c r="J219" s="74"/>
      <c r="K219" s="12"/>
      <c r="L219" s="12"/>
      <c r="M219" s="97"/>
      <c r="N219" s="160"/>
      <c r="O219" s="97"/>
      <c r="P219" s="107"/>
      <c r="Q219" s="99"/>
      <c r="R219" s="6"/>
    </row>
    <row r="220" spans="1:18" s="131" customFormat="1" ht="22.5" outlineLevel="1" x14ac:dyDescent="0.2">
      <c r="A220" s="49" t="s">
        <v>257</v>
      </c>
      <c r="B220" s="119">
        <v>98296</v>
      </c>
      <c r="C220" s="105" t="s">
        <v>173</v>
      </c>
      <c r="D220" s="49" t="s">
        <v>56</v>
      </c>
      <c r="E220" s="50">
        <v>2000</v>
      </c>
      <c r="F220" s="50">
        <v>2.52</v>
      </c>
      <c r="G220" s="51">
        <f t="shared" si="28"/>
        <v>3.17</v>
      </c>
      <c r="H220" s="51">
        <f t="shared" si="29"/>
        <v>6340</v>
      </c>
      <c r="I220" s="106"/>
      <c r="J220" s="74"/>
      <c r="K220" s="12"/>
      <c r="L220" s="12"/>
      <c r="M220" s="97"/>
      <c r="N220" s="160"/>
      <c r="O220" s="97"/>
      <c r="P220" s="107"/>
      <c r="Q220" s="99"/>
      <c r="R220" s="6"/>
    </row>
    <row r="221" spans="1:18" s="131" customFormat="1" outlineLevel="1" x14ac:dyDescent="0.2">
      <c r="A221" s="49" t="s">
        <v>258</v>
      </c>
      <c r="B221" s="47">
        <v>98302</v>
      </c>
      <c r="C221" s="136" t="s">
        <v>175</v>
      </c>
      <c r="D221" s="49" t="s">
        <v>45</v>
      </c>
      <c r="E221" s="50">
        <v>4</v>
      </c>
      <c r="F221" s="50">
        <v>497.66</v>
      </c>
      <c r="G221" s="51">
        <f t="shared" si="28"/>
        <v>627.04999999999995</v>
      </c>
      <c r="H221" s="51">
        <f t="shared" si="29"/>
        <v>2508.1999999999998</v>
      </c>
      <c r="I221" s="106"/>
      <c r="J221" s="74"/>
      <c r="K221" s="12"/>
      <c r="L221" s="12"/>
      <c r="M221" s="97"/>
      <c r="N221" s="160"/>
      <c r="O221" s="97"/>
      <c r="P221" s="107"/>
      <c r="Q221" s="99"/>
      <c r="R221" s="6"/>
    </row>
    <row r="222" spans="1:18" s="131" customFormat="1" outlineLevel="1" x14ac:dyDescent="0.2">
      <c r="A222" s="49" t="s">
        <v>259</v>
      </c>
      <c r="B222" s="47">
        <v>98593</v>
      </c>
      <c r="C222" s="161" t="s">
        <v>177</v>
      </c>
      <c r="D222" s="49" t="s">
        <v>45</v>
      </c>
      <c r="E222" s="50">
        <v>2</v>
      </c>
      <c r="F222" s="50">
        <v>650.59</v>
      </c>
      <c r="G222" s="51">
        <f t="shared" si="28"/>
        <v>819.74</v>
      </c>
      <c r="H222" s="51">
        <f t="shared" si="29"/>
        <v>1639.48</v>
      </c>
      <c r="I222" s="106"/>
      <c r="J222" s="74"/>
      <c r="K222" s="12"/>
      <c r="L222" s="12"/>
      <c r="M222" s="97"/>
      <c r="N222" s="160"/>
      <c r="O222" s="97"/>
      <c r="P222" s="107"/>
      <c r="Q222" s="99"/>
      <c r="R222" s="6"/>
    </row>
    <row r="223" spans="1:18" s="131" customFormat="1" ht="33.75" outlineLevel="1" x14ac:dyDescent="0.2">
      <c r="A223" s="49" t="s">
        <v>260</v>
      </c>
      <c r="B223" s="47" t="s">
        <v>179</v>
      </c>
      <c r="C223" s="136" t="s">
        <v>180</v>
      </c>
      <c r="D223" s="49" t="s">
        <v>45</v>
      </c>
      <c r="E223" s="50">
        <v>1</v>
      </c>
      <c r="F223" s="50">
        <v>1489.4</v>
      </c>
      <c r="G223" s="51">
        <f t="shared" si="28"/>
        <v>1876.64</v>
      </c>
      <c r="H223" s="51">
        <f t="shared" si="29"/>
        <v>1876.64</v>
      </c>
      <c r="I223" s="106"/>
      <c r="J223" s="74"/>
      <c r="K223" s="12"/>
      <c r="L223" s="12"/>
      <c r="M223" s="97"/>
      <c r="N223" s="160"/>
      <c r="O223" s="97"/>
      <c r="P223" s="107"/>
      <c r="Q223" s="99"/>
      <c r="R223" s="6"/>
    </row>
    <row r="224" spans="1:18" s="131" customFormat="1" outlineLevel="1" x14ac:dyDescent="0.2">
      <c r="A224" s="49" t="s">
        <v>261</v>
      </c>
      <c r="B224" s="47">
        <v>98307</v>
      </c>
      <c r="C224" s="122" t="s">
        <v>183</v>
      </c>
      <c r="D224" s="49" t="s">
        <v>45</v>
      </c>
      <c r="E224" s="50">
        <v>60</v>
      </c>
      <c r="F224" s="50">
        <v>27.38</v>
      </c>
      <c r="G224" s="51">
        <f t="shared" si="28"/>
        <v>34.49</v>
      </c>
      <c r="H224" s="51">
        <f t="shared" si="29"/>
        <v>2069.4</v>
      </c>
      <c r="I224" s="82"/>
      <c r="J224" s="74"/>
      <c r="K224" s="12"/>
      <c r="L224" s="12"/>
      <c r="M224" s="97"/>
      <c r="N224" s="160"/>
      <c r="O224" s="97"/>
      <c r="P224" s="107"/>
      <c r="Q224" s="99"/>
      <c r="R224" s="6"/>
    </row>
    <row r="225" spans="1:18" s="131" customFormat="1" outlineLevel="1" x14ac:dyDescent="0.2">
      <c r="A225" s="49" t="s">
        <v>262</v>
      </c>
      <c r="B225" s="121">
        <v>98308</v>
      </c>
      <c r="C225" s="122" t="s">
        <v>181</v>
      </c>
      <c r="D225" s="49" t="s">
        <v>45</v>
      </c>
      <c r="E225" s="123">
        <v>6</v>
      </c>
      <c r="F225" s="123">
        <v>18.43</v>
      </c>
      <c r="G225" s="51">
        <f t="shared" si="28"/>
        <v>23.22</v>
      </c>
      <c r="H225" s="51">
        <f t="shared" si="29"/>
        <v>139.32</v>
      </c>
      <c r="I225" s="82"/>
      <c r="J225" s="74"/>
      <c r="K225" s="12"/>
      <c r="L225" s="12"/>
      <c r="M225" s="97"/>
      <c r="N225" s="160"/>
      <c r="O225" s="97"/>
      <c r="P225" s="107"/>
      <c r="Q225" s="99"/>
      <c r="R225" s="6"/>
    </row>
    <row r="226" spans="1:18" s="131" customFormat="1" ht="22.5" outlineLevel="1" x14ac:dyDescent="0.2">
      <c r="A226" s="49" t="s">
        <v>263</v>
      </c>
      <c r="B226" s="47">
        <v>100560</v>
      </c>
      <c r="C226" s="48" t="s">
        <v>185</v>
      </c>
      <c r="D226" s="49" t="s">
        <v>186</v>
      </c>
      <c r="E226" s="50">
        <v>1</v>
      </c>
      <c r="F226" s="50">
        <v>80.44</v>
      </c>
      <c r="G226" s="51">
        <f t="shared" si="28"/>
        <v>101.35</v>
      </c>
      <c r="H226" s="51">
        <f t="shared" si="29"/>
        <v>101.35</v>
      </c>
      <c r="I226" s="106"/>
      <c r="J226" s="74"/>
      <c r="K226" s="12"/>
      <c r="L226" s="12"/>
      <c r="M226" s="97"/>
      <c r="N226" s="160"/>
      <c r="O226" s="97"/>
      <c r="P226" s="107"/>
      <c r="Q226" s="99"/>
      <c r="R226" s="6"/>
    </row>
    <row r="227" spans="1:18" s="131" customFormat="1" outlineLevel="1" x14ac:dyDescent="0.2">
      <c r="A227" s="73" t="s">
        <v>212</v>
      </c>
      <c r="B227" s="66"/>
      <c r="C227" s="43" t="s">
        <v>188</v>
      </c>
      <c r="D227" s="41"/>
      <c r="E227" s="125"/>
      <c r="F227" s="43"/>
      <c r="G227" s="67" t="s">
        <v>39</v>
      </c>
      <c r="H227" s="41"/>
      <c r="I227" s="44">
        <f>SUM(H228:H255)</f>
        <v>13948.07</v>
      </c>
      <c r="J227" s="74"/>
      <c r="K227" s="12"/>
      <c r="L227" s="12"/>
      <c r="M227" s="97"/>
      <c r="N227" s="160"/>
      <c r="O227" s="97"/>
      <c r="P227" s="107"/>
      <c r="Q227" s="99"/>
      <c r="R227" s="6"/>
    </row>
    <row r="228" spans="1:18" s="131" customFormat="1" outlineLevel="1" x14ac:dyDescent="0.2">
      <c r="A228" s="75" t="s">
        <v>214</v>
      </c>
      <c r="B228" s="47"/>
      <c r="C228" s="132" t="s">
        <v>190</v>
      </c>
      <c r="D228" s="49"/>
      <c r="E228" s="68"/>
      <c r="F228" s="68"/>
      <c r="G228" s="78"/>
      <c r="H228" s="127"/>
      <c r="I228" s="128"/>
      <c r="J228" s="74"/>
      <c r="K228" s="12"/>
      <c r="L228" s="12"/>
      <c r="M228" s="97"/>
      <c r="N228" s="160"/>
      <c r="O228" s="97"/>
      <c r="P228" s="107"/>
      <c r="Q228" s="99"/>
      <c r="R228" s="6"/>
    </row>
    <row r="229" spans="1:18" s="131" customFormat="1" ht="22.5" outlineLevel="1" x14ac:dyDescent="0.2">
      <c r="A229" s="49" t="s">
        <v>264</v>
      </c>
      <c r="B229" s="47">
        <v>90443</v>
      </c>
      <c r="C229" s="48" t="s">
        <v>191</v>
      </c>
      <c r="D229" s="49" t="s">
        <v>56</v>
      </c>
      <c r="E229" s="50">
        <f t="shared" ref="E229:E238" si="30">J229</f>
        <v>17</v>
      </c>
      <c r="F229" s="50">
        <v>8.9499999999999993</v>
      </c>
      <c r="G229" s="51">
        <f>TRUNC(F229*$J$13,2)</f>
        <v>11.27</v>
      </c>
      <c r="H229" s="51">
        <f t="shared" ref="H229:H238" si="31">TRUNC(E229*G229,2)</f>
        <v>191.59</v>
      </c>
      <c r="I229" s="129"/>
      <c r="J229" s="74">
        <v>17</v>
      </c>
      <c r="K229" s="12"/>
      <c r="L229" s="12"/>
      <c r="M229" s="97"/>
      <c r="N229" s="160"/>
      <c r="O229" s="97"/>
      <c r="P229" s="107"/>
      <c r="Q229" s="99"/>
      <c r="R229" s="6"/>
    </row>
    <row r="230" spans="1:18" s="131" customFormat="1" ht="22.5" outlineLevel="1" x14ac:dyDescent="0.2">
      <c r="A230" s="49" t="s">
        <v>265</v>
      </c>
      <c r="B230" s="47">
        <v>86895</v>
      </c>
      <c r="C230" s="48" t="s">
        <v>192</v>
      </c>
      <c r="D230" s="49" t="s">
        <v>45</v>
      </c>
      <c r="E230" s="50">
        <f t="shared" si="30"/>
        <v>1</v>
      </c>
      <c r="F230" s="50">
        <v>269.19</v>
      </c>
      <c r="G230" s="51">
        <f>TRUNC(F230*$J$13,2)</f>
        <v>339.17</v>
      </c>
      <c r="H230" s="51">
        <f t="shared" si="31"/>
        <v>339.17</v>
      </c>
      <c r="I230" s="129"/>
      <c r="J230" s="74">
        <v>1</v>
      </c>
      <c r="K230" s="12"/>
      <c r="L230" s="12"/>
      <c r="M230" s="97"/>
      <c r="N230" s="160"/>
      <c r="O230" s="97"/>
      <c r="P230" s="107"/>
      <c r="Q230" s="99"/>
      <c r="R230" s="6"/>
    </row>
    <row r="231" spans="1:18" s="131" customFormat="1" ht="45" outlineLevel="1" x14ac:dyDescent="0.2">
      <c r="A231" s="49" t="s">
        <v>266</v>
      </c>
      <c r="B231" s="47">
        <v>93441</v>
      </c>
      <c r="C231" s="48" t="s">
        <v>267</v>
      </c>
      <c r="D231" s="49" t="s">
        <v>45</v>
      </c>
      <c r="E231" s="50">
        <v>1</v>
      </c>
      <c r="F231" s="50">
        <v>843.67</v>
      </c>
      <c r="G231" s="51">
        <f>TRUNC(F231*$J$13,2)</f>
        <v>1063.02</v>
      </c>
      <c r="H231" s="51">
        <f t="shared" si="31"/>
        <v>1063.02</v>
      </c>
      <c r="I231" s="129"/>
      <c r="J231" s="74">
        <f>1.07*2+2.8*0.6</f>
        <v>3.8200000000000003</v>
      </c>
      <c r="K231" s="12"/>
      <c r="L231" s="12"/>
      <c r="M231" s="97"/>
      <c r="N231" s="160"/>
      <c r="O231" s="97"/>
      <c r="P231" s="107"/>
      <c r="Q231" s="99"/>
      <c r="R231" s="6"/>
    </row>
    <row r="232" spans="1:18" s="131" customFormat="1" ht="22.5" outlineLevel="1" x14ac:dyDescent="0.2">
      <c r="A232" s="49" t="s">
        <v>268</v>
      </c>
      <c r="B232" s="47">
        <v>86889</v>
      </c>
      <c r="C232" s="48" t="s">
        <v>269</v>
      </c>
      <c r="D232" s="49" t="s">
        <v>45</v>
      </c>
      <c r="E232" s="50">
        <f t="shared" si="30"/>
        <v>1</v>
      </c>
      <c r="F232" s="50">
        <v>574.45000000000005</v>
      </c>
      <c r="G232" s="51">
        <v>544.1</v>
      </c>
      <c r="H232" s="51">
        <f t="shared" si="31"/>
        <v>544.1</v>
      </c>
      <c r="I232" s="129"/>
      <c r="J232" s="74">
        <v>1</v>
      </c>
      <c r="K232" s="12"/>
      <c r="L232" s="12"/>
      <c r="M232" s="97"/>
      <c r="N232" s="160"/>
      <c r="O232" s="97"/>
      <c r="P232" s="107"/>
      <c r="Q232" s="99"/>
      <c r="R232" s="6"/>
    </row>
    <row r="233" spans="1:18" s="131" customFormat="1" ht="22.5" outlineLevel="1" x14ac:dyDescent="0.2">
      <c r="A233" s="49" t="s">
        <v>270</v>
      </c>
      <c r="B233" s="47">
        <v>86901</v>
      </c>
      <c r="C233" s="48" t="s">
        <v>193</v>
      </c>
      <c r="D233" s="49" t="s">
        <v>45</v>
      </c>
      <c r="E233" s="50">
        <f t="shared" si="30"/>
        <v>5</v>
      </c>
      <c r="F233" s="50">
        <v>108.45</v>
      </c>
      <c r="G233" s="51">
        <f t="shared" ref="G233:G238" si="32">TRUNC(F233*$J$13,2)</f>
        <v>136.63999999999999</v>
      </c>
      <c r="H233" s="51">
        <f t="shared" si="31"/>
        <v>683.2</v>
      </c>
      <c r="I233" s="129"/>
      <c r="J233" s="74">
        <v>5</v>
      </c>
      <c r="K233" s="12"/>
      <c r="L233" s="12"/>
      <c r="M233" s="97"/>
      <c r="N233" s="160"/>
      <c r="O233" s="97"/>
      <c r="P233" s="107"/>
      <c r="Q233" s="99"/>
      <c r="R233" s="6"/>
    </row>
    <row r="234" spans="1:18" s="131" customFormat="1" ht="22.5" outlineLevel="1" x14ac:dyDescent="0.2">
      <c r="A234" s="49" t="s">
        <v>271</v>
      </c>
      <c r="B234" s="47">
        <v>86915</v>
      </c>
      <c r="C234" s="48" t="s">
        <v>194</v>
      </c>
      <c r="D234" s="49" t="s">
        <v>45</v>
      </c>
      <c r="E234" s="50">
        <f t="shared" si="30"/>
        <v>7</v>
      </c>
      <c r="F234" s="50">
        <v>84.78</v>
      </c>
      <c r="G234" s="51">
        <f t="shared" si="32"/>
        <v>106.82</v>
      </c>
      <c r="H234" s="51">
        <f t="shared" si="31"/>
        <v>747.74</v>
      </c>
      <c r="I234" s="129"/>
      <c r="J234" s="74">
        <v>7</v>
      </c>
      <c r="K234" s="12"/>
      <c r="L234" s="12"/>
      <c r="M234" s="97"/>
      <c r="N234" s="160"/>
      <c r="O234" s="97"/>
      <c r="P234" s="107"/>
      <c r="Q234" s="99"/>
      <c r="R234" s="6"/>
    </row>
    <row r="235" spans="1:18" s="131" customFormat="1" ht="22.5" outlineLevel="1" x14ac:dyDescent="0.2">
      <c r="A235" s="49" t="s">
        <v>272</v>
      </c>
      <c r="B235" s="47">
        <v>99635</v>
      </c>
      <c r="C235" s="48" t="s">
        <v>195</v>
      </c>
      <c r="D235" s="49" t="s">
        <v>45</v>
      </c>
      <c r="E235" s="50">
        <f t="shared" si="30"/>
        <v>6</v>
      </c>
      <c r="F235" s="50">
        <v>184.35</v>
      </c>
      <c r="G235" s="51">
        <f t="shared" si="32"/>
        <v>232.28</v>
      </c>
      <c r="H235" s="51">
        <f t="shared" si="31"/>
        <v>1393.68</v>
      </c>
      <c r="I235" s="129"/>
      <c r="J235" s="74">
        <v>6</v>
      </c>
      <c r="K235" s="12"/>
      <c r="L235" s="12"/>
      <c r="M235" s="97"/>
      <c r="N235" s="160"/>
      <c r="O235" s="97"/>
      <c r="P235" s="107"/>
      <c r="Q235" s="99"/>
      <c r="R235" s="6"/>
    </row>
    <row r="236" spans="1:18" s="131" customFormat="1" ht="22.5" outlineLevel="1" x14ac:dyDescent="0.2">
      <c r="A236" s="49" t="s">
        <v>273</v>
      </c>
      <c r="B236" s="47">
        <v>100860</v>
      </c>
      <c r="C236" s="48" t="s">
        <v>274</v>
      </c>
      <c r="D236" s="49" t="s">
        <v>45</v>
      </c>
      <c r="E236" s="50">
        <f t="shared" si="30"/>
        <v>2</v>
      </c>
      <c r="F236" s="50">
        <v>73.790000000000006</v>
      </c>
      <c r="G236" s="51">
        <f t="shared" si="32"/>
        <v>92.97</v>
      </c>
      <c r="H236" s="51">
        <f t="shared" si="31"/>
        <v>185.94</v>
      </c>
      <c r="I236" s="129"/>
      <c r="J236" s="74">
        <v>2</v>
      </c>
      <c r="K236" s="12"/>
      <c r="L236" s="12"/>
      <c r="M236" s="97"/>
      <c r="N236" s="160"/>
      <c r="O236" s="97"/>
      <c r="P236" s="107"/>
      <c r="Q236" s="99"/>
      <c r="R236" s="6"/>
    </row>
    <row r="237" spans="1:18" s="131" customFormat="1" ht="22.5" outlineLevel="1" x14ac:dyDescent="0.2">
      <c r="A237" s="49" t="s">
        <v>275</v>
      </c>
      <c r="B237" s="47">
        <v>89986</v>
      </c>
      <c r="C237" s="48" t="s">
        <v>276</v>
      </c>
      <c r="D237" s="49" t="s">
        <v>45</v>
      </c>
      <c r="E237" s="50">
        <f t="shared" si="30"/>
        <v>5</v>
      </c>
      <c r="F237" s="50">
        <v>52.15</v>
      </c>
      <c r="G237" s="51">
        <f t="shared" si="32"/>
        <v>65.7</v>
      </c>
      <c r="H237" s="51">
        <f t="shared" si="31"/>
        <v>328.5</v>
      </c>
      <c r="I237" s="129"/>
      <c r="J237" s="74">
        <v>5</v>
      </c>
      <c r="K237" s="12"/>
      <c r="L237" s="12"/>
      <c r="M237" s="97"/>
      <c r="N237" s="160"/>
      <c r="O237" s="97"/>
      <c r="P237" s="107"/>
      <c r="Q237" s="99"/>
      <c r="R237" s="6"/>
    </row>
    <row r="238" spans="1:18" s="131" customFormat="1" ht="22.5" outlineLevel="1" x14ac:dyDescent="0.2">
      <c r="A238" s="49" t="s">
        <v>277</v>
      </c>
      <c r="B238" s="47">
        <v>89984</v>
      </c>
      <c r="C238" s="48" t="s">
        <v>278</v>
      </c>
      <c r="D238" s="49" t="s">
        <v>45</v>
      </c>
      <c r="E238" s="50">
        <f t="shared" si="30"/>
        <v>2</v>
      </c>
      <c r="F238" s="50">
        <v>53.43</v>
      </c>
      <c r="G238" s="51">
        <f t="shared" si="32"/>
        <v>67.319999999999993</v>
      </c>
      <c r="H238" s="51">
        <f t="shared" si="31"/>
        <v>134.63999999999999</v>
      </c>
      <c r="I238" s="129"/>
      <c r="J238" s="74">
        <v>2</v>
      </c>
      <c r="K238" s="12"/>
      <c r="L238" s="12"/>
      <c r="M238" s="97"/>
      <c r="N238" s="160"/>
      <c r="O238" s="97"/>
      <c r="P238" s="107"/>
      <c r="Q238" s="99"/>
      <c r="R238" s="6"/>
    </row>
    <row r="239" spans="1:18" s="131" customFormat="1" outlineLevel="1" x14ac:dyDescent="0.2">
      <c r="A239" s="49" t="s">
        <v>279</v>
      </c>
      <c r="B239" s="47"/>
      <c r="C239" s="162" t="s">
        <v>202</v>
      </c>
      <c r="D239" s="49"/>
      <c r="E239" s="50"/>
      <c r="F239" s="50"/>
      <c r="G239" s="51"/>
      <c r="H239" s="51"/>
      <c r="I239" s="129"/>
      <c r="J239" s="74"/>
      <c r="K239" s="12"/>
      <c r="L239" s="12"/>
      <c r="M239" s="97"/>
      <c r="N239" s="160"/>
      <c r="O239" s="97"/>
      <c r="P239" s="107"/>
      <c r="Q239" s="99"/>
      <c r="R239" s="6"/>
    </row>
    <row r="240" spans="1:18" s="131" customFormat="1" ht="33.75" outlineLevel="1" x14ac:dyDescent="0.2">
      <c r="A240" s="49" t="s">
        <v>280</v>
      </c>
      <c r="B240" s="47">
        <v>95471</v>
      </c>
      <c r="C240" s="48" t="s">
        <v>281</v>
      </c>
      <c r="D240" s="49" t="s">
        <v>45</v>
      </c>
      <c r="E240" s="50">
        <v>2</v>
      </c>
      <c r="F240" s="50">
        <v>611.63</v>
      </c>
      <c r="G240" s="51">
        <f t="shared" ref="G240:G255" si="33">TRUNC(F240*$J$13,2)</f>
        <v>770.65</v>
      </c>
      <c r="H240" s="51">
        <f t="shared" ref="H240:H255" si="34">TRUNC(E240*G240,2)</f>
        <v>1541.3</v>
      </c>
      <c r="I240" s="129"/>
      <c r="J240" s="74">
        <v>1</v>
      </c>
      <c r="K240" s="12"/>
      <c r="L240" s="12"/>
      <c r="M240" s="97"/>
      <c r="N240" s="160"/>
      <c r="O240" s="97"/>
      <c r="P240" s="107"/>
      <c r="Q240" s="99"/>
      <c r="R240" s="6"/>
    </row>
    <row r="241" spans="1:18" s="131" customFormat="1" ht="33.75" outlineLevel="1" x14ac:dyDescent="0.2">
      <c r="A241" s="49" t="s">
        <v>282</v>
      </c>
      <c r="B241" s="47">
        <v>95470</v>
      </c>
      <c r="C241" s="48" t="s">
        <v>206</v>
      </c>
      <c r="D241" s="49" t="s">
        <v>45</v>
      </c>
      <c r="E241" s="50">
        <f>J241</f>
        <v>7</v>
      </c>
      <c r="F241" s="50">
        <v>169.53</v>
      </c>
      <c r="G241" s="51">
        <f t="shared" si="33"/>
        <v>213.6</v>
      </c>
      <c r="H241" s="51">
        <f t="shared" si="34"/>
        <v>1495.2</v>
      </c>
      <c r="I241" s="129"/>
      <c r="J241" s="74">
        <v>7</v>
      </c>
      <c r="K241" s="12"/>
      <c r="L241" s="12"/>
      <c r="M241" s="97"/>
      <c r="N241" s="160"/>
      <c r="O241" s="97"/>
      <c r="P241" s="107"/>
      <c r="Q241" s="99"/>
      <c r="R241" s="6"/>
    </row>
    <row r="242" spans="1:18" s="131" customFormat="1" outlineLevel="1" x14ac:dyDescent="0.2">
      <c r="A242" s="49" t="s">
        <v>283</v>
      </c>
      <c r="B242" s="47" t="s">
        <v>284</v>
      </c>
      <c r="C242" s="48" t="s">
        <v>285</v>
      </c>
      <c r="D242" s="49" t="s">
        <v>45</v>
      </c>
      <c r="E242" s="50">
        <v>1</v>
      </c>
      <c r="F242" s="50">
        <f>[1]COMPOSIÇÃO!G57</f>
        <v>690.19490500000006</v>
      </c>
      <c r="G242" s="51">
        <f t="shared" si="33"/>
        <v>869.64</v>
      </c>
      <c r="H242" s="51">
        <f t="shared" si="34"/>
        <v>869.64</v>
      </c>
      <c r="I242" s="129"/>
      <c r="J242" s="74">
        <v>1</v>
      </c>
      <c r="K242" s="12"/>
      <c r="L242" s="12"/>
      <c r="M242" s="97"/>
      <c r="N242" s="160"/>
      <c r="O242" s="97"/>
      <c r="P242" s="107"/>
      <c r="Q242" s="99"/>
      <c r="R242" s="6"/>
    </row>
    <row r="243" spans="1:18" s="131" customFormat="1" ht="22.5" outlineLevel="1" x14ac:dyDescent="0.2">
      <c r="A243" s="49" t="s">
        <v>286</v>
      </c>
      <c r="B243" s="47">
        <v>86881</v>
      </c>
      <c r="C243" s="48" t="s">
        <v>287</v>
      </c>
      <c r="D243" s="49" t="s">
        <v>45</v>
      </c>
      <c r="E243" s="50">
        <v>7</v>
      </c>
      <c r="F243" s="50">
        <v>155.91999999999999</v>
      </c>
      <c r="G243" s="51">
        <f t="shared" si="33"/>
        <v>196.45</v>
      </c>
      <c r="H243" s="51">
        <f t="shared" si="34"/>
        <v>1375.15</v>
      </c>
      <c r="I243" s="129"/>
      <c r="J243" s="74">
        <f>7</f>
        <v>7</v>
      </c>
      <c r="K243" s="12"/>
      <c r="L243" s="12"/>
      <c r="M243" s="97"/>
      <c r="N243" s="160"/>
      <c r="O243" s="97"/>
      <c r="P243" s="107"/>
      <c r="Q243" s="99"/>
      <c r="R243" s="6"/>
    </row>
    <row r="244" spans="1:18" s="131" customFormat="1" ht="22.5" outlineLevel="1" x14ac:dyDescent="0.2">
      <c r="A244" s="49" t="s">
        <v>288</v>
      </c>
      <c r="B244" s="47">
        <v>86877</v>
      </c>
      <c r="C244" s="48" t="s">
        <v>289</v>
      </c>
      <c r="D244" s="49" t="s">
        <v>45</v>
      </c>
      <c r="E244" s="50">
        <v>7</v>
      </c>
      <c r="F244" s="50">
        <v>25.76</v>
      </c>
      <c r="G244" s="51">
        <f t="shared" si="33"/>
        <v>32.450000000000003</v>
      </c>
      <c r="H244" s="51">
        <f t="shared" si="34"/>
        <v>227.15</v>
      </c>
      <c r="I244" s="129"/>
      <c r="J244" s="74">
        <v>7</v>
      </c>
      <c r="K244" s="12"/>
      <c r="L244" s="12"/>
      <c r="M244" s="97"/>
      <c r="N244" s="160"/>
      <c r="O244" s="97"/>
      <c r="P244" s="107"/>
      <c r="Q244" s="99"/>
      <c r="R244" s="6"/>
    </row>
    <row r="245" spans="1:18" s="131" customFormat="1" outlineLevel="1" x14ac:dyDescent="0.2">
      <c r="A245" s="49" t="s">
        <v>290</v>
      </c>
      <c r="B245" s="47">
        <v>86887</v>
      </c>
      <c r="C245" s="48" t="s">
        <v>291</v>
      </c>
      <c r="D245" s="49" t="s">
        <v>45</v>
      </c>
      <c r="E245" s="50">
        <v>2</v>
      </c>
      <c r="F245" s="50">
        <v>41.05</v>
      </c>
      <c r="G245" s="51">
        <f t="shared" si="33"/>
        <v>51.72</v>
      </c>
      <c r="H245" s="51">
        <f t="shared" si="34"/>
        <v>103.44</v>
      </c>
      <c r="I245" s="129"/>
      <c r="J245" s="74"/>
      <c r="K245" s="12"/>
      <c r="L245" s="12"/>
      <c r="M245" s="97"/>
      <c r="N245" s="160"/>
      <c r="O245" s="97"/>
      <c r="P245" s="107"/>
      <c r="Q245" s="99"/>
      <c r="R245" s="6"/>
    </row>
    <row r="246" spans="1:18" s="131" customFormat="1" ht="25.5" customHeight="1" outlineLevel="1" x14ac:dyDescent="0.2">
      <c r="A246" s="49" t="s">
        <v>292</v>
      </c>
      <c r="B246" s="47">
        <v>89707</v>
      </c>
      <c r="C246" s="48" t="s">
        <v>293</v>
      </c>
      <c r="D246" s="49" t="s">
        <v>45</v>
      </c>
      <c r="E246" s="50">
        <v>3</v>
      </c>
      <c r="F246" s="50">
        <v>25.09</v>
      </c>
      <c r="G246" s="51">
        <f t="shared" si="33"/>
        <v>31.61</v>
      </c>
      <c r="H246" s="51">
        <f t="shared" si="34"/>
        <v>94.83</v>
      </c>
      <c r="I246" s="129"/>
      <c r="J246" s="74">
        <v>3</v>
      </c>
      <c r="K246" s="12"/>
      <c r="L246" s="12"/>
      <c r="M246" s="97"/>
      <c r="N246" s="160"/>
      <c r="O246" s="97"/>
      <c r="P246" s="107"/>
      <c r="Q246" s="99"/>
      <c r="R246" s="6"/>
    </row>
    <row r="247" spans="1:18" s="131" customFormat="1" ht="22.5" outlineLevel="1" x14ac:dyDescent="0.2">
      <c r="A247" s="49" t="s">
        <v>294</v>
      </c>
      <c r="B247" s="47">
        <v>95544</v>
      </c>
      <c r="C247" s="48" t="s">
        <v>203</v>
      </c>
      <c r="D247" s="49" t="s">
        <v>45</v>
      </c>
      <c r="E247" s="50">
        <v>7</v>
      </c>
      <c r="F247" s="50">
        <v>30.21</v>
      </c>
      <c r="G247" s="51">
        <f t="shared" si="33"/>
        <v>38.06</v>
      </c>
      <c r="H247" s="51">
        <f t="shared" si="34"/>
        <v>266.42</v>
      </c>
      <c r="I247" s="129"/>
      <c r="J247" s="74">
        <v>7</v>
      </c>
      <c r="K247" s="12"/>
      <c r="L247" s="12"/>
      <c r="M247" s="97"/>
      <c r="N247" s="160"/>
      <c r="O247" s="97"/>
      <c r="P247" s="107"/>
      <c r="Q247" s="99"/>
      <c r="R247" s="6"/>
    </row>
    <row r="248" spans="1:18" s="131" customFormat="1" ht="22.5" outlineLevel="1" x14ac:dyDescent="0.2">
      <c r="A248" s="49" t="s">
        <v>295</v>
      </c>
      <c r="B248" s="47">
        <v>89714</v>
      </c>
      <c r="C248" s="48" t="s">
        <v>196</v>
      </c>
      <c r="D248" s="49" t="s">
        <v>56</v>
      </c>
      <c r="E248" s="50">
        <v>12</v>
      </c>
      <c r="F248" s="50">
        <v>42.17</v>
      </c>
      <c r="G248" s="51">
        <f t="shared" si="33"/>
        <v>53.13</v>
      </c>
      <c r="H248" s="51">
        <f t="shared" si="34"/>
        <v>637.55999999999995</v>
      </c>
      <c r="I248" s="129"/>
      <c r="J248" s="74">
        <v>12</v>
      </c>
      <c r="K248" s="12"/>
      <c r="L248" s="12"/>
      <c r="M248" s="97"/>
      <c r="N248" s="160"/>
      <c r="O248" s="97"/>
      <c r="P248" s="107"/>
      <c r="Q248" s="99"/>
      <c r="R248" s="6"/>
    </row>
    <row r="249" spans="1:18" s="131" customFormat="1" ht="22.5" outlineLevel="1" x14ac:dyDescent="0.2">
      <c r="A249" s="49" t="s">
        <v>296</v>
      </c>
      <c r="B249" s="47">
        <v>89712</v>
      </c>
      <c r="C249" s="48" t="s">
        <v>197</v>
      </c>
      <c r="D249" s="49" t="s">
        <v>56</v>
      </c>
      <c r="E249" s="50">
        <v>12</v>
      </c>
      <c r="F249" s="50">
        <v>21.1</v>
      </c>
      <c r="G249" s="51">
        <f t="shared" si="33"/>
        <v>26.58</v>
      </c>
      <c r="H249" s="51">
        <f t="shared" si="34"/>
        <v>318.95999999999998</v>
      </c>
      <c r="I249" s="129"/>
      <c r="J249" s="74">
        <v>12</v>
      </c>
      <c r="K249" s="12"/>
      <c r="L249" s="12"/>
      <c r="M249" s="97"/>
      <c r="N249" s="160"/>
      <c r="O249" s="97"/>
      <c r="P249" s="107"/>
      <c r="Q249" s="99"/>
      <c r="R249" s="6"/>
    </row>
    <row r="250" spans="1:18" s="131" customFormat="1" ht="22.5" outlineLevel="1" x14ac:dyDescent="0.2">
      <c r="A250" s="49" t="s">
        <v>297</v>
      </c>
      <c r="B250" s="47">
        <v>89567</v>
      </c>
      <c r="C250" s="48" t="s">
        <v>198</v>
      </c>
      <c r="D250" s="49" t="s">
        <v>45</v>
      </c>
      <c r="E250" s="50">
        <v>3</v>
      </c>
      <c r="F250" s="50">
        <v>57.95</v>
      </c>
      <c r="G250" s="51">
        <f t="shared" si="33"/>
        <v>73.010000000000005</v>
      </c>
      <c r="H250" s="51">
        <f t="shared" si="34"/>
        <v>219.03</v>
      </c>
      <c r="I250" s="129"/>
      <c r="J250" s="74">
        <v>3</v>
      </c>
      <c r="K250" s="12"/>
      <c r="L250" s="12"/>
      <c r="M250" s="97"/>
      <c r="N250" s="160"/>
      <c r="O250" s="97"/>
      <c r="P250" s="107"/>
      <c r="Q250" s="99"/>
      <c r="R250" s="6"/>
    </row>
    <row r="251" spans="1:18" s="131" customFormat="1" ht="33.75" outlineLevel="1" x14ac:dyDescent="0.2">
      <c r="A251" s="49" t="s">
        <v>707</v>
      </c>
      <c r="B251" s="47">
        <v>89731</v>
      </c>
      <c r="C251" s="48" t="s">
        <v>199</v>
      </c>
      <c r="D251" s="49" t="s">
        <v>45</v>
      </c>
      <c r="E251" s="50">
        <v>6</v>
      </c>
      <c r="F251" s="50">
        <v>8.56</v>
      </c>
      <c r="G251" s="51">
        <f t="shared" si="33"/>
        <v>10.78</v>
      </c>
      <c r="H251" s="51">
        <f t="shared" si="34"/>
        <v>64.680000000000007</v>
      </c>
      <c r="I251" s="129"/>
      <c r="J251" s="74">
        <v>6</v>
      </c>
      <c r="K251" s="12"/>
      <c r="L251" s="12"/>
      <c r="M251" s="97"/>
      <c r="N251" s="160"/>
      <c r="O251" s="97"/>
      <c r="P251" s="107"/>
      <c r="Q251" s="99"/>
      <c r="R251" s="6"/>
    </row>
    <row r="252" spans="1:18" s="131" customFormat="1" ht="22.5" outlineLevel="1" x14ac:dyDescent="0.2">
      <c r="A252" s="49" t="s">
        <v>298</v>
      </c>
      <c r="B252" s="47" t="s">
        <v>811</v>
      </c>
      <c r="C252" s="48" t="s">
        <v>809</v>
      </c>
      <c r="D252" s="393" t="s">
        <v>186</v>
      </c>
      <c r="E252" s="50">
        <v>2</v>
      </c>
      <c r="F252" s="50">
        <v>234.43</v>
      </c>
      <c r="G252" s="51">
        <f>TRUNC(F252*$J$13,2)</f>
        <v>295.38</v>
      </c>
      <c r="H252" s="51">
        <f>TRUNC(E252*G252,2)</f>
        <v>590.76</v>
      </c>
      <c r="I252" s="129"/>
      <c r="J252" s="74"/>
      <c r="K252" s="12"/>
      <c r="L252" s="12"/>
      <c r="M252" s="97"/>
      <c r="N252" s="160"/>
      <c r="O252" s="97"/>
      <c r="P252" s="107"/>
      <c r="Q252" s="99"/>
      <c r="R252" s="6"/>
    </row>
    <row r="253" spans="1:18" s="131" customFormat="1" ht="22.5" outlineLevel="1" x14ac:dyDescent="0.2">
      <c r="A253" s="49" t="s">
        <v>299</v>
      </c>
      <c r="B253" s="47" t="s">
        <v>812</v>
      </c>
      <c r="C253" s="48" t="s">
        <v>810</v>
      </c>
      <c r="D253" s="393" t="s">
        <v>186</v>
      </c>
      <c r="E253" s="50">
        <v>1</v>
      </c>
      <c r="F253" s="50">
        <v>198.89</v>
      </c>
      <c r="G253" s="51">
        <f>TRUNC(F253*$J$13,2)</f>
        <v>250.6</v>
      </c>
      <c r="H253" s="51">
        <f>TRUNC(E253*G253,2)</f>
        <v>250.6</v>
      </c>
      <c r="I253" s="129"/>
      <c r="J253" s="74"/>
      <c r="K253" s="12"/>
      <c r="L253" s="12"/>
      <c r="M253" s="97"/>
      <c r="N253" s="160"/>
      <c r="O253" s="97"/>
      <c r="P253" s="107"/>
      <c r="Q253" s="99"/>
      <c r="R253" s="6"/>
    </row>
    <row r="254" spans="1:18" s="131" customFormat="1" ht="33.75" outlineLevel="1" x14ac:dyDescent="0.2">
      <c r="A254" s="49" t="s">
        <v>819</v>
      </c>
      <c r="B254" s="47">
        <v>89744</v>
      </c>
      <c r="C254" s="48" t="s">
        <v>200</v>
      </c>
      <c r="D254" s="49" t="s">
        <v>45</v>
      </c>
      <c r="E254" s="50">
        <v>4</v>
      </c>
      <c r="F254" s="50">
        <v>18.88</v>
      </c>
      <c r="G254" s="51">
        <f t="shared" si="33"/>
        <v>23.78</v>
      </c>
      <c r="H254" s="51">
        <f t="shared" si="34"/>
        <v>95.12</v>
      </c>
      <c r="I254" s="129"/>
      <c r="J254" s="74">
        <v>4</v>
      </c>
      <c r="K254" s="12"/>
      <c r="L254" s="12"/>
      <c r="M254" s="97"/>
      <c r="N254" s="160"/>
      <c r="O254" s="97"/>
      <c r="P254" s="107"/>
      <c r="Q254" s="99"/>
      <c r="R254" s="6"/>
    </row>
    <row r="255" spans="1:18" s="131" customFormat="1" outlineLevel="1" x14ac:dyDescent="0.2">
      <c r="A255" s="49" t="s">
        <v>820</v>
      </c>
      <c r="B255" s="47">
        <v>95545</v>
      </c>
      <c r="C255" s="48" t="s">
        <v>204</v>
      </c>
      <c r="D255" s="49" t="s">
        <v>45</v>
      </c>
      <c r="E255" s="50">
        <v>5</v>
      </c>
      <c r="F255" s="50">
        <v>29.63</v>
      </c>
      <c r="G255" s="51">
        <f t="shared" si="33"/>
        <v>37.33</v>
      </c>
      <c r="H255" s="51">
        <f t="shared" si="34"/>
        <v>186.65</v>
      </c>
      <c r="I255" s="129"/>
      <c r="J255" s="74">
        <v>5</v>
      </c>
      <c r="K255" s="12"/>
      <c r="L255" s="12"/>
      <c r="M255" s="97"/>
      <c r="N255" s="160"/>
      <c r="O255" s="97"/>
      <c r="P255" s="107"/>
      <c r="Q255" s="99"/>
      <c r="R255" s="6"/>
    </row>
    <row r="256" spans="1:18" s="131" customFormat="1" outlineLevel="1" x14ac:dyDescent="0.2">
      <c r="A256" s="73" t="s">
        <v>300</v>
      </c>
      <c r="B256" s="73"/>
      <c r="C256" s="43" t="s">
        <v>208</v>
      </c>
      <c r="D256" s="41"/>
      <c r="E256" s="43"/>
      <c r="F256" s="43"/>
      <c r="G256" s="67" t="s">
        <v>39</v>
      </c>
      <c r="H256" s="43"/>
      <c r="I256" s="44">
        <f>SUM(H257:H258)</f>
        <v>2073.6</v>
      </c>
      <c r="J256" s="74"/>
      <c r="K256" s="12"/>
      <c r="L256" s="12"/>
      <c r="M256" s="97"/>
      <c r="N256" s="160"/>
      <c r="O256" s="97"/>
      <c r="P256" s="107"/>
      <c r="Q256" s="99"/>
      <c r="R256" s="6"/>
    </row>
    <row r="257" spans="1:18" s="131" customFormat="1" outlineLevel="1" x14ac:dyDescent="0.2">
      <c r="A257" s="49" t="s">
        <v>301</v>
      </c>
      <c r="B257" s="47">
        <v>72178</v>
      </c>
      <c r="C257" s="48" t="s">
        <v>51</v>
      </c>
      <c r="D257" s="49" t="s">
        <v>24</v>
      </c>
      <c r="E257" s="50">
        <v>32</v>
      </c>
      <c r="F257" s="50">
        <v>22.6</v>
      </c>
      <c r="G257" s="51">
        <f>TRUNC(F257*$J$13,2)</f>
        <v>28.47</v>
      </c>
      <c r="H257" s="51">
        <f>TRUNC(E257*G257,2)</f>
        <v>911.04</v>
      </c>
      <c r="I257" s="134"/>
      <c r="J257" s="74"/>
      <c r="K257" s="12"/>
      <c r="L257" s="12"/>
      <c r="M257" s="97"/>
      <c r="N257" s="160"/>
      <c r="O257" s="97"/>
      <c r="P257" s="107"/>
      <c r="Q257" s="99"/>
      <c r="R257" s="6"/>
    </row>
    <row r="258" spans="1:18" s="131" customFormat="1" ht="22.5" outlineLevel="1" x14ac:dyDescent="0.2">
      <c r="A258" s="49" t="s">
        <v>302</v>
      </c>
      <c r="B258" s="47">
        <v>72181</v>
      </c>
      <c r="C258" s="105" t="s">
        <v>211</v>
      </c>
      <c r="D258" s="49" t="s">
        <v>24</v>
      </c>
      <c r="E258" s="50">
        <v>32</v>
      </c>
      <c r="F258" s="50">
        <v>28.84</v>
      </c>
      <c r="G258" s="51">
        <f>TRUNC(F258*$J$13,2)</f>
        <v>36.33</v>
      </c>
      <c r="H258" s="51">
        <f>TRUNC(E258*G258,2)</f>
        <v>1162.56</v>
      </c>
      <c r="I258" s="134"/>
      <c r="J258" s="74"/>
      <c r="K258" s="12"/>
      <c r="L258" s="12"/>
      <c r="M258" s="97"/>
      <c r="N258" s="160"/>
      <c r="O258" s="97"/>
      <c r="P258" s="107"/>
      <c r="Q258" s="99"/>
      <c r="R258" s="6"/>
    </row>
    <row r="259" spans="1:18" s="131" customFormat="1" outlineLevel="1" x14ac:dyDescent="0.2">
      <c r="A259" s="73">
        <v>12</v>
      </c>
      <c r="B259" s="125"/>
      <c r="C259" s="43" t="s">
        <v>213</v>
      </c>
      <c r="D259" s="41"/>
      <c r="E259" s="43"/>
      <c r="F259" s="43"/>
      <c r="G259" s="43"/>
      <c r="H259" s="41"/>
      <c r="I259" s="135">
        <f>SUM(H260:H260)</f>
        <v>6102.15</v>
      </c>
      <c r="J259" s="74"/>
      <c r="K259" s="12"/>
      <c r="L259" s="12"/>
      <c r="M259" s="97"/>
      <c r="N259" s="160"/>
      <c r="O259" s="97"/>
      <c r="P259" s="107"/>
      <c r="Q259" s="99"/>
      <c r="R259" s="6"/>
    </row>
    <row r="260" spans="1:18" s="131" customFormat="1" ht="22.5" outlineLevel="1" x14ac:dyDescent="0.2">
      <c r="A260" s="49" t="s">
        <v>389</v>
      </c>
      <c r="B260" s="47">
        <v>96114</v>
      </c>
      <c r="C260" s="101" t="s">
        <v>640</v>
      </c>
      <c r="D260" s="49" t="s">
        <v>24</v>
      </c>
      <c r="E260" s="50">
        <v>85</v>
      </c>
      <c r="F260" s="50">
        <v>56.98</v>
      </c>
      <c r="G260" s="51">
        <f>TRUNC(F260*$J$13,2)</f>
        <v>71.790000000000006</v>
      </c>
      <c r="H260" s="51">
        <f>TRUNC(E260*G260,2)</f>
        <v>6102.15</v>
      </c>
      <c r="I260" s="134"/>
      <c r="J260" s="74"/>
      <c r="K260" s="12"/>
      <c r="L260" s="12"/>
      <c r="M260" s="97"/>
      <c r="N260" s="160"/>
      <c r="O260" s="97"/>
      <c r="P260" s="107"/>
      <c r="Q260" s="99"/>
      <c r="R260" s="6"/>
    </row>
    <row r="261" spans="1:18" s="131" customFormat="1" ht="15" customHeight="1" x14ac:dyDescent="0.2">
      <c r="A261" s="49"/>
      <c r="B261" s="121"/>
      <c r="C261" s="136"/>
      <c r="D261" s="49"/>
      <c r="E261" s="137"/>
      <c r="F261" s="68"/>
      <c r="G261" s="68"/>
      <c r="H261" s="138"/>
      <c r="I261" s="134"/>
      <c r="J261" s="74"/>
      <c r="K261" s="12"/>
      <c r="L261" s="12"/>
      <c r="M261" s="97"/>
      <c r="N261" s="160"/>
      <c r="O261" s="97"/>
      <c r="P261" s="107"/>
      <c r="Q261" s="99"/>
      <c r="R261" s="6"/>
    </row>
    <row r="262" spans="1:18" s="131" customFormat="1" ht="15.75" x14ac:dyDescent="0.2">
      <c r="A262" s="164" t="s">
        <v>303</v>
      </c>
      <c r="B262" s="165"/>
      <c r="C262" s="166"/>
      <c r="D262" s="41"/>
      <c r="E262" s="166"/>
      <c r="F262" s="143"/>
      <c r="G262" s="37" t="s">
        <v>19</v>
      </c>
      <c r="H262" s="166"/>
      <c r="I262" s="145">
        <f>SUM(I263:I371)</f>
        <v>158767.79999999999</v>
      </c>
      <c r="J262" s="58" t="s">
        <v>37</v>
      </c>
      <c r="K262" s="167"/>
      <c r="L262" s="12"/>
      <c r="M262" s="97"/>
      <c r="N262" s="160"/>
      <c r="O262" s="97"/>
      <c r="P262" s="107"/>
      <c r="Q262" s="99"/>
      <c r="R262" s="6"/>
    </row>
    <row r="263" spans="1:18" ht="15" outlineLevel="1" x14ac:dyDescent="0.2">
      <c r="A263" s="73" t="s">
        <v>20</v>
      </c>
      <c r="B263" s="66"/>
      <c r="C263" s="43" t="s">
        <v>38</v>
      </c>
      <c r="D263" s="41"/>
      <c r="E263" s="43"/>
      <c r="F263" s="43"/>
      <c r="G263" s="43"/>
      <c r="H263" s="41"/>
      <c r="I263" s="168">
        <f>SUM(H264:H270)</f>
        <v>5589.0599999999995</v>
      </c>
    </row>
    <row r="264" spans="1:18" s="174" customFormat="1" ht="22.5" outlineLevel="1" x14ac:dyDescent="0.2">
      <c r="A264" s="49" t="s">
        <v>22</v>
      </c>
      <c r="B264" s="72">
        <v>97622</v>
      </c>
      <c r="C264" s="48" t="s">
        <v>304</v>
      </c>
      <c r="D264" s="49" t="s">
        <v>42</v>
      </c>
      <c r="E264" s="50">
        <f t="shared" ref="E264:E270" si="35">J264</f>
        <v>49.430999999999997</v>
      </c>
      <c r="F264" s="50">
        <v>37.39</v>
      </c>
      <c r="G264" s="51">
        <f>TRUNC(F264*$J$13,2)</f>
        <v>47.11</v>
      </c>
      <c r="H264" s="51">
        <f t="shared" ref="H264:H270" si="36">TRUNC(E264*G264,2)</f>
        <v>2328.69</v>
      </c>
      <c r="I264" s="169"/>
      <c r="J264" s="170">
        <f>(0.8*2.1)*4+(3.2+5.26+1.15+4.48+4.48)*2.3</f>
        <v>49.430999999999997</v>
      </c>
      <c r="K264" s="170"/>
      <c r="L264" s="170"/>
      <c r="M264" s="171"/>
      <c r="N264" s="133"/>
      <c r="O264" s="171"/>
      <c r="P264" s="172"/>
      <c r="Q264" s="173"/>
      <c r="R264" s="173"/>
    </row>
    <row r="265" spans="1:18" s="174" customFormat="1" ht="15" outlineLevel="1" x14ac:dyDescent="0.2">
      <c r="A265" s="49" t="s">
        <v>25</v>
      </c>
      <c r="B265" s="72">
        <v>97644</v>
      </c>
      <c r="C265" s="68" t="s">
        <v>44</v>
      </c>
      <c r="D265" s="49" t="s">
        <v>24</v>
      </c>
      <c r="E265" s="50">
        <f t="shared" si="35"/>
        <v>13.440000000000001</v>
      </c>
      <c r="F265" s="50">
        <v>6.04</v>
      </c>
      <c r="G265" s="51">
        <f t="shared" ref="G265:G274" si="37">TRUNC(F265*$J$13,2)</f>
        <v>7.61</v>
      </c>
      <c r="H265" s="51">
        <f t="shared" si="36"/>
        <v>102.27</v>
      </c>
      <c r="I265" s="175"/>
      <c r="J265" s="170">
        <f>8*0.8*2.1</f>
        <v>13.440000000000001</v>
      </c>
      <c r="K265" s="170"/>
      <c r="L265" s="170"/>
      <c r="M265" s="171"/>
      <c r="N265" s="133"/>
      <c r="O265" s="171"/>
      <c r="P265" s="172"/>
      <c r="Q265" s="173"/>
      <c r="R265" s="173"/>
    </row>
    <row r="266" spans="1:18" s="174" customFormat="1" ht="15" outlineLevel="1" x14ac:dyDescent="0.2">
      <c r="A266" s="49" t="s">
        <v>217</v>
      </c>
      <c r="B266" s="72" t="s">
        <v>40</v>
      </c>
      <c r="C266" s="68" t="s">
        <v>41</v>
      </c>
      <c r="D266" s="49" t="s">
        <v>42</v>
      </c>
      <c r="E266" s="50">
        <f t="shared" si="35"/>
        <v>6.1524999999999999</v>
      </c>
      <c r="F266" s="50">
        <f>[1]COMPOSIÇÃO!G41</f>
        <v>216.762</v>
      </c>
      <c r="G266" s="51">
        <f t="shared" si="37"/>
        <v>273.12</v>
      </c>
      <c r="H266" s="51">
        <f t="shared" si="36"/>
        <v>1680.37</v>
      </c>
      <c r="I266" s="175"/>
      <c r="J266" s="170">
        <f>(20.62*2+9.87+9.8+62.14)*0.05</f>
        <v>6.1524999999999999</v>
      </c>
      <c r="K266" s="170"/>
      <c r="L266" s="170"/>
      <c r="M266" s="171"/>
      <c r="N266" s="133"/>
      <c r="O266" s="171"/>
      <c r="P266" s="172"/>
      <c r="Q266" s="173"/>
      <c r="R266" s="173"/>
    </row>
    <row r="267" spans="1:18" s="174" customFormat="1" ht="15" outlineLevel="1" x14ac:dyDescent="0.2">
      <c r="A267" s="49" t="s">
        <v>218</v>
      </c>
      <c r="B267" s="72">
        <v>97663</v>
      </c>
      <c r="C267" s="68" t="s">
        <v>46</v>
      </c>
      <c r="D267" s="49" t="s">
        <v>45</v>
      </c>
      <c r="E267" s="50">
        <f t="shared" si="35"/>
        <v>8</v>
      </c>
      <c r="F267" s="50">
        <v>8.07</v>
      </c>
      <c r="G267" s="51">
        <f t="shared" si="37"/>
        <v>10.16</v>
      </c>
      <c r="H267" s="51">
        <f t="shared" si="36"/>
        <v>81.28</v>
      </c>
      <c r="I267" s="175"/>
      <c r="J267" s="170">
        <v>8</v>
      </c>
      <c r="K267" s="170"/>
      <c r="L267" s="170"/>
      <c r="M267" s="171"/>
      <c r="N267" s="133"/>
      <c r="O267" s="171"/>
      <c r="P267" s="172"/>
      <c r="Q267" s="173"/>
      <c r="R267" s="173"/>
    </row>
    <row r="268" spans="1:18" s="174" customFormat="1" ht="22.5" outlineLevel="1" x14ac:dyDescent="0.2">
      <c r="A268" s="49" t="s">
        <v>219</v>
      </c>
      <c r="B268" s="72">
        <v>97666</v>
      </c>
      <c r="C268" s="48" t="s">
        <v>47</v>
      </c>
      <c r="D268" s="49" t="s">
        <v>45</v>
      </c>
      <c r="E268" s="50">
        <f t="shared" si="35"/>
        <v>8</v>
      </c>
      <c r="F268" s="50">
        <v>5.88</v>
      </c>
      <c r="G268" s="51">
        <f t="shared" si="37"/>
        <v>7.4</v>
      </c>
      <c r="H268" s="51">
        <f t="shared" si="36"/>
        <v>59.2</v>
      </c>
      <c r="I268" s="175"/>
      <c r="J268" s="170">
        <v>8</v>
      </c>
      <c r="K268" s="170"/>
      <c r="L268" s="170"/>
      <c r="M268" s="171"/>
      <c r="N268" s="133"/>
      <c r="O268" s="171"/>
      <c r="P268" s="172"/>
      <c r="Q268" s="173"/>
      <c r="R268" s="173"/>
    </row>
    <row r="269" spans="1:18" s="174" customFormat="1" ht="15" outlineLevel="1" x14ac:dyDescent="0.2">
      <c r="A269" s="49" t="s">
        <v>220</v>
      </c>
      <c r="B269" s="72" t="s">
        <v>49</v>
      </c>
      <c r="C269" s="68" t="s">
        <v>50</v>
      </c>
      <c r="D269" s="49" t="s">
        <v>24</v>
      </c>
      <c r="E269" s="50">
        <f t="shared" si="35"/>
        <v>16.056000000000001</v>
      </c>
      <c r="F269" s="50">
        <f>[1]COMPOSIÇÃO!G49</f>
        <v>16.424099999999999</v>
      </c>
      <c r="G269" s="51">
        <f t="shared" si="37"/>
        <v>20.69</v>
      </c>
      <c r="H269" s="51">
        <f t="shared" si="36"/>
        <v>332.19</v>
      </c>
      <c r="I269" s="175"/>
      <c r="J269" s="170">
        <f>(4.46+4.46)*1.8</f>
        <v>16.056000000000001</v>
      </c>
      <c r="K269" s="170"/>
      <c r="L269" s="170"/>
      <c r="M269" s="171"/>
      <c r="N269" s="133"/>
      <c r="O269" s="171"/>
      <c r="P269" s="172"/>
      <c r="Q269" s="173"/>
      <c r="R269" s="173"/>
    </row>
    <row r="270" spans="1:18" s="174" customFormat="1" ht="22.5" outlineLevel="1" x14ac:dyDescent="0.2">
      <c r="A270" s="49" t="s">
        <v>221</v>
      </c>
      <c r="B270" s="72">
        <v>97633</v>
      </c>
      <c r="C270" s="48" t="s">
        <v>43</v>
      </c>
      <c r="D270" s="49" t="s">
        <v>24</v>
      </c>
      <c r="E270" s="50">
        <f t="shared" si="35"/>
        <v>53.717999999999996</v>
      </c>
      <c r="F270" s="50">
        <v>14.85</v>
      </c>
      <c r="G270" s="51">
        <f t="shared" si="37"/>
        <v>18.71</v>
      </c>
      <c r="H270" s="51">
        <f t="shared" si="36"/>
        <v>1005.06</v>
      </c>
      <c r="I270" s="175"/>
      <c r="J270" s="170">
        <f>(12.82+12.76)*2.1</f>
        <v>53.717999999999996</v>
      </c>
      <c r="K270" s="170"/>
      <c r="L270" s="170"/>
      <c r="M270" s="171"/>
      <c r="N270" s="133"/>
      <c r="O270" s="171"/>
      <c r="P270" s="172"/>
      <c r="Q270" s="173"/>
      <c r="R270" s="173"/>
    </row>
    <row r="271" spans="1:18" s="174" customFormat="1" ht="15" outlineLevel="1" x14ac:dyDescent="0.2">
      <c r="A271" s="73" t="s">
        <v>61</v>
      </c>
      <c r="B271" s="66"/>
      <c r="C271" s="43" t="s">
        <v>222</v>
      </c>
      <c r="D271" s="42"/>
      <c r="E271" s="43"/>
      <c r="F271" s="43"/>
      <c r="G271" s="43"/>
      <c r="H271" s="41"/>
      <c r="I271" s="168">
        <f>SUM(H272:H274)</f>
        <v>21983.599999999999</v>
      </c>
      <c r="J271" s="170"/>
      <c r="K271" s="170"/>
      <c r="L271" s="170"/>
      <c r="M271" s="171"/>
      <c r="N271" s="133"/>
      <c r="O271" s="171"/>
      <c r="P271" s="172"/>
      <c r="Q271" s="173"/>
      <c r="R271" s="173"/>
    </row>
    <row r="272" spans="1:18" s="174" customFormat="1" ht="33.75" outlineLevel="1" x14ac:dyDescent="0.2">
      <c r="A272" s="49" t="s">
        <v>65</v>
      </c>
      <c r="B272" s="71">
        <v>87471</v>
      </c>
      <c r="C272" s="48" t="s">
        <v>307</v>
      </c>
      <c r="D272" s="49" t="s">
        <v>24</v>
      </c>
      <c r="E272" s="50">
        <f>J272</f>
        <v>77.808000000000007</v>
      </c>
      <c r="F272" s="50">
        <v>40.9</v>
      </c>
      <c r="G272" s="51">
        <f>TRUNC(F272*$J$13,2)</f>
        <v>51.53</v>
      </c>
      <c r="H272" s="51">
        <f>TRUNC(E272*G272,2)</f>
        <v>4009.44</v>
      </c>
      <c r="I272" s="175"/>
      <c r="J272" s="170">
        <f>(0.8*2.1)*3+(8.11+6.6+8.03)*3.2</f>
        <v>77.808000000000007</v>
      </c>
      <c r="K272" s="170"/>
      <c r="L272" s="170"/>
      <c r="M272" s="171"/>
      <c r="N272" s="133"/>
      <c r="O272" s="171"/>
      <c r="P272" s="172"/>
      <c r="Q272" s="173"/>
      <c r="R272" s="173"/>
    </row>
    <row r="273" spans="1:18" s="174" customFormat="1" ht="33.75" outlineLevel="1" x14ac:dyDescent="0.2">
      <c r="A273" s="49" t="s">
        <v>70</v>
      </c>
      <c r="B273" s="72">
        <v>96359</v>
      </c>
      <c r="C273" s="48" t="s">
        <v>224</v>
      </c>
      <c r="D273" s="49" t="s">
        <v>24</v>
      </c>
      <c r="E273" s="50">
        <v>85</v>
      </c>
      <c r="F273" s="50">
        <v>84.5</v>
      </c>
      <c r="G273" s="51">
        <f>TRUNC(F273*$J$13,2)</f>
        <v>106.47</v>
      </c>
      <c r="H273" s="51">
        <f>TRUNC(E273*G273,2)</f>
        <v>9049.9500000000007</v>
      </c>
      <c r="I273" s="175"/>
      <c r="J273" s="170"/>
      <c r="K273" s="170"/>
      <c r="L273" s="170"/>
      <c r="M273" s="171"/>
      <c r="N273" s="133"/>
      <c r="O273" s="171"/>
      <c r="P273" s="172"/>
      <c r="Q273" s="173"/>
      <c r="R273" s="173"/>
    </row>
    <row r="274" spans="1:18" s="174" customFormat="1" ht="22.5" outlineLevel="1" x14ac:dyDescent="0.2">
      <c r="A274" s="49" t="s">
        <v>73</v>
      </c>
      <c r="B274" s="72">
        <v>79627</v>
      </c>
      <c r="C274" s="48" t="s">
        <v>223</v>
      </c>
      <c r="D274" s="49" t="s">
        <v>24</v>
      </c>
      <c r="E274" s="50">
        <f>J274</f>
        <v>10.764000000000001</v>
      </c>
      <c r="F274" s="155">
        <v>658</v>
      </c>
      <c r="G274" s="51">
        <f t="shared" si="37"/>
        <v>829.08</v>
      </c>
      <c r="H274" s="51">
        <f>TRUNC(E274*G274,2)</f>
        <v>8924.2099999999991</v>
      </c>
      <c r="I274" s="175"/>
      <c r="J274" s="170">
        <f>(2.99+2.99)*1.8</f>
        <v>10.764000000000001</v>
      </c>
      <c r="K274" s="170"/>
      <c r="L274" s="170"/>
      <c r="M274" s="171"/>
      <c r="N274" s="133"/>
      <c r="O274" s="171"/>
      <c r="P274" s="172"/>
      <c r="Q274" s="173"/>
      <c r="R274" s="173"/>
    </row>
    <row r="275" spans="1:18" s="131" customFormat="1" ht="15" outlineLevel="1" x14ac:dyDescent="0.2">
      <c r="A275" s="73" t="s">
        <v>75</v>
      </c>
      <c r="B275" s="66"/>
      <c r="C275" s="43" t="s">
        <v>52</v>
      </c>
      <c r="D275" s="41"/>
      <c r="E275" s="43"/>
      <c r="F275" s="43"/>
      <c r="G275" s="43"/>
      <c r="H275" s="41"/>
      <c r="I275" s="168">
        <f>SUM(H276:H278)</f>
        <v>12986.64</v>
      </c>
      <c r="J275" s="74"/>
      <c r="K275" s="12"/>
      <c r="L275" s="12"/>
      <c r="M275" s="97"/>
      <c r="N275" s="160"/>
      <c r="O275" s="97"/>
      <c r="P275" s="107"/>
      <c r="Q275" s="99"/>
      <c r="R275" s="6"/>
    </row>
    <row r="276" spans="1:18" s="131" customFormat="1" ht="14.25" outlineLevel="1" x14ac:dyDescent="0.2">
      <c r="A276" s="49"/>
      <c r="B276" s="47"/>
      <c r="C276" s="76" t="s">
        <v>53</v>
      </c>
      <c r="D276" s="49"/>
      <c r="E276" s="77"/>
      <c r="F276" s="78"/>
      <c r="G276" s="78"/>
      <c r="H276" s="127"/>
      <c r="I276" s="176"/>
      <c r="J276" s="74"/>
      <c r="K276" s="12"/>
      <c r="L276" s="12"/>
      <c r="M276" s="97"/>
      <c r="N276" s="160"/>
      <c r="O276" s="97"/>
      <c r="P276" s="107"/>
      <c r="Q276" s="99"/>
      <c r="R276" s="6"/>
    </row>
    <row r="277" spans="1:18" s="131" customFormat="1" ht="45" outlineLevel="1" x14ac:dyDescent="0.2">
      <c r="A277" s="49" t="s">
        <v>78</v>
      </c>
      <c r="B277" s="47">
        <v>90843</v>
      </c>
      <c r="C277" s="48" t="s">
        <v>54</v>
      </c>
      <c r="D277" s="49" t="s">
        <v>45</v>
      </c>
      <c r="E277" s="50">
        <v>6</v>
      </c>
      <c r="F277" s="50">
        <v>742.69</v>
      </c>
      <c r="G277" s="51">
        <f>TRUNC(F277*$J$13,2)</f>
        <v>935.78</v>
      </c>
      <c r="H277" s="51">
        <f>TRUNC(E277*G277,2)</f>
        <v>5614.68</v>
      </c>
      <c r="I277" s="176"/>
      <c r="J277" s="74">
        <v>8</v>
      </c>
      <c r="K277" s="12" t="s">
        <v>308</v>
      </c>
      <c r="L277" s="12"/>
      <c r="M277" s="97"/>
      <c r="N277" s="160"/>
      <c r="O277" s="97"/>
      <c r="P277" s="107"/>
      <c r="Q277" s="99"/>
      <c r="R277" s="6"/>
    </row>
    <row r="278" spans="1:18" s="131" customFormat="1" ht="22.5" outlineLevel="1" x14ac:dyDescent="0.2">
      <c r="A278" s="49" t="s">
        <v>84</v>
      </c>
      <c r="B278" s="47">
        <v>91338</v>
      </c>
      <c r="C278" s="48" t="s">
        <v>58</v>
      </c>
      <c r="D278" s="49" t="s">
        <v>24</v>
      </c>
      <c r="E278" s="50">
        <f>J278</f>
        <v>6</v>
      </c>
      <c r="F278" s="50">
        <v>975.13</v>
      </c>
      <c r="G278" s="51">
        <f>TRUNC(F278*$J$13,2)</f>
        <v>1228.6600000000001</v>
      </c>
      <c r="H278" s="51">
        <f>TRUNC(E278*G278,2)</f>
        <v>7371.96</v>
      </c>
      <c r="I278" s="177"/>
      <c r="J278" s="74">
        <f>(0.9*2+0.8*4)*1.2</f>
        <v>6</v>
      </c>
      <c r="K278" s="178" t="s">
        <v>309</v>
      </c>
      <c r="L278" s="12">
        <f>0.8*2.1*8</f>
        <v>13.440000000000001</v>
      </c>
      <c r="M278" s="97"/>
      <c r="N278" s="160"/>
      <c r="O278" s="97"/>
      <c r="P278" s="107"/>
      <c r="Q278" s="99"/>
      <c r="R278" s="6"/>
    </row>
    <row r="279" spans="1:18" s="131" customFormat="1" ht="15" outlineLevel="1" x14ac:dyDescent="0.2">
      <c r="A279" s="73" t="s">
        <v>86</v>
      </c>
      <c r="B279" s="66"/>
      <c r="C279" s="43" t="s">
        <v>62</v>
      </c>
      <c r="D279" s="41"/>
      <c r="E279" s="43"/>
      <c r="F279" s="43"/>
      <c r="G279" s="43"/>
      <c r="H279" s="41"/>
      <c r="I279" s="168">
        <f>SUM(H280:H282)</f>
        <v>4687.41</v>
      </c>
      <c r="J279" s="74"/>
      <c r="K279" s="12"/>
      <c r="L279" s="12"/>
      <c r="M279" s="97"/>
      <c r="N279" s="160"/>
      <c r="O279" s="97"/>
      <c r="P279" s="107"/>
      <c r="Q279" s="99"/>
      <c r="R279" s="6"/>
    </row>
    <row r="280" spans="1:18" s="131" customFormat="1" ht="33.75" outlineLevel="1" x14ac:dyDescent="0.2">
      <c r="A280" s="49" t="s">
        <v>88</v>
      </c>
      <c r="B280" s="72">
        <v>87879</v>
      </c>
      <c r="C280" s="48" t="s">
        <v>226</v>
      </c>
      <c r="D280" s="49" t="s">
        <v>24</v>
      </c>
      <c r="E280" s="68">
        <f>J280</f>
        <v>53.717999999999996</v>
      </c>
      <c r="F280" s="50">
        <v>2.72</v>
      </c>
      <c r="G280" s="51">
        <f>TRUNC(F280*$J$13,2)</f>
        <v>3.42</v>
      </c>
      <c r="H280" s="51">
        <f>TRUNC(E280*G280,2)</f>
        <v>183.71</v>
      </c>
      <c r="I280" s="179"/>
      <c r="J280" s="74">
        <f>J270</f>
        <v>53.717999999999996</v>
      </c>
      <c r="K280" s="12"/>
      <c r="L280" s="12"/>
      <c r="M280" s="97"/>
      <c r="N280" s="160"/>
      <c r="O280" s="97"/>
      <c r="P280" s="107"/>
      <c r="Q280" s="99"/>
      <c r="R280" s="6"/>
    </row>
    <row r="281" spans="1:18" s="131" customFormat="1" ht="33.75" outlineLevel="1" x14ac:dyDescent="0.2">
      <c r="A281" s="49" t="s">
        <v>91</v>
      </c>
      <c r="B281" s="47">
        <v>90408</v>
      </c>
      <c r="C281" s="48" t="s">
        <v>74</v>
      </c>
      <c r="D281" s="49" t="s">
        <v>24</v>
      </c>
      <c r="E281" s="68">
        <f>J281</f>
        <v>53.717999999999996</v>
      </c>
      <c r="F281" s="50">
        <v>22.64</v>
      </c>
      <c r="G281" s="51">
        <f>TRUNC(F281*$J$13,2)</f>
        <v>28.52</v>
      </c>
      <c r="H281" s="51">
        <f>TRUNC(E281*G281,2)</f>
        <v>1532.03</v>
      </c>
      <c r="I281" s="179"/>
      <c r="J281" s="74">
        <f>J280</f>
        <v>53.717999999999996</v>
      </c>
      <c r="K281" s="12"/>
      <c r="L281" s="12"/>
      <c r="M281" s="97"/>
      <c r="N281" s="160"/>
      <c r="O281" s="97"/>
      <c r="P281" s="107"/>
      <c r="Q281" s="99"/>
      <c r="R281" s="6"/>
    </row>
    <row r="282" spans="1:18" s="131" customFormat="1" ht="33.75" outlineLevel="1" x14ac:dyDescent="0.2">
      <c r="A282" s="49" t="s">
        <v>94</v>
      </c>
      <c r="B282" s="47">
        <v>87266</v>
      </c>
      <c r="C282" s="48" t="s">
        <v>66</v>
      </c>
      <c r="D282" s="49" t="s">
        <v>24</v>
      </c>
      <c r="E282" s="68">
        <f>J282</f>
        <v>53.717999999999996</v>
      </c>
      <c r="F282" s="50">
        <v>43.91</v>
      </c>
      <c r="G282" s="51">
        <f>TRUNC(F282*$J$13,2)</f>
        <v>55.32</v>
      </c>
      <c r="H282" s="51">
        <f>TRUNC(E282*G282,2)</f>
        <v>2971.67</v>
      </c>
      <c r="I282" s="180"/>
      <c r="J282" s="74">
        <f>J280</f>
        <v>53.717999999999996</v>
      </c>
      <c r="K282" s="12"/>
      <c r="M282" s="97"/>
      <c r="N282" s="160"/>
      <c r="O282" s="97"/>
      <c r="P282" s="107"/>
      <c r="Q282" s="99"/>
      <c r="R282" s="6"/>
    </row>
    <row r="283" spans="1:18" s="131" customFormat="1" ht="15" outlineLevel="1" x14ac:dyDescent="0.2">
      <c r="A283" s="73" t="s">
        <v>96</v>
      </c>
      <c r="B283" s="66"/>
      <c r="C283" s="43" t="s">
        <v>76</v>
      </c>
      <c r="D283" s="41"/>
      <c r="E283" s="43"/>
      <c r="F283" s="43"/>
      <c r="G283" s="43"/>
      <c r="H283" s="41"/>
      <c r="I283" s="168">
        <f>SUM(H284:H285)</f>
        <v>10537.6</v>
      </c>
      <c r="J283" s="74"/>
      <c r="K283" s="12"/>
      <c r="L283" s="12"/>
      <c r="M283" s="97"/>
      <c r="N283" s="160"/>
      <c r="O283" s="97"/>
      <c r="P283" s="107"/>
      <c r="Q283" s="99"/>
      <c r="R283" s="6"/>
    </row>
    <row r="284" spans="1:18" s="131" customFormat="1" ht="33.75" outlineLevel="1" x14ac:dyDescent="0.2">
      <c r="A284" s="49" t="s">
        <v>98</v>
      </c>
      <c r="B284" s="47">
        <v>94993</v>
      </c>
      <c r="C284" s="48" t="s">
        <v>79</v>
      </c>
      <c r="D284" s="49" t="s">
        <v>24</v>
      </c>
      <c r="E284" s="50">
        <f>J284</f>
        <v>41.24</v>
      </c>
      <c r="F284" s="50">
        <v>62.94</v>
      </c>
      <c r="G284" s="51">
        <f>TRUNC(F284*$J$13,2)</f>
        <v>79.3</v>
      </c>
      <c r="H284" s="51">
        <f>TRUNC(E284*G284,2)</f>
        <v>3270.33</v>
      </c>
      <c r="I284" s="177"/>
      <c r="J284" s="170">
        <f>20.62*2</f>
        <v>41.24</v>
      </c>
      <c r="K284" s="12" t="s">
        <v>67</v>
      </c>
      <c r="L284" s="12">
        <f>68</f>
        <v>68</v>
      </c>
      <c r="M284" s="97"/>
      <c r="N284" s="160"/>
      <c r="O284" s="97"/>
      <c r="P284" s="107"/>
      <c r="Q284" s="99"/>
      <c r="R284" s="6"/>
    </row>
    <row r="285" spans="1:18" s="131" customFormat="1" ht="33.75" outlineLevel="1" x14ac:dyDescent="0.2">
      <c r="A285" s="49" t="s">
        <v>101</v>
      </c>
      <c r="B285" s="47">
        <v>87262</v>
      </c>
      <c r="C285" s="48" t="s">
        <v>85</v>
      </c>
      <c r="D285" s="49" t="s">
        <v>24</v>
      </c>
      <c r="E285" s="50">
        <f>J285</f>
        <v>62.14</v>
      </c>
      <c r="F285" s="50">
        <v>92.82</v>
      </c>
      <c r="G285" s="51">
        <f>TRUNC(F285*$J$13,2)</f>
        <v>116.95</v>
      </c>
      <c r="H285" s="51">
        <f>TRUNC(E285*G285,2)</f>
        <v>7267.27</v>
      </c>
      <c r="I285" s="181"/>
      <c r="J285" s="74">
        <f>42.47+9.87+9.8</f>
        <v>62.14</v>
      </c>
      <c r="K285" s="12"/>
      <c r="L285" s="12">
        <v>29.2</v>
      </c>
      <c r="M285" s="97"/>
      <c r="N285" s="160"/>
      <c r="O285" s="97"/>
      <c r="P285" s="107"/>
      <c r="Q285" s="99"/>
      <c r="R285" s="6"/>
    </row>
    <row r="286" spans="1:18" s="131" customFormat="1" ht="15" outlineLevel="1" x14ac:dyDescent="0.2">
      <c r="A286" s="73" t="s">
        <v>117</v>
      </c>
      <c r="B286" s="66"/>
      <c r="C286" s="43" t="s">
        <v>87</v>
      </c>
      <c r="D286" s="41"/>
      <c r="E286" s="43"/>
      <c r="F286" s="43"/>
      <c r="G286" s="43"/>
      <c r="H286" s="41"/>
      <c r="I286" s="168">
        <f>SUM(H287:H289)</f>
        <v>3210.4900000000002</v>
      </c>
      <c r="J286" s="74"/>
      <c r="K286" s="12"/>
      <c r="L286" s="12"/>
      <c r="M286" s="97"/>
      <c r="N286" s="160"/>
      <c r="O286" s="97"/>
      <c r="P286" s="107"/>
      <c r="Q286" s="99"/>
      <c r="R286" s="6"/>
    </row>
    <row r="287" spans="1:18" s="131" customFormat="1" ht="14.25" outlineLevel="1" x14ac:dyDescent="0.2">
      <c r="A287" s="49" t="s">
        <v>119</v>
      </c>
      <c r="B287" s="47">
        <v>72117</v>
      </c>
      <c r="C287" s="101" t="s">
        <v>89</v>
      </c>
      <c r="D287" s="49" t="s">
        <v>24</v>
      </c>
      <c r="E287" s="50">
        <f>J287</f>
        <v>5</v>
      </c>
      <c r="F287" s="50">
        <v>159.13</v>
      </c>
      <c r="G287" s="51">
        <f>TRUNC(F287*$J$13,2)</f>
        <v>200.5</v>
      </c>
      <c r="H287" s="51">
        <f>TRUNC(E287*G287,2)</f>
        <v>1002.5</v>
      </c>
      <c r="I287" s="180"/>
      <c r="J287" s="74">
        <v>5</v>
      </c>
      <c r="K287" s="12"/>
      <c r="L287" s="12"/>
      <c r="M287" s="97"/>
      <c r="N287" s="160"/>
      <c r="O287" s="97"/>
      <c r="P287" s="107"/>
      <c r="Q287" s="99"/>
      <c r="R287" s="6"/>
    </row>
    <row r="288" spans="1:18" s="131" customFormat="1" ht="14.25" outlineLevel="1" x14ac:dyDescent="0.2">
      <c r="A288" s="49" t="s">
        <v>121</v>
      </c>
      <c r="B288" s="47">
        <v>84886</v>
      </c>
      <c r="C288" s="101" t="s">
        <v>92</v>
      </c>
      <c r="D288" s="49" t="s">
        <v>93</v>
      </c>
      <c r="E288" s="50">
        <f>J288</f>
        <v>1</v>
      </c>
      <c r="F288" s="50">
        <v>1139.6199999999999</v>
      </c>
      <c r="G288" s="51">
        <f>TRUNC(F288*$J$13,2)</f>
        <v>1435.92</v>
      </c>
      <c r="H288" s="51">
        <f>TRUNC(E288*G288,2)</f>
        <v>1435.92</v>
      </c>
      <c r="I288" s="180"/>
      <c r="J288" s="74">
        <v>1</v>
      </c>
      <c r="K288" s="12"/>
      <c r="L288" s="12"/>
      <c r="M288" s="97"/>
      <c r="N288" s="160"/>
      <c r="O288" s="97"/>
      <c r="P288" s="107"/>
      <c r="Q288" s="99"/>
      <c r="R288" s="6"/>
    </row>
    <row r="289" spans="1:18" s="131" customFormat="1" ht="33.75" outlineLevel="1" x14ac:dyDescent="0.2">
      <c r="A289" s="49" t="s">
        <v>123</v>
      </c>
      <c r="B289" s="47">
        <v>84885</v>
      </c>
      <c r="C289" s="48" t="s">
        <v>95</v>
      </c>
      <c r="D289" s="49" t="s">
        <v>45</v>
      </c>
      <c r="E289" s="50">
        <f>J289</f>
        <v>1</v>
      </c>
      <c r="F289" s="50">
        <v>612.76</v>
      </c>
      <c r="G289" s="51">
        <f>TRUNC(F289*$J$13,2)</f>
        <v>772.07</v>
      </c>
      <c r="H289" s="51">
        <f>TRUNC(E289*G289,2)</f>
        <v>772.07</v>
      </c>
      <c r="I289" s="180"/>
      <c r="J289" s="74">
        <v>1</v>
      </c>
      <c r="K289" s="12"/>
      <c r="L289" s="12"/>
      <c r="M289" s="97"/>
      <c r="N289" s="160"/>
      <c r="O289" s="97"/>
      <c r="P289" s="107"/>
      <c r="Q289" s="99"/>
      <c r="R289" s="6"/>
    </row>
    <row r="290" spans="1:18" s="131" customFormat="1" ht="15" outlineLevel="1" x14ac:dyDescent="0.2">
      <c r="A290" s="73" t="s">
        <v>161</v>
      </c>
      <c r="B290" s="66"/>
      <c r="C290" s="43" t="s">
        <v>97</v>
      </c>
      <c r="D290" s="41"/>
      <c r="E290" s="43"/>
      <c r="F290" s="43"/>
      <c r="G290" s="43"/>
      <c r="H290" s="41"/>
      <c r="I290" s="168">
        <f>SUM(H291:H301)</f>
        <v>36769.040000000001</v>
      </c>
      <c r="J290" s="74"/>
      <c r="K290" s="12"/>
      <c r="L290" s="12"/>
      <c r="M290" s="97"/>
      <c r="N290" s="160"/>
      <c r="O290" s="97"/>
      <c r="P290" s="107"/>
      <c r="Q290" s="99"/>
      <c r="R290" s="6"/>
    </row>
    <row r="291" spans="1:18" s="131" customFormat="1" ht="22.5" outlineLevel="1" x14ac:dyDescent="0.2">
      <c r="A291" s="49" t="s">
        <v>163</v>
      </c>
      <c r="B291" s="47">
        <v>88423</v>
      </c>
      <c r="C291" s="48" t="s">
        <v>99</v>
      </c>
      <c r="D291" s="49" t="s">
        <v>24</v>
      </c>
      <c r="E291" s="103">
        <f>L291</f>
        <v>202.02</v>
      </c>
      <c r="F291" s="50">
        <v>16.21</v>
      </c>
      <c r="G291" s="51">
        <f>TRUNC(F291*$J$13,2)</f>
        <v>20.420000000000002</v>
      </c>
      <c r="H291" s="51">
        <f t="shared" ref="H291:H301" si="38">TRUNC(E291*G291,2)</f>
        <v>4125.24</v>
      </c>
      <c r="I291" s="180"/>
      <c r="J291" s="74"/>
      <c r="K291" s="12" t="s">
        <v>67</v>
      </c>
      <c r="L291" s="12">
        <v>202.02</v>
      </c>
      <c r="M291" s="97"/>
      <c r="N291" s="160"/>
      <c r="O291" s="97"/>
      <c r="P291" s="107"/>
      <c r="Q291" s="99"/>
      <c r="R291" s="6"/>
    </row>
    <row r="292" spans="1:18" s="131" customFormat="1" ht="14.25" outlineLevel="1" x14ac:dyDescent="0.2">
      <c r="A292" s="49" t="s">
        <v>164</v>
      </c>
      <c r="B292" s="47">
        <v>88496</v>
      </c>
      <c r="C292" s="68" t="s">
        <v>102</v>
      </c>
      <c r="D292" s="49" t="s">
        <v>24</v>
      </c>
      <c r="E292" s="103">
        <f>J292</f>
        <v>210.05</v>
      </c>
      <c r="F292" s="50">
        <v>19.940000000000001</v>
      </c>
      <c r="G292" s="51">
        <f t="shared" ref="G292:G301" si="39">TRUNC(F292*$J$13,2)</f>
        <v>25.12</v>
      </c>
      <c r="H292" s="51">
        <f t="shared" si="38"/>
        <v>5276.45</v>
      </c>
      <c r="I292" s="180"/>
      <c r="J292" s="74">
        <f>4.05+9.87+9.8+4.05+43.07+17.54+9.43+33.4+11.24+1.45+6.62+59.53</f>
        <v>210.05</v>
      </c>
      <c r="K292" s="12" t="s">
        <v>67</v>
      </c>
      <c r="L292" s="12">
        <v>266.22000000000003</v>
      </c>
      <c r="M292" s="97"/>
      <c r="N292" s="160"/>
      <c r="O292" s="97"/>
      <c r="P292" s="107"/>
      <c r="Q292" s="99"/>
      <c r="R292" s="6"/>
    </row>
    <row r="293" spans="1:18" s="131" customFormat="1" ht="22.5" outlineLevel="1" x14ac:dyDescent="0.2">
      <c r="A293" s="49" t="s">
        <v>165</v>
      </c>
      <c r="B293" s="47">
        <v>88488</v>
      </c>
      <c r="C293" s="48" t="s">
        <v>105</v>
      </c>
      <c r="D293" s="49" t="s">
        <v>24</v>
      </c>
      <c r="E293" s="103">
        <f>J293</f>
        <v>210.05</v>
      </c>
      <c r="F293" s="50">
        <v>12.65</v>
      </c>
      <c r="G293" s="51">
        <f t="shared" si="39"/>
        <v>15.93</v>
      </c>
      <c r="H293" s="51">
        <f t="shared" si="38"/>
        <v>3346.09</v>
      </c>
      <c r="I293" s="180"/>
      <c r="J293" s="74">
        <f>J292</f>
        <v>210.05</v>
      </c>
      <c r="K293" s="12"/>
      <c r="L293" s="12">
        <v>266.22000000000003</v>
      </c>
      <c r="M293" s="97"/>
      <c r="N293" s="160"/>
      <c r="O293" s="97"/>
      <c r="P293" s="107"/>
      <c r="Q293" s="99"/>
      <c r="R293" s="6"/>
    </row>
    <row r="294" spans="1:18" s="131" customFormat="1" ht="14.25" outlineLevel="1" x14ac:dyDescent="0.2">
      <c r="A294" s="49" t="s">
        <v>166</v>
      </c>
      <c r="B294" s="47">
        <v>88497</v>
      </c>
      <c r="C294" s="68" t="s">
        <v>233</v>
      </c>
      <c r="D294" s="49" t="s">
        <v>24</v>
      </c>
      <c r="E294" s="103">
        <f>J294</f>
        <v>678.33</v>
      </c>
      <c r="F294" s="50">
        <v>11.24</v>
      </c>
      <c r="G294" s="51">
        <f t="shared" si="39"/>
        <v>14.16</v>
      </c>
      <c r="H294" s="51">
        <f t="shared" si="38"/>
        <v>9605.15</v>
      </c>
      <c r="I294" s="180"/>
      <c r="J294" s="74">
        <f>((8.36+8.36+34.8+29.74+32.09+18.84+12.55+10.3+4.82+23.8+13.82+26.48)*3.2+(12.82+12.76)*1.1)-(8*0.8*2.1*2+30*1.2*1.1)</f>
        <v>678.33</v>
      </c>
      <c r="K294" s="12"/>
      <c r="L294" s="12"/>
      <c r="M294" s="97"/>
      <c r="N294" s="160"/>
      <c r="O294" s="97"/>
      <c r="P294" s="107"/>
      <c r="Q294" s="99"/>
      <c r="R294" s="6"/>
    </row>
    <row r="295" spans="1:18" s="131" customFormat="1" ht="22.5" outlineLevel="1" x14ac:dyDescent="0.2">
      <c r="A295" s="49" t="s">
        <v>167</v>
      </c>
      <c r="B295" s="47">
        <v>88489</v>
      </c>
      <c r="C295" s="48" t="s">
        <v>109</v>
      </c>
      <c r="D295" s="49" t="s">
        <v>24</v>
      </c>
      <c r="E295" s="103">
        <v>547.14</v>
      </c>
      <c r="F295" s="50">
        <v>11.3</v>
      </c>
      <c r="G295" s="51">
        <f t="shared" si="39"/>
        <v>14.23</v>
      </c>
      <c r="H295" s="51">
        <f t="shared" si="38"/>
        <v>7785.8</v>
      </c>
      <c r="I295" s="180"/>
      <c r="J295" s="74">
        <f>J294</f>
        <v>678.33</v>
      </c>
      <c r="K295" s="12"/>
      <c r="L295" s="12"/>
      <c r="M295" s="97"/>
      <c r="N295" s="160"/>
      <c r="O295" s="97"/>
      <c r="P295" s="107"/>
      <c r="Q295" s="99"/>
      <c r="R295" s="6"/>
    </row>
    <row r="296" spans="1:18" s="131" customFormat="1" ht="14.25" outlineLevel="1" x14ac:dyDescent="0.2">
      <c r="A296" s="49" t="s">
        <v>168</v>
      </c>
      <c r="B296" s="47" t="s">
        <v>110</v>
      </c>
      <c r="C296" s="48" t="s">
        <v>111</v>
      </c>
      <c r="D296" s="49" t="s">
        <v>24</v>
      </c>
      <c r="E296" s="50">
        <v>26.88</v>
      </c>
      <c r="F296" s="50">
        <v>15.01</v>
      </c>
      <c r="G296" s="51">
        <f t="shared" si="39"/>
        <v>18.91</v>
      </c>
      <c r="H296" s="51">
        <f t="shared" si="38"/>
        <v>508.3</v>
      </c>
      <c r="I296" s="180"/>
      <c r="J296" s="74" t="e">
        <f>#REF!</f>
        <v>#REF!</v>
      </c>
      <c r="K296" s="12"/>
      <c r="L296" s="12" t="e">
        <f>#REF!</f>
        <v>#REF!</v>
      </c>
      <c r="M296" s="97"/>
      <c r="N296" s="160"/>
      <c r="O296" s="97"/>
      <c r="P296" s="107"/>
      <c r="Q296" s="99"/>
      <c r="R296" s="6"/>
    </row>
    <row r="297" spans="1:18" s="131" customFormat="1" ht="22.5" outlineLevel="1" x14ac:dyDescent="0.2">
      <c r="A297" s="49" t="s">
        <v>170</v>
      </c>
      <c r="B297" s="47">
        <v>100725</v>
      </c>
      <c r="C297" s="48" t="s">
        <v>805</v>
      </c>
      <c r="D297" s="49" t="s">
        <v>24</v>
      </c>
      <c r="E297" s="50">
        <f>24*2</f>
        <v>48</v>
      </c>
      <c r="F297" s="50">
        <v>16.12</v>
      </c>
      <c r="G297" s="51">
        <f t="shared" ref="G297" si="40">TRUNC(F297*$J$13,2)</f>
        <v>20.309999999999999</v>
      </c>
      <c r="H297" s="51">
        <f t="shared" ref="H297" si="41">TRUNC(E297*G297,2)</f>
        <v>974.88</v>
      </c>
      <c r="I297" s="180"/>
      <c r="J297" s="74"/>
      <c r="K297" s="12"/>
      <c r="L297" s="12"/>
      <c r="M297" s="97"/>
      <c r="N297" s="160"/>
      <c r="O297" s="97"/>
      <c r="P297" s="107"/>
      <c r="Q297" s="99"/>
      <c r="R297" s="6"/>
    </row>
    <row r="298" spans="1:18" s="131" customFormat="1" ht="22.5" outlineLevel="1" x14ac:dyDescent="0.2">
      <c r="A298" s="49" t="s">
        <v>172</v>
      </c>
      <c r="B298" s="47">
        <v>100727</v>
      </c>
      <c r="C298" s="105" t="s">
        <v>806</v>
      </c>
      <c r="D298" s="49" t="s">
        <v>24</v>
      </c>
      <c r="E298" s="103">
        <f>32.92*2</f>
        <v>65.84</v>
      </c>
      <c r="F298" s="50">
        <v>11.97</v>
      </c>
      <c r="G298" s="51">
        <f t="shared" si="39"/>
        <v>15.08</v>
      </c>
      <c r="H298" s="51">
        <f t="shared" si="38"/>
        <v>992.86</v>
      </c>
      <c r="I298" s="180"/>
      <c r="J298" s="74"/>
      <c r="K298" s="12"/>
      <c r="L298" s="12"/>
      <c r="M298" s="97"/>
      <c r="N298" s="160"/>
      <c r="O298" s="97"/>
      <c r="P298" s="107"/>
      <c r="Q298" s="99"/>
      <c r="R298" s="6"/>
    </row>
    <row r="299" spans="1:18" s="131" customFormat="1" ht="14.25" outlineLevel="1" x14ac:dyDescent="0.2">
      <c r="A299" s="49" t="s">
        <v>174</v>
      </c>
      <c r="B299" s="47">
        <v>88497</v>
      </c>
      <c r="C299" s="68" t="s">
        <v>310</v>
      </c>
      <c r="D299" s="49" t="s">
        <v>24</v>
      </c>
      <c r="E299" s="103">
        <f>J299</f>
        <v>78.122000000000014</v>
      </c>
      <c r="F299" s="50">
        <v>11.24</v>
      </c>
      <c r="G299" s="51">
        <f t="shared" si="39"/>
        <v>14.16</v>
      </c>
      <c r="H299" s="51">
        <f t="shared" si="38"/>
        <v>1106.2</v>
      </c>
      <c r="I299" s="180"/>
      <c r="J299" s="74">
        <f>(16.46*2+19.05*2)*1.1</f>
        <v>78.122000000000014</v>
      </c>
      <c r="K299" s="178" t="s">
        <v>311</v>
      </c>
      <c r="L299" s="12">
        <f>10*1.5*4</f>
        <v>60</v>
      </c>
      <c r="M299" s="97"/>
      <c r="N299" s="160"/>
      <c r="O299" s="97"/>
      <c r="P299" s="107"/>
      <c r="Q299" s="99"/>
      <c r="R299" s="6"/>
    </row>
    <row r="300" spans="1:18" s="131" customFormat="1" ht="22.5" outlineLevel="1" x14ac:dyDescent="0.2">
      <c r="A300" s="49" t="s">
        <v>176</v>
      </c>
      <c r="B300" s="47">
        <v>95626</v>
      </c>
      <c r="C300" s="48" t="s">
        <v>236</v>
      </c>
      <c r="D300" s="49" t="s">
        <v>24</v>
      </c>
      <c r="E300" s="103">
        <f>J300</f>
        <v>187.66400000000004</v>
      </c>
      <c r="F300" s="50">
        <v>11.83</v>
      </c>
      <c r="G300" s="51">
        <f t="shared" si="39"/>
        <v>14.9</v>
      </c>
      <c r="H300" s="51">
        <f t="shared" si="38"/>
        <v>2796.19</v>
      </c>
      <c r="I300" s="180"/>
      <c r="J300" s="74">
        <f>(16.46*2+19.05*2)*3.2-30*1.2*1.1</f>
        <v>187.66400000000004</v>
      </c>
      <c r="K300" s="12"/>
      <c r="L300" s="12"/>
      <c r="M300" s="97"/>
      <c r="N300" s="160"/>
      <c r="O300" s="97"/>
      <c r="P300" s="107"/>
      <c r="Q300" s="99"/>
      <c r="R300" s="6"/>
    </row>
    <row r="301" spans="1:18" s="131" customFormat="1" ht="14.25" outlineLevel="1" x14ac:dyDescent="0.2">
      <c r="A301" s="49" t="s">
        <v>178</v>
      </c>
      <c r="B301" s="47">
        <v>84665</v>
      </c>
      <c r="C301" s="48" t="s">
        <v>115</v>
      </c>
      <c r="D301" s="49" t="s">
        <v>24</v>
      </c>
      <c r="E301" s="50">
        <v>12</v>
      </c>
      <c r="F301" s="50">
        <v>16.66</v>
      </c>
      <c r="G301" s="51">
        <f t="shared" si="39"/>
        <v>20.99</v>
      </c>
      <c r="H301" s="51">
        <f t="shared" si="38"/>
        <v>251.88</v>
      </c>
      <c r="I301" s="180"/>
      <c r="J301" s="74"/>
      <c r="K301" s="12"/>
      <c r="L301" s="12"/>
      <c r="M301" s="97"/>
      <c r="N301" s="160"/>
      <c r="O301" s="97"/>
      <c r="P301" s="107"/>
      <c r="Q301" s="99"/>
      <c r="R301" s="6"/>
    </row>
    <row r="302" spans="1:18" s="131" customFormat="1" ht="15" outlineLevel="1" x14ac:dyDescent="0.2">
      <c r="A302" s="73" t="s">
        <v>187</v>
      </c>
      <c r="B302" s="66"/>
      <c r="C302" s="43" t="s">
        <v>118</v>
      </c>
      <c r="D302" s="41"/>
      <c r="E302" s="43"/>
      <c r="F302" s="43"/>
      <c r="G302" s="67" t="s">
        <v>39</v>
      </c>
      <c r="H302" s="41"/>
      <c r="I302" s="182">
        <f>SUM(H303:H326)</f>
        <v>16018.459999999997</v>
      </c>
      <c r="J302" s="74"/>
      <c r="K302" s="12"/>
      <c r="L302" s="12"/>
      <c r="M302" s="97"/>
      <c r="N302" s="160"/>
      <c r="O302" s="97"/>
      <c r="P302" s="107"/>
      <c r="Q302" s="99"/>
      <c r="R302" s="6"/>
    </row>
    <row r="303" spans="1:18" s="131" customFormat="1" ht="22.5" outlineLevel="1" x14ac:dyDescent="0.2">
      <c r="A303" s="49" t="s">
        <v>189</v>
      </c>
      <c r="B303" s="47">
        <v>91932</v>
      </c>
      <c r="C303" s="48" t="s">
        <v>120</v>
      </c>
      <c r="D303" s="49" t="s">
        <v>56</v>
      </c>
      <c r="E303" s="50">
        <v>200</v>
      </c>
      <c r="F303" s="50">
        <v>9.9499999999999993</v>
      </c>
      <c r="G303" s="51">
        <f t="shared" ref="G303:G327" si="42">TRUNC(F303*$J$13,2)</f>
        <v>12.53</v>
      </c>
      <c r="H303" s="51">
        <f>TRUNC(E303*G303,2)</f>
        <v>2506</v>
      </c>
      <c r="I303" s="183"/>
      <c r="J303" s="74"/>
      <c r="K303" s="12"/>
      <c r="L303" s="12"/>
      <c r="M303" s="97"/>
      <c r="N303" s="160"/>
      <c r="O303" s="97"/>
      <c r="P303" s="107"/>
      <c r="Q303" s="99"/>
      <c r="R303" s="6"/>
    </row>
    <row r="304" spans="1:18" s="131" customFormat="1" ht="22.5" outlineLevel="1" x14ac:dyDescent="0.2">
      <c r="A304" s="49" t="s">
        <v>201</v>
      </c>
      <c r="B304" s="47">
        <v>91930</v>
      </c>
      <c r="C304" s="48" t="s">
        <v>122</v>
      </c>
      <c r="D304" s="49" t="s">
        <v>56</v>
      </c>
      <c r="E304" s="50">
        <v>300</v>
      </c>
      <c r="F304" s="50">
        <v>6.06</v>
      </c>
      <c r="G304" s="51">
        <f t="shared" si="42"/>
        <v>7.63</v>
      </c>
      <c r="H304" s="51">
        <f>TRUNC(E304*G304,2)</f>
        <v>2289</v>
      </c>
      <c r="I304" s="183"/>
      <c r="J304" s="74"/>
      <c r="K304" s="12"/>
      <c r="L304" s="12"/>
      <c r="M304" s="97"/>
      <c r="N304" s="160"/>
      <c r="O304" s="97"/>
      <c r="P304" s="107"/>
      <c r="Q304" s="99"/>
      <c r="R304" s="6"/>
    </row>
    <row r="305" spans="1:18" s="131" customFormat="1" ht="22.5" outlineLevel="1" x14ac:dyDescent="0.2">
      <c r="A305" s="49" t="s">
        <v>237</v>
      </c>
      <c r="B305" s="47">
        <v>91928</v>
      </c>
      <c r="C305" s="48" t="s">
        <v>124</v>
      </c>
      <c r="D305" s="49" t="s">
        <v>56</v>
      </c>
      <c r="E305" s="50">
        <v>400</v>
      </c>
      <c r="F305" s="50">
        <v>4.42</v>
      </c>
      <c r="G305" s="51">
        <f t="shared" si="42"/>
        <v>5.56</v>
      </c>
      <c r="H305" s="51">
        <f t="shared" ref="H305:H326" si="43">TRUNC(E305*G305,2)</f>
        <v>2224</v>
      </c>
      <c r="I305" s="184"/>
      <c r="J305" s="74"/>
      <c r="K305" s="12"/>
      <c r="L305" s="12"/>
      <c r="M305" s="97"/>
      <c r="N305" s="160"/>
      <c r="O305" s="97"/>
      <c r="P305" s="107"/>
      <c r="Q305" s="99"/>
      <c r="R305" s="6"/>
    </row>
    <row r="306" spans="1:18" s="131" customFormat="1" ht="22.5" outlineLevel="1" x14ac:dyDescent="0.2">
      <c r="A306" s="49" t="s">
        <v>238</v>
      </c>
      <c r="B306" s="47">
        <v>91927</v>
      </c>
      <c r="C306" s="48" t="s">
        <v>126</v>
      </c>
      <c r="D306" s="49" t="s">
        <v>56</v>
      </c>
      <c r="E306" s="50">
        <v>300</v>
      </c>
      <c r="F306" s="50">
        <v>3.58</v>
      </c>
      <c r="G306" s="51">
        <f t="shared" si="42"/>
        <v>4.51</v>
      </c>
      <c r="H306" s="51">
        <f t="shared" si="43"/>
        <v>1353</v>
      </c>
      <c r="I306" s="184"/>
      <c r="J306" s="74"/>
      <c r="K306" s="12"/>
      <c r="L306" s="12"/>
      <c r="M306" s="97"/>
      <c r="N306" s="160"/>
      <c r="O306" s="97"/>
      <c r="P306" s="107"/>
      <c r="Q306" s="99"/>
      <c r="R306" s="6"/>
    </row>
    <row r="307" spans="1:18" s="131" customFormat="1" ht="22.5" outlineLevel="1" x14ac:dyDescent="0.2">
      <c r="A307" s="49" t="s">
        <v>239</v>
      </c>
      <c r="B307" s="47">
        <v>90447</v>
      </c>
      <c r="C307" s="48" t="s">
        <v>128</v>
      </c>
      <c r="D307" s="49" t="s">
        <v>56</v>
      </c>
      <c r="E307" s="50">
        <v>150</v>
      </c>
      <c r="F307" s="50">
        <v>4.45</v>
      </c>
      <c r="G307" s="51">
        <f t="shared" si="42"/>
        <v>5.6</v>
      </c>
      <c r="H307" s="51">
        <f t="shared" si="43"/>
        <v>840</v>
      </c>
      <c r="I307" s="184"/>
      <c r="J307" s="74"/>
      <c r="K307" s="12"/>
      <c r="L307" s="12"/>
      <c r="M307" s="97"/>
      <c r="N307" s="160"/>
      <c r="O307" s="97"/>
      <c r="P307" s="107"/>
      <c r="Q307" s="99"/>
      <c r="R307" s="6"/>
    </row>
    <row r="308" spans="1:18" s="131" customFormat="1" ht="22.5" outlineLevel="1" x14ac:dyDescent="0.2">
      <c r="A308" s="49" t="s">
        <v>240</v>
      </c>
      <c r="B308" s="47">
        <v>91836</v>
      </c>
      <c r="C308" s="48" t="s">
        <v>131</v>
      </c>
      <c r="D308" s="49" t="s">
        <v>56</v>
      </c>
      <c r="E308" s="50">
        <v>100</v>
      </c>
      <c r="F308" s="50">
        <v>7.55</v>
      </c>
      <c r="G308" s="51">
        <f t="shared" si="42"/>
        <v>9.51</v>
      </c>
      <c r="H308" s="51">
        <f t="shared" si="43"/>
        <v>951</v>
      </c>
      <c r="I308" s="184"/>
      <c r="J308" s="74"/>
      <c r="K308" s="12"/>
      <c r="L308" s="12"/>
      <c r="M308" s="97"/>
      <c r="N308" s="160"/>
      <c r="O308" s="97"/>
      <c r="P308" s="107"/>
      <c r="Q308" s="99"/>
      <c r="R308" s="6"/>
    </row>
    <row r="309" spans="1:18" s="131" customFormat="1" ht="22.5" outlineLevel="1" x14ac:dyDescent="0.2">
      <c r="A309" s="49" t="s">
        <v>241</v>
      </c>
      <c r="B309" s="47">
        <v>91869</v>
      </c>
      <c r="C309" s="48" t="s">
        <v>133</v>
      </c>
      <c r="D309" s="49" t="s">
        <v>56</v>
      </c>
      <c r="E309" s="50">
        <v>50</v>
      </c>
      <c r="F309" s="50">
        <v>10.32</v>
      </c>
      <c r="G309" s="51">
        <f t="shared" si="42"/>
        <v>13</v>
      </c>
      <c r="H309" s="51">
        <f t="shared" si="43"/>
        <v>650</v>
      </c>
      <c r="I309" s="184"/>
      <c r="J309" s="74"/>
      <c r="K309" s="12"/>
      <c r="L309" s="12"/>
      <c r="M309" s="97"/>
      <c r="N309" s="160"/>
      <c r="O309" s="97"/>
      <c r="P309" s="107"/>
      <c r="Q309" s="99"/>
      <c r="R309" s="6"/>
    </row>
    <row r="310" spans="1:18" s="131" customFormat="1" ht="14.25" outlineLevel="1" x14ac:dyDescent="0.2">
      <c r="A310" s="49" t="s">
        <v>242</v>
      </c>
      <c r="B310" s="47">
        <v>91990</v>
      </c>
      <c r="C310" s="48" t="s">
        <v>135</v>
      </c>
      <c r="D310" s="49" t="s">
        <v>45</v>
      </c>
      <c r="E310" s="50">
        <v>40</v>
      </c>
      <c r="F310" s="50">
        <v>20.73</v>
      </c>
      <c r="G310" s="51">
        <f t="shared" si="42"/>
        <v>26.11</v>
      </c>
      <c r="H310" s="51">
        <f t="shared" si="43"/>
        <v>1044.4000000000001</v>
      </c>
      <c r="I310" s="183"/>
      <c r="J310" s="74"/>
      <c r="K310" s="12"/>
      <c r="L310" s="12"/>
      <c r="M310" s="97"/>
      <c r="N310" s="160"/>
      <c r="O310" s="97"/>
      <c r="P310" s="107"/>
      <c r="Q310" s="99"/>
      <c r="R310" s="6"/>
    </row>
    <row r="311" spans="1:18" s="131" customFormat="1" ht="14.25" outlineLevel="1" x14ac:dyDescent="0.2">
      <c r="A311" s="49" t="s">
        <v>243</v>
      </c>
      <c r="B311" s="47">
        <v>91991</v>
      </c>
      <c r="C311" s="48" t="s">
        <v>138</v>
      </c>
      <c r="D311" s="49" t="s">
        <v>45</v>
      </c>
      <c r="E311" s="50">
        <v>4</v>
      </c>
      <c r="F311" s="50">
        <v>21.99</v>
      </c>
      <c r="G311" s="51">
        <f t="shared" si="42"/>
        <v>27.7</v>
      </c>
      <c r="H311" s="51">
        <f t="shared" si="43"/>
        <v>110.8</v>
      </c>
      <c r="I311" s="183"/>
      <c r="J311" s="74"/>
      <c r="K311" s="12"/>
      <c r="L311" s="12"/>
      <c r="M311" s="97"/>
      <c r="N311" s="160"/>
      <c r="O311" s="97"/>
      <c r="P311" s="107"/>
      <c r="Q311" s="99"/>
      <c r="R311" s="6"/>
    </row>
    <row r="312" spans="1:18" s="131" customFormat="1" ht="22.5" outlineLevel="1" x14ac:dyDescent="0.2">
      <c r="A312" s="49" t="s">
        <v>244</v>
      </c>
      <c r="B312" s="47">
        <v>91953</v>
      </c>
      <c r="C312" s="48" t="s">
        <v>140</v>
      </c>
      <c r="D312" s="49" t="s">
        <v>45</v>
      </c>
      <c r="E312" s="50">
        <v>6</v>
      </c>
      <c r="F312" s="50">
        <v>16.14</v>
      </c>
      <c r="G312" s="51">
        <f t="shared" si="42"/>
        <v>20.329999999999998</v>
      </c>
      <c r="H312" s="51">
        <f t="shared" si="43"/>
        <v>121.98</v>
      </c>
      <c r="I312" s="183"/>
      <c r="J312" s="74"/>
      <c r="K312" s="12"/>
      <c r="L312" s="12"/>
      <c r="M312" s="97"/>
      <c r="N312" s="160"/>
      <c r="O312" s="97"/>
      <c r="P312" s="107"/>
      <c r="Q312" s="99"/>
      <c r="R312" s="6"/>
    </row>
    <row r="313" spans="1:18" s="131" customFormat="1" ht="22.5" outlineLevel="1" x14ac:dyDescent="0.2">
      <c r="A313" s="49" t="s">
        <v>245</v>
      </c>
      <c r="B313" s="47">
        <v>91959</v>
      </c>
      <c r="C313" s="48" t="s">
        <v>141</v>
      </c>
      <c r="D313" s="49" t="s">
        <v>45</v>
      </c>
      <c r="E313" s="50">
        <v>5</v>
      </c>
      <c r="F313" s="50">
        <v>25.5</v>
      </c>
      <c r="G313" s="51">
        <f t="shared" si="42"/>
        <v>32.130000000000003</v>
      </c>
      <c r="H313" s="51">
        <f t="shared" si="43"/>
        <v>160.65</v>
      </c>
      <c r="I313" s="183"/>
      <c r="J313" s="74"/>
      <c r="K313" s="12"/>
      <c r="L313" s="12"/>
      <c r="M313" s="97"/>
      <c r="N313" s="160"/>
      <c r="O313" s="97"/>
      <c r="P313" s="107"/>
      <c r="Q313" s="99"/>
      <c r="R313" s="6"/>
    </row>
    <row r="314" spans="1:18" s="131" customFormat="1" ht="22.5" outlineLevel="1" x14ac:dyDescent="0.2">
      <c r="A314" s="49" t="s">
        <v>369</v>
      </c>
      <c r="B314" s="47">
        <v>93653</v>
      </c>
      <c r="C314" s="48" t="s">
        <v>142</v>
      </c>
      <c r="D314" s="49" t="s">
        <v>45</v>
      </c>
      <c r="E314" s="50">
        <v>8</v>
      </c>
      <c r="F314" s="50">
        <v>9.3699999999999992</v>
      </c>
      <c r="G314" s="51">
        <f t="shared" si="42"/>
        <v>11.8</v>
      </c>
      <c r="H314" s="51">
        <f t="shared" si="43"/>
        <v>94.4</v>
      </c>
      <c r="I314" s="183"/>
      <c r="J314" s="74"/>
      <c r="K314" s="12"/>
      <c r="L314" s="12"/>
      <c r="M314" s="97"/>
      <c r="N314" s="160"/>
      <c r="O314" s="97"/>
      <c r="P314" s="107"/>
      <c r="Q314" s="99"/>
      <c r="R314" s="6"/>
    </row>
    <row r="315" spans="1:18" s="131" customFormat="1" ht="22.5" outlineLevel="1" x14ac:dyDescent="0.2">
      <c r="A315" s="49" t="s">
        <v>340</v>
      </c>
      <c r="B315" s="47">
        <v>93655</v>
      </c>
      <c r="C315" s="48" t="s">
        <v>143</v>
      </c>
      <c r="D315" s="49" t="s">
        <v>45</v>
      </c>
      <c r="E315" s="50">
        <v>6</v>
      </c>
      <c r="F315" s="50">
        <v>10.59</v>
      </c>
      <c r="G315" s="51">
        <f t="shared" si="42"/>
        <v>13.34</v>
      </c>
      <c r="H315" s="51">
        <f t="shared" si="43"/>
        <v>80.040000000000006</v>
      </c>
      <c r="I315" s="183"/>
      <c r="J315" s="74"/>
      <c r="K315" s="12"/>
      <c r="L315" s="12"/>
      <c r="M315" s="97"/>
      <c r="N315" s="160"/>
      <c r="O315" s="97"/>
      <c r="P315" s="107"/>
      <c r="Q315" s="99"/>
      <c r="R315" s="6"/>
    </row>
    <row r="316" spans="1:18" s="131" customFormat="1" ht="22.5" outlineLevel="1" x14ac:dyDescent="0.2">
      <c r="A316" s="49" t="s">
        <v>341</v>
      </c>
      <c r="B316" s="47">
        <v>93657</v>
      </c>
      <c r="C316" s="48" t="s">
        <v>144</v>
      </c>
      <c r="D316" s="49" t="s">
        <v>45</v>
      </c>
      <c r="E316" s="50">
        <v>4</v>
      </c>
      <c r="F316" s="50">
        <v>11.59</v>
      </c>
      <c r="G316" s="51">
        <f t="shared" si="42"/>
        <v>14.6</v>
      </c>
      <c r="H316" s="51">
        <f t="shared" si="43"/>
        <v>58.4</v>
      </c>
      <c r="I316" s="183"/>
      <c r="J316" s="74"/>
      <c r="K316" s="12"/>
      <c r="L316" s="12"/>
      <c r="M316" s="97"/>
      <c r="N316" s="160"/>
      <c r="O316" s="97"/>
      <c r="P316" s="107"/>
      <c r="Q316" s="99"/>
      <c r="R316" s="6"/>
    </row>
    <row r="317" spans="1:18" s="131" customFormat="1" ht="22.5" outlineLevel="1" x14ac:dyDescent="0.2">
      <c r="A317" s="49" t="s">
        <v>344</v>
      </c>
      <c r="B317" s="47">
        <v>93660</v>
      </c>
      <c r="C317" s="48" t="s">
        <v>145</v>
      </c>
      <c r="D317" s="49" t="s">
        <v>45</v>
      </c>
      <c r="E317" s="50">
        <v>6</v>
      </c>
      <c r="F317" s="50">
        <v>46.9</v>
      </c>
      <c r="G317" s="51">
        <f t="shared" si="42"/>
        <v>59.09</v>
      </c>
      <c r="H317" s="51">
        <f t="shared" si="43"/>
        <v>354.54</v>
      </c>
      <c r="I317" s="183"/>
      <c r="J317" s="74"/>
      <c r="K317" s="12"/>
      <c r="L317" s="12"/>
      <c r="M317" s="97"/>
      <c r="N317" s="160"/>
      <c r="O317" s="97"/>
      <c r="P317" s="107"/>
      <c r="Q317" s="99"/>
      <c r="R317" s="6"/>
    </row>
    <row r="318" spans="1:18" s="131" customFormat="1" ht="22.5" outlineLevel="1" x14ac:dyDescent="0.2">
      <c r="A318" s="49" t="s">
        <v>347</v>
      </c>
      <c r="B318" s="47">
        <v>93662</v>
      </c>
      <c r="C318" s="48" t="s">
        <v>146</v>
      </c>
      <c r="D318" s="49" t="s">
        <v>45</v>
      </c>
      <c r="E318" s="50">
        <v>4</v>
      </c>
      <c r="F318" s="50">
        <v>49.38</v>
      </c>
      <c r="G318" s="51">
        <f t="shared" si="42"/>
        <v>62.21</v>
      </c>
      <c r="H318" s="51">
        <f t="shared" si="43"/>
        <v>248.84</v>
      </c>
      <c r="I318" s="183"/>
      <c r="J318" s="74"/>
      <c r="K318" s="12"/>
      <c r="L318" s="12"/>
      <c r="M318" s="97"/>
      <c r="N318" s="160"/>
      <c r="O318" s="97"/>
      <c r="P318" s="107"/>
      <c r="Q318" s="99"/>
      <c r="R318" s="6"/>
    </row>
    <row r="319" spans="1:18" s="131" customFormat="1" ht="22.5" outlineLevel="1" x14ac:dyDescent="0.2">
      <c r="A319" s="49" t="s">
        <v>246</v>
      </c>
      <c r="B319" s="47">
        <v>93664</v>
      </c>
      <c r="C319" s="48" t="s">
        <v>147</v>
      </c>
      <c r="D319" s="49" t="s">
        <v>45</v>
      </c>
      <c r="E319" s="50">
        <v>4</v>
      </c>
      <c r="F319" s="50">
        <v>51.34</v>
      </c>
      <c r="G319" s="51">
        <f t="shared" si="42"/>
        <v>64.680000000000007</v>
      </c>
      <c r="H319" s="51">
        <f t="shared" si="43"/>
        <v>258.72000000000003</v>
      </c>
      <c r="I319" s="183"/>
      <c r="J319" s="74"/>
      <c r="K319" s="12"/>
      <c r="L319" s="12"/>
      <c r="M319" s="97"/>
      <c r="N319" s="160"/>
      <c r="O319" s="97"/>
      <c r="P319" s="107"/>
      <c r="Q319" s="99"/>
      <c r="R319" s="6"/>
    </row>
    <row r="320" spans="1:18" s="131" customFormat="1" ht="22.5" outlineLevel="1" x14ac:dyDescent="0.2">
      <c r="A320" s="49" t="s">
        <v>247</v>
      </c>
      <c r="B320" s="47">
        <v>93673</v>
      </c>
      <c r="C320" s="48" t="s">
        <v>148</v>
      </c>
      <c r="D320" s="49" t="s">
        <v>45</v>
      </c>
      <c r="E320" s="50">
        <v>4</v>
      </c>
      <c r="F320" s="50">
        <v>75.680000000000007</v>
      </c>
      <c r="G320" s="51">
        <f t="shared" si="42"/>
        <v>95.35</v>
      </c>
      <c r="H320" s="51">
        <f t="shared" si="43"/>
        <v>381.4</v>
      </c>
      <c r="I320" s="183"/>
      <c r="J320" s="74"/>
      <c r="K320" s="12"/>
      <c r="L320" s="12"/>
      <c r="M320" s="97"/>
      <c r="N320" s="160"/>
      <c r="O320" s="97"/>
      <c r="P320" s="107"/>
      <c r="Q320" s="99"/>
      <c r="R320" s="6"/>
    </row>
    <row r="321" spans="1:18" s="131" customFormat="1" ht="22.5" outlineLevel="1" x14ac:dyDescent="0.2">
      <c r="A321" s="49" t="s">
        <v>248</v>
      </c>
      <c r="B321" s="47">
        <v>93667</v>
      </c>
      <c r="C321" s="48" t="s">
        <v>149</v>
      </c>
      <c r="D321" s="49" t="s">
        <v>45</v>
      </c>
      <c r="E321" s="50">
        <v>4</v>
      </c>
      <c r="F321" s="50">
        <v>58.47</v>
      </c>
      <c r="G321" s="51">
        <f t="shared" si="42"/>
        <v>73.67</v>
      </c>
      <c r="H321" s="51">
        <f t="shared" si="43"/>
        <v>294.68</v>
      </c>
      <c r="I321" s="183"/>
      <c r="J321" s="74"/>
      <c r="K321" s="12"/>
      <c r="L321" s="12"/>
      <c r="M321" s="97"/>
      <c r="N321" s="160"/>
      <c r="O321" s="97"/>
      <c r="P321" s="107"/>
      <c r="Q321" s="99"/>
      <c r="R321" s="6"/>
    </row>
    <row r="322" spans="1:18" s="131" customFormat="1" ht="22.5" outlineLevel="1" x14ac:dyDescent="0.2">
      <c r="A322" s="49" t="s">
        <v>249</v>
      </c>
      <c r="B322" s="47">
        <v>93669</v>
      </c>
      <c r="C322" s="48" t="s">
        <v>150</v>
      </c>
      <c r="D322" s="49" t="s">
        <v>45</v>
      </c>
      <c r="E322" s="50">
        <v>4</v>
      </c>
      <c r="F322" s="50">
        <v>62.18</v>
      </c>
      <c r="G322" s="51">
        <f>TRUNC(F322*$J$13,2)</f>
        <v>78.34</v>
      </c>
      <c r="H322" s="51">
        <f>TRUNC(E322*G322,2)</f>
        <v>313.36</v>
      </c>
      <c r="I322" s="183"/>
      <c r="J322" s="74"/>
      <c r="K322" s="12"/>
      <c r="L322" s="12"/>
      <c r="M322" s="97"/>
      <c r="N322" s="160"/>
      <c r="O322" s="97"/>
      <c r="P322" s="107"/>
      <c r="Q322" s="99"/>
      <c r="R322" s="6"/>
    </row>
    <row r="323" spans="1:18" s="131" customFormat="1" ht="22.5" outlineLevel="1" x14ac:dyDescent="0.25">
      <c r="A323" s="49" t="s">
        <v>250</v>
      </c>
      <c r="B323" s="47">
        <v>91944</v>
      </c>
      <c r="C323" s="48" t="s">
        <v>152</v>
      </c>
      <c r="D323" s="49" t="s">
        <v>45</v>
      </c>
      <c r="E323" s="50">
        <v>8</v>
      </c>
      <c r="F323" s="50">
        <v>9.3000000000000007</v>
      </c>
      <c r="G323" s="51">
        <f t="shared" si="42"/>
        <v>11.71</v>
      </c>
      <c r="H323" s="51">
        <f t="shared" si="43"/>
        <v>93.68</v>
      </c>
      <c r="I323" s="185"/>
      <c r="J323" s="74"/>
      <c r="K323" s="12"/>
      <c r="L323" s="12"/>
      <c r="M323" s="97"/>
      <c r="N323" s="160"/>
      <c r="O323" s="97"/>
      <c r="P323" s="107"/>
      <c r="Q323" s="99"/>
      <c r="R323" s="6"/>
    </row>
    <row r="324" spans="1:18" s="131" customFormat="1" ht="33.75" outlineLevel="1" x14ac:dyDescent="0.2">
      <c r="A324" s="49" t="s">
        <v>251</v>
      </c>
      <c r="B324" s="47">
        <v>83463</v>
      </c>
      <c r="C324" s="48" t="s">
        <v>153</v>
      </c>
      <c r="D324" s="49" t="s">
        <v>45</v>
      </c>
      <c r="E324" s="50">
        <v>1</v>
      </c>
      <c r="F324" s="50">
        <v>356.52</v>
      </c>
      <c r="G324" s="51">
        <f t="shared" si="42"/>
        <v>449.21</v>
      </c>
      <c r="H324" s="51">
        <f t="shared" si="43"/>
        <v>449.21</v>
      </c>
      <c r="I324" s="183"/>
      <c r="J324" s="74"/>
      <c r="K324" s="12"/>
      <c r="L324" s="12"/>
      <c r="M324" s="97"/>
      <c r="N324" s="160"/>
      <c r="O324" s="97"/>
      <c r="P324" s="107"/>
      <c r="Q324" s="99"/>
      <c r="R324" s="6"/>
    </row>
    <row r="325" spans="1:18" s="131" customFormat="1" ht="33.75" outlineLevel="1" x14ac:dyDescent="0.2">
      <c r="A325" s="49" t="s">
        <v>252</v>
      </c>
      <c r="B325" s="47" t="s">
        <v>154</v>
      </c>
      <c r="C325" s="48" t="s">
        <v>155</v>
      </c>
      <c r="D325" s="49" t="s">
        <v>45</v>
      </c>
      <c r="E325" s="50">
        <v>1</v>
      </c>
      <c r="F325" s="50">
        <v>606.13</v>
      </c>
      <c r="G325" s="51">
        <f t="shared" si="42"/>
        <v>763.72</v>
      </c>
      <c r="H325" s="51">
        <f t="shared" si="43"/>
        <v>763.72</v>
      </c>
      <c r="I325" s="183"/>
      <c r="J325" s="74"/>
      <c r="K325" s="12"/>
      <c r="L325" s="12"/>
      <c r="M325" s="97"/>
      <c r="N325" s="160"/>
      <c r="O325" s="97"/>
      <c r="P325" s="107"/>
      <c r="Q325" s="99"/>
      <c r="R325" s="6"/>
    </row>
    <row r="326" spans="1:18" s="131" customFormat="1" ht="22.5" outlineLevel="1" x14ac:dyDescent="0.2">
      <c r="A326" s="49" t="s">
        <v>703</v>
      </c>
      <c r="B326" s="47">
        <v>91941</v>
      </c>
      <c r="C326" s="48" t="s">
        <v>151</v>
      </c>
      <c r="D326" s="49" t="s">
        <v>45</v>
      </c>
      <c r="E326" s="50">
        <v>44</v>
      </c>
      <c r="F326" s="50">
        <v>6.8</v>
      </c>
      <c r="G326" s="51">
        <f t="shared" si="42"/>
        <v>8.56</v>
      </c>
      <c r="H326" s="51">
        <f t="shared" si="43"/>
        <v>376.64</v>
      </c>
      <c r="I326" s="183"/>
      <c r="J326" s="74"/>
      <c r="K326" s="12"/>
      <c r="L326" s="12"/>
      <c r="M326" s="97"/>
      <c r="N326" s="160"/>
      <c r="O326" s="97"/>
      <c r="P326" s="107"/>
      <c r="Q326" s="99"/>
      <c r="R326" s="6"/>
    </row>
    <row r="327" spans="1:18" s="131" customFormat="1" ht="33.75" outlineLevel="1" x14ac:dyDescent="0.2">
      <c r="A327" s="49" t="s">
        <v>704</v>
      </c>
      <c r="B327" s="47" t="s">
        <v>159</v>
      </c>
      <c r="C327" s="48" t="s">
        <v>160</v>
      </c>
      <c r="D327" s="49" t="s">
        <v>56</v>
      </c>
      <c r="E327" s="50">
        <v>154</v>
      </c>
      <c r="F327" s="50">
        <f>[1]COMPOSIÇÃO!G12</f>
        <v>73.088999999999999</v>
      </c>
      <c r="G327" s="51">
        <f t="shared" si="42"/>
        <v>92.09</v>
      </c>
      <c r="H327" s="51">
        <f>TRUNC(E327*G327,2)</f>
        <v>14181.86</v>
      </c>
      <c r="I327" s="183"/>
      <c r="J327" s="74"/>
      <c r="K327" s="12"/>
      <c r="L327" s="12"/>
      <c r="M327" s="97"/>
      <c r="N327" s="160"/>
      <c r="O327" s="97"/>
      <c r="P327" s="107"/>
      <c r="Q327" s="99"/>
      <c r="R327" s="6"/>
    </row>
    <row r="328" spans="1:18" s="131" customFormat="1" ht="15" outlineLevel="1" x14ac:dyDescent="0.2">
      <c r="A328" s="73" t="s">
        <v>207</v>
      </c>
      <c r="B328" s="66"/>
      <c r="C328" s="43" t="s">
        <v>162</v>
      </c>
      <c r="D328" s="41"/>
      <c r="E328" s="43"/>
      <c r="F328" s="41"/>
      <c r="G328" s="67" t="s">
        <v>39</v>
      </c>
      <c r="H328" s="41"/>
      <c r="I328" s="182">
        <f>SUM(H329:H341)</f>
        <v>23329.87</v>
      </c>
      <c r="J328" s="74"/>
      <c r="K328" s="12"/>
      <c r="L328" s="12"/>
      <c r="M328" s="97"/>
      <c r="N328" s="160"/>
      <c r="O328" s="97"/>
      <c r="P328" s="107"/>
      <c r="Q328" s="99"/>
      <c r="R328" s="6"/>
    </row>
    <row r="329" spans="1:18" s="131" customFormat="1" ht="22.5" outlineLevel="1" x14ac:dyDescent="0.2">
      <c r="A329" s="49" t="s">
        <v>209</v>
      </c>
      <c r="B329" s="47">
        <v>91944</v>
      </c>
      <c r="C329" s="122" t="s">
        <v>152</v>
      </c>
      <c r="D329" s="49" t="s">
        <v>45</v>
      </c>
      <c r="E329" s="50">
        <v>60</v>
      </c>
      <c r="F329" s="50">
        <v>9.3000000000000007</v>
      </c>
      <c r="G329" s="51">
        <f>TRUNC(F329*$J$13,2)</f>
        <v>11.71</v>
      </c>
      <c r="H329" s="51">
        <f>TRUNC(E329*G329,2)</f>
        <v>702.6</v>
      </c>
      <c r="I329" s="183"/>
      <c r="J329" s="74"/>
      <c r="K329" s="12"/>
      <c r="L329" s="12"/>
      <c r="M329" s="97"/>
      <c r="N329" s="160"/>
      <c r="O329" s="97"/>
      <c r="P329" s="107"/>
      <c r="Q329" s="99"/>
      <c r="R329" s="6"/>
    </row>
    <row r="330" spans="1:18" s="131" customFormat="1" ht="22.5" outlineLevel="1" x14ac:dyDescent="0.2">
      <c r="A330" s="49" t="s">
        <v>253</v>
      </c>
      <c r="B330" s="47">
        <v>90447</v>
      </c>
      <c r="C330" s="122" t="s">
        <v>128</v>
      </c>
      <c r="D330" s="49" t="s">
        <v>56</v>
      </c>
      <c r="E330" s="50">
        <v>200</v>
      </c>
      <c r="F330" s="50">
        <v>4.45</v>
      </c>
      <c r="G330" s="51">
        <f t="shared" ref="G330:G341" si="44">TRUNC(F330*$J$13,2)</f>
        <v>5.6</v>
      </c>
      <c r="H330" s="51">
        <f t="shared" ref="H330:H341" si="45">TRUNC(E330*G330,2)</f>
        <v>1120</v>
      </c>
      <c r="I330" s="183"/>
      <c r="J330" s="74"/>
      <c r="K330" s="12"/>
      <c r="L330" s="12"/>
      <c r="M330" s="97"/>
      <c r="N330" s="160"/>
      <c r="O330" s="97"/>
      <c r="P330" s="107"/>
      <c r="Q330" s="99"/>
      <c r="R330" s="6"/>
    </row>
    <row r="331" spans="1:18" s="131" customFormat="1" ht="22.5" outlineLevel="1" x14ac:dyDescent="0.2">
      <c r="A331" s="49" t="s">
        <v>210</v>
      </c>
      <c r="B331" s="47">
        <v>91836</v>
      </c>
      <c r="C331" s="122" t="s">
        <v>131</v>
      </c>
      <c r="D331" s="49" t="s">
        <v>56</v>
      </c>
      <c r="E331" s="50">
        <v>120</v>
      </c>
      <c r="F331" s="50">
        <v>7.55</v>
      </c>
      <c r="G331" s="51">
        <f t="shared" si="44"/>
        <v>9.51</v>
      </c>
      <c r="H331" s="51">
        <f t="shared" si="45"/>
        <v>1141.2</v>
      </c>
      <c r="I331" s="183"/>
      <c r="J331" s="74"/>
      <c r="K331" s="12"/>
      <c r="L331" s="12"/>
      <c r="M331" s="97"/>
      <c r="N331" s="160"/>
      <c r="O331" s="97"/>
      <c r="P331" s="107"/>
      <c r="Q331" s="99"/>
      <c r="R331" s="6"/>
    </row>
    <row r="332" spans="1:18" s="131" customFormat="1" ht="22.5" outlineLevel="1" x14ac:dyDescent="0.2">
      <c r="A332" s="49" t="s">
        <v>254</v>
      </c>
      <c r="B332" s="47">
        <v>91869</v>
      </c>
      <c r="C332" s="122" t="s">
        <v>133</v>
      </c>
      <c r="D332" s="49" t="s">
        <v>56</v>
      </c>
      <c r="E332" s="50">
        <v>200</v>
      </c>
      <c r="F332" s="50">
        <v>10.32</v>
      </c>
      <c r="G332" s="51">
        <f t="shared" si="44"/>
        <v>13</v>
      </c>
      <c r="H332" s="51">
        <f t="shared" si="45"/>
        <v>2600</v>
      </c>
      <c r="I332" s="183"/>
      <c r="J332" s="74"/>
      <c r="K332" s="12"/>
      <c r="L332" s="12"/>
      <c r="M332" s="97"/>
      <c r="N332" s="160"/>
      <c r="O332" s="97"/>
      <c r="P332" s="107"/>
      <c r="Q332" s="99"/>
      <c r="R332" s="6"/>
    </row>
    <row r="333" spans="1:18" s="131" customFormat="1" ht="22.5" outlineLevel="1" x14ac:dyDescent="0.2">
      <c r="A333" s="49" t="s">
        <v>255</v>
      </c>
      <c r="B333" s="47">
        <v>91941</v>
      </c>
      <c r="C333" s="122" t="s">
        <v>151</v>
      </c>
      <c r="D333" s="49" t="s">
        <v>45</v>
      </c>
      <c r="E333" s="50">
        <v>3</v>
      </c>
      <c r="F333" s="50">
        <v>6.8</v>
      </c>
      <c r="G333" s="51">
        <f t="shared" si="44"/>
        <v>8.56</v>
      </c>
      <c r="H333" s="51">
        <f t="shared" si="45"/>
        <v>25.68</v>
      </c>
      <c r="I333" s="183"/>
      <c r="J333" s="74"/>
      <c r="K333" s="12"/>
      <c r="L333" s="12"/>
      <c r="M333" s="97"/>
      <c r="N333" s="160"/>
      <c r="O333" s="97"/>
      <c r="P333" s="107"/>
      <c r="Q333" s="99"/>
      <c r="R333" s="6"/>
    </row>
    <row r="334" spans="1:18" s="131" customFormat="1" ht="22.5" outlineLevel="1" x14ac:dyDescent="0.2">
      <c r="A334" s="49" t="s">
        <v>256</v>
      </c>
      <c r="B334" s="47">
        <v>95778</v>
      </c>
      <c r="C334" s="385" t="s">
        <v>169</v>
      </c>
      <c r="D334" s="49" t="s">
        <v>56</v>
      </c>
      <c r="E334" s="50">
        <v>120</v>
      </c>
      <c r="F334" s="50">
        <v>20.28</v>
      </c>
      <c r="G334" s="51">
        <f t="shared" si="44"/>
        <v>25.55</v>
      </c>
      <c r="H334" s="51">
        <f t="shared" si="45"/>
        <v>3066</v>
      </c>
      <c r="I334" s="183"/>
      <c r="J334" s="74"/>
      <c r="K334" s="12"/>
      <c r="L334" s="12"/>
      <c r="M334" s="97"/>
      <c r="N334" s="160"/>
      <c r="O334" s="97"/>
      <c r="P334" s="107"/>
      <c r="Q334" s="99"/>
      <c r="R334" s="6"/>
    </row>
    <row r="335" spans="1:18" s="131" customFormat="1" ht="22.5" outlineLevel="1" x14ac:dyDescent="0.2">
      <c r="A335" s="49" t="s">
        <v>257</v>
      </c>
      <c r="B335" s="119">
        <v>98296</v>
      </c>
      <c r="C335" s="105" t="s">
        <v>173</v>
      </c>
      <c r="D335" s="49" t="s">
        <v>56</v>
      </c>
      <c r="E335" s="50">
        <v>2000</v>
      </c>
      <c r="F335" s="50">
        <v>2.52</v>
      </c>
      <c r="G335" s="51">
        <f t="shared" si="44"/>
        <v>3.17</v>
      </c>
      <c r="H335" s="51">
        <f t="shared" si="45"/>
        <v>6340</v>
      </c>
      <c r="I335" s="183"/>
      <c r="J335" s="74"/>
      <c r="K335" s="12"/>
      <c r="L335" s="12"/>
      <c r="M335" s="97"/>
      <c r="N335" s="160"/>
      <c r="O335" s="97"/>
      <c r="P335" s="107"/>
      <c r="Q335" s="99"/>
      <c r="R335" s="6"/>
    </row>
    <row r="336" spans="1:18" s="131" customFormat="1" ht="14.25" outlineLevel="1" x14ac:dyDescent="0.2">
      <c r="A336" s="49" t="s">
        <v>258</v>
      </c>
      <c r="B336" s="47">
        <v>98302</v>
      </c>
      <c r="C336" s="136" t="s">
        <v>175</v>
      </c>
      <c r="D336" s="49" t="s">
        <v>45</v>
      </c>
      <c r="E336" s="50">
        <v>4</v>
      </c>
      <c r="F336" s="50">
        <v>497.66</v>
      </c>
      <c r="G336" s="51">
        <f t="shared" si="44"/>
        <v>627.04999999999995</v>
      </c>
      <c r="H336" s="51">
        <f t="shared" si="45"/>
        <v>2508.1999999999998</v>
      </c>
      <c r="I336" s="183"/>
      <c r="J336" s="74"/>
      <c r="K336" s="12"/>
      <c r="L336" s="12"/>
      <c r="M336" s="97"/>
      <c r="N336" s="160"/>
      <c r="O336" s="97"/>
      <c r="P336" s="107"/>
      <c r="Q336" s="99"/>
      <c r="R336" s="6"/>
    </row>
    <row r="337" spans="1:18" s="131" customFormat="1" ht="14.25" outlineLevel="1" x14ac:dyDescent="0.2">
      <c r="A337" s="49" t="s">
        <v>259</v>
      </c>
      <c r="B337" s="47">
        <v>98593</v>
      </c>
      <c r="C337" s="161" t="s">
        <v>177</v>
      </c>
      <c r="D337" s="49" t="s">
        <v>45</v>
      </c>
      <c r="E337" s="50">
        <v>2</v>
      </c>
      <c r="F337" s="50">
        <v>650.59</v>
      </c>
      <c r="G337" s="51">
        <f t="shared" si="44"/>
        <v>819.74</v>
      </c>
      <c r="H337" s="51">
        <f t="shared" si="45"/>
        <v>1639.48</v>
      </c>
      <c r="I337" s="183"/>
      <c r="J337" s="74"/>
      <c r="K337" s="12"/>
      <c r="L337" s="12"/>
      <c r="M337" s="97"/>
      <c r="N337" s="160"/>
      <c r="O337" s="97"/>
      <c r="P337" s="107"/>
      <c r="Q337" s="99"/>
      <c r="R337" s="6"/>
    </row>
    <row r="338" spans="1:18" s="131" customFormat="1" ht="33.75" outlineLevel="1" x14ac:dyDescent="0.2">
      <c r="A338" s="49" t="s">
        <v>260</v>
      </c>
      <c r="B338" s="47" t="s">
        <v>179</v>
      </c>
      <c r="C338" s="136" t="s">
        <v>180</v>
      </c>
      <c r="D338" s="49" t="s">
        <v>45</v>
      </c>
      <c r="E338" s="50">
        <v>1</v>
      </c>
      <c r="F338" s="50">
        <v>1489.4</v>
      </c>
      <c r="G338" s="51">
        <f t="shared" si="44"/>
        <v>1876.64</v>
      </c>
      <c r="H338" s="51">
        <f t="shared" si="45"/>
        <v>1876.64</v>
      </c>
      <c r="I338" s="183"/>
      <c r="J338" s="74"/>
      <c r="K338" s="12"/>
      <c r="L338" s="12"/>
      <c r="M338" s="97"/>
      <c r="N338" s="160"/>
      <c r="O338" s="97"/>
      <c r="P338" s="107"/>
      <c r="Q338" s="99"/>
      <c r="R338" s="6"/>
    </row>
    <row r="339" spans="1:18" s="131" customFormat="1" ht="14.25" outlineLevel="1" x14ac:dyDescent="0.2">
      <c r="A339" s="49" t="s">
        <v>261</v>
      </c>
      <c r="B339" s="47">
        <v>98307</v>
      </c>
      <c r="C339" s="122" t="s">
        <v>183</v>
      </c>
      <c r="D339" s="49" t="s">
        <v>45</v>
      </c>
      <c r="E339" s="50">
        <v>60</v>
      </c>
      <c r="F339" s="50">
        <v>27.38</v>
      </c>
      <c r="G339" s="51">
        <f t="shared" si="44"/>
        <v>34.49</v>
      </c>
      <c r="H339" s="51">
        <f t="shared" si="45"/>
        <v>2069.4</v>
      </c>
      <c r="I339" s="186"/>
      <c r="J339" s="74"/>
      <c r="K339" s="12"/>
      <c r="L339" s="12"/>
      <c r="M339" s="97"/>
      <c r="N339" s="160"/>
      <c r="O339" s="97"/>
      <c r="P339" s="107"/>
      <c r="Q339" s="99"/>
      <c r="R339" s="6"/>
    </row>
    <row r="340" spans="1:18" s="131" customFormat="1" ht="14.25" outlineLevel="1" x14ac:dyDescent="0.2">
      <c r="A340" s="49" t="s">
        <v>262</v>
      </c>
      <c r="B340" s="121">
        <v>98308</v>
      </c>
      <c r="C340" s="122" t="s">
        <v>181</v>
      </c>
      <c r="D340" s="49" t="s">
        <v>45</v>
      </c>
      <c r="E340" s="123">
        <v>6</v>
      </c>
      <c r="F340" s="123">
        <v>18.43</v>
      </c>
      <c r="G340" s="51">
        <f t="shared" si="44"/>
        <v>23.22</v>
      </c>
      <c r="H340" s="51">
        <f t="shared" si="45"/>
        <v>139.32</v>
      </c>
      <c r="I340" s="186"/>
      <c r="J340" s="74"/>
      <c r="K340" s="12"/>
      <c r="L340" s="12"/>
      <c r="M340" s="97"/>
      <c r="N340" s="160"/>
      <c r="O340" s="97"/>
      <c r="P340" s="107"/>
      <c r="Q340" s="99"/>
      <c r="R340" s="6"/>
    </row>
    <row r="341" spans="1:18" s="131" customFormat="1" ht="22.5" outlineLevel="1" x14ac:dyDescent="0.2">
      <c r="A341" s="49" t="s">
        <v>263</v>
      </c>
      <c r="B341" s="47">
        <v>100560</v>
      </c>
      <c r="C341" s="48" t="s">
        <v>185</v>
      </c>
      <c r="D341" s="49" t="s">
        <v>45</v>
      </c>
      <c r="E341" s="50">
        <v>1</v>
      </c>
      <c r="F341" s="50">
        <v>80.44</v>
      </c>
      <c r="G341" s="51">
        <f t="shared" si="44"/>
        <v>101.35</v>
      </c>
      <c r="H341" s="51">
        <f t="shared" si="45"/>
        <v>101.35</v>
      </c>
      <c r="I341" s="183"/>
      <c r="J341" s="74"/>
      <c r="K341" s="12"/>
      <c r="L341" s="12"/>
      <c r="M341" s="97"/>
      <c r="N341" s="160"/>
      <c r="O341" s="97"/>
      <c r="P341" s="107"/>
      <c r="Q341" s="99"/>
      <c r="R341" s="6"/>
    </row>
    <row r="342" spans="1:18" s="131" customFormat="1" ht="15" outlineLevel="1" x14ac:dyDescent="0.2">
      <c r="A342" s="73" t="s">
        <v>716</v>
      </c>
      <c r="B342" s="66"/>
      <c r="C342" s="43" t="s">
        <v>188</v>
      </c>
      <c r="D342" s="41"/>
      <c r="E342" s="125"/>
      <c r="F342" s="43"/>
      <c r="G342" s="67" t="s">
        <v>39</v>
      </c>
      <c r="H342" s="41"/>
      <c r="I342" s="182">
        <f>SUM(H343:H367)</f>
        <v>11115.34</v>
      </c>
      <c r="J342" s="74"/>
      <c r="K342" s="12"/>
      <c r="L342" s="12"/>
      <c r="M342" s="97"/>
      <c r="N342" s="160"/>
      <c r="O342" s="97"/>
      <c r="P342" s="107"/>
      <c r="Q342" s="99"/>
      <c r="R342" s="6"/>
    </row>
    <row r="343" spans="1:18" s="131" customFormat="1" ht="14.25" outlineLevel="1" x14ac:dyDescent="0.2">
      <c r="A343" s="75" t="s">
        <v>214</v>
      </c>
      <c r="B343" s="47"/>
      <c r="C343" s="126" t="s">
        <v>190</v>
      </c>
      <c r="D343" s="49"/>
      <c r="E343" s="68"/>
      <c r="F343" s="78"/>
      <c r="G343" s="78"/>
      <c r="H343" s="127"/>
      <c r="I343" s="187"/>
      <c r="J343" s="74"/>
      <c r="K343" s="12"/>
      <c r="L343" s="12"/>
      <c r="M343" s="97"/>
      <c r="N343" s="160"/>
      <c r="O343" s="97"/>
      <c r="P343" s="107"/>
      <c r="Q343" s="99"/>
      <c r="R343" s="6"/>
    </row>
    <row r="344" spans="1:18" s="131" customFormat="1" ht="22.5" outlineLevel="1" x14ac:dyDescent="0.2">
      <c r="A344" s="49" t="s">
        <v>264</v>
      </c>
      <c r="B344" s="47">
        <v>90443</v>
      </c>
      <c r="C344" s="48" t="s">
        <v>191</v>
      </c>
      <c r="D344" s="49" t="s">
        <v>56</v>
      </c>
      <c r="E344" s="50">
        <f>J344</f>
        <v>12</v>
      </c>
      <c r="F344" s="50">
        <v>8.9499999999999993</v>
      </c>
      <c r="G344" s="51">
        <f t="shared" ref="G344:G350" si="46">TRUNC(F344*$J$13,2)</f>
        <v>11.27</v>
      </c>
      <c r="H344" s="51">
        <f t="shared" ref="H344:H350" si="47">TRUNC(E344*G344,2)</f>
        <v>135.24</v>
      </c>
      <c r="I344" s="188"/>
      <c r="J344" s="74">
        <f>12</f>
        <v>12</v>
      </c>
      <c r="K344" s="12"/>
      <c r="L344" s="12"/>
      <c r="M344" s="97"/>
      <c r="N344" s="160"/>
      <c r="O344" s="97"/>
      <c r="P344" s="107"/>
      <c r="Q344" s="99"/>
      <c r="R344" s="6"/>
    </row>
    <row r="345" spans="1:18" s="131" customFormat="1" ht="22.5" outlineLevel="1" x14ac:dyDescent="0.2">
      <c r="A345" s="49" t="s">
        <v>265</v>
      </c>
      <c r="B345" s="47">
        <v>86889</v>
      </c>
      <c r="C345" s="48" t="s">
        <v>269</v>
      </c>
      <c r="D345" s="49" t="s">
        <v>186</v>
      </c>
      <c r="E345" s="50">
        <f>J345</f>
        <v>3</v>
      </c>
      <c r="F345" s="50">
        <v>574.45000000000005</v>
      </c>
      <c r="G345" s="51">
        <f t="shared" si="46"/>
        <v>723.8</v>
      </c>
      <c r="H345" s="51">
        <f t="shared" si="47"/>
        <v>2171.4</v>
      </c>
      <c r="I345" s="188"/>
      <c r="J345" s="74">
        <v>3</v>
      </c>
      <c r="K345" s="12"/>
      <c r="L345" s="12"/>
      <c r="M345" s="97"/>
      <c r="N345" s="160"/>
      <c r="O345" s="97"/>
      <c r="P345" s="107"/>
      <c r="Q345" s="99"/>
      <c r="R345" s="6"/>
    </row>
    <row r="346" spans="1:18" s="131" customFormat="1" ht="22.5" outlineLevel="1" x14ac:dyDescent="0.2">
      <c r="A346" s="49" t="s">
        <v>266</v>
      </c>
      <c r="B346" s="47">
        <v>86901</v>
      </c>
      <c r="C346" s="48" t="s">
        <v>193</v>
      </c>
      <c r="D346" s="49" t="s">
        <v>45</v>
      </c>
      <c r="E346" s="50">
        <v>5</v>
      </c>
      <c r="F346" s="50">
        <v>108.45</v>
      </c>
      <c r="G346" s="51">
        <f t="shared" si="46"/>
        <v>136.63999999999999</v>
      </c>
      <c r="H346" s="51">
        <f t="shared" si="47"/>
        <v>683.2</v>
      </c>
      <c r="I346" s="188"/>
      <c r="J346" s="74">
        <f>4</f>
        <v>4</v>
      </c>
      <c r="K346" s="12"/>
      <c r="L346" s="12"/>
      <c r="M346" s="97"/>
      <c r="N346" s="160"/>
      <c r="O346" s="97"/>
      <c r="P346" s="107"/>
      <c r="Q346" s="99"/>
      <c r="R346" s="6"/>
    </row>
    <row r="347" spans="1:18" s="131" customFormat="1" ht="22.5" outlineLevel="1" x14ac:dyDescent="0.2">
      <c r="A347" s="49" t="s">
        <v>268</v>
      </c>
      <c r="B347" s="47">
        <v>86900</v>
      </c>
      <c r="C347" s="48" t="s">
        <v>313</v>
      </c>
      <c r="D347" s="49" t="s">
        <v>45</v>
      </c>
      <c r="E347" s="50">
        <f>J347</f>
        <v>2</v>
      </c>
      <c r="F347" s="50">
        <v>154.51</v>
      </c>
      <c r="G347" s="51">
        <f t="shared" si="46"/>
        <v>194.68</v>
      </c>
      <c r="H347" s="51">
        <f t="shared" si="47"/>
        <v>389.36</v>
      </c>
      <c r="I347" s="188"/>
      <c r="J347" s="74">
        <v>2</v>
      </c>
      <c r="K347" s="12"/>
      <c r="L347" s="12"/>
      <c r="M347" s="97"/>
      <c r="N347" s="160"/>
      <c r="O347" s="97"/>
      <c r="P347" s="107"/>
      <c r="Q347" s="99"/>
      <c r="R347" s="6"/>
    </row>
    <row r="348" spans="1:18" s="131" customFormat="1" ht="22.5" outlineLevel="1" x14ac:dyDescent="0.2">
      <c r="A348" s="49" t="s">
        <v>270</v>
      </c>
      <c r="B348" s="47">
        <v>86915</v>
      </c>
      <c r="C348" s="48" t="s">
        <v>194</v>
      </c>
      <c r="D348" s="49" t="s">
        <v>45</v>
      </c>
      <c r="E348" s="50">
        <f>J348</f>
        <v>4</v>
      </c>
      <c r="F348" s="50">
        <v>84.78</v>
      </c>
      <c r="G348" s="51">
        <f t="shared" si="46"/>
        <v>106.82</v>
      </c>
      <c r="H348" s="51">
        <f t="shared" si="47"/>
        <v>427.28</v>
      </c>
      <c r="I348" s="188"/>
      <c r="J348" s="74">
        <f>4</f>
        <v>4</v>
      </c>
      <c r="K348" s="12"/>
      <c r="L348" s="12"/>
      <c r="M348" s="97"/>
      <c r="N348" s="160"/>
      <c r="O348" s="97"/>
      <c r="P348" s="107"/>
      <c r="Q348" s="99"/>
      <c r="R348" s="6"/>
    </row>
    <row r="349" spans="1:18" s="131" customFormat="1" ht="22.5" outlineLevel="1" x14ac:dyDescent="0.2">
      <c r="A349" s="49" t="s">
        <v>271</v>
      </c>
      <c r="B349" s="47">
        <v>86909</v>
      </c>
      <c r="C349" s="48" t="s">
        <v>314</v>
      </c>
      <c r="D349" s="49" t="s">
        <v>45</v>
      </c>
      <c r="E349" s="50">
        <f>J349</f>
        <v>2</v>
      </c>
      <c r="F349" s="50">
        <v>100.57</v>
      </c>
      <c r="G349" s="51">
        <f t="shared" si="46"/>
        <v>126.71</v>
      </c>
      <c r="H349" s="51">
        <f t="shared" si="47"/>
        <v>253.42</v>
      </c>
      <c r="I349" s="188"/>
      <c r="J349" s="74">
        <v>2</v>
      </c>
      <c r="K349" s="12"/>
      <c r="L349" s="12"/>
      <c r="M349" s="97"/>
      <c r="N349" s="160"/>
      <c r="O349" s="97"/>
      <c r="P349" s="107"/>
      <c r="Q349" s="99"/>
      <c r="R349" s="6"/>
    </row>
    <row r="350" spans="1:18" s="131" customFormat="1" ht="22.5" outlineLevel="1" x14ac:dyDescent="0.2">
      <c r="A350" s="49" t="s">
        <v>272</v>
      </c>
      <c r="B350" s="47">
        <v>99635</v>
      </c>
      <c r="C350" s="48" t="s">
        <v>195</v>
      </c>
      <c r="D350" s="49" t="s">
        <v>45</v>
      </c>
      <c r="E350" s="50">
        <f>J350</f>
        <v>4</v>
      </c>
      <c r="F350" s="50">
        <v>184.35</v>
      </c>
      <c r="G350" s="51">
        <f t="shared" si="46"/>
        <v>232.28</v>
      </c>
      <c r="H350" s="51">
        <f t="shared" si="47"/>
        <v>929.12</v>
      </c>
      <c r="I350" s="188"/>
      <c r="J350" s="74">
        <v>4</v>
      </c>
      <c r="K350" s="12"/>
      <c r="L350" s="12"/>
      <c r="M350" s="97"/>
      <c r="N350" s="160"/>
      <c r="O350" s="97"/>
      <c r="P350" s="107"/>
      <c r="Q350" s="99"/>
      <c r="R350" s="6"/>
    </row>
    <row r="351" spans="1:18" s="131" customFormat="1" ht="14.25" outlineLevel="1" x14ac:dyDescent="0.2">
      <c r="A351" s="189" t="s">
        <v>279</v>
      </c>
      <c r="B351" s="47"/>
      <c r="C351" s="132" t="s">
        <v>202</v>
      </c>
      <c r="D351" s="49"/>
      <c r="E351" s="50"/>
      <c r="F351" s="50"/>
      <c r="G351" s="51"/>
      <c r="H351" s="51"/>
      <c r="I351" s="188"/>
      <c r="J351" s="74"/>
      <c r="K351" s="12"/>
      <c r="L351" s="12"/>
      <c r="M351" s="97"/>
      <c r="N351" s="160"/>
      <c r="O351" s="97"/>
      <c r="P351" s="107"/>
      <c r="Q351" s="99"/>
      <c r="R351" s="6"/>
    </row>
    <row r="352" spans="1:18" s="131" customFormat="1" ht="33.75" outlineLevel="1" x14ac:dyDescent="0.2">
      <c r="A352" s="49" t="s">
        <v>280</v>
      </c>
      <c r="B352" s="47">
        <v>95472</v>
      </c>
      <c r="C352" s="48" t="s">
        <v>281</v>
      </c>
      <c r="D352" s="49" t="s">
        <v>45</v>
      </c>
      <c r="E352" s="50">
        <f>J352</f>
        <v>2</v>
      </c>
      <c r="F352" s="50">
        <v>611.63</v>
      </c>
      <c r="G352" s="51">
        <f t="shared" ref="G352:G367" si="48">TRUNC(F352*$J$13,2)</f>
        <v>770.65</v>
      </c>
      <c r="H352" s="51">
        <f>TRUNC(E352*G352,2)</f>
        <v>1541.3</v>
      </c>
      <c r="I352" s="188"/>
      <c r="J352" s="74">
        <v>2</v>
      </c>
      <c r="K352" s="12"/>
      <c r="L352" s="12"/>
      <c r="M352" s="97"/>
      <c r="N352" s="160"/>
      <c r="O352" s="97"/>
      <c r="P352" s="107"/>
      <c r="Q352" s="99"/>
      <c r="R352" s="6"/>
    </row>
    <row r="353" spans="1:18" s="131" customFormat="1" ht="33.75" outlineLevel="1" x14ac:dyDescent="0.2">
      <c r="A353" s="49" t="s">
        <v>282</v>
      </c>
      <c r="B353" s="47">
        <v>95470</v>
      </c>
      <c r="C353" s="48" t="s">
        <v>206</v>
      </c>
      <c r="D353" s="49" t="s">
        <v>45</v>
      </c>
      <c r="E353" s="50">
        <f>J353</f>
        <v>2</v>
      </c>
      <c r="F353" s="50">
        <v>169.53</v>
      </c>
      <c r="G353" s="51">
        <f t="shared" si="48"/>
        <v>213.6</v>
      </c>
      <c r="H353" s="51">
        <f>TRUNC(E353*G353,2)</f>
        <v>427.2</v>
      </c>
      <c r="I353" s="188"/>
      <c r="J353" s="74">
        <v>2</v>
      </c>
      <c r="K353" s="12"/>
      <c r="L353" s="12"/>
      <c r="M353" s="97"/>
      <c r="N353" s="160"/>
      <c r="O353" s="97"/>
      <c r="P353" s="107"/>
      <c r="Q353" s="99"/>
      <c r="R353" s="6"/>
    </row>
    <row r="354" spans="1:18" s="131" customFormat="1" ht="14.25" outlineLevel="1" x14ac:dyDescent="0.2">
      <c r="A354" s="49" t="s">
        <v>283</v>
      </c>
      <c r="B354" s="47" t="s">
        <v>284</v>
      </c>
      <c r="C354" s="48" t="s">
        <v>285</v>
      </c>
      <c r="D354" s="49" t="s">
        <v>45</v>
      </c>
      <c r="E354" s="50">
        <v>1</v>
      </c>
      <c r="F354" s="50">
        <f>[1]COMPOSIÇÃO!G168</f>
        <v>76</v>
      </c>
      <c r="G354" s="51">
        <f>TRUNC(F354*$J$13,2)</f>
        <v>95.76</v>
      </c>
      <c r="H354" s="51">
        <f>TRUNC(E354*G354,2)</f>
        <v>95.76</v>
      </c>
      <c r="I354" s="188"/>
      <c r="J354" s="74"/>
      <c r="K354" s="12"/>
      <c r="L354" s="12"/>
      <c r="M354" s="97"/>
      <c r="N354" s="160"/>
      <c r="O354" s="97"/>
      <c r="P354" s="107"/>
      <c r="Q354" s="99"/>
      <c r="R354" s="6"/>
    </row>
    <row r="355" spans="1:18" s="131" customFormat="1" ht="30" customHeight="1" outlineLevel="1" x14ac:dyDescent="0.2">
      <c r="A355" s="49" t="s">
        <v>286</v>
      </c>
      <c r="B355" s="47">
        <v>86881</v>
      </c>
      <c r="C355" s="48" t="s">
        <v>287</v>
      </c>
      <c r="D355" s="49" t="s">
        <v>45</v>
      </c>
      <c r="E355" s="50">
        <f t="shared" ref="E355:E367" si="49">J355</f>
        <v>6</v>
      </c>
      <c r="F355" s="50">
        <v>155.91999999999999</v>
      </c>
      <c r="G355" s="51">
        <f t="shared" si="48"/>
        <v>196.45</v>
      </c>
      <c r="H355" s="51">
        <f t="shared" ref="H355:H366" si="50">TRUNC(E355*G355,2)</f>
        <v>1178.7</v>
      </c>
      <c r="I355" s="188"/>
      <c r="J355" s="74">
        <f>6</f>
        <v>6</v>
      </c>
      <c r="K355" s="12"/>
      <c r="L355" s="12"/>
      <c r="M355" s="97"/>
      <c r="N355" s="160"/>
      <c r="O355" s="97"/>
      <c r="P355" s="107"/>
      <c r="Q355" s="99"/>
      <c r="R355" s="6"/>
    </row>
    <row r="356" spans="1:18" s="131" customFormat="1" ht="22.5" outlineLevel="1" x14ac:dyDescent="0.2">
      <c r="A356" s="49" t="s">
        <v>288</v>
      </c>
      <c r="B356" s="47">
        <v>86877</v>
      </c>
      <c r="C356" s="48" t="s">
        <v>289</v>
      </c>
      <c r="D356" s="49" t="s">
        <v>45</v>
      </c>
      <c r="E356" s="50">
        <f t="shared" si="49"/>
        <v>4</v>
      </c>
      <c r="F356" s="50">
        <v>25.76</v>
      </c>
      <c r="G356" s="51">
        <f t="shared" si="48"/>
        <v>32.450000000000003</v>
      </c>
      <c r="H356" s="51">
        <f t="shared" si="50"/>
        <v>129.80000000000001</v>
      </c>
      <c r="I356" s="188"/>
      <c r="J356" s="74">
        <v>4</v>
      </c>
      <c r="K356" s="12"/>
      <c r="L356" s="12"/>
      <c r="M356" s="97"/>
      <c r="N356" s="160"/>
      <c r="O356" s="97"/>
      <c r="P356" s="107"/>
      <c r="Q356" s="99"/>
      <c r="R356" s="6"/>
    </row>
    <row r="357" spans="1:18" s="131" customFormat="1" ht="22.5" outlineLevel="1" x14ac:dyDescent="0.2">
      <c r="A357" s="49" t="s">
        <v>290</v>
      </c>
      <c r="B357" s="47">
        <v>86878</v>
      </c>
      <c r="C357" s="48" t="s">
        <v>315</v>
      </c>
      <c r="D357" s="49" t="s">
        <v>45</v>
      </c>
      <c r="E357" s="50">
        <f t="shared" si="49"/>
        <v>2</v>
      </c>
      <c r="F357" s="50">
        <v>55.19</v>
      </c>
      <c r="G357" s="51">
        <f t="shared" si="48"/>
        <v>69.53</v>
      </c>
      <c r="H357" s="51">
        <f t="shared" si="50"/>
        <v>139.06</v>
      </c>
      <c r="I357" s="188"/>
      <c r="J357" s="74">
        <v>2</v>
      </c>
      <c r="K357" s="12"/>
      <c r="L357" s="12"/>
      <c r="M357" s="97"/>
      <c r="N357" s="160"/>
      <c r="O357" s="97"/>
      <c r="P357" s="107"/>
      <c r="Q357" s="99"/>
      <c r="R357" s="6"/>
    </row>
    <row r="358" spans="1:18" s="131" customFormat="1" ht="33.75" outlineLevel="1" x14ac:dyDescent="0.2">
      <c r="A358" s="49" t="s">
        <v>292</v>
      </c>
      <c r="B358" s="47">
        <v>89707</v>
      </c>
      <c r="C358" s="48" t="s">
        <v>293</v>
      </c>
      <c r="D358" s="49" t="s">
        <v>45</v>
      </c>
      <c r="E358" s="50">
        <f t="shared" si="49"/>
        <v>2</v>
      </c>
      <c r="F358" s="50">
        <v>25.09</v>
      </c>
      <c r="G358" s="51">
        <f t="shared" si="48"/>
        <v>31.61</v>
      </c>
      <c r="H358" s="51">
        <f t="shared" si="50"/>
        <v>63.22</v>
      </c>
      <c r="I358" s="188"/>
      <c r="J358" s="74">
        <v>2</v>
      </c>
      <c r="K358" s="12"/>
      <c r="L358" s="12"/>
      <c r="M358" s="97"/>
      <c r="N358" s="160"/>
      <c r="O358" s="97"/>
      <c r="P358" s="107"/>
      <c r="Q358" s="99"/>
      <c r="R358" s="6"/>
    </row>
    <row r="359" spans="1:18" s="131" customFormat="1" ht="22.5" outlineLevel="1" x14ac:dyDescent="0.2">
      <c r="A359" s="49" t="s">
        <v>294</v>
      </c>
      <c r="B359" s="47">
        <v>95544</v>
      </c>
      <c r="C359" s="48" t="s">
        <v>203</v>
      </c>
      <c r="D359" s="49" t="s">
        <v>45</v>
      </c>
      <c r="E359" s="50">
        <f t="shared" si="49"/>
        <v>4</v>
      </c>
      <c r="F359" s="50">
        <v>30.21</v>
      </c>
      <c r="G359" s="51">
        <f t="shared" si="48"/>
        <v>38.06</v>
      </c>
      <c r="H359" s="51">
        <f t="shared" si="50"/>
        <v>152.24</v>
      </c>
      <c r="I359" s="188"/>
      <c r="J359" s="74">
        <v>4</v>
      </c>
      <c r="K359" s="12"/>
      <c r="L359" s="12"/>
      <c r="M359" s="97"/>
      <c r="N359" s="160"/>
      <c r="O359" s="97"/>
      <c r="P359" s="107"/>
      <c r="Q359" s="99"/>
      <c r="R359" s="6"/>
    </row>
    <row r="360" spans="1:18" s="131" customFormat="1" ht="14.25" outlineLevel="1" x14ac:dyDescent="0.2">
      <c r="A360" s="49" t="s">
        <v>295</v>
      </c>
      <c r="B360" s="47">
        <v>95545</v>
      </c>
      <c r="C360" s="48" t="s">
        <v>204</v>
      </c>
      <c r="D360" s="49" t="s">
        <v>45</v>
      </c>
      <c r="E360" s="50">
        <f t="shared" si="49"/>
        <v>2</v>
      </c>
      <c r="F360" s="50">
        <v>29.63</v>
      </c>
      <c r="G360" s="51">
        <f t="shared" si="48"/>
        <v>37.33</v>
      </c>
      <c r="H360" s="51">
        <f t="shared" si="50"/>
        <v>74.66</v>
      </c>
      <c r="I360" s="188"/>
      <c r="J360" s="74">
        <v>2</v>
      </c>
      <c r="K360" s="12"/>
      <c r="L360" s="12"/>
      <c r="M360" s="97"/>
      <c r="N360" s="160"/>
      <c r="O360" s="97"/>
      <c r="P360" s="107"/>
      <c r="Q360" s="99"/>
      <c r="R360" s="6"/>
    </row>
    <row r="361" spans="1:18" s="131" customFormat="1" ht="22.5" outlineLevel="1" x14ac:dyDescent="0.2">
      <c r="A361" s="49" t="s">
        <v>296</v>
      </c>
      <c r="B361" s="47">
        <v>89714</v>
      </c>
      <c r="C361" s="48" t="s">
        <v>196</v>
      </c>
      <c r="D361" s="49" t="s">
        <v>56</v>
      </c>
      <c r="E361" s="50">
        <f t="shared" si="49"/>
        <v>12</v>
      </c>
      <c r="F361" s="50">
        <v>42.17</v>
      </c>
      <c r="G361" s="51">
        <f t="shared" si="48"/>
        <v>53.13</v>
      </c>
      <c r="H361" s="51">
        <f t="shared" si="50"/>
        <v>637.55999999999995</v>
      </c>
      <c r="I361" s="188"/>
      <c r="J361" s="74">
        <v>12</v>
      </c>
      <c r="K361" s="12"/>
      <c r="L361" s="12"/>
      <c r="M361" s="97"/>
      <c r="N361" s="160"/>
      <c r="O361" s="97"/>
      <c r="P361" s="107"/>
      <c r="Q361" s="99"/>
      <c r="R361" s="6"/>
    </row>
    <row r="362" spans="1:18" s="131" customFormat="1" ht="22.5" outlineLevel="1" x14ac:dyDescent="0.2">
      <c r="A362" s="49" t="s">
        <v>297</v>
      </c>
      <c r="B362" s="47">
        <v>89712</v>
      </c>
      <c r="C362" s="48" t="s">
        <v>197</v>
      </c>
      <c r="D362" s="49" t="s">
        <v>56</v>
      </c>
      <c r="E362" s="50">
        <f t="shared" si="49"/>
        <v>12</v>
      </c>
      <c r="F362" s="50">
        <v>21.1</v>
      </c>
      <c r="G362" s="51">
        <f>TRUNC(F362*$J$13,2)</f>
        <v>26.58</v>
      </c>
      <c r="H362" s="51">
        <f>TRUNC(E362*G362,2)</f>
        <v>318.95999999999998</v>
      </c>
      <c r="I362" s="188"/>
      <c r="J362" s="74">
        <v>12</v>
      </c>
      <c r="K362" s="12"/>
      <c r="L362" s="12"/>
      <c r="M362" s="97"/>
      <c r="N362" s="160"/>
      <c r="O362" s="97"/>
      <c r="P362" s="107"/>
      <c r="Q362" s="99"/>
      <c r="R362" s="6"/>
    </row>
    <row r="363" spans="1:18" s="131" customFormat="1" ht="22.5" outlineLevel="1" x14ac:dyDescent="0.2">
      <c r="A363" s="49" t="s">
        <v>707</v>
      </c>
      <c r="B363" s="47">
        <v>89567</v>
      </c>
      <c r="C363" s="48" t="s">
        <v>198</v>
      </c>
      <c r="D363" s="49" t="s">
        <v>45</v>
      </c>
      <c r="E363" s="50">
        <f t="shared" si="49"/>
        <v>2</v>
      </c>
      <c r="F363" s="50">
        <v>57.95</v>
      </c>
      <c r="G363" s="51">
        <f>TRUNC(F363*$J$13,2)</f>
        <v>73.010000000000005</v>
      </c>
      <c r="H363" s="51">
        <f>TRUNC(E363*G363,2)</f>
        <v>146.02000000000001</v>
      </c>
      <c r="I363" s="188"/>
      <c r="J363" s="74">
        <v>2</v>
      </c>
      <c r="K363" s="12"/>
      <c r="L363" s="12"/>
      <c r="M363" s="97"/>
      <c r="N363" s="160"/>
      <c r="O363" s="97"/>
      <c r="P363" s="107"/>
      <c r="Q363" s="99"/>
      <c r="R363" s="6"/>
    </row>
    <row r="364" spans="1:18" s="131" customFormat="1" ht="22.5" outlineLevel="1" x14ac:dyDescent="0.2">
      <c r="A364" s="49" t="s">
        <v>298</v>
      </c>
      <c r="B364" s="47" t="s">
        <v>811</v>
      </c>
      <c r="C364" s="48" t="s">
        <v>809</v>
      </c>
      <c r="D364" s="393" t="s">
        <v>186</v>
      </c>
      <c r="E364" s="50">
        <v>2</v>
      </c>
      <c r="F364" s="50">
        <v>234.43</v>
      </c>
      <c r="G364" s="51">
        <f>TRUNC(F364*$J$13,2)</f>
        <v>295.38</v>
      </c>
      <c r="H364" s="51">
        <f>TRUNC(E364*G364,2)</f>
        <v>590.76</v>
      </c>
      <c r="I364" s="188"/>
      <c r="J364" s="74"/>
      <c r="K364" s="12"/>
      <c r="L364" s="12"/>
      <c r="M364" s="97"/>
      <c r="N364" s="160"/>
      <c r="O364" s="97"/>
      <c r="P364" s="107"/>
      <c r="Q364" s="99"/>
      <c r="R364" s="6"/>
    </row>
    <row r="365" spans="1:18" s="131" customFormat="1" ht="22.5" outlineLevel="1" x14ac:dyDescent="0.2">
      <c r="A365" s="49" t="s">
        <v>299</v>
      </c>
      <c r="B365" s="47" t="s">
        <v>812</v>
      </c>
      <c r="C365" s="48" t="s">
        <v>810</v>
      </c>
      <c r="D365" s="393" t="s">
        <v>186</v>
      </c>
      <c r="E365" s="50">
        <v>1</v>
      </c>
      <c r="F365" s="50">
        <v>198.89</v>
      </c>
      <c r="G365" s="51">
        <f>TRUNC(F365*$J$13,2)</f>
        <v>250.6</v>
      </c>
      <c r="H365" s="51">
        <f>TRUNC(E365*G365,2)</f>
        <v>250.6</v>
      </c>
      <c r="I365" s="188"/>
      <c r="J365" s="74"/>
      <c r="K365" s="12"/>
      <c r="L365" s="12"/>
      <c r="M365" s="97"/>
      <c r="N365" s="160"/>
      <c r="O365" s="97"/>
      <c r="P365" s="107"/>
      <c r="Q365" s="99"/>
      <c r="R365" s="6"/>
    </row>
    <row r="366" spans="1:18" s="131" customFormat="1" ht="33.75" outlineLevel="1" x14ac:dyDescent="0.2">
      <c r="A366" s="49" t="s">
        <v>819</v>
      </c>
      <c r="B366" s="47">
        <v>89731</v>
      </c>
      <c r="C366" s="48" t="s">
        <v>199</v>
      </c>
      <c r="D366" s="49" t="s">
        <v>45</v>
      </c>
      <c r="E366" s="50">
        <f t="shared" si="49"/>
        <v>12</v>
      </c>
      <c r="F366" s="50">
        <v>18.88</v>
      </c>
      <c r="G366" s="51">
        <f t="shared" si="48"/>
        <v>23.78</v>
      </c>
      <c r="H366" s="51">
        <f t="shared" si="50"/>
        <v>285.36</v>
      </c>
      <c r="I366" s="190"/>
      <c r="J366" s="74">
        <v>12</v>
      </c>
      <c r="K366" s="12"/>
      <c r="L366" s="12"/>
      <c r="M366" s="97"/>
      <c r="N366" s="160"/>
      <c r="O366" s="97"/>
      <c r="P366" s="107"/>
      <c r="Q366" s="99"/>
      <c r="R366" s="6"/>
    </row>
    <row r="367" spans="1:18" s="131" customFormat="1" ht="33.75" outlineLevel="1" x14ac:dyDescent="0.2">
      <c r="A367" s="49" t="s">
        <v>820</v>
      </c>
      <c r="B367" s="47">
        <v>89744</v>
      </c>
      <c r="C367" s="48" t="s">
        <v>200</v>
      </c>
      <c r="D367" s="49" t="s">
        <v>45</v>
      </c>
      <c r="E367" s="50">
        <f t="shared" si="49"/>
        <v>4</v>
      </c>
      <c r="F367" s="50">
        <v>18.88</v>
      </c>
      <c r="G367" s="51">
        <f t="shared" si="48"/>
        <v>23.78</v>
      </c>
      <c r="H367" s="51">
        <f>TRUNC(E367*G367,2)</f>
        <v>95.12</v>
      </c>
      <c r="I367" s="190"/>
      <c r="J367" s="74">
        <v>4</v>
      </c>
      <c r="K367" s="12"/>
      <c r="L367" s="12"/>
      <c r="M367" s="97"/>
      <c r="N367" s="160"/>
      <c r="O367" s="97"/>
      <c r="P367" s="107"/>
      <c r="Q367" s="99"/>
      <c r="R367" s="6"/>
    </row>
    <row r="368" spans="1:18" s="131" customFormat="1" outlineLevel="1" x14ac:dyDescent="0.2">
      <c r="A368" s="73" t="s">
        <v>300</v>
      </c>
      <c r="B368" s="73"/>
      <c r="C368" s="43" t="s">
        <v>208</v>
      </c>
      <c r="D368" s="41"/>
      <c r="E368" s="43"/>
      <c r="F368" s="43"/>
      <c r="G368" s="67" t="s">
        <v>39</v>
      </c>
      <c r="H368" s="43"/>
      <c r="I368" s="73">
        <f>SUM(H369:H373)</f>
        <v>7873.9400000000005</v>
      </c>
      <c r="J368" s="74"/>
      <c r="K368" s="12"/>
      <c r="L368" s="12"/>
      <c r="M368" s="97"/>
      <c r="N368" s="160"/>
      <c r="O368" s="97"/>
      <c r="P368" s="107"/>
      <c r="Q368" s="99"/>
      <c r="R368" s="6"/>
    </row>
    <row r="369" spans="1:18" s="131" customFormat="1" outlineLevel="1" x14ac:dyDescent="0.2">
      <c r="A369" s="49" t="s">
        <v>301</v>
      </c>
      <c r="B369" s="47">
        <v>72178</v>
      </c>
      <c r="C369" s="48" t="s">
        <v>51</v>
      </c>
      <c r="D369" s="49" t="s">
        <v>24</v>
      </c>
      <c r="E369" s="50">
        <f>L369</f>
        <v>49.5</v>
      </c>
      <c r="F369" s="50">
        <v>22.6</v>
      </c>
      <c r="G369" s="51">
        <f>TRUNC(F369*$J$13,2)</f>
        <v>28.47</v>
      </c>
      <c r="H369" s="51">
        <f>TRUNC(E369*G369,2)</f>
        <v>1409.26</v>
      </c>
      <c r="I369" s="192"/>
      <c r="J369" s="74"/>
      <c r="K369" s="178" t="s">
        <v>316</v>
      </c>
      <c r="L369" s="12">
        <f>15*3.3</f>
        <v>49.5</v>
      </c>
      <c r="M369" s="97"/>
      <c r="N369" s="160"/>
      <c r="O369" s="97"/>
      <c r="P369" s="107"/>
      <c r="Q369" s="99"/>
      <c r="R369" s="6"/>
    </row>
    <row r="370" spans="1:18" s="131" customFormat="1" ht="22.5" outlineLevel="1" x14ac:dyDescent="0.2">
      <c r="A370" s="49" t="s">
        <v>302</v>
      </c>
      <c r="B370" s="47">
        <v>72181</v>
      </c>
      <c r="C370" s="105" t="s">
        <v>211</v>
      </c>
      <c r="D370" s="49" t="s">
        <v>24</v>
      </c>
      <c r="E370" s="50">
        <f>E369</f>
        <v>49.5</v>
      </c>
      <c r="F370" s="50">
        <v>28.84</v>
      </c>
      <c r="G370" s="51">
        <f>TRUNC(F370*$J$13,2)</f>
        <v>36.33</v>
      </c>
      <c r="H370" s="51">
        <f>TRUNC(E370*G370,2)</f>
        <v>1798.33</v>
      </c>
      <c r="I370" s="192"/>
      <c r="J370" s="74"/>
      <c r="K370" s="12"/>
      <c r="L370" s="12"/>
      <c r="M370" s="97"/>
      <c r="N370" s="160"/>
      <c r="O370" s="97"/>
      <c r="P370" s="107"/>
      <c r="Q370" s="99"/>
      <c r="R370" s="6"/>
    </row>
    <row r="371" spans="1:18" s="131" customFormat="1" outlineLevel="1" x14ac:dyDescent="0.2">
      <c r="A371" s="73" t="s">
        <v>388</v>
      </c>
      <c r="B371" s="125"/>
      <c r="C371" s="43" t="s">
        <v>213</v>
      </c>
      <c r="D371" s="41"/>
      <c r="E371" s="43"/>
      <c r="F371" s="43"/>
      <c r="G371" s="43"/>
      <c r="H371" s="41"/>
      <c r="I371" s="380">
        <f>SUM(H372:H372)</f>
        <v>4666.3500000000004</v>
      </c>
      <c r="J371" s="74"/>
      <c r="K371" s="12"/>
      <c r="L371" s="12"/>
      <c r="M371" s="97"/>
      <c r="N371" s="160"/>
      <c r="O371" s="97"/>
      <c r="P371" s="107"/>
      <c r="Q371" s="99"/>
      <c r="R371" s="6"/>
    </row>
    <row r="372" spans="1:18" s="131" customFormat="1" ht="22.5" outlineLevel="1" x14ac:dyDescent="0.2">
      <c r="A372" s="49" t="s">
        <v>389</v>
      </c>
      <c r="B372" s="47">
        <v>96114</v>
      </c>
      <c r="C372" s="101" t="s">
        <v>640</v>
      </c>
      <c r="D372" s="49" t="s">
        <v>24</v>
      </c>
      <c r="E372" s="50">
        <v>65</v>
      </c>
      <c r="F372" s="50">
        <v>56.98</v>
      </c>
      <c r="G372" s="51">
        <f>TRUNC(F372*$J$13,2)</f>
        <v>71.790000000000006</v>
      </c>
      <c r="H372" s="51">
        <f>TRUNC(E372*G372,2)</f>
        <v>4666.3500000000004</v>
      </c>
      <c r="I372" s="134"/>
      <c r="J372" s="74"/>
      <c r="K372" s="12"/>
      <c r="L372" s="12"/>
      <c r="M372" s="97"/>
      <c r="N372" s="160"/>
      <c r="O372" s="97"/>
      <c r="P372" s="107"/>
      <c r="Q372" s="99"/>
      <c r="R372" s="6"/>
    </row>
    <row r="373" spans="1:18" s="131" customFormat="1" x14ac:dyDescent="0.2">
      <c r="A373" s="49"/>
      <c r="B373" s="121"/>
      <c r="C373" s="136"/>
      <c r="D373" s="49"/>
      <c r="E373" s="137"/>
      <c r="F373" s="68"/>
      <c r="G373" s="68"/>
      <c r="H373" s="138"/>
      <c r="I373" s="134"/>
      <c r="J373" s="74"/>
      <c r="K373" s="12"/>
      <c r="L373" s="12"/>
      <c r="M373" s="97"/>
      <c r="N373" s="160"/>
      <c r="O373" s="97"/>
      <c r="P373" s="107"/>
      <c r="Q373" s="99"/>
      <c r="R373" s="6"/>
    </row>
    <row r="374" spans="1:18" s="131" customFormat="1" ht="15" customHeight="1" x14ac:dyDescent="0.2">
      <c r="A374" s="164" t="s">
        <v>317</v>
      </c>
      <c r="B374" s="165"/>
      <c r="C374" s="166"/>
      <c r="D374" s="41"/>
      <c r="E374" s="166"/>
      <c r="F374" s="56"/>
      <c r="G374" s="37" t="s">
        <v>19</v>
      </c>
      <c r="H374" s="56"/>
      <c r="I374" s="39">
        <f>SUM(I375:I471)</f>
        <v>167996.36999999997</v>
      </c>
      <c r="J374" s="58"/>
      <c r="K374" s="32"/>
      <c r="L374" s="12"/>
      <c r="M374" s="97"/>
      <c r="N374" s="160"/>
      <c r="O374" s="97"/>
      <c r="P374" s="107"/>
      <c r="Q374" s="99"/>
      <c r="R374" s="6"/>
    </row>
    <row r="375" spans="1:18" s="131" customFormat="1" outlineLevel="1" x14ac:dyDescent="0.2">
      <c r="A375" s="73" t="s">
        <v>20</v>
      </c>
      <c r="B375" s="66"/>
      <c r="C375" s="43" t="s">
        <v>318</v>
      </c>
      <c r="D375" s="41"/>
      <c r="E375" s="43"/>
      <c r="F375" s="43"/>
      <c r="G375" s="43"/>
      <c r="H375" s="41"/>
      <c r="I375" s="193">
        <f>SUM(H376:H382)</f>
        <v>2982.3800000000006</v>
      </c>
      <c r="J375" s="74"/>
      <c r="K375" s="12"/>
      <c r="L375" s="12"/>
      <c r="M375" s="97"/>
      <c r="N375" s="160"/>
      <c r="O375" s="97"/>
      <c r="P375" s="107"/>
      <c r="Q375" s="99"/>
      <c r="R375" s="6"/>
    </row>
    <row r="376" spans="1:18" s="174" customFormat="1" outlineLevel="1" x14ac:dyDescent="0.2">
      <c r="A376" s="49" t="s">
        <v>22</v>
      </c>
      <c r="B376" s="71">
        <v>97644</v>
      </c>
      <c r="C376" s="68" t="s">
        <v>44</v>
      </c>
      <c r="D376" s="70" t="s">
        <v>24</v>
      </c>
      <c r="E376" s="155">
        <f t="shared" ref="E376:E385" si="51">J376</f>
        <v>10.02</v>
      </c>
      <c r="F376" s="50">
        <v>6.04</v>
      </c>
      <c r="G376" s="156">
        <f t="shared" ref="G376:G385" si="52">TRUNC(F376*$J$13,2)</f>
        <v>7.61</v>
      </c>
      <c r="H376" s="156">
        <f t="shared" ref="H376:H385" si="53">TRUNC(E376*G376,2)</f>
        <v>76.25</v>
      </c>
      <c r="I376" s="194"/>
      <c r="J376" s="170">
        <f>0.8*2.1*2+0.9*2.1*2+0.6*1.2*4</f>
        <v>10.02</v>
      </c>
      <c r="K376" s="170"/>
      <c r="L376" s="170"/>
      <c r="M376" s="171"/>
      <c r="N376" s="133"/>
      <c r="O376" s="171"/>
      <c r="P376" s="172"/>
      <c r="Q376" s="173"/>
      <c r="R376" s="173"/>
    </row>
    <row r="377" spans="1:18" s="174" customFormat="1" outlineLevel="1" x14ac:dyDescent="0.2">
      <c r="A377" s="49" t="s">
        <v>25</v>
      </c>
      <c r="B377" s="71">
        <v>97663</v>
      </c>
      <c r="C377" s="68" t="s">
        <v>46</v>
      </c>
      <c r="D377" s="70" t="s">
        <v>45</v>
      </c>
      <c r="E377" s="155">
        <f t="shared" si="51"/>
        <v>10</v>
      </c>
      <c r="F377" s="50">
        <v>8.07</v>
      </c>
      <c r="G377" s="156">
        <f t="shared" si="52"/>
        <v>10.16</v>
      </c>
      <c r="H377" s="156">
        <f t="shared" si="53"/>
        <v>101.6</v>
      </c>
      <c r="I377" s="194"/>
      <c r="J377" s="170">
        <v>10</v>
      </c>
      <c r="K377" s="170"/>
      <c r="L377" s="170"/>
      <c r="M377" s="171"/>
      <c r="N377" s="133"/>
      <c r="O377" s="171"/>
      <c r="P377" s="172"/>
      <c r="Q377" s="173"/>
      <c r="R377" s="173"/>
    </row>
    <row r="378" spans="1:18" s="174" customFormat="1" ht="22.5" outlineLevel="1" x14ac:dyDescent="0.2">
      <c r="A378" s="49" t="s">
        <v>57</v>
      </c>
      <c r="B378" s="72">
        <v>97666</v>
      </c>
      <c r="C378" s="48" t="s">
        <v>47</v>
      </c>
      <c r="D378" s="70" t="s">
        <v>45</v>
      </c>
      <c r="E378" s="155">
        <f t="shared" si="51"/>
        <v>10</v>
      </c>
      <c r="F378" s="50">
        <v>5.88</v>
      </c>
      <c r="G378" s="156">
        <f t="shared" si="52"/>
        <v>7.4</v>
      </c>
      <c r="H378" s="156">
        <f t="shared" si="53"/>
        <v>74</v>
      </c>
      <c r="I378" s="194"/>
      <c r="J378" s="170">
        <v>10</v>
      </c>
      <c r="K378" s="170"/>
      <c r="L378" s="170"/>
      <c r="M378" s="171"/>
      <c r="N378" s="133"/>
      <c r="O378" s="171"/>
      <c r="P378" s="172"/>
      <c r="Q378" s="173"/>
      <c r="R378" s="173"/>
    </row>
    <row r="379" spans="1:18" s="174" customFormat="1" ht="22.5" outlineLevel="1" x14ac:dyDescent="0.2">
      <c r="A379" s="49" t="s">
        <v>217</v>
      </c>
      <c r="B379" s="72">
        <v>97622</v>
      </c>
      <c r="C379" s="48" t="s">
        <v>304</v>
      </c>
      <c r="D379" s="70" t="s">
        <v>42</v>
      </c>
      <c r="E379" s="155">
        <f t="shared" si="51"/>
        <v>2.7263999999999995</v>
      </c>
      <c r="F379" s="50">
        <v>37.39</v>
      </c>
      <c r="G379" s="156">
        <f t="shared" si="52"/>
        <v>47.11</v>
      </c>
      <c r="H379" s="156">
        <f t="shared" si="53"/>
        <v>128.44</v>
      </c>
      <c r="I379" s="194"/>
      <c r="J379" s="170">
        <f>(3.13+2.55)*3.2*0.15</f>
        <v>2.7263999999999995</v>
      </c>
      <c r="K379" s="170"/>
      <c r="L379" s="170"/>
      <c r="M379" s="171"/>
      <c r="N379" s="133"/>
      <c r="O379" s="171"/>
      <c r="P379" s="172"/>
      <c r="Q379" s="173"/>
      <c r="R379" s="173"/>
    </row>
    <row r="380" spans="1:18" s="174" customFormat="1" ht="22.5" outlineLevel="1" x14ac:dyDescent="0.2">
      <c r="A380" s="49" t="s">
        <v>218</v>
      </c>
      <c r="B380" s="72">
        <v>97633</v>
      </c>
      <c r="C380" s="48" t="s">
        <v>43</v>
      </c>
      <c r="D380" s="70" t="s">
        <v>24</v>
      </c>
      <c r="E380" s="155">
        <f t="shared" si="51"/>
        <v>93.34</v>
      </c>
      <c r="F380" s="50">
        <v>14.85</v>
      </c>
      <c r="G380" s="156">
        <f t="shared" si="52"/>
        <v>18.71</v>
      </c>
      <c r="H380" s="156">
        <f t="shared" si="53"/>
        <v>1746.39</v>
      </c>
      <c r="I380" s="194"/>
      <c r="J380" s="170">
        <f>(18.3+15.7)*1.8+18.63+13.51</f>
        <v>93.34</v>
      </c>
      <c r="K380" s="170"/>
      <c r="L380" s="170"/>
      <c r="M380" s="171"/>
      <c r="N380" s="133"/>
      <c r="O380" s="171"/>
      <c r="P380" s="172"/>
      <c r="Q380" s="173"/>
      <c r="R380" s="173"/>
    </row>
    <row r="381" spans="1:18" s="174" customFormat="1" outlineLevel="1" x14ac:dyDescent="0.2">
      <c r="A381" s="49" t="s">
        <v>219</v>
      </c>
      <c r="B381" s="71" t="s">
        <v>49</v>
      </c>
      <c r="C381" s="68" t="s">
        <v>50</v>
      </c>
      <c r="D381" s="70" t="s">
        <v>24</v>
      </c>
      <c r="E381" s="155">
        <f t="shared" si="51"/>
        <v>20.123999999999999</v>
      </c>
      <c r="F381" s="50">
        <f>[1]COMPOSIÇÃO!G49</f>
        <v>16.424099999999999</v>
      </c>
      <c r="G381" s="156">
        <f t="shared" si="52"/>
        <v>20.69</v>
      </c>
      <c r="H381" s="156">
        <f t="shared" si="53"/>
        <v>416.36</v>
      </c>
      <c r="I381" s="194"/>
      <c r="J381" s="170">
        <f>(3.04+3.04+2.55+2.55)*1.8</f>
        <v>20.123999999999999</v>
      </c>
      <c r="K381" s="170"/>
      <c r="L381" s="170"/>
      <c r="M381" s="171"/>
      <c r="N381" s="133"/>
      <c r="O381" s="171"/>
      <c r="P381" s="172"/>
      <c r="Q381" s="173"/>
      <c r="R381" s="173"/>
    </row>
    <row r="382" spans="1:18" s="174" customFormat="1" ht="13.5" outlineLevel="1" thickBot="1" x14ac:dyDescent="0.25">
      <c r="A382" s="49" t="s">
        <v>220</v>
      </c>
      <c r="B382" s="71" t="s">
        <v>40</v>
      </c>
      <c r="C382" s="68" t="s">
        <v>319</v>
      </c>
      <c r="D382" s="70" t="s">
        <v>42</v>
      </c>
      <c r="E382" s="155">
        <f t="shared" si="51"/>
        <v>1.6085999999999998</v>
      </c>
      <c r="F382" s="50">
        <f>[1]COMPOSIÇÃO!G41</f>
        <v>216.762</v>
      </c>
      <c r="G382" s="156">
        <f t="shared" si="52"/>
        <v>273.12</v>
      </c>
      <c r="H382" s="156">
        <f t="shared" si="53"/>
        <v>439.34</v>
      </c>
      <c r="I382" s="194"/>
      <c r="J382" s="170">
        <f>(10.53+12.08+4.2)*0.06</f>
        <v>1.6085999999999998</v>
      </c>
      <c r="K382" s="170"/>
      <c r="L382" s="170"/>
      <c r="M382" s="171"/>
      <c r="N382" s="133"/>
      <c r="O382" s="171"/>
      <c r="P382" s="172"/>
      <c r="Q382" s="173"/>
      <c r="R382" s="173"/>
    </row>
    <row r="383" spans="1:18" s="174" customFormat="1" ht="13.5" outlineLevel="1" thickBot="1" x14ac:dyDescent="0.25">
      <c r="A383" s="195" t="s">
        <v>61</v>
      </c>
      <c r="B383" s="196"/>
      <c r="C383" s="197" t="s">
        <v>222</v>
      </c>
      <c r="D383" s="198"/>
      <c r="E383" s="197"/>
      <c r="F383" s="197"/>
      <c r="G383" s="197"/>
      <c r="H383" s="198"/>
      <c r="I383" s="199">
        <f>SUM(H384:H385)</f>
        <v>9095.01</v>
      </c>
      <c r="J383" s="170"/>
      <c r="K383" s="170"/>
      <c r="L383" s="170"/>
      <c r="M383" s="171"/>
      <c r="N383" s="133"/>
      <c r="O383" s="171"/>
      <c r="P383" s="172"/>
      <c r="Q383" s="173"/>
      <c r="R383" s="173"/>
    </row>
    <row r="384" spans="1:18" s="174" customFormat="1" ht="33.75" outlineLevel="1" x14ac:dyDescent="0.2">
      <c r="A384" s="49" t="s">
        <v>65</v>
      </c>
      <c r="B384" s="72">
        <v>87471</v>
      </c>
      <c r="C384" s="48" t="s">
        <v>307</v>
      </c>
      <c r="D384" s="70" t="s">
        <v>24</v>
      </c>
      <c r="E384" s="155">
        <f t="shared" si="51"/>
        <v>28.8</v>
      </c>
      <c r="F384" s="50">
        <v>40.9</v>
      </c>
      <c r="G384" s="156">
        <f t="shared" si="52"/>
        <v>51.53</v>
      </c>
      <c r="H384" s="156">
        <f t="shared" si="53"/>
        <v>1484.06</v>
      </c>
      <c r="I384" s="194"/>
      <c r="J384" s="170">
        <f>(3.72+3.3+1.98)*3.2</f>
        <v>28.8</v>
      </c>
      <c r="K384" s="170"/>
      <c r="L384" s="170"/>
      <c r="M384" s="171"/>
      <c r="N384" s="133"/>
      <c r="O384" s="171"/>
      <c r="P384" s="172"/>
      <c r="Q384" s="173"/>
      <c r="R384" s="173"/>
    </row>
    <row r="385" spans="1:18" s="174" customFormat="1" ht="23.25" outlineLevel="1" thickBot="1" x14ac:dyDescent="0.25">
      <c r="A385" s="49" t="s">
        <v>70</v>
      </c>
      <c r="B385" s="72">
        <v>79627</v>
      </c>
      <c r="C385" s="48" t="s">
        <v>223</v>
      </c>
      <c r="D385" s="70" t="s">
        <v>24</v>
      </c>
      <c r="E385" s="155">
        <f t="shared" si="51"/>
        <v>9.1800000000000015</v>
      </c>
      <c r="F385" s="155">
        <v>658</v>
      </c>
      <c r="G385" s="156">
        <f t="shared" si="52"/>
        <v>829.08</v>
      </c>
      <c r="H385" s="156">
        <f t="shared" si="53"/>
        <v>7610.95</v>
      </c>
      <c r="I385" s="194"/>
      <c r="J385" s="170">
        <f>(0.17+0.67+0.51+0.51+0.67+0.17+1.2+1.2)*1.8</f>
        <v>9.1800000000000015</v>
      </c>
      <c r="K385" s="170"/>
      <c r="L385" s="170"/>
      <c r="M385" s="171"/>
      <c r="N385" s="133"/>
      <c r="O385" s="171"/>
      <c r="P385" s="172"/>
      <c r="Q385" s="173"/>
      <c r="R385" s="173"/>
    </row>
    <row r="386" spans="1:18" s="174" customFormat="1" ht="13.5" outlineLevel="1" thickBot="1" x14ac:dyDescent="0.25">
      <c r="A386" s="195" t="s">
        <v>75</v>
      </c>
      <c r="B386" s="196"/>
      <c r="C386" s="197" t="s">
        <v>320</v>
      </c>
      <c r="D386" s="198"/>
      <c r="E386" s="197"/>
      <c r="F386" s="197"/>
      <c r="G386" s="197"/>
      <c r="H386" s="198"/>
      <c r="I386" s="199">
        <f>SUM(H387:H390)</f>
        <v>14811.740000000002</v>
      </c>
      <c r="J386" s="170"/>
      <c r="K386" s="170"/>
      <c r="L386" s="170"/>
      <c r="M386" s="171"/>
      <c r="N386" s="133"/>
      <c r="O386" s="171"/>
      <c r="P386" s="172"/>
      <c r="Q386" s="173"/>
      <c r="R386" s="173"/>
    </row>
    <row r="387" spans="1:18" s="131" customFormat="1" ht="45" outlineLevel="1" x14ac:dyDescent="0.2">
      <c r="A387" s="200" t="s">
        <v>78</v>
      </c>
      <c r="B387" s="201">
        <v>90843</v>
      </c>
      <c r="C387" s="202" t="s">
        <v>321</v>
      </c>
      <c r="D387" s="200" t="s">
        <v>45</v>
      </c>
      <c r="E387" s="155">
        <f>J387</f>
        <v>1</v>
      </c>
      <c r="F387" s="50">
        <v>742.69</v>
      </c>
      <c r="G387" s="156">
        <f>TRUNC(F387*$J$13,2)</f>
        <v>935.78</v>
      </c>
      <c r="H387" s="156">
        <f>TRUNC(E387*G387,2)</f>
        <v>935.78</v>
      </c>
      <c r="I387" s="203"/>
      <c r="J387" s="74">
        <v>1</v>
      </c>
      <c r="K387" s="12"/>
      <c r="L387" s="12"/>
      <c r="M387" s="97"/>
      <c r="N387" s="160"/>
      <c r="O387" s="97"/>
      <c r="P387" s="107"/>
      <c r="Q387" s="99"/>
      <c r="R387" s="6"/>
    </row>
    <row r="388" spans="1:18" s="131" customFormat="1" ht="22.5" outlineLevel="1" x14ac:dyDescent="0.2">
      <c r="A388" s="200" t="s">
        <v>84</v>
      </c>
      <c r="B388" s="47">
        <v>91338</v>
      </c>
      <c r="C388" s="48" t="s">
        <v>58</v>
      </c>
      <c r="D388" s="49" t="s">
        <v>24</v>
      </c>
      <c r="E388" s="50">
        <f>J388</f>
        <v>8.129999999999999</v>
      </c>
      <c r="F388" s="50">
        <v>975.13</v>
      </c>
      <c r="G388" s="51">
        <f>TRUNC(F388*$J$13,2)</f>
        <v>1228.6600000000001</v>
      </c>
      <c r="H388" s="51">
        <f>TRUNC(E388*G388,2)</f>
        <v>9989</v>
      </c>
      <c r="I388" s="158"/>
      <c r="J388" s="74">
        <f>4*0.6*1.2+0.9*2.1+0.8*2.1*2</f>
        <v>8.129999999999999</v>
      </c>
      <c r="K388" s="178" t="s">
        <v>322</v>
      </c>
      <c r="L388" s="12">
        <f>0.8*2.1*8</f>
        <v>13.440000000000001</v>
      </c>
      <c r="M388" s="97"/>
      <c r="N388" s="160"/>
      <c r="O388" s="97"/>
      <c r="P388" s="107"/>
      <c r="Q388" s="99"/>
      <c r="R388" s="6"/>
    </row>
    <row r="389" spans="1:18" s="131" customFormat="1" outlineLevel="1" x14ac:dyDescent="0.2">
      <c r="A389" s="200" t="s">
        <v>323</v>
      </c>
      <c r="B389" s="47">
        <v>84886</v>
      </c>
      <c r="C389" s="101" t="s">
        <v>92</v>
      </c>
      <c r="D389" s="49" t="s">
        <v>93</v>
      </c>
      <c r="E389" s="50">
        <v>2</v>
      </c>
      <c r="F389" s="50">
        <v>1139.6199999999999</v>
      </c>
      <c r="G389" s="51">
        <f>TRUNC(F389*$J$13,2)</f>
        <v>1435.92</v>
      </c>
      <c r="H389" s="51">
        <f>TRUNC(E389*G389,2)</f>
        <v>2871.84</v>
      </c>
      <c r="I389" s="154"/>
      <c r="J389" s="74"/>
      <c r="K389" s="178"/>
      <c r="L389" s="12"/>
      <c r="M389" s="97"/>
      <c r="N389" s="160"/>
      <c r="O389" s="97"/>
      <c r="P389" s="107"/>
      <c r="Q389" s="99"/>
      <c r="R389" s="6"/>
    </row>
    <row r="390" spans="1:18" s="131" customFormat="1" outlineLevel="1" x14ac:dyDescent="0.2">
      <c r="A390" s="200" t="s">
        <v>324</v>
      </c>
      <c r="B390" s="47">
        <v>100701</v>
      </c>
      <c r="C390" s="48" t="s">
        <v>325</v>
      </c>
      <c r="D390" s="49" t="s">
        <v>24</v>
      </c>
      <c r="E390" s="50">
        <f>J390</f>
        <v>1.6800000000000002</v>
      </c>
      <c r="F390" s="50">
        <v>479.56</v>
      </c>
      <c r="G390" s="51">
        <f>TRUNC(F390*$J$13,2)</f>
        <v>604.24</v>
      </c>
      <c r="H390" s="51">
        <f>TRUNC(E390*G390,2)</f>
        <v>1015.12</v>
      </c>
      <c r="I390" s="204"/>
      <c r="J390" s="74">
        <f>0.8*2.1</f>
        <v>1.6800000000000002</v>
      </c>
      <c r="K390" s="178" t="s">
        <v>326</v>
      </c>
      <c r="L390" s="12">
        <f>0.8*2.1</f>
        <v>1.6800000000000002</v>
      </c>
      <c r="M390" s="97"/>
      <c r="N390" s="160"/>
      <c r="O390" s="97"/>
      <c r="P390" s="107"/>
      <c r="Q390" s="99"/>
      <c r="R390" s="6"/>
    </row>
    <row r="391" spans="1:18" s="131" customFormat="1" outlineLevel="1" x14ac:dyDescent="0.2">
      <c r="A391" s="73" t="s">
        <v>86</v>
      </c>
      <c r="B391" s="66"/>
      <c r="C391" s="43" t="s">
        <v>62</v>
      </c>
      <c r="D391" s="41"/>
      <c r="E391" s="43"/>
      <c r="F391" s="43"/>
      <c r="G391" s="43"/>
      <c r="H391" s="41"/>
      <c r="I391" s="193">
        <f>SUM(H392:H395)</f>
        <v>16882.28</v>
      </c>
      <c r="J391" s="74"/>
      <c r="K391" s="12"/>
      <c r="L391" s="12"/>
      <c r="M391" s="97"/>
      <c r="N391" s="160"/>
      <c r="O391" s="97"/>
      <c r="P391" s="107"/>
      <c r="Q391" s="99"/>
      <c r="R391" s="6"/>
    </row>
    <row r="392" spans="1:18" s="131" customFormat="1" ht="33.75" outlineLevel="1" x14ac:dyDescent="0.2">
      <c r="A392" s="49" t="s">
        <v>88</v>
      </c>
      <c r="B392" s="72">
        <v>87879</v>
      </c>
      <c r="C392" s="48" t="s">
        <v>226</v>
      </c>
      <c r="D392" s="49" t="s">
        <v>24</v>
      </c>
      <c r="E392" s="50">
        <f>J392</f>
        <v>71.400000000000006</v>
      </c>
      <c r="F392" s="50">
        <v>2.72</v>
      </c>
      <c r="G392" s="51">
        <f>TRUNC(F392*$J$13,2)</f>
        <v>3.42</v>
      </c>
      <c r="H392" s="51">
        <f>TRUNC(E392*G392,2)</f>
        <v>244.18</v>
      </c>
      <c r="I392" s="194"/>
      <c r="J392" s="170">
        <f>(18.3+15.7)*2.1</f>
        <v>71.400000000000006</v>
      </c>
      <c r="K392" s="12"/>
      <c r="L392" s="12"/>
      <c r="M392" s="97"/>
      <c r="N392" s="160"/>
      <c r="O392" s="97"/>
      <c r="P392" s="107"/>
      <c r="Q392" s="99"/>
      <c r="R392" s="6"/>
    </row>
    <row r="393" spans="1:18" s="116" customFormat="1" ht="45" outlineLevel="1" x14ac:dyDescent="0.2">
      <c r="A393" s="49" t="s">
        <v>91</v>
      </c>
      <c r="B393" s="72">
        <v>87529</v>
      </c>
      <c r="C393" s="48" t="s">
        <v>327</v>
      </c>
      <c r="D393" s="49" t="s">
        <v>24</v>
      </c>
      <c r="E393" s="50">
        <f>J393</f>
        <v>71.400000000000006</v>
      </c>
      <c r="F393" s="50">
        <v>43.91</v>
      </c>
      <c r="G393" s="51">
        <f>TRUNC(F393*$J$13,2)</f>
        <v>55.32</v>
      </c>
      <c r="H393" s="51">
        <f>TRUNC(E393*G393,2)</f>
        <v>3949.84</v>
      </c>
      <c r="I393" s="194"/>
      <c r="J393" s="170">
        <f>(18.3+15.7)*2.1</f>
        <v>71.400000000000006</v>
      </c>
      <c r="K393" s="12"/>
      <c r="L393" s="12"/>
      <c r="M393" s="97"/>
      <c r="N393" s="160"/>
      <c r="O393" s="97"/>
      <c r="P393" s="107"/>
      <c r="Q393" s="97"/>
      <c r="R393" s="4"/>
    </row>
    <row r="394" spans="1:18" s="131" customFormat="1" ht="33.75" outlineLevel="1" x14ac:dyDescent="0.2">
      <c r="A394" s="49" t="s">
        <v>94</v>
      </c>
      <c r="B394" s="47">
        <v>87265</v>
      </c>
      <c r="C394" s="48" t="s">
        <v>328</v>
      </c>
      <c r="D394" s="49" t="s">
        <v>24</v>
      </c>
      <c r="E394" s="50">
        <f>J394</f>
        <v>71.400000000000006</v>
      </c>
      <c r="F394" s="50">
        <v>43.91</v>
      </c>
      <c r="G394" s="51">
        <f>TRUNC(F394*$J$13,2)</f>
        <v>55.32</v>
      </c>
      <c r="H394" s="51">
        <f>TRUNC(E394*G394,2)</f>
        <v>3949.84</v>
      </c>
      <c r="I394" s="154"/>
      <c r="J394" s="170">
        <f>(18.3+15.7)*2.1</f>
        <v>71.400000000000006</v>
      </c>
      <c r="K394" s="12" t="s">
        <v>67</v>
      </c>
      <c r="L394" s="12">
        <f>61.74+43</f>
        <v>104.74000000000001</v>
      </c>
      <c r="M394" s="97"/>
      <c r="N394" s="160"/>
      <c r="O394" s="97"/>
      <c r="P394" s="107"/>
      <c r="Q394" s="99"/>
      <c r="R394" s="6"/>
    </row>
    <row r="395" spans="1:18" s="131" customFormat="1" ht="22.5" outlineLevel="1" x14ac:dyDescent="0.2">
      <c r="A395" s="49" t="s">
        <v>227</v>
      </c>
      <c r="B395" s="47">
        <v>98673</v>
      </c>
      <c r="C395" s="48" t="s">
        <v>329</v>
      </c>
      <c r="D395" s="49" t="s">
        <v>24</v>
      </c>
      <c r="E395" s="50">
        <f>J395</f>
        <v>45.004000000000012</v>
      </c>
      <c r="F395" s="50">
        <v>154.11000000000001</v>
      </c>
      <c r="G395" s="51">
        <f>TRUNC(F395*$J$13,2)</f>
        <v>194.17</v>
      </c>
      <c r="H395" s="51">
        <f>TRUNC(E395*G395,2)</f>
        <v>8738.42</v>
      </c>
      <c r="I395" s="154"/>
      <c r="J395" s="74">
        <f>(15.22-0.7-0.7)*2.6+11.34*0.8</f>
        <v>45.004000000000012</v>
      </c>
      <c r="K395" s="12" t="s">
        <v>67</v>
      </c>
      <c r="L395" s="12">
        <v>92.66</v>
      </c>
      <c r="M395" s="97"/>
      <c r="N395" s="160"/>
      <c r="O395" s="97"/>
      <c r="P395" s="107"/>
      <c r="Q395" s="99"/>
      <c r="R395" s="6"/>
    </row>
    <row r="396" spans="1:18" s="131" customFormat="1" outlineLevel="1" x14ac:dyDescent="0.2">
      <c r="A396" s="73" t="s">
        <v>96</v>
      </c>
      <c r="B396" s="66"/>
      <c r="C396" s="43" t="s">
        <v>76</v>
      </c>
      <c r="D396" s="41"/>
      <c r="E396" s="43"/>
      <c r="F396" s="43"/>
      <c r="G396" s="43"/>
      <c r="H396" s="41"/>
      <c r="I396" s="205">
        <f>SUM(H397:H400)</f>
        <v>43695.96</v>
      </c>
      <c r="J396" s="74"/>
      <c r="K396" s="12"/>
      <c r="L396" s="12"/>
      <c r="M396" s="97"/>
      <c r="N396" s="160"/>
      <c r="O396" s="97"/>
      <c r="P396" s="107"/>
      <c r="Q396" s="99"/>
      <c r="R396" s="6"/>
    </row>
    <row r="397" spans="1:18" s="131" customFormat="1" ht="33.75" outlineLevel="1" x14ac:dyDescent="0.2">
      <c r="A397" s="49" t="s">
        <v>98</v>
      </c>
      <c r="B397" s="47">
        <v>94993</v>
      </c>
      <c r="C397" s="48" t="s">
        <v>79</v>
      </c>
      <c r="D397" s="49" t="s">
        <v>24</v>
      </c>
      <c r="E397" s="50">
        <f>J397</f>
        <v>72.75</v>
      </c>
      <c r="F397" s="50">
        <v>62.94</v>
      </c>
      <c r="G397" s="51">
        <f>TRUNC(F397*$J$13,2)</f>
        <v>79.3</v>
      </c>
      <c r="H397" s="51">
        <f>TRUNC(E397*G397,2)</f>
        <v>5769.07</v>
      </c>
      <c r="I397" s="158"/>
      <c r="J397" s="74">
        <v>72.75</v>
      </c>
      <c r="K397" s="178" t="s">
        <v>67</v>
      </c>
      <c r="L397" s="12">
        <v>71.489999999999995</v>
      </c>
      <c r="M397" s="97"/>
      <c r="N397" s="160"/>
      <c r="O397" s="97"/>
      <c r="P397" s="107"/>
      <c r="Q397" s="99"/>
      <c r="R397" s="6"/>
    </row>
    <row r="398" spans="1:18" s="131" customFormat="1" ht="33.75" outlineLevel="1" x14ac:dyDescent="0.2">
      <c r="A398" s="49" t="s">
        <v>101</v>
      </c>
      <c r="B398" s="72">
        <v>87620</v>
      </c>
      <c r="C398" s="48" t="s">
        <v>330</v>
      </c>
      <c r="D398" s="49" t="s">
        <v>24</v>
      </c>
      <c r="E398" s="50">
        <v>182.5</v>
      </c>
      <c r="F398" s="50">
        <v>23.42</v>
      </c>
      <c r="G398" s="51">
        <f>TRUNC(F398*$J$13,2)</f>
        <v>29.5</v>
      </c>
      <c r="H398" s="51">
        <f>TRUNC(E398*G398,2)</f>
        <v>5383.75</v>
      </c>
      <c r="I398" s="158"/>
      <c r="J398" s="170">
        <f>(10.53+12.08+4.2)</f>
        <v>26.81</v>
      </c>
      <c r="K398" s="178"/>
      <c r="L398" s="12"/>
      <c r="M398" s="97"/>
      <c r="N398" s="160"/>
      <c r="O398" s="97"/>
      <c r="P398" s="107"/>
      <c r="Q398" s="99"/>
      <c r="R398" s="6"/>
    </row>
    <row r="399" spans="1:18" s="131" customFormat="1" ht="33.75" outlineLevel="1" x14ac:dyDescent="0.2">
      <c r="A399" s="49" t="s">
        <v>104</v>
      </c>
      <c r="B399" s="47">
        <v>87263</v>
      </c>
      <c r="C399" s="48" t="s">
        <v>331</v>
      </c>
      <c r="D399" s="49" t="s">
        <v>24</v>
      </c>
      <c r="E399" s="50">
        <f>J399</f>
        <v>26.81</v>
      </c>
      <c r="F399" s="50">
        <v>92.82</v>
      </c>
      <c r="G399" s="51">
        <f>TRUNC(F399*$J$13,2)</f>
        <v>116.95</v>
      </c>
      <c r="H399" s="51">
        <f>TRUNC(E399*G399,2)</f>
        <v>3135.42</v>
      </c>
      <c r="I399" s="158"/>
      <c r="J399" s="170">
        <f>(10.53+12.08+4.2)</f>
        <v>26.81</v>
      </c>
      <c r="K399" s="12"/>
      <c r="L399" s="12"/>
      <c r="M399" s="97"/>
      <c r="N399" s="160"/>
      <c r="O399" s="97"/>
      <c r="P399" s="107"/>
      <c r="Q399" s="99"/>
      <c r="R399" s="6"/>
    </row>
    <row r="400" spans="1:18" s="131" customFormat="1" ht="22.5" outlineLevel="1" x14ac:dyDescent="0.2">
      <c r="A400" s="49" t="s">
        <v>106</v>
      </c>
      <c r="B400" s="47">
        <v>98673</v>
      </c>
      <c r="C400" s="48" t="s">
        <v>329</v>
      </c>
      <c r="D400" s="49" t="s">
        <v>24</v>
      </c>
      <c r="E400" s="50">
        <f>J400</f>
        <v>182.49800000000002</v>
      </c>
      <c r="F400" s="50">
        <v>127.89</v>
      </c>
      <c r="G400" s="51">
        <f>TRUNC(F400*$J$13,2)</f>
        <v>161.13999999999999</v>
      </c>
      <c r="H400" s="51">
        <f>TRUNC(E400*G400,2)</f>
        <v>29407.72</v>
      </c>
      <c r="I400" s="158"/>
      <c r="J400" s="74">
        <f>151.25+4.5*8*2*0.15+11.54*0.9+11.18*0.9*2/2</f>
        <v>182.49800000000002</v>
      </c>
      <c r="K400" s="12"/>
      <c r="L400" s="12">
        <f>160.72*1.15</f>
        <v>184.82799999999997</v>
      </c>
      <c r="M400" s="97"/>
      <c r="N400" s="160"/>
      <c r="O400" s="97"/>
      <c r="P400" s="107"/>
      <c r="Q400" s="99"/>
      <c r="R400" s="6"/>
    </row>
    <row r="401" spans="1:18" s="131" customFormat="1" outlineLevel="1" x14ac:dyDescent="0.2">
      <c r="A401" s="73" t="s">
        <v>117</v>
      </c>
      <c r="B401" s="66"/>
      <c r="C401" s="43" t="s">
        <v>213</v>
      </c>
      <c r="D401" s="41"/>
      <c r="E401" s="43"/>
      <c r="F401" s="43"/>
      <c r="G401" s="43"/>
      <c r="H401" s="41"/>
      <c r="I401" s="193">
        <f>SUM(H402:H402)</f>
        <v>1433.64</v>
      </c>
      <c r="J401" s="74"/>
      <c r="K401" s="12"/>
      <c r="L401" s="12"/>
      <c r="M401" s="97"/>
      <c r="N401" s="160"/>
      <c r="O401" s="97"/>
      <c r="P401" s="107"/>
      <c r="Q401" s="99"/>
      <c r="R401" s="6"/>
    </row>
    <row r="402" spans="1:18" s="131" customFormat="1" ht="22.5" outlineLevel="1" x14ac:dyDescent="0.2">
      <c r="A402" s="49" t="s">
        <v>119</v>
      </c>
      <c r="B402" s="47">
        <v>96114</v>
      </c>
      <c r="C402" s="101" t="s">
        <v>215</v>
      </c>
      <c r="D402" s="49" t="s">
        <v>24</v>
      </c>
      <c r="E402" s="50">
        <f>J402</f>
        <v>19.97</v>
      </c>
      <c r="F402" s="50">
        <v>56.98</v>
      </c>
      <c r="G402" s="51">
        <f>TRUNC(F402*$J$13,2)</f>
        <v>71.790000000000006</v>
      </c>
      <c r="H402" s="51">
        <f>TRUNC(E402*G402,2)</f>
        <v>1433.64</v>
      </c>
      <c r="I402" s="154"/>
      <c r="J402" s="74">
        <v>19.97</v>
      </c>
      <c r="K402" s="12" t="s">
        <v>67</v>
      </c>
      <c r="L402" s="12">
        <v>160.72</v>
      </c>
      <c r="M402" s="97"/>
      <c r="N402" s="160"/>
      <c r="O402" s="97"/>
      <c r="P402" s="107"/>
      <c r="Q402" s="99"/>
      <c r="R402" s="6"/>
    </row>
    <row r="403" spans="1:18" s="131" customFormat="1" outlineLevel="1" x14ac:dyDescent="0.2">
      <c r="A403" s="73" t="s">
        <v>161</v>
      </c>
      <c r="B403" s="66"/>
      <c r="C403" s="43" t="s">
        <v>97</v>
      </c>
      <c r="D403" s="41"/>
      <c r="E403" s="43"/>
      <c r="F403" s="43"/>
      <c r="G403" s="43"/>
      <c r="H403" s="41"/>
      <c r="I403" s="193">
        <f>SUM(H404:H411)</f>
        <v>19697.929999999997</v>
      </c>
      <c r="J403" s="74"/>
      <c r="K403" s="12"/>
      <c r="L403" s="12"/>
      <c r="M403" s="97"/>
      <c r="N403" s="160"/>
      <c r="O403" s="97"/>
      <c r="P403" s="107"/>
      <c r="Q403" s="99"/>
      <c r="R403" s="6"/>
    </row>
    <row r="404" spans="1:18" s="131" customFormat="1" outlineLevel="1" x14ac:dyDescent="0.2">
      <c r="A404" s="49" t="s">
        <v>164</v>
      </c>
      <c r="B404" s="47">
        <v>88496</v>
      </c>
      <c r="C404" s="68" t="s">
        <v>102</v>
      </c>
      <c r="D404" s="49" t="s">
        <v>24</v>
      </c>
      <c r="E404" s="103">
        <f t="shared" ref="E404:E411" si="54">J404</f>
        <v>232.76</v>
      </c>
      <c r="F404" s="50">
        <v>19.940000000000001</v>
      </c>
      <c r="G404" s="51">
        <f t="shared" ref="G404:G411" si="55">TRUNC(F404*$J$13,2)</f>
        <v>25.12</v>
      </c>
      <c r="H404" s="51">
        <f t="shared" ref="H404:H411" si="56">TRUNC(E404*G404,2)</f>
        <v>5846.93</v>
      </c>
      <c r="I404" s="154"/>
      <c r="J404" s="74">
        <f>12.08+10.53+4.2+7.06+2.82+31.04+156.12+4.5+4.41</f>
        <v>232.76</v>
      </c>
      <c r="K404" s="178" t="s">
        <v>332</v>
      </c>
      <c r="L404" s="12">
        <f>36+24</f>
        <v>60</v>
      </c>
      <c r="M404" s="97"/>
      <c r="N404" s="160"/>
      <c r="O404" s="97"/>
      <c r="P404" s="107"/>
      <c r="Q404" s="99"/>
      <c r="R404" s="6"/>
    </row>
    <row r="405" spans="1:18" s="131" customFormat="1" ht="22.5" outlineLevel="1" x14ac:dyDescent="0.2">
      <c r="A405" s="49" t="s">
        <v>165</v>
      </c>
      <c r="B405" s="47">
        <v>88486</v>
      </c>
      <c r="C405" s="48" t="s">
        <v>232</v>
      </c>
      <c r="D405" s="49" t="s">
        <v>24</v>
      </c>
      <c r="E405" s="103">
        <f t="shared" si="54"/>
        <v>232.76</v>
      </c>
      <c r="F405" s="50">
        <v>9.9499999999999993</v>
      </c>
      <c r="G405" s="51">
        <f t="shared" si="55"/>
        <v>12.53</v>
      </c>
      <c r="H405" s="51">
        <f t="shared" si="56"/>
        <v>2916.48</v>
      </c>
      <c r="I405" s="154"/>
      <c r="J405" s="74">
        <f>12.08+10.53+4.2+7.06+2.82+31.04+156.12+4.5+4.41</f>
        <v>232.76</v>
      </c>
      <c r="K405" s="12"/>
      <c r="L405" s="12">
        <f>L404</f>
        <v>60</v>
      </c>
      <c r="M405" s="97"/>
      <c r="N405" s="160"/>
      <c r="O405" s="97"/>
      <c r="P405" s="107"/>
      <c r="Q405" s="99"/>
      <c r="R405" s="6"/>
    </row>
    <row r="406" spans="1:18" s="131" customFormat="1" outlineLevel="1" x14ac:dyDescent="0.2">
      <c r="A406" s="49" t="s">
        <v>166</v>
      </c>
      <c r="B406" s="47">
        <v>88497</v>
      </c>
      <c r="C406" s="68" t="s">
        <v>233</v>
      </c>
      <c r="D406" s="49" t="s">
        <v>24</v>
      </c>
      <c r="E406" s="103">
        <f t="shared" si="54"/>
        <v>120.06500000000001</v>
      </c>
      <c r="F406" s="50">
        <v>11.24</v>
      </c>
      <c r="G406" s="51">
        <f t="shared" si="55"/>
        <v>14.16</v>
      </c>
      <c r="H406" s="51">
        <f t="shared" si="56"/>
        <v>1700.12</v>
      </c>
      <c r="I406" s="154"/>
      <c r="J406" s="74">
        <f>(22.32+11.88+9.46)*2.75</f>
        <v>120.06500000000001</v>
      </c>
      <c r="K406" s="12"/>
      <c r="L406" s="12">
        <f>267.52-L402</f>
        <v>106.79999999999998</v>
      </c>
      <c r="M406" s="97"/>
      <c r="N406" s="160"/>
      <c r="O406" s="97"/>
      <c r="P406" s="107"/>
      <c r="Q406" s="99"/>
      <c r="R406" s="6"/>
    </row>
    <row r="407" spans="1:18" s="131" customFormat="1" ht="22.5" outlineLevel="1" x14ac:dyDescent="0.2">
      <c r="A407" s="49" t="s">
        <v>167</v>
      </c>
      <c r="B407" s="47">
        <v>88489</v>
      </c>
      <c r="C407" s="48" t="s">
        <v>109</v>
      </c>
      <c r="D407" s="49" t="s">
        <v>24</v>
      </c>
      <c r="E407" s="103">
        <f t="shared" si="54"/>
        <v>461.67899999999997</v>
      </c>
      <c r="F407" s="50">
        <v>11.3</v>
      </c>
      <c r="G407" s="51">
        <f t="shared" si="55"/>
        <v>14.23</v>
      </c>
      <c r="H407" s="51">
        <f t="shared" si="56"/>
        <v>6569.69</v>
      </c>
      <c r="I407" s="154"/>
      <c r="J407" s="74">
        <f>(15.5+14.04+8.2)*1.1+(22.32+1.88+8.54+8.64+12.14+12.14+9.46)*3.1+3.15*(21.19+12.38+19.87+12.38)-(13*1.2*1.1+4*0.6*1.2)</f>
        <v>461.67899999999997</v>
      </c>
      <c r="K407" s="12" t="s">
        <v>67</v>
      </c>
      <c r="L407" s="12">
        <f>(52.4+29.3)*3.3</f>
        <v>269.61</v>
      </c>
      <c r="M407" s="97"/>
      <c r="N407" s="160"/>
      <c r="O407" s="97"/>
      <c r="P407" s="107"/>
      <c r="Q407" s="99"/>
      <c r="R407" s="6"/>
    </row>
    <row r="408" spans="1:18" s="131" customFormat="1" ht="22.5" outlineLevel="1" x14ac:dyDescent="0.2">
      <c r="A408" s="49" t="s">
        <v>168</v>
      </c>
      <c r="B408" s="47">
        <v>100725</v>
      </c>
      <c r="C408" s="48" t="s">
        <v>805</v>
      </c>
      <c r="D408" s="49" t="s">
        <v>24</v>
      </c>
      <c r="E408" s="103">
        <f>8*2</f>
        <v>16</v>
      </c>
      <c r="F408" s="50">
        <v>12.3</v>
      </c>
      <c r="G408" s="51">
        <f t="shared" ref="G408" si="57">TRUNC(F408*$J$13,2)</f>
        <v>15.49</v>
      </c>
      <c r="H408" s="51">
        <f t="shared" ref="H408" si="58">TRUNC(E408*G408,2)</f>
        <v>247.84</v>
      </c>
      <c r="I408" s="154"/>
      <c r="J408" s="74"/>
      <c r="K408" s="12"/>
      <c r="L408" s="12"/>
      <c r="M408" s="97"/>
      <c r="N408" s="160"/>
      <c r="O408" s="97"/>
      <c r="P408" s="107"/>
      <c r="Q408" s="99"/>
      <c r="R408" s="6"/>
    </row>
    <row r="409" spans="1:18" s="131" customFormat="1" ht="22.5" outlineLevel="1" x14ac:dyDescent="0.2">
      <c r="A409" s="49" t="s">
        <v>170</v>
      </c>
      <c r="B409" s="47">
        <v>100727</v>
      </c>
      <c r="C409" s="105" t="s">
        <v>806</v>
      </c>
      <c r="D409" s="49" t="s">
        <v>24</v>
      </c>
      <c r="E409" s="103">
        <f>42.4*2</f>
        <v>84.8</v>
      </c>
      <c r="F409" s="50">
        <v>11.97</v>
      </c>
      <c r="G409" s="51">
        <f t="shared" si="55"/>
        <v>15.08</v>
      </c>
      <c r="H409" s="51">
        <f t="shared" si="56"/>
        <v>1278.78</v>
      </c>
      <c r="I409" s="154"/>
      <c r="J409" s="74"/>
      <c r="K409" s="12"/>
      <c r="L409" s="12"/>
      <c r="M409" s="97"/>
      <c r="N409" s="160"/>
      <c r="O409" s="97"/>
      <c r="P409" s="107"/>
      <c r="Q409" s="99"/>
      <c r="R409" s="6"/>
    </row>
    <row r="410" spans="1:18" s="131" customFormat="1" outlineLevel="1" x14ac:dyDescent="0.2">
      <c r="A410" s="49" t="s">
        <v>172</v>
      </c>
      <c r="B410" s="47">
        <v>88488</v>
      </c>
      <c r="C410" s="48" t="s">
        <v>333</v>
      </c>
      <c r="D410" s="49" t="s">
        <v>24</v>
      </c>
      <c r="E410" s="103">
        <f t="shared" si="54"/>
        <v>67.160000000000011</v>
      </c>
      <c r="F410" s="50">
        <v>12.65</v>
      </c>
      <c r="G410" s="51">
        <f t="shared" si="55"/>
        <v>15.93</v>
      </c>
      <c r="H410" s="51">
        <f t="shared" si="56"/>
        <v>1069.8499999999999</v>
      </c>
      <c r="I410" s="154"/>
      <c r="J410" s="74">
        <f>21.19+12.4+19.87+1.32+12.38</f>
        <v>67.160000000000011</v>
      </c>
      <c r="K410" s="178" t="s">
        <v>334</v>
      </c>
      <c r="L410" s="12">
        <f>1.5*4*6</f>
        <v>36</v>
      </c>
      <c r="M410" s="97"/>
      <c r="N410" s="160"/>
      <c r="O410" s="97"/>
      <c r="P410" s="107"/>
      <c r="Q410" s="99"/>
      <c r="R410" s="6"/>
    </row>
    <row r="411" spans="1:18" s="131" customFormat="1" outlineLevel="1" x14ac:dyDescent="0.2">
      <c r="A411" s="49" t="s">
        <v>174</v>
      </c>
      <c r="B411" s="47">
        <v>100725</v>
      </c>
      <c r="C411" s="48" t="s">
        <v>114</v>
      </c>
      <c r="D411" s="49" t="s">
        <v>24</v>
      </c>
      <c r="E411" s="103">
        <f t="shared" si="54"/>
        <v>3.3600000000000003</v>
      </c>
      <c r="F411" s="50">
        <v>16.12</v>
      </c>
      <c r="G411" s="51">
        <f t="shared" si="55"/>
        <v>20.309999999999999</v>
      </c>
      <c r="H411" s="51">
        <f t="shared" si="56"/>
        <v>68.239999999999995</v>
      </c>
      <c r="I411" s="154"/>
      <c r="J411" s="74">
        <f>0.8*2.1*2</f>
        <v>3.3600000000000003</v>
      </c>
      <c r="K411" s="12"/>
      <c r="L411" s="12"/>
      <c r="M411" s="97"/>
      <c r="N411" s="160"/>
      <c r="O411" s="97"/>
      <c r="P411" s="107"/>
      <c r="Q411" s="99"/>
      <c r="R411" s="6"/>
    </row>
    <row r="412" spans="1:18" s="131" customFormat="1" outlineLevel="1" x14ac:dyDescent="0.2">
      <c r="A412" s="73" t="s">
        <v>187</v>
      </c>
      <c r="B412" s="66"/>
      <c r="C412" s="43" t="s">
        <v>118</v>
      </c>
      <c r="D412" s="41"/>
      <c r="E412" s="43"/>
      <c r="F412" s="43"/>
      <c r="G412" s="67" t="s">
        <v>39</v>
      </c>
      <c r="H412" s="41"/>
      <c r="I412" s="44">
        <f>SUM(H413:H436)</f>
        <v>20563.669999999998</v>
      </c>
      <c r="J412" s="74"/>
      <c r="K412" s="12"/>
      <c r="L412" s="12"/>
      <c r="M412" s="97"/>
      <c r="N412" s="160"/>
      <c r="O412" s="97"/>
      <c r="P412" s="107"/>
      <c r="Q412" s="99"/>
      <c r="R412" s="6"/>
    </row>
    <row r="413" spans="1:18" s="131" customFormat="1" ht="22.5" outlineLevel="1" x14ac:dyDescent="0.2">
      <c r="A413" s="49" t="s">
        <v>189</v>
      </c>
      <c r="B413" s="47">
        <v>91932</v>
      </c>
      <c r="C413" s="48" t="s">
        <v>120</v>
      </c>
      <c r="D413" s="49" t="s">
        <v>56</v>
      </c>
      <c r="E413" s="50">
        <v>100</v>
      </c>
      <c r="F413" s="50">
        <v>9.9499999999999993</v>
      </c>
      <c r="G413" s="51">
        <f t="shared" ref="G413:G434" si="59">TRUNC(F413*$J$13,2)</f>
        <v>12.53</v>
      </c>
      <c r="H413" s="51">
        <f>TRUNC(E413*G413,2)</f>
        <v>1253</v>
      </c>
      <c r="I413" s="106"/>
      <c r="J413" s="74"/>
      <c r="K413" s="12"/>
      <c r="L413" s="12"/>
      <c r="M413" s="97"/>
      <c r="N413" s="160"/>
      <c r="O413" s="97"/>
      <c r="P413" s="107"/>
      <c r="Q413" s="99"/>
      <c r="R413" s="6"/>
    </row>
    <row r="414" spans="1:18" s="131" customFormat="1" ht="22.5" outlineLevel="1" x14ac:dyDescent="0.2">
      <c r="A414" s="49" t="s">
        <v>201</v>
      </c>
      <c r="B414" s="47">
        <v>92981</v>
      </c>
      <c r="C414" s="48" t="s">
        <v>336</v>
      </c>
      <c r="D414" s="49" t="s">
        <v>56</v>
      </c>
      <c r="E414" s="50">
        <f t="shared" ref="E414:E436" si="60">J414</f>
        <v>70.39</v>
      </c>
      <c r="F414" s="50">
        <v>10.3</v>
      </c>
      <c r="G414" s="51">
        <f t="shared" si="59"/>
        <v>12.97</v>
      </c>
      <c r="H414" s="51">
        <f>TRUNC(E414*G414,2)</f>
        <v>912.95</v>
      </c>
      <c r="I414" s="106"/>
      <c r="J414" s="74">
        <f>24.63+4*(6.44+2.5+2.5)</f>
        <v>70.39</v>
      </c>
      <c r="K414" s="12"/>
      <c r="L414" s="12"/>
      <c r="M414" s="97"/>
      <c r="N414" s="160"/>
      <c r="O414" s="97"/>
      <c r="P414" s="107"/>
      <c r="Q414" s="99"/>
      <c r="R414" s="6"/>
    </row>
    <row r="415" spans="1:18" s="131" customFormat="1" ht="22.5" outlineLevel="1" x14ac:dyDescent="0.2">
      <c r="A415" s="49" t="s">
        <v>237</v>
      </c>
      <c r="B415" s="47">
        <v>92985</v>
      </c>
      <c r="C415" s="48" t="s">
        <v>337</v>
      </c>
      <c r="D415" s="49" t="s">
        <v>56</v>
      </c>
      <c r="E415" s="50">
        <f t="shared" si="60"/>
        <v>83.88</v>
      </c>
      <c r="F415" s="50">
        <v>23.91</v>
      </c>
      <c r="G415" s="51">
        <f t="shared" si="59"/>
        <v>30.12</v>
      </c>
      <c r="H415" s="51">
        <f>TRUNC(E415*G415,2)</f>
        <v>2526.46</v>
      </c>
      <c r="I415" s="106"/>
      <c r="J415" s="74">
        <f>(2.5+2.5+22.96)*3</f>
        <v>83.88</v>
      </c>
      <c r="K415" s="12"/>
      <c r="L415" s="12"/>
      <c r="M415" s="97"/>
      <c r="N415" s="160"/>
      <c r="O415" s="97"/>
      <c r="P415" s="107"/>
      <c r="Q415" s="99"/>
      <c r="R415" s="6"/>
    </row>
    <row r="416" spans="1:18" s="131" customFormat="1" ht="22.5" outlineLevel="1" x14ac:dyDescent="0.2">
      <c r="A416" s="49" t="s">
        <v>238</v>
      </c>
      <c r="B416" s="47">
        <v>91930</v>
      </c>
      <c r="C416" s="48" t="s">
        <v>122</v>
      </c>
      <c r="D416" s="49" t="s">
        <v>56</v>
      </c>
      <c r="E416" s="50">
        <f t="shared" si="60"/>
        <v>229.65000000000003</v>
      </c>
      <c r="F416" s="50">
        <v>6.06</v>
      </c>
      <c r="G416" s="51">
        <f t="shared" si="59"/>
        <v>7.63</v>
      </c>
      <c r="H416" s="51">
        <f>TRUNC(E416*G416,2)</f>
        <v>1752.22</v>
      </c>
      <c r="I416" s="106"/>
      <c r="J416" s="74">
        <f>3*(2.5+20.78)+3*(2.5+22.78)+3*(2.5+9.89)+3*(2.5+13.1)</f>
        <v>229.65000000000003</v>
      </c>
      <c r="K416" s="12"/>
      <c r="L416" s="12"/>
      <c r="M416" s="97"/>
      <c r="N416" s="160"/>
      <c r="O416" s="97"/>
      <c r="P416" s="107"/>
      <c r="Q416" s="99"/>
      <c r="R416" s="6"/>
    </row>
    <row r="417" spans="1:18" s="131" customFormat="1" ht="22.5" outlineLevel="1" x14ac:dyDescent="0.2">
      <c r="A417" s="49" t="s">
        <v>239</v>
      </c>
      <c r="B417" s="47">
        <v>91928</v>
      </c>
      <c r="C417" s="48" t="s">
        <v>124</v>
      </c>
      <c r="D417" s="49" t="s">
        <v>56</v>
      </c>
      <c r="E417" s="50">
        <f t="shared" si="60"/>
        <v>87.33</v>
      </c>
      <c r="F417" s="50">
        <v>4.42</v>
      </c>
      <c r="G417" s="51">
        <f t="shared" si="59"/>
        <v>5.56</v>
      </c>
      <c r="H417" s="51">
        <f t="shared" ref="H417:H434" si="61">TRUNC(E417*G417,2)</f>
        <v>485.55</v>
      </c>
      <c r="I417" s="106"/>
      <c r="J417" s="74">
        <f>(2.5+26.61)*3</f>
        <v>87.33</v>
      </c>
      <c r="K417" s="12"/>
      <c r="L417" s="12"/>
      <c r="M417" s="97"/>
      <c r="N417" s="160"/>
      <c r="O417" s="97"/>
      <c r="P417" s="107"/>
      <c r="Q417" s="99"/>
      <c r="R417" s="6"/>
    </row>
    <row r="418" spans="1:18" s="131" customFormat="1" ht="22.5" outlineLevel="1" x14ac:dyDescent="0.2">
      <c r="A418" s="49" t="s">
        <v>240</v>
      </c>
      <c r="B418" s="47">
        <v>91927</v>
      </c>
      <c r="C418" s="48" t="s">
        <v>126</v>
      </c>
      <c r="D418" s="49" t="s">
        <v>56</v>
      </c>
      <c r="E418" s="50">
        <f t="shared" si="60"/>
        <v>322.20000000000005</v>
      </c>
      <c r="F418" s="50">
        <v>3.58</v>
      </c>
      <c r="G418" s="51">
        <f t="shared" si="59"/>
        <v>4.51</v>
      </c>
      <c r="H418" s="51">
        <f t="shared" si="61"/>
        <v>1453.12</v>
      </c>
      <c r="I418" s="106"/>
      <c r="J418" s="74">
        <f>(2.5+3.2+1.9)*3+(2.5+9.62+2.9)*3+(2.5+17.81+2.9+2.5+22.93+2.9)*3+(2.5+27.84+2.9)*3</f>
        <v>322.20000000000005</v>
      </c>
      <c r="K418" s="12"/>
      <c r="L418" s="12"/>
      <c r="M418" s="97"/>
      <c r="N418" s="160"/>
      <c r="O418" s="97"/>
      <c r="P418" s="107"/>
      <c r="Q418" s="99"/>
      <c r="R418" s="6"/>
    </row>
    <row r="419" spans="1:18" s="131" customFormat="1" ht="22.5" outlineLevel="1" x14ac:dyDescent="0.2">
      <c r="A419" s="49" t="s">
        <v>241</v>
      </c>
      <c r="B419" s="47">
        <v>90447</v>
      </c>
      <c r="C419" s="48" t="s">
        <v>128</v>
      </c>
      <c r="D419" s="49" t="s">
        <v>56</v>
      </c>
      <c r="E419" s="50">
        <f t="shared" si="60"/>
        <v>35</v>
      </c>
      <c r="F419" s="50">
        <v>4.45</v>
      </c>
      <c r="G419" s="51">
        <f t="shared" si="59"/>
        <v>5.6</v>
      </c>
      <c r="H419" s="51">
        <f t="shared" si="61"/>
        <v>196</v>
      </c>
      <c r="I419" s="106"/>
      <c r="J419" s="74">
        <v>35</v>
      </c>
      <c r="K419" s="12"/>
      <c r="L419" s="12"/>
      <c r="M419" s="97"/>
      <c r="N419" s="160"/>
      <c r="O419" s="97"/>
      <c r="P419" s="107"/>
      <c r="Q419" s="99"/>
      <c r="R419" s="6"/>
    </row>
    <row r="420" spans="1:18" s="131" customFormat="1" ht="22.5" outlineLevel="1" x14ac:dyDescent="0.2">
      <c r="A420" s="49" t="s">
        <v>242</v>
      </c>
      <c r="B420" s="47">
        <v>91836</v>
      </c>
      <c r="C420" s="48" t="s">
        <v>131</v>
      </c>
      <c r="D420" s="49" t="s">
        <v>56</v>
      </c>
      <c r="E420" s="50">
        <f t="shared" si="60"/>
        <v>217.10999999999999</v>
      </c>
      <c r="F420" s="50">
        <v>7.55</v>
      </c>
      <c r="G420" s="51">
        <f t="shared" si="59"/>
        <v>9.51</v>
      </c>
      <c r="H420" s="51">
        <f t="shared" si="61"/>
        <v>2064.71</v>
      </c>
      <c r="I420" s="106"/>
      <c r="J420" s="74">
        <f>24.63+6.44+2.5+2.5+2.5+2.5+22.96+2.5+20.76+2.5+22.78+2.5+9.89+2.5+13.1+2.5+20.78+2.5+22.78+2.5+9.89+2.5+13.1</f>
        <v>217.10999999999999</v>
      </c>
      <c r="K420" s="74">
        <f>(2.5+2.5+22.96)</f>
        <v>27.96</v>
      </c>
      <c r="L420" s="74">
        <f>(2.5+20.78)+(2.5+22.78)+(2.5+9.89)+(2.5+13.1)</f>
        <v>76.55</v>
      </c>
      <c r="M420" s="74">
        <f>(2.5+20.78)+(2.5+22.78)+(2.5+9.89)+(2.5+13.1)</f>
        <v>76.55</v>
      </c>
      <c r="N420" s="160"/>
      <c r="O420" s="97"/>
      <c r="P420" s="107"/>
      <c r="Q420" s="99"/>
      <c r="R420" s="6"/>
    </row>
    <row r="421" spans="1:18" s="131" customFormat="1" ht="22.5" outlineLevel="1" x14ac:dyDescent="0.2">
      <c r="A421" s="49" t="s">
        <v>243</v>
      </c>
      <c r="B421" s="47">
        <v>92004</v>
      </c>
      <c r="C421" s="48" t="s">
        <v>338</v>
      </c>
      <c r="D421" s="49" t="s">
        <v>45</v>
      </c>
      <c r="E421" s="50">
        <f t="shared" si="60"/>
        <v>8</v>
      </c>
      <c r="F421" s="50">
        <v>32.01</v>
      </c>
      <c r="G421" s="51">
        <f t="shared" si="59"/>
        <v>40.33</v>
      </c>
      <c r="H421" s="51">
        <f t="shared" si="61"/>
        <v>322.64</v>
      </c>
      <c r="I421" s="106"/>
      <c r="J421" s="74">
        <v>8</v>
      </c>
      <c r="K421" s="51">
        <f>TRUNC(H421*J421,2)</f>
        <v>2581.12</v>
      </c>
      <c r="L421" s="12"/>
      <c r="M421" s="97"/>
      <c r="N421" s="160"/>
      <c r="O421" s="97"/>
      <c r="P421" s="107"/>
      <c r="Q421" s="99"/>
      <c r="R421" s="6"/>
    </row>
    <row r="422" spans="1:18" s="131" customFormat="1" ht="22.5" outlineLevel="1" x14ac:dyDescent="0.2">
      <c r="A422" s="49" t="s">
        <v>244</v>
      </c>
      <c r="B422" s="47">
        <v>92008</v>
      </c>
      <c r="C422" s="48" t="s">
        <v>339</v>
      </c>
      <c r="D422" s="49" t="s">
        <v>45</v>
      </c>
      <c r="E422" s="50">
        <f t="shared" si="60"/>
        <v>14</v>
      </c>
      <c r="F422" s="50">
        <v>27.23</v>
      </c>
      <c r="G422" s="51">
        <f t="shared" si="59"/>
        <v>34.299999999999997</v>
      </c>
      <c r="H422" s="51">
        <f t="shared" si="61"/>
        <v>480.2</v>
      </c>
      <c r="I422" s="106"/>
      <c r="J422" s="74">
        <v>14</v>
      </c>
      <c r="K422" s="12"/>
      <c r="L422" s="12"/>
      <c r="M422" s="97"/>
      <c r="N422" s="160"/>
      <c r="O422" s="97"/>
      <c r="P422" s="107"/>
      <c r="Q422" s="99"/>
      <c r="R422" s="6"/>
    </row>
    <row r="423" spans="1:18" s="131" customFormat="1" ht="22.5" outlineLevel="1" x14ac:dyDescent="0.2">
      <c r="A423" s="49" t="s">
        <v>245</v>
      </c>
      <c r="B423" s="47">
        <v>93653</v>
      </c>
      <c r="C423" s="48" t="s">
        <v>142</v>
      </c>
      <c r="D423" s="49" t="s">
        <v>45</v>
      </c>
      <c r="E423" s="50">
        <f t="shared" si="60"/>
        <v>5</v>
      </c>
      <c r="F423" s="50">
        <v>9.3699999999999992</v>
      </c>
      <c r="G423" s="51">
        <f t="shared" si="59"/>
        <v>11.8</v>
      </c>
      <c r="H423" s="51">
        <f t="shared" si="61"/>
        <v>59</v>
      </c>
      <c r="I423" s="106"/>
      <c r="J423" s="74">
        <f>5</f>
        <v>5</v>
      </c>
      <c r="K423" s="12"/>
      <c r="L423" s="12"/>
      <c r="M423" s="97"/>
      <c r="N423" s="160"/>
      <c r="O423" s="97"/>
      <c r="P423" s="107"/>
      <c r="Q423" s="99"/>
      <c r="R423" s="6"/>
    </row>
    <row r="424" spans="1:18" s="131" customFormat="1" ht="22.5" outlineLevel="1" x14ac:dyDescent="0.2">
      <c r="A424" s="49" t="s">
        <v>369</v>
      </c>
      <c r="B424" s="47">
        <v>93655</v>
      </c>
      <c r="C424" s="48" t="s">
        <v>143</v>
      </c>
      <c r="D424" s="49" t="s">
        <v>45</v>
      </c>
      <c r="E424" s="50">
        <v>3</v>
      </c>
      <c r="F424" s="50">
        <v>10.59</v>
      </c>
      <c r="G424" s="51">
        <f t="shared" si="59"/>
        <v>13.34</v>
      </c>
      <c r="H424" s="51">
        <f t="shared" si="61"/>
        <v>40.020000000000003</v>
      </c>
      <c r="I424" s="106"/>
      <c r="J424" s="74">
        <v>2</v>
      </c>
      <c r="K424" s="12"/>
      <c r="L424" s="12"/>
      <c r="M424" s="97"/>
      <c r="N424" s="160"/>
      <c r="O424" s="97"/>
      <c r="P424" s="107"/>
      <c r="Q424" s="99"/>
      <c r="R424" s="6"/>
    </row>
    <row r="425" spans="1:18" s="131" customFormat="1" ht="22.5" outlineLevel="1" x14ac:dyDescent="0.2">
      <c r="A425" s="49" t="s">
        <v>340</v>
      </c>
      <c r="B425" s="47">
        <v>93657</v>
      </c>
      <c r="C425" s="48" t="s">
        <v>144</v>
      </c>
      <c r="D425" s="49" t="s">
        <v>45</v>
      </c>
      <c r="E425" s="50">
        <v>3</v>
      </c>
      <c r="F425" s="50">
        <v>11.59</v>
      </c>
      <c r="G425" s="51">
        <f t="shared" si="59"/>
        <v>14.6</v>
      </c>
      <c r="H425" s="51">
        <f t="shared" si="61"/>
        <v>43.8</v>
      </c>
      <c r="I425" s="106"/>
      <c r="J425" s="74">
        <f>2+6</f>
        <v>8</v>
      </c>
      <c r="K425" s="12"/>
      <c r="L425" s="12"/>
      <c r="M425" s="97"/>
      <c r="N425" s="160"/>
      <c r="O425" s="97"/>
      <c r="P425" s="107"/>
      <c r="Q425" s="99"/>
      <c r="R425" s="6"/>
    </row>
    <row r="426" spans="1:18" s="131" customFormat="1" ht="22.5" outlineLevel="1" x14ac:dyDescent="0.2">
      <c r="A426" s="49" t="s">
        <v>341</v>
      </c>
      <c r="B426" s="47">
        <v>93660</v>
      </c>
      <c r="C426" s="48" t="s">
        <v>145</v>
      </c>
      <c r="D426" s="49" t="s">
        <v>45</v>
      </c>
      <c r="E426" s="50">
        <v>4</v>
      </c>
      <c r="F426" s="50">
        <v>46.9</v>
      </c>
      <c r="G426" s="51">
        <f t="shared" ref="G426:G431" si="62">TRUNC(F426*$J$13,2)</f>
        <v>59.09</v>
      </c>
      <c r="H426" s="51">
        <f t="shared" ref="H426:H431" si="63">TRUNC(E426*G426,2)</f>
        <v>236.36</v>
      </c>
      <c r="I426" s="106"/>
      <c r="J426" s="74"/>
      <c r="K426" s="12"/>
      <c r="L426" s="12"/>
      <c r="M426" s="97"/>
      <c r="N426" s="160"/>
      <c r="O426" s="97"/>
      <c r="P426" s="107"/>
      <c r="Q426" s="99"/>
      <c r="R426" s="6"/>
    </row>
    <row r="427" spans="1:18" s="131" customFormat="1" ht="22.5" outlineLevel="1" x14ac:dyDescent="0.2">
      <c r="A427" s="49" t="s">
        <v>344</v>
      </c>
      <c r="B427" s="47">
        <v>93662</v>
      </c>
      <c r="C427" s="48" t="s">
        <v>146</v>
      </c>
      <c r="D427" s="49" t="s">
        <v>45</v>
      </c>
      <c r="E427" s="50">
        <v>3</v>
      </c>
      <c r="F427" s="50">
        <v>49.38</v>
      </c>
      <c r="G427" s="51">
        <f t="shared" si="62"/>
        <v>62.21</v>
      </c>
      <c r="H427" s="51">
        <f t="shared" si="63"/>
        <v>186.63</v>
      </c>
      <c r="I427" s="106"/>
      <c r="J427" s="74"/>
      <c r="K427" s="12"/>
      <c r="L427" s="12"/>
      <c r="M427" s="97"/>
      <c r="N427" s="160"/>
      <c r="O427" s="97"/>
      <c r="P427" s="107"/>
      <c r="Q427" s="99"/>
      <c r="R427" s="6"/>
    </row>
    <row r="428" spans="1:18" s="131" customFormat="1" ht="22.5" outlineLevel="1" x14ac:dyDescent="0.2">
      <c r="A428" s="49" t="s">
        <v>347</v>
      </c>
      <c r="B428" s="47">
        <v>93664</v>
      </c>
      <c r="C428" s="48" t="s">
        <v>147</v>
      </c>
      <c r="D428" s="49" t="s">
        <v>45</v>
      </c>
      <c r="E428" s="50">
        <v>3</v>
      </c>
      <c r="F428" s="50">
        <v>51.34</v>
      </c>
      <c r="G428" s="51">
        <f t="shared" si="62"/>
        <v>64.680000000000007</v>
      </c>
      <c r="H428" s="51">
        <f t="shared" si="63"/>
        <v>194.04</v>
      </c>
      <c r="I428" s="106"/>
      <c r="J428" s="74"/>
      <c r="K428" s="12"/>
      <c r="L428" s="12"/>
      <c r="M428" s="97"/>
      <c r="N428" s="160"/>
      <c r="O428" s="97"/>
      <c r="P428" s="107"/>
      <c r="Q428" s="99"/>
      <c r="R428" s="6"/>
    </row>
    <row r="429" spans="1:18" s="131" customFormat="1" ht="22.5" outlineLevel="1" x14ac:dyDescent="0.2">
      <c r="A429" s="49" t="s">
        <v>246</v>
      </c>
      <c r="B429" s="47">
        <v>93673</v>
      </c>
      <c r="C429" s="48" t="s">
        <v>148</v>
      </c>
      <c r="D429" s="49" t="s">
        <v>45</v>
      </c>
      <c r="E429" s="50">
        <v>3</v>
      </c>
      <c r="F429" s="50">
        <v>75.680000000000007</v>
      </c>
      <c r="G429" s="51">
        <f t="shared" si="62"/>
        <v>95.35</v>
      </c>
      <c r="H429" s="51">
        <f t="shared" si="63"/>
        <v>286.05</v>
      </c>
      <c r="I429" s="106"/>
      <c r="J429" s="74"/>
      <c r="K429" s="12"/>
      <c r="L429" s="12"/>
      <c r="M429" s="97"/>
      <c r="N429" s="160"/>
      <c r="O429" s="97"/>
      <c r="P429" s="107"/>
      <c r="Q429" s="99"/>
      <c r="R429" s="6"/>
    </row>
    <row r="430" spans="1:18" s="131" customFormat="1" ht="22.5" outlineLevel="1" x14ac:dyDescent="0.2">
      <c r="A430" s="49" t="s">
        <v>247</v>
      </c>
      <c r="B430" s="47">
        <v>93667</v>
      </c>
      <c r="C430" s="48" t="s">
        <v>149</v>
      </c>
      <c r="D430" s="49" t="s">
        <v>45</v>
      </c>
      <c r="E430" s="50">
        <v>4</v>
      </c>
      <c r="F430" s="50">
        <v>58.47</v>
      </c>
      <c r="G430" s="51">
        <f t="shared" si="62"/>
        <v>73.67</v>
      </c>
      <c r="H430" s="51">
        <f t="shared" si="63"/>
        <v>294.68</v>
      </c>
      <c r="I430" s="106"/>
      <c r="J430" s="74"/>
      <c r="K430" s="12"/>
      <c r="L430" s="12"/>
      <c r="M430" s="97"/>
      <c r="N430" s="160"/>
      <c r="O430" s="97"/>
      <c r="P430" s="107"/>
      <c r="Q430" s="99"/>
      <c r="R430" s="6"/>
    </row>
    <row r="431" spans="1:18" s="131" customFormat="1" ht="22.5" outlineLevel="1" x14ac:dyDescent="0.2">
      <c r="A431" s="49" t="s">
        <v>248</v>
      </c>
      <c r="B431" s="47">
        <v>93669</v>
      </c>
      <c r="C431" s="48" t="s">
        <v>150</v>
      </c>
      <c r="D431" s="49" t="s">
        <v>45</v>
      </c>
      <c r="E431" s="50">
        <v>4</v>
      </c>
      <c r="F431" s="50">
        <v>62.18</v>
      </c>
      <c r="G431" s="51">
        <f t="shared" si="62"/>
        <v>78.34</v>
      </c>
      <c r="H431" s="51">
        <f t="shared" si="63"/>
        <v>313.36</v>
      </c>
      <c r="I431" s="106"/>
      <c r="J431" s="74"/>
      <c r="K431" s="12"/>
      <c r="L431" s="12"/>
      <c r="M431" s="97"/>
      <c r="N431" s="160"/>
      <c r="O431" s="97"/>
      <c r="P431" s="107"/>
      <c r="Q431" s="99"/>
      <c r="R431" s="6"/>
    </row>
    <row r="432" spans="1:18" s="131" customFormat="1" ht="33.75" outlineLevel="1" x14ac:dyDescent="0.2">
      <c r="A432" s="49" t="s">
        <v>249</v>
      </c>
      <c r="B432" s="47" t="s">
        <v>352</v>
      </c>
      <c r="C432" s="48" t="s">
        <v>353</v>
      </c>
      <c r="D432" s="49" t="s">
        <v>45</v>
      </c>
      <c r="E432" s="50">
        <f t="shared" si="60"/>
        <v>2</v>
      </c>
      <c r="F432" s="50">
        <v>459.34</v>
      </c>
      <c r="G432" s="51">
        <f>TRUNC(F432*$J$13,2)</f>
        <v>578.76</v>
      </c>
      <c r="H432" s="51">
        <f>TRUNC(E432*G432,2)</f>
        <v>1157.52</v>
      </c>
      <c r="I432" s="113"/>
      <c r="J432" s="74">
        <v>2</v>
      </c>
      <c r="K432" s="12"/>
      <c r="L432" s="12"/>
      <c r="M432" s="97"/>
      <c r="N432" s="160"/>
      <c r="O432" s="97"/>
      <c r="P432" s="107"/>
      <c r="Q432" s="99"/>
      <c r="R432" s="6"/>
    </row>
    <row r="433" spans="1:18" s="131" customFormat="1" ht="33.75" outlineLevel="1" x14ac:dyDescent="0.2">
      <c r="A433" s="49" t="s">
        <v>250</v>
      </c>
      <c r="B433" s="47" t="s">
        <v>154</v>
      </c>
      <c r="C433" s="48" t="s">
        <v>155</v>
      </c>
      <c r="D433" s="49" t="s">
        <v>45</v>
      </c>
      <c r="E433" s="50">
        <f t="shared" si="60"/>
        <v>1</v>
      </c>
      <c r="F433" s="50">
        <v>606.13</v>
      </c>
      <c r="G433" s="51">
        <f t="shared" si="59"/>
        <v>763.72</v>
      </c>
      <c r="H433" s="51">
        <f t="shared" si="61"/>
        <v>763.72</v>
      </c>
      <c r="I433" s="106"/>
      <c r="J433" s="74">
        <v>1</v>
      </c>
      <c r="K433" s="74">
        <f>(15.22-0.7-0.7)*2.6</f>
        <v>35.932000000000009</v>
      </c>
      <c r="L433" s="12"/>
      <c r="M433" s="97"/>
      <c r="N433" s="160"/>
      <c r="O433" s="97"/>
      <c r="P433" s="107"/>
      <c r="Q433" s="99"/>
      <c r="R433" s="6"/>
    </row>
    <row r="434" spans="1:18" s="131" customFormat="1" ht="22.5" outlineLevel="1" x14ac:dyDescent="0.2">
      <c r="A434" s="49" t="s">
        <v>251</v>
      </c>
      <c r="B434" s="47">
        <v>91941</v>
      </c>
      <c r="C434" s="48" t="s">
        <v>151</v>
      </c>
      <c r="D434" s="49" t="s">
        <v>45</v>
      </c>
      <c r="E434" s="50">
        <f t="shared" si="60"/>
        <v>22</v>
      </c>
      <c r="F434" s="50">
        <v>6.8</v>
      </c>
      <c r="G434" s="51">
        <f t="shared" si="59"/>
        <v>8.56</v>
      </c>
      <c r="H434" s="51">
        <f t="shared" si="61"/>
        <v>188.32</v>
      </c>
      <c r="I434" s="106"/>
      <c r="J434" s="74">
        <v>22</v>
      </c>
      <c r="K434" s="12"/>
      <c r="L434" s="12"/>
      <c r="M434" s="97"/>
      <c r="N434" s="160"/>
      <c r="O434" s="97"/>
      <c r="P434" s="107"/>
      <c r="Q434" s="99"/>
      <c r="R434" s="6"/>
    </row>
    <row r="435" spans="1:18" s="131" customFormat="1" ht="33.75" outlineLevel="1" x14ac:dyDescent="0.2">
      <c r="A435" s="49" t="s">
        <v>252</v>
      </c>
      <c r="B435" s="47" t="s">
        <v>159</v>
      </c>
      <c r="C435" s="48" t="s">
        <v>160</v>
      </c>
      <c r="D435" s="49" t="s">
        <v>56</v>
      </c>
      <c r="E435" s="50">
        <v>52</v>
      </c>
      <c r="F435" s="50">
        <v>73.09</v>
      </c>
      <c r="G435" s="51">
        <f>TRUNC(F435*$J$13,2)</f>
        <v>92.09</v>
      </c>
      <c r="H435" s="51">
        <f>TRUNC(E435*G435,2)</f>
        <v>4788.68</v>
      </c>
      <c r="I435" s="106"/>
      <c r="J435" s="74"/>
      <c r="K435" s="12"/>
      <c r="L435" s="12"/>
      <c r="M435" s="97"/>
      <c r="N435" s="160"/>
      <c r="O435" s="97"/>
      <c r="P435" s="107"/>
      <c r="Q435" s="99"/>
      <c r="R435" s="6"/>
    </row>
    <row r="436" spans="1:18" s="131" customFormat="1" ht="22.5" outlineLevel="1" x14ac:dyDescent="0.2">
      <c r="A436" s="49" t="s">
        <v>703</v>
      </c>
      <c r="B436" s="47">
        <v>93008</v>
      </c>
      <c r="C436" s="48" t="s">
        <v>354</v>
      </c>
      <c r="D436" s="49" t="s">
        <v>56</v>
      </c>
      <c r="E436" s="50">
        <f t="shared" si="60"/>
        <v>45.28</v>
      </c>
      <c r="F436" s="50">
        <v>9.9</v>
      </c>
      <c r="G436" s="51">
        <f>TRUNC(F436*$J$13,2)</f>
        <v>12.47</v>
      </c>
      <c r="H436" s="51">
        <f>TRUNC(E436*G436,2)</f>
        <v>564.64</v>
      </c>
      <c r="I436" s="106"/>
      <c r="J436" s="74">
        <f>40.28+2.5+2.5</f>
        <v>45.28</v>
      </c>
      <c r="K436" s="12"/>
      <c r="L436" s="12"/>
      <c r="M436" s="97"/>
      <c r="N436" s="160"/>
      <c r="O436" s="97"/>
      <c r="P436" s="107"/>
      <c r="Q436" s="99"/>
      <c r="R436" s="6"/>
    </row>
    <row r="437" spans="1:18" s="131" customFormat="1" outlineLevel="1" x14ac:dyDescent="0.2">
      <c r="A437" s="73" t="s">
        <v>209</v>
      </c>
      <c r="B437" s="66"/>
      <c r="C437" s="43" t="s">
        <v>162</v>
      </c>
      <c r="D437" s="41"/>
      <c r="E437" s="43"/>
      <c r="F437" s="43"/>
      <c r="G437" s="67" t="s">
        <v>39</v>
      </c>
      <c r="H437" s="41"/>
      <c r="I437" s="44">
        <f>SUM(H438:H443)</f>
        <v>5255.34</v>
      </c>
      <c r="J437" s="74"/>
      <c r="K437" s="12"/>
      <c r="L437" s="12"/>
      <c r="M437" s="97"/>
      <c r="N437" s="160"/>
      <c r="O437" s="97"/>
      <c r="P437" s="107"/>
      <c r="Q437" s="99"/>
      <c r="R437" s="6"/>
    </row>
    <row r="438" spans="1:18" s="131" customFormat="1" ht="22.5" outlineLevel="1" x14ac:dyDescent="0.2">
      <c r="A438" s="49" t="s">
        <v>209</v>
      </c>
      <c r="B438" s="47">
        <v>91844</v>
      </c>
      <c r="C438" s="122" t="s">
        <v>355</v>
      </c>
      <c r="D438" s="49" t="s">
        <v>56</v>
      </c>
      <c r="E438" s="50">
        <f>J438</f>
        <v>60.949999999999989</v>
      </c>
      <c r="F438" s="50">
        <v>4.29</v>
      </c>
      <c r="G438" s="51">
        <f>TRUNC(F438*$J$13,2)</f>
        <v>5.4</v>
      </c>
      <c r="H438" s="51">
        <f>TRUNC(E438*G438,2)</f>
        <v>329.13</v>
      </c>
      <c r="I438" s="106"/>
      <c r="J438" s="74">
        <f>J443</f>
        <v>60.949999999999989</v>
      </c>
      <c r="K438" s="12"/>
      <c r="L438" s="12"/>
      <c r="M438" s="97"/>
      <c r="N438" s="160"/>
      <c r="O438" s="97"/>
      <c r="P438" s="107"/>
      <c r="Q438" s="99"/>
      <c r="R438" s="6"/>
    </row>
    <row r="439" spans="1:18" s="131" customFormat="1" ht="22.5" outlineLevel="1" x14ac:dyDescent="0.2">
      <c r="A439" s="49" t="s">
        <v>253</v>
      </c>
      <c r="B439" s="47">
        <v>91941</v>
      </c>
      <c r="C439" s="122" t="s">
        <v>151</v>
      </c>
      <c r="D439" s="49" t="s">
        <v>45</v>
      </c>
      <c r="E439" s="50">
        <f>J439</f>
        <v>6</v>
      </c>
      <c r="F439" s="50">
        <v>6.8</v>
      </c>
      <c r="G439" s="51">
        <f>TRUNC(F439*$J$13,2)</f>
        <v>8.56</v>
      </c>
      <c r="H439" s="51">
        <f>TRUNC(E439*G439,2)</f>
        <v>51.36</v>
      </c>
      <c r="I439" s="106"/>
      <c r="J439" s="74">
        <v>6</v>
      </c>
      <c r="K439" s="12"/>
      <c r="L439" s="12"/>
      <c r="M439" s="97"/>
      <c r="N439" s="160"/>
      <c r="O439" s="97"/>
      <c r="P439" s="107"/>
      <c r="Q439" s="99"/>
      <c r="R439" s="6"/>
    </row>
    <row r="440" spans="1:18" s="131" customFormat="1" ht="22.5" outlineLevel="1" x14ac:dyDescent="0.2">
      <c r="A440" s="49" t="s">
        <v>210</v>
      </c>
      <c r="B440" s="47">
        <v>90447</v>
      </c>
      <c r="C440" s="122" t="s">
        <v>128</v>
      </c>
      <c r="D440" s="49" t="s">
        <v>56</v>
      </c>
      <c r="E440" s="50">
        <v>53</v>
      </c>
      <c r="F440" s="50">
        <v>4.45</v>
      </c>
      <c r="G440" s="51">
        <f t="shared" ref="G440:G442" si="64">TRUNC(F440*$J$13,2)</f>
        <v>5.6</v>
      </c>
      <c r="H440" s="51">
        <f t="shared" ref="H440:H442" si="65">TRUNC(E440*G440,2)</f>
        <v>296.8</v>
      </c>
      <c r="I440" s="106"/>
      <c r="J440" s="74"/>
      <c r="K440" s="12"/>
      <c r="L440" s="12"/>
      <c r="M440" s="97"/>
      <c r="N440" s="160"/>
      <c r="O440" s="97"/>
      <c r="P440" s="107"/>
      <c r="Q440" s="99"/>
      <c r="R440" s="6"/>
    </row>
    <row r="441" spans="1:18" s="131" customFormat="1" ht="33.75" outlineLevel="1" x14ac:dyDescent="0.2">
      <c r="A441" s="49" t="s">
        <v>254</v>
      </c>
      <c r="B441" s="47" t="s">
        <v>179</v>
      </c>
      <c r="C441" s="136" t="s">
        <v>180</v>
      </c>
      <c r="D441" s="49" t="s">
        <v>45</v>
      </c>
      <c r="E441" s="50">
        <v>1</v>
      </c>
      <c r="F441" s="50">
        <v>1489.4</v>
      </c>
      <c r="G441" s="51">
        <f t="shared" si="64"/>
        <v>1876.64</v>
      </c>
      <c r="H441" s="51">
        <f t="shared" si="65"/>
        <v>1876.64</v>
      </c>
      <c r="I441" s="106"/>
      <c r="J441" s="74"/>
      <c r="K441" s="12"/>
      <c r="L441" s="12"/>
      <c r="M441" s="97"/>
      <c r="N441" s="160"/>
      <c r="O441" s="97"/>
      <c r="P441" s="107"/>
      <c r="Q441" s="99"/>
      <c r="R441" s="6"/>
    </row>
    <row r="442" spans="1:18" s="131" customFormat="1" outlineLevel="1" x14ac:dyDescent="0.2">
      <c r="A442" s="49" t="s">
        <v>255</v>
      </c>
      <c r="B442" s="47">
        <v>98302</v>
      </c>
      <c r="C442" s="136" t="s">
        <v>175</v>
      </c>
      <c r="D442" s="49" t="s">
        <v>45</v>
      </c>
      <c r="E442" s="50">
        <v>4</v>
      </c>
      <c r="F442" s="50">
        <v>497.66</v>
      </c>
      <c r="G442" s="51">
        <f t="shared" si="64"/>
        <v>627.04999999999995</v>
      </c>
      <c r="H442" s="51">
        <f t="shared" si="65"/>
        <v>2508.1999999999998</v>
      </c>
      <c r="I442" s="106"/>
      <c r="J442" s="74"/>
      <c r="K442" s="12"/>
      <c r="L442" s="12"/>
      <c r="M442" s="97"/>
      <c r="N442" s="160"/>
      <c r="O442" s="97"/>
      <c r="P442" s="107"/>
      <c r="Q442" s="99"/>
      <c r="R442" s="6"/>
    </row>
    <row r="443" spans="1:18" s="131" customFormat="1" ht="22.5" outlineLevel="1" x14ac:dyDescent="0.2">
      <c r="A443" s="49" t="s">
        <v>256</v>
      </c>
      <c r="B443" s="119">
        <v>98296</v>
      </c>
      <c r="C443" s="105" t="s">
        <v>173</v>
      </c>
      <c r="D443" s="49" t="s">
        <v>56</v>
      </c>
      <c r="E443" s="50">
        <f>J443</f>
        <v>60.949999999999989</v>
      </c>
      <c r="F443" s="206">
        <v>2.52</v>
      </c>
      <c r="G443" s="51">
        <f>TRUNC(F443*$J$13,2)</f>
        <v>3.17</v>
      </c>
      <c r="H443" s="51">
        <f>TRUNC(E443*G443,2)</f>
        <v>193.21</v>
      </c>
      <c r="I443" s="106"/>
      <c r="J443" s="74">
        <f>2.9+0.8+2+10.32+0.8+2+13.74+0.8+2+1.48+2+10.33+0.8+2+6.98+2</f>
        <v>60.949999999999989</v>
      </c>
      <c r="K443" s="12"/>
      <c r="L443" s="12"/>
      <c r="M443" s="97"/>
      <c r="N443" s="160"/>
      <c r="O443" s="97"/>
      <c r="P443" s="107"/>
      <c r="Q443" s="99"/>
      <c r="R443" s="6"/>
    </row>
    <row r="444" spans="1:18" s="131" customFormat="1" outlineLevel="1" x14ac:dyDescent="0.2">
      <c r="A444" s="73" t="s">
        <v>212</v>
      </c>
      <c r="B444" s="66"/>
      <c r="C444" s="43" t="s">
        <v>188</v>
      </c>
      <c r="D444" s="41"/>
      <c r="E444" s="125"/>
      <c r="F444" s="43"/>
      <c r="G444" s="67" t="s">
        <v>39</v>
      </c>
      <c r="H444" s="41"/>
      <c r="I444" s="44">
        <f>SUM(H445:H466)</f>
        <v>10343.040000000001</v>
      </c>
      <c r="J444" s="74"/>
      <c r="K444" s="12"/>
      <c r="L444" s="12"/>
      <c r="M444" s="97"/>
      <c r="N444" s="160"/>
      <c r="O444" s="97"/>
      <c r="P444" s="107"/>
      <c r="Q444" s="99"/>
      <c r="R444" s="6"/>
    </row>
    <row r="445" spans="1:18" s="131" customFormat="1" outlineLevel="1" x14ac:dyDescent="0.2">
      <c r="A445" s="75" t="s">
        <v>214</v>
      </c>
      <c r="B445" s="47"/>
      <c r="C445" s="126" t="s">
        <v>190</v>
      </c>
      <c r="D445" s="49"/>
      <c r="E445" s="68"/>
      <c r="F445" s="78"/>
      <c r="G445" s="78"/>
      <c r="H445" s="127"/>
      <c r="I445" s="128"/>
      <c r="J445" s="74"/>
      <c r="K445" s="12"/>
      <c r="L445" s="12"/>
      <c r="M445" s="97"/>
      <c r="N445" s="160"/>
      <c r="O445" s="97"/>
      <c r="P445" s="107"/>
      <c r="Q445" s="99"/>
      <c r="R445" s="6"/>
    </row>
    <row r="446" spans="1:18" s="131" customFormat="1" ht="22.5" outlineLevel="1" x14ac:dyDescent="0.2">
      <c r="A446" s="49" t="s">
        <v>264</v>
      </c>
      <c r="B446" s="47">
        <v>90443</v>
      </c>
      <c r="C446" s="48" t="s">
        <v>191</v>
      </c>
      <c r="D446" s="49" t="s">
        <v>56</v>
      </c>
      <c r="E446" s="50">
        <f t="shared" ref="E446:E455" si="66">J446</f>
        <v>7</v>
      </c>
      <c r="F446" s="50">
        <v>8.9499999999999993</v>
      </c>
      <c r="G446" s="51">
        <f t="shared" ref="G446:G455" si="67">TRUNC(F446*$J$13,2)</f>
        <v>11.27</v>
      </c>
      <c r="H446" s="51">
        <f t="shared" ref="H446:H455" si="68">TRUNC(E446*G446,2)</f>
        <v>78.89</v>
      </c>
      <c r="I446" s="129"/>
      <c r="J446" s="74">
        <f>2.5*2.8</f>
        <v>7</v>
      </c>
      <c r="K446" s="12"/>
      <c r="L446" s="12"/>
      <c r="M446" s="97"/>
      <c r="N446" s="160"/>
      <c r="O446" s="97"/>
      <c r="P446" s="107"/>
      <c r="Q446" s="99"/>
      <c r="R446" s="6"/>
    </row>
    <row r="447" spans="1:18" s="131" customFormat="1" ht="22.5" outlineLevel="1" x14ac:dyDescent="0.2">
      <c r="A447" s="49" t="s">
        <v>265</v>
      </c>
      <c r="B447" s="47">
        <v>93358</v>
      </c>
      <c r="C447" s="48" t="s">
        <v>356</v>
      </c>
      <c r="D447" s="49" t="s">
        <v>42</v>
      </c>
      <c r="E447" s="50">
        <f t="shared" si="66"/>
        <v>1.236</v>
      </c>
      <c r="F447" s="50">
        <v>56.84</v>
      </c>
      <c r="G447" s="51">
        <f t="shared" si="67"/>
        <v>71.61</v>
      </c>
      <c r="H447" s="51">
        <f t="shared" si="68"/>
        <v>88.5</v>
      </c>
      <c r="I447" s="129"/>
      <c r="J447" s="74">
        <f>(5.01+2.23+1)*0.3*0.5</f>
        <v>1.236</v>
      </c>
      <c r="K447" s="12"/>
      <c r="L447" s="12"/>
      <c r="M447" s="97"/>
      <c r="N447" s="160"/>
      <c r="O447" s="97"/>
      <c r="P447" s="107"/>
      <c r="Q447" s="99"/>
      <c r="R447" s="6"/>
    </row>
    <row r="448" spans="1:18" s="131" customFormat="1" ht="33.75" outlineLevel="1" x14ac:dyDescent="0.2">
      <c r="A448" s="49" t="s">
        <v>266</v>
      </c>
      <c r="B448" s="47">
        <v>89707</v>
      </c>
      <c r="C448" s="48" t="s">
        <v>293</v>
      </c>
      <c r="D448" s="49" t="s">
        <v>45</v>
      </c>
      <c r="E448" s="50">
        <f t="shared" si="66"/>
        <v>3</v>
      </c>
      <c r="F448" s="50">
        <v>25.09</v>
      </c>
      <c r="G448" s="51">
        <f t="shared" si="67"/>
        <v>31.61</v>
      </c>
      <c r="H448" s="51">
        <f t="shared" si="68"/>
        <v>94.83</v>
      </c>
      <c r="I448" s="129"/>
      <c r="J448" s="74">
        <v>3</v>
      </c>
      <c r="K448" s="12"/>
      <c r="L448" s="12"/>
      <c r="M448" s="97"/>
      <c r="N448" s="160"/>
      <c r="O448" s="97"/>
      <c r="P448" s="107"/>
      <c r="Q448" s="99"/>
      <c r="R448" s="6"/>
    </row>
    <row r="449" spans="1:18" s="131" customFormat="1" ht="33.75" outlineLevel="1" x14ac:dyDescent="0.2">
      <c r="A449" s="49" t="s">
        <v>268</v>
      </c>
      <c r="B449" s="47">
        <v>95471</v>
      </c>
      <c r="C449" s="48" t="s">
        <v>281</v>
      </c>
      <c r="D449" s="49" t="s">
        <v>45</v>
      </c>
      <c r="E449" s="50">
        <f t="shared" si="66"/>
        <v>1</v>
      </c>
      <c r="F449" s="50">
        <v>611.63</v>
      </c>
      <c r="G449" s="51">
        <f t="shared" si="67"/>
        <v>770.65</v>
      </c>
      <c r="H449" s="51">
        <f t="shared" si="68"/>
        <v>770.65</v>
      </c>
      <c r="I449" s="129"/>
      <c r="J449" s="74">
        <v>1</v>
      </c>
      <c r="K449" s="12"/>
      <c r="L449" s="12"/>
      <c r="M449" s="97"/>
      <c r="N449" s="160"/>
      <c r="O449" s="97"/>
      <c r="P449" s="107"/>
      <c r="Q449" s="99"/>
      <c r="R449" s="6"/>
    </row>
    <row r="450" spans="1:18" s="131" customFormat="1" ht="33.75" outlineLevel="1" x14ac:dyDescent="0.2">
      <c r="A450" s="49" t="s">
        <v>270</v>
      </c>
      <c r="B450" s="47">
        <v>95470</v>
      </c>
      <c r="C450" s="48" t="s">
        <v>206</v>
      </c>
      <c r="D450" s="49" t="s">
        <v>45</v>
      </c>
      <c r="E450" s="50">
        <f t="shared" si="66"/>
        <v>4</v>
      </c>
      <c r="F450" s="50">
        <v>169.53</v>
      </c>
      <c r="G450" s="51">
        <f t="shared" si="67"/>
        <v>213.6</v>
      </c>
      <c r="H450" s="51">
        <f t="shared" si="68"/>
        <v>854.4</v>
      </c>
      <c r="I450" s="129"/>
      <c r="J450" s="74">
        <v>4</v>
      </c>
      <c r="K450" s="12"/>
      <c r="L450" s="12"/>
      <c r="M450" s="97"/>
      <c r="N450" s="160"/>
      <c r="O450" s="97"/>
      <c r="P450" s="107"/>
      <c r="Q450" s="99"/>
      <c r="R450" s="6"/>
    </row>
    <row r="451" spans="1:18" s="131" customFormat="1" ht="22.5" outlineLevel="1" x14ac:dyDescent="0.2">
      <c r="A451" s="49" t="s">
        <v>271</v>
      </c>
      <c r="B451" s="72">
        <v>86889</v>
      </c>
      <c r="C451" s="48" t="s">
        <v>269</v>
      </c>
      <c r="D451" s="49" t="s">
        <v>45</v>
      </c>
      <c r="E451" s="50">
        <f t="shared" si="66"/>
        <v>3</v>
      </c>
      <c r="F451" s="50">
        <v>574.45000000000005</v>
      </c>
      <c r="G451" s="51">
        <f t="shared" si="67"/>
        <v>723.8</v>
      </c>
      <c r="H451" s="51">
        <f t="shared" si="68"/>
        <v>2171.4</v>
      </c>
      <c r="I451" s="129"/>
      <c r="J451" s="74">
        <v>3</v>
      </c>
      <c r="K451" s="12"/>
      <c r="L451" s="12"/>
      <c r="M451" s="97"/>
      <c r="N451" s="160"/>
      <c r="O451" s="97"/>
      <c r="P451" s="107"/>
      <c r="Q451" s="99"/>
      <c r="R451" s="6"/>
    </row>
    <row r="452" spans="1:18" s="131" customFormat="1" outlineLevel="1" x14ac:dyDescent="0.2">
      <c r="A452" s="49" t="s">
        <v>272</v>
      </c>
      <c r="B452" s="47" t="s">
        <v>284</v>
      </c>
      <c r="C452" s="48" t="s">
        <v>285</v>
      </c>
      <c r="D452" s="49" t="s">
        <v>45</v>
      </c>
      <c r="E452" s="50">
        <f t="shared" si="66"/>
        <v>1</v>
      </c>
      <c r="F452" s="50">
        <v>690.19</v>
      </c>
      <c r="G452" s="51">
        <f t="shared" si="67"/>
        <v>869.63</v>
      </c>
      <c r="H452" s="51">
        <f t="shared" si="68"/>
        <v>869.63</v>
      </c>
      <c r="I452" s="129"/>
      <c r="J452" s="74">
        <v>1</v>
      </c>
      <c r="K452" s="12"/>
      <c r="L452" s="12"/>
      <c r="M452" s="97"/>
      <c r="N452" s="160"/>
      <c r="O452" s="97"/>
      <c r="P452" s="107"/>
      <c r="Q452" s="99"/>
      <c r="R452" s="6"/>
    </row>
    <row r="453" spans="1:18" s="131" customFormat="1" ht="22.5" outlineLevel="1" x14ac:dyDescent="0.2">
      <c r="A453" s="49" t="s">
        <v>273</v>
      </c>
      <c r="B453" s="47">
        <v>86901</v>
      </c>
      <c r="C453" s="48" t="s">
        <v>193</v>
      </c>
      <c r="D453" s="49" t="s">
        <v>45</v>
      </c>
      <c r="E453" s="50">
        <f t="shared" si="66"/>
        <v>4</v>
      </c>
      <c r="F453" s="50">
        <v>108.45</v>
      </c>
      <c r="G453" s="51">
        <f t="shared" si="67"/>
        <v>136.63999999999999</v>
      </c>
      <c r="H453" s="51">
        <f t="shared" si="68"/>
        <v>546.55999999999995</v>
      </c>
      <c r="I453" s="129"/>
      <c r="J453" s="74">
        <f>4</f>
        <v>4</v>
      </c>
      <c r="K453" s="12"/>
      <c r="L453" s="12"/>
      <c r="M453" s="97"/>
      <c r="N453" s="160"/>
      <c r="O453" s="97"/>
      <c r="P453" s="107"/>
      <c r="Q453" s="99"/>
      <c r="R453" s="6"/>
    </row>
    <row r="454" spans="1:18" s="131" customFormat="1" ht="22.5" outlineLevel="1" x14ac:dyDescent="0.2">
      <c r="A454" s="49" t="s">
        <v>275</v>
      </c>
      <c r="B454" s="47">
        <v>86915</v>
      </c>
      <c r="C454" s="48" t="s">
        <v>194</v>
      </c>
      <c r="D454" s="49" t="s">
        <v>45</v>
      </c>
      <c r="E454" s="50">
        <f t="shared" si="66"/>
        <v>5</v>
      </c>
      <c r="F454" s="50">
        <v>84.78</v>
      </c>
      <c r="G454" s="51">
        <f t="shared" si="67"/>
        <v>106.82</v>
      </c>
      <c r="H454" s="51">
        <f t="shared" si="68"/>
        <v>534.1</v>
      </c>
      <c r="I454" s="129"/>
      <c r="J454" s="74">
        <v>5</v>
      </c>
      <c r="K454" s="12"/>
      <c r="L454" s="12"/>
      <c r="M454" s="97"/>
      <c r="N454" s="160"/>
      <c r="O454" s="97"/>
      <c r="P454" s="107"/>
      <c r="Q454" s="99"/>
      <c r="R454" s="6"/>
    </row>
    <row r="455" spans="1:18" s="131" customFormat="1" ht="22.5" outlineLevel="1" x14ac:dyDescent="0.2">
      <c r="A455" s="49" t="s">
        <v>277</v>
      </c>
      <c r="B455" s="47">
        <v>99635</v>
      </c>
      <c r="C455" s="48" t="s">
        <v>195</v>
      </c>
      <c r="D455" s="49" t="s">
        <v>45</v>
      </c>
      <c r="E455" s="50">
        <f t="shared" si="66"/>
        <v>5</v>
      </c>
      <c r="F455" s="50">
        <v>184.35</v>
      </c>
      <c r="G455" s="51">
        <f t="shared" si="67"/>
        <v>232.28</v>
      </c>
      <c r="H455" s="51">
        <f t="shared" si="68"/>
        <v>1161.4000000000001</v>
      </c>
      <c r="I455" s="129"/>
      <c r="J455" s="74">
        <v>5</v>
      </c>
      <c r="K455" s="12"/>
      <c r="L455" s="12"/>
      <c r="M455" s="97"/>
      <c r="N455" s="160"/>
      <c r="O455" s="97"/>
      <c r="P455" s="107"/>
      <c r="Q455" s="99"/>
      <c r="R455" s="6"/>
    </row>
    <row r="456" spans="1:18" s="131" customFormat="1" outlineLevel="1" x14ac:dyDescent="0.2">
      <c r="A456" s="189" t="s">
        <v>279</v>
      </c>
      <c r="B456" s="47"/>
      <c r="C456" s="132" t="s">
        <v>202</v>
      </c>
      <c r="D456" s="49"/>
      <c r="E456" s="50"/>
      <c r="F456" s="50"/>
      <c r="G456" s="51"/>
      <c r="H456" s="51"/>
      <c r="I456" s="129"/>
      <c r="J456" s="74"/>
      <c r="K456" s="12"/>
      <c r="L456" s="12"/>
      <c r="M456" s="97"/>
      <c r="N456" s="160"/>
      <c r="O456" s="97"/>
      <c r="P456" s="107"/>
      <c r="Q456" s="99"/>
      <c r="R456" s="6"/>
    </row>
    <row r="457" spans="1:18" s="131" customFormat="1" ht="22.5" outlineLevel="1" x14ac:dyDescent="0.2">
      <c r="A457" s="49" t="s">
        <v>280</v>
      </c>
      <c r="B457" s="47">
        <v>95544</v>
      </c>
      <c r="C457" s="48" t="s">
        <v>203</v>
      </c>
      <c r="D457" s="49" t="s">
        <v>45</v>
      </c>
      <c r="E457" s="50">
        <f t="shared" ref="E457:E466" si="69">J457</f>
        <v>5</v>
      </c>
      <c r="F457" s="50">
        <v>30.21</v>
      </c>
      <c r="G457" s="51">
        <f t="shared" ref="G457:G466" si="70">TRUNC(F457*$J$13,2)</f>
        <v>38.06</v>
      </c>
      <c r="H457" s="51">
        <f t="shared" ref="H457:H466" si="71">TRUNC(E457*G457,2)</f>
        <v>190.3</v>
      </c>
      <c r="I457" s="129"/>
      <c r="J457" s="74">
        <v>5</v>
      </c>
      <c r="K457" s="12"/>
      <c r="L457" s="12"/>
      <c r="M457" s="97"/>
      <c r="N457" s="160"/>
      <c r="O457" s="97"/>
      <c r="P457" s="107"/>
      <c r="Q457" s="99"/>
      <c r="R457" s="6"/>
    </row>
    <row r="458" spans="1:18" s="131" customFormat="1" ht="22.5" outlineLevel="1" x14ac:dyDescent="0.2">
      <c r="A458" s="49" t="s">
        <v>282</v>
      </c>
      <c r="B458" s="47">
        <v>95545</v>
      </c>
      <c r="C458" s="48" t="s">
        <v>358</v>
      </c>
      <c r="D458" s="49" t="s">
        <v>45</v>
      </c>
      <c r="E458" s="50">
        <f t="shared" si="69"/>
        <v>5</v>
      </c>
      <c r="F458" s="50">
        <v>29.63</v>
      </c>
      <c r="G458" s="51">
        <f t="shared" si="70"/>
        <v>37.33</v>
      </c>
      <c r="H458" s="51">
        <f t="shared" si="71"/>
        <v>186.65</v>
      </c>
      <c r="I458" s="129"/>
      <c r="J458" s="74">
        <v>5</v>
      </c>
      <c r="K458" s="12"/>
      <c r="L458" s="12"/>
      <c r="M458" s="97"/>
      <c r="N458" s="160"/>
      <c r="O458" s="97"/>
      <c r="P458" s="107"/>
      <c r="Q458" s="99"/>
      <c r="R458" s="6"/>
    </row>
    <row r="459" spans="1:18" s="131" customFormat="1" ht="22.5" outlineLevel="1" x14ac:dyDescent="0.2">
      <c r="A459" s="49" t="s">
        <v>283</v>
      </c>
      <c r="B459" s="47">
        <v>89714</v>
      </c>
      <c r="C459" s="48" t="s">
        <v>196</v>
      </c>
      <c r="D459" s="49" t="s">
        <v>56</v>
      </c>
      <c r="E459" s="50">
        <f t="shared" si="69"/>
        <v>6</v>
      </c>
      <c r="F459" s="50">
        <v>42.17</v>
      </c>
      <c r="G459" s="51">
        <f t="shared" si="70"/>
        <v>53.13</v>
      </c>
      <c r="H459" s="51">
        <f t="shared" si="71"/>
        <v>318.77999999999997</v>
      </c>
      <c r="I459" s="129"/>
      <c r="J459" s="74">
        <v>6</v>
      </c>
      <c r="K459" s="12"/>
      <c r="L459" s="12"/>
      <c r="M459" s="97"/>
      <c r="N459" s="160"/>
      <c r="O459" s="97"/>
      <c r="P459" s="107"/>
      <c r="Q459" s="99"/>
      <c r="R459" s="6"/>
    </row>
    <row r="460" spans="1:18" s="131" customFormat="1" ht="22.5" outlineLevel="1" x14ac:dyDescent="0.2">
      <c r="A460" s="49" t="s">
        <v>286</v>
      </c>
      <c r="B460" s="47">
        <v>89712</v>
      </c>
      <c r="C460" s="48" t="s">
        <v>197</v>
      </c>
      <c r="D460" s="49" t="s">
        <v>56</v>
      </c>
      <c r="E460" s="50">
        <f t="shared" si="69"/>
        <v>6</v>
      </c>
      <c r="F460" s="50">
        <v>21.1</v>
      </c>
      <c r="G460" s="51">
        <f t="shared" si="70"/>
        <v>26.58</v>
      </c>
      <c r="H460" s="51">
        <f t="shared" si="71"/>
        <v>159.47999999999999</v>
      </c>
      <c r="I460" s="129"/>
      <c r="J460" s="74">
        <v>6</v>
      </c>
      <c r="K460" s="12"/>
      <c r="L460" s="12"/>
      <c r="M460" s="97"/>
      <c r="N460" s="160"/>
      <c r="O460" s="97"/>
      <c r="P460" s="107"/>
      <c r="Q460" s="99"/>
      <c r="R460" s="6"/>
    </row>
    <row r="461" spans="1:18" s="131" customFormat="1" ht="22.5" outlineLevel="1" x14ac:dyDescent="0.2">
      <c r="A461" s="49" t="s">
        <v>288</v>
      </c>
      <c r="B461" s="47">
        <v>89567</v>
      </c>
      <c r="C461" s="48" t="s">
        <v>198</v>
      </c>
      <c r="D461" s="49" t="s">
        <v>45</v>
      </c>
      <c r="E461" s="50">
        <f t="shared" si="69"/>
        <v>1</v>
      </c>
      <c r="F461" s="50">
        <v>57.95</v>
      </c>
      <c r="G461" s="51">
        <f t="shared" si="70"/>
        <v>73.010000000000005</v>
      </c>
      <c r="H461" s="51">
        <f t="shared" si="71"/>
        <v>73.010000000000005</v>
      </c>
      <c r="I461" s="129"/>
      <c r="J461" s="74">
        <v>1</v>
      </c>
      <c r="K461" s="12"/>
      <c r="L461" s="12"/>
      <c r="M461" s="97"/>
      <c r="N461" s="160"/>
      <c r="O461" s="97"/>
      <c r="P461" s="107"/>
      <c r="Q461" s="99"/>
      <c r="R461" s="6"/>
    </row>
    <row r="462" spans="1:18" s="131" customFormat="1" ht="22.5" outlineLevel="1" x14ac:dyDescent="0.2">
      <c r="A462" s="49" t="s">
        <v>290</v>
      </c>
      <c r="B462" s="47">
        <v>86881</v>
      </c>
      <c r="C462" s="48" t="s">
        <v>287</v>
      </c>
      <c r="D462" s="49" t="s">
        <v>45</v>
      </c>
      <c r="E462" s="50">
        <f t="shared" si="69"/>
        <v>5</v>
      </c>
      <c r="F462" s="50">
        <v>155.91999999999999</v>
      </c>
      <c r="G462" s="51">
        <f t="shared" si="70"/>
        <v>196.45</v>
      </c>
      <c r="H462" s="51">
        <f t="shared" si="71"/>
        <v>982.25</v>
      </c>
      <c r="I462" s="129"/>
      <c r="J462" s="74">
        <v>5</v>
      </c>
      <c r="K462" s="12"/>
      <c r="L462" s="12"/>
      <c r="M462" s="97"/>
      <c r="N462" s="160"/>
      <c r="O462" s="97"/>
      <c r="P462" s="107"/>
      <c r="Q462" s="99"/>
      <c r="R462" s="6"/>
    </row>
    <row r="463" spans="1:18" s="131" customFormat="1" ht="22.5" outlineLevel="1" x14ac:dyDescent="0.2">
      <c r="A463" s="49" t="s">
        <v>292</v>
      </c>
      <c r="B463" s="47" t="s">
        <v>811</v>
      </c>
      <c r="C463" s="48" t="s">
        <v>809</v>
      </c>
      <c r="D463" s="393" t="s">
        <v>186</v>
      </c>
      <c r="E463" s="50">
        <v>2</v>
      </c>
      <c r="F463" s="50">
        <v>234.43</v>
      </c>
      <c r="G463" s="51">
        <f>TRUNC(F463*$J$13,2)</f>
        <v>295.38</v>
      </c>
      <c r="H463" s="51">
        <f>TRUNC(E463*G463,2)</f>
        <v>590.76</v>
      </c>
      <c r="I463" s="129"/>
      <c r="J463" s="74"/>
      <c r="K463" s="12"/>
      <c r="L463" s="12"/>
      <c r="M463" s="97"/>
      <c r="N463" s="160"/>
      <c r="O463" s="97"/>
      <c r="P463" s="107"/>
      <c r="Q463" s="99"/>
      <c r="R463" s="6"/>
    </row>
    <row r="464" spans="1:18" s="131" customFormat="1" ht="22.5" outlineLevel="1" x14ac:dyDescent="0.2">
      <c r="A464" s="49" t="s">
        <v>294</v>
      </c>
      <c r="B464" s="47" t="s">
        <v>812</v>
      </c>
      <c r="C464" s="48" t="s">
        <v>810</v>
      </c>
      <c r="D464" s="393" t="s">
        <v>186</v>
      </c>
      <c r="E464" s="50">
        <v>1</v>
      </c>
      <c r="F464" s="50">
        <v>198.89</v>
      </c>
      <c r="G464" s="51">
        <f>TRUNC(F464*$J$13,2)</f>
        <v>250.6</v>
      </c>
      <c r="H464" s="51">
        <f>TRUNC(E464*G464,2)</f>
        <v>250.6</v>
      </c>
      <c r="I464" s="129"/>
      <c r="J464" s="74"/>
      <c r="K464" s="12"/>
      <c r="L464" s="12"/>
      <c r="M464" s="97"/>
      <c r="N464" s="160"/>
      <c r="O464" s="97"/>
      <c r="P464" s="107"/>
      <c r="Q464" s="99"/>
      <c r="R464" s="6"/>
    </row>
    <row r="465" spans="1:18" s="131" customFormat="1" ht="22.5" outlineLevel="1" x14ac:dyDescent="0.2">
      <c r="A465" s="49" t="s">
        <v>295</v>
      </c>
      <c r="B465" s="47">
        <v>86877</v>
      </c>
      <c r="C465" s="48" t="s">
        <v>289</v>
      </c>
      <c r="D465" s="49" t="s">
        <v>45</v>
      </c>
      <c r="E465" s="50">
        <f t="shared" si="69"/>
        <v>5</v>
      </c>
      <c r="F465" s="50">
        <v>25.76</v>
      </c>
      <c r="G465" s="51">
        <f t="shared" si="70"/>
        <v>32.450000000000003</v>
      </c>
      <c r="H465" s="51">
        <f t="shared" si="71"/>
        <v>162.25</v>
      </c>
      <c r="I465" s="129"/>
      <c r="J465" s="74">
        <v>5</v>
      </c>
      <c r="K465" s="12"/>
      <c r="L465" s="12"/>
      <c r="M465" s="97"/>
      <c r="N465" s="160"/>
      <c r="O465" s="97"/>
      <c r="P465" s="107"/>
      <c r="Q465" s="99"/>
      <c r="R465" s="6"/>
    </row>
    <row r="466" spans="1:18" s="131" customFormat="1" outlineLevel="1" x14ac:dyDescent="0.2">
      <c r="A466" s="49" t="s">
        <v>296</v>
      </c>
      <c r="B466" s="47">
        <v>86887</v>
      </c>
      <c r="C466" s="48" t="s">
        <v>291</v>
      </c>
      <c r="D466" s="49" t="s">
        <v>45</v>
      </c>
      <c r="E466" s="50">
        <f t="shared" si="69"/>
        <v>5</v>
      </c>
      <c r="F466" s="50">
        <v>41.05</v>
      </c>
      <c r="G466" s="51">
        <f t="shared" si="70"/>
        <v>51.72</v>
      </c>
      <c r="H466" s="51">
        <f t="shared" si="71"/>
        <v>258.60000000000002</v>
      </c>
      <c r="I466" s="129"/>
      <c r="J466" s="74">
        <v>5</v>
      </c>
      <c r="K466" s="12"/>
      <c r="L466" s="12"/>
      <c r="M466" s="97"/>
      <c r="N466" s="160"/>
      <c r="O466" s="97"/>
      <c r="P466" s="107"/>
      <c r="Q466" s="99"/>
      <c r="R466" s="6"/>
    </row>
    <row r="467" spans="1:18" s="131" customFormat="1" outlineLevel="1" x14ac:dyDescent="0.2">
      <c r="A467" s="73">
        <v>11</v>
      </c>
      <c r="B467" s="73"/>
      <c r="C467" s="43" t="s">
        <v>208</v>
      </c>
      <c r="D467" s="41"/>
      <c r="E467" s="43"/>
      <c r="F467" s="43"/>
      <c r="G467" s="67" t="s">
        <v>39</v>
      </c>
      <c r="H467" s="43"/>
      <c r="I467" s="44">
        <f>SUM(H468:H470)</f>
        <v>3852.08</v>
      </c>
      <c r="J467" s="74"/>
      <c r="K467" s="12"/>
      <c r="L467" s="12"/>
      <c r="M467" s="97"/>
      <c r="N467" s="160"/>
      <c r="O467" s="97"/>
      <c r="P467" s="107"/>
      <c r="Q467" s="99"/>
      <c r="R467" s="6"/>
    </row>
    <row r="468" spans="1:18" s="131" customFormat="1" outlineLevel="1" x14ac:dyDescent="0.2">
      <c r="A468" s="49" t="s">
        <v>301</v>
      </c>
      <c r="B468" s="47">
        <v>72178</v>
      </c>
      <c r="C468" s="122" t="s">
        <v>51</v>
      </c>
      <c r="D468" s="49" t="s">
        <v>24</v>
      </c>
      <c r="E468" s="123">
        <v>32</v>
      </c>
      <c r="F468" s="123">
        <v>22.6</v>
      </c>
      <c r="G468" s="51">
        <f>TRUNC(F468*$J$13,2)</f>
        <v>28.47</v>
      </c>
      <c r="H468" s="51">
        <f>TRUNC(E468*G468,2)</f>
        <v>911.04</v>
      </c>
      <c r="I468" s="134"/>
      <c r="J468" s="74"/>
      <c r="K468" s="12"/>
      <c r="L468" s="12"/>
      <c r="M468" s="97"/>
      <c r="N468" s="160"/>
      <c r="O468" s="97"/>
      <c r="P468" s="107"/>
      <c r="Q468" s="99"/>
      <c r="R468" s="6"/>
    </row>
    <row r="469" spans="1:18" s="131" customFormat="1" ht="22.5" outlineLevel="1" x14ac:dyDescent="0.2">
      <c r="A469" s="49" t="s">
        <v>708</v>
      </c>
      <c r="B469" s="47">
        <v>72181</v>
      </c>
      <c r="C469" s="208" t="s">
        <v>211</v>
      </c>
      <c r="D469" s="49" t="s">
        <v>24</v>
      </c>
      <c r="E469" s="68">
        <v>32</v>
      </c>
      <c r="F469" s="68">
        <v>28.84</v>
      </c>
      <c r="G469" s="138">
        <f>TRUNC(F469*$J$13,2)</f>
        <v>36.33</v>
      </c>
      <c r="H469" s="138">
        <f>TRUNC(E469*G469,2)</f>
        <v>1162.56</v>
      </c>
      <c r="I469" s="134"/>
      <c r="J469" s="74"/>
      <c r="K469" s="12"/>
      <c r="L469" s="12"/>
      <c r="M469" s="97"/>
      <c r="N469" s="160"/>
      <c r="O469" s="97"/>
      <c r="P469" s="107"/>
      <c r="Q469" s="99"/>
      <c r="R469" s="6"/>
    </row>
    <row r="470" spans="1:18" s="131" customFormat="1" ht="22.5" outlineLevel="1" x14ac:dyDescent="0.2">
      <c r="A470" s="49" t="s">
        <v>302</v>
      </c>
      <c r="B470" s="47">
        <v>98555</v>
      </c>
      <c r="C470" s="136" t="s">
        <v>360</v>
      </c>
      <c r="D470" s="49" t="s">
        <v>306</v>
      </c>
      <c r="E470" s="68">
        <f>J470</f>
        <v>73.949399999999997</v>
      </c>
      <c r="F470" s="68">
        <v>19.09</v>
      </c>
      <c r="G470" s="138">
        <f>TRUNC(F470*$J$13,2)</f>
        <v>24.05</v>
      </c>
      <c r="H470" s="138">
        <f>TRUNC(E470*G470,2)</f>
        <v>1778.48</v>
      </c>
      <c r="I470" s="134"/>
      <c r="J470" s="74">
        <f>11.34*0.6+(10.22+10.22)*0.9/2+(11.34*10.22/2)</f>
        <v>73.949399999999997</v>
      </c>
      <c r="K470" s="12"/>
      <c r="L470" s="12"/>
      <c r="M470" s="97"/>
      <c r="N470" s="160"/>
      <c r="O470" s="97"/>
      <c r="P470" s="107"/>
      <c r="Q470" s="99"/>
      <c r="R470" s="6"/>
    </row>
    <row r="471" spans="1:18" s="131" customFormat="1" outlineLevel="1" x14ac:dyDescent="0.2">
      <c r="A471" s="73">
        <v>12</v>
      </c>
      <c r="B471" s="125"/>
      <c r="C471" s="43" t="s">
        <v>213</v>
      </c>
      <c r="D471" s="41"/>
      <c r="E471" s="43"/>
      <c r="F471" s="43"/>
      <c r="G471" s="43"/>
      <c r="H471" s="41"/>
      <c r="I471" s="135">
        <f>SUM(H472:H472)</f>
        <v>19383.3</v>
      </c>
      <c r="J471" s="74"/>
      <c r="K471" s="12"/>
      <c r="L471" s="12"/>
      <c r="M471" s="97"/>
      <c r="N471" s="160"/>
      <c r="O471" s="97"/>
      <c r="P471" s="107"/>
      <c r="Q471" s="99"/>
      <c r="R471" s="6"/>
    </row>
    <row r="472" spans="1:18" s="131" customFormat="1" ht="22.5" outlineLevel="1" x14ac:dyDescent="0.2">
      <c r="A472" s="49" t="s">
        <v>389</v>
      </c>
      <c r="B472" s="47">
        <v>96114</v>
      </c>
      <c r="C472" s="101" t="s">
        <v>640</v>
      </c>
      <c r="D472" s="49" t="s">
        <v>24</v>
      </c>
      <c r="E472" s="50">
        <v>270</v>
      </c>
      <c r="F472" s="50">
        <v>56.98</v>
      </c>
      <c r="G472" s="51">
        <f>TRUNC(F472*$J$13,2)</f>
        <v>71.790000000000006</v>
      </c>
      <c r="H472" s="51">
        <f>TRUNC(E472*G472,2)</f>
        <v>19383.3</v>
      </c>
      <c r="I472" s="134"/>
      <c r="J472" s="74"/>
      <c r="K472" s="12"/>
      <c r="L472" s="12"/>
      <c r="M472" s="97"/>
      <c r="N472" s="160"/>
      <c r="O472" s="97"/>
      <c r="P472" s="107"/>
      <c r="Q472" s="99"/>
      <c r="R472" s="6"/>
    </row>
    <row r="473" spans="1:18" s="131" customFormat="1" x14ac:dyDescent="0.2">
      <c r="A473" s="49"/>
      <c r="B473" s="121"/>
      <c r="C473" s="136"/>
      <c r="D473" s="49"/>
      <c r="E473" s="137"/>
      <c r="F473" s="68"/>
      <c r="G473" s="68"/>
      <c r="H473" s="138"/>
      <c r="I473" s="134"/>
      <c r="J473" s="74"/>
      <c r="K473" s="12"/>
      <c r="L473" s="12"/>
      <c r="M473" s="97"/>
      <c r="N473" s="160"/>
      <c r="O473" s="97"/>
      <c r="P473" s="107"/>
      <c r="Q473" s="99"/>
      <c r="R473" s="6"/>
    </row>
    <row r="474" spans="1:18" s="131" customFormat="1" ht="15" x14ac:dyDescent="0.2">
      <c r="A474" s="164" t="s">
        <v>361</v>
      </c>
      <c r="B474" s="165"/>
      <c r="C474" s="166"/>
      <c r="D474" s="41"/>
      <c r="E474" s="166"/>
      <c r="F474" s="209"/>
      <c r="G474" s="37" t="s">
        <v>19</v>
      </c>
      <c r="H474" s="209"/>
      <c r="I474" s="210">
        <f>SUM(I475:I584)</f>
        <v>217785.2</v>
      </c>
      <c r="J474" s="58"/>
      <c r="K474" s="59"/>
      <c r="L474" s="12"/>
      <c r="M474" s="97"/>
      <c r="N474" s="160"/>
      <c r="O474" s="97"/>
      <c r="P474" s="107"/>
      <c r="Q474" s="99"/>
      <c r="R474" s="6"/>
    </row>
    <row r="475" spans="1:18" s="131" customFormat="1" outlineLevel="1" x14ac:dyDescent="0.2">
      <c r="A475" s="73" t="s">
        <v>20</v>
      </c>
      <c r="B475" s="66"/>
      <c r="C475" s="211" t="s">
        <v>38</v>
      </c>
      <c r="D475" s="41"/>
      <c r="E475" s="43"/>
      <c r="F475" s="43"/>
      <c r="G475" s="43"/>
      <c r="H475" s="41"/>
      <c r="I475" s="205">
        <f>SUM(H476:H482)</f>
        <v>2741.79</v>
      </c>
      <c r="J475" s="58"/>
      <c r="K475" s="59"/>
      <c r="L475" s="12"/>
      <c r="M475" s="97"/>
      <c r="N475" s="160"/>
      <c r="O475" s="97"/>
      <c r="P475" s="107"/>
      <c r="Q475" s="99"/>
      <c r="R475" s="6"/>
    </row>
    <row r="476" spans="1:18" s="131" customFormat="1" ht="22.5" outlineLevel="1" x14ac:dyDescent="0.2">
      <c r="A476" s="49" t="s">
        <v>22</v>
      </c>
      <c r="B476" s="72">
        <v>97622</v>
      </c>
      <c r="C476" s="48" t="s">
        <v>304</v>
      </c>
      <c r="D476" s="49" t="s">
        <v>305</v>
      </c>
      <c r="E476" s="50">
        <f t="shared" ref="E476:E482" si="72">J476</f>
        <v>7.3344000000000005</v>
      </c>
      <c r="F476" s="50">
        <v>37.39</v>
      </c>
      <c r="G476" s="138">
        <f>TRUNC(F476*$J$13,2)</f>
        <v>47.11</v>
      </c>
      <c r="H476" s="138">
        <f>TRUNC(E476*G476,2)</f>
        <v>345.52</v>
      </c>
      <c r="I476" s="212"/>
      <c r="J476" s="58">
        <f>(5.33+5.23+1.18+3.54)*3.2*0.15</f>
        <v>7.3344000000000005</v>
      </c>
      <c r="K476" s="59"/>
      <c r="L476" s="12"/>
      <c r="M476" s="97"/>
      <c r="N476" s="160"/>
      <c r="O476" s="97"/>
      <c r="P476" s="107"/>
      <c r="Q476" s="99"/>
      <c r="R476" s="6"/>
    </row>
    <row r="477" spans="1:18" s="131" customFormat="1" ht="22.5" outlineLevel="1" x14ac:dyDescent="0.2">
      <c r="A477" s="49" t="s">
        <v>25</v>
      </c>
      <c r="B477" s="72">
        <v>97633</v>
      </c>
      <c r="C477" s="48" t="s">
        <v>43</v>
      </c>
      <c r="D477" s="70" t="s">
        <v>306</v>
      </c>
      <c r="E477" s="155">
        <f t="shared" si="72"/>
        <v>62.879999999999995</v>
      </c>
      <c r="F477" s="50">
        <v>14.85</v>
      </c>
      <c r="G477" s="138">
        <f t="shared" ref="G477:G482" si="73">TRUNC(F477*$J$13,2)</f>
        <v>18.71</v>
      </c>
      <c r="H477" s="138">
        <f t="shared" ref="H477:H482" si="74">TRUNC(E477*G477,2)</f>
        <v>1176.48</v>
      </c>
      <c r="I477" s="212"/>
      <c r="J477" s="58">
        <f>(9.83+9.82)*3.2</f>
        <v>62.879999999999995</v>
      </c>
      <c r="K477" s="59"/>
      <c r="L477" s="12"/>
      <c r="M477" s="97"/>
      <c r="N477" s="160"/>
      <c r="O477" s="97"/>
      <c r="P477" s="107"/>
      <c r="Q477" s="99"/>
      <c r="R477" s="6"/>
    </row>
    <row r="478" spans="1:18" s="131" customFormat="1" outlineLevel="1" x14ac:dyDescent="0.2">
      <c r="A478" s="49" t="s">
        <v>57</v>
      </c>
      <c r="B478" s="72" t="s">
        <v>357</v>
      </c>
      <c r="C478" s="68" t="s">
        <v>50</v>
      </c>
      <c r="D478" s="70" t="s">
        <v>306</v>
      </c>
      <c r="E478" s="155">
        <f t="shared" si="72"/>
        <v>15.552000000000001</v>
      </c>
      <c r="F478" s="50">
        <v>16.420000000000002</v>
      </c>
      <c r="G478" s="138">
        <f t="shared" si="73"/>
        <v>20.68</v>
      </c>
      <c r="H478" s="138">
        <f t="shared" si="74"/>
        <v>321.61</v>
      </c>
      <c r="I478" s="212"/>
      <c r="J478" s="58">
        <f>(4.32+4.32)*1.8</f>
        <v>15.552000000000001</v>
      </c>
      <c r="K478" s="59"/>
      <c r="L478" s="12"/>
      <c r="M478" s="97"/>
      <c r="N478" s="160"/>
      <c r="O478" s="97"/>
      <c r="P478" s="107"/>
      <c r="Q478" s="99"/>
      <c r="R478" s="6"/>
    </row>
    <row r="479" spans="1:18" s="131" customFormat="1" outlineLevel="1" x14ac:dyDescent="0.2">
      <c r="A479" s="49" t="s">
        <v>217</v>
      </c>
      <c r="B479" s="71" t="s">
        <v>40</v>
      </c>
      <c r="C479" s="68" t="s">
        <v>41</v>
      </c>
      <c r="D479" s="49" t="s">
        <v>42</v>
      </c>
      <c r="E479" s="155">
        <f t="shared" si="72"/>
        <v>2.1189999999999998</v>
      </c>
      <c r="F479" s="50">
        <v>216.76</v>
      </c>
      <c r="G479" s="138">
        <f t="shared" si="73"/>
        <v>273.11</v>
      </c>
      <c r="H479" s="138">
        <f t="shared" si="74"/>
        <v>578.72</v>
      </c>
      <c r="I479" s="212"/>
      <c r="J479" s="58">
        <f>(4.34+18.38+9.83+9.83)*0.05</f>
        <v>2.1189999999999998</v>
      </c>
      <c r="K479" s="59"/>
      <c r="L479" s="12"/>
      <c r="M479" s="97"/>
      <c r="N479" s="160"/>
      <c r="O479" s="97"/>
      <c r="P479" s="107"/>
      <c r="Q479" s="99"/>
      <c r="R479" s="6"/>
    </row>
    <row r="480" spans="1:18" s="131" customFormat="1" outlineLevel="1" x14ac:dyDescent="0.2">
      <c r="A480" s="49" t="s">
        <v>218</v>
      </c>
      <c r="B480" s="72">
        <v>97644</v>
      </c>
      <c r="C480" s="68" t="s">
        <v>44</v>
      </c>
      <c r="D480" s="49" t="s">
        <v>306</v>
      </c>
      <c r="E480" s="68">
        <f t="shared" si="72"/>
        <v>23.520000000000003</v>
      </c>
      <c r="F480" s="50">
        <v>6.04</v>
      </c>
      <c r="G480" s="138">
        <f t="shared" si="73"/>
        <v>7.61</v>
      </c>
      <c r="H480" s="138">
        <f t="shared" si="74"/>
        <v>178.98</v>
      </c>
      <c r="I480" s="212"/>
      <c r="J480" s="58">
        <f>14*0.8*2.1</f>
        <v>23.520000000000003</v>
      </c>
      <c r="K480" s="59"/>
      <c r="L480" s="12"/>
      <c r="M480" s="97"/>
      <c r="N480" s="160"/>
      <c r="O480" s="97"/>
      <c r="P480" s="107"/>
      <c r="Q480" s="99"/>
      <c r="R480" s="6"/>
    </row>
    <row r="481" spans="1:18" s="131" customFormat="1" outlineLevel="1" x14ac:dyDescent="0.2">
      <c r="A481" s="49" t="s">
        <v>220</v>
      </c>
      <c r="B481" s="72">
        <v>97663</v>
      </c>
      <c r="C481" s="68" t="s">
        <v>46</v>
      </c>
      <c r="D481" s="70" t="s">
        <v>45</v>
      </c>
      <c r="E481" s="155">
        <f t="shared" si="72"/>
        <v>8</v>
      </c>
      <c r="F481" s="50">
        <v>8.07</v>
      </c>
      <c r="G481" s="138">
        <f t="shared" si="73"/>
        <v>10.16</v>
      </c>
      <c r="H481" s="138">
        <f t="shared" si="74"/>
        <v>81.28</v>
      </c>
      <c r="I481" s="212"/>
      <c r="J481" s="58">
        <v>8</v>
      </c>
      <c r="K481" s="59"/>
      <c r="L481" s="12"/>
      <c r="M481" s="97"/>
      <c r="N481" s="160"/>
      <c r="O481" s="97"/>
      <c r="P481" s="107"/>
      <c r="Q481" s="99"/>
      <c r="R481" s="6"/>
    </row>
    <row r="482" spans="1:18" s="131" customFormat="1" ht="22.5" outlineLevel="1" x14ac:dyDescent="0.2">
      <c r="A482" s="49" t="s">
        <v>221</v>
      </c>
      <c r="B482" s="72">
        <v>97666</v>
      </c>
      <c r="C482" s="48" t="s">
        <v>47</v>
      </c>
      <c r="D482" s="70" t="s">
        <v>45</v>
      </c>
      <c r="E482" s="155">
        <f t="shared" si="72"/>
        <v>8</v>
      </c>
      <c r="F482" s="50">
        <v>5.88</v>
      </c>
      <c r="G482" s="138">
        <f t="shared" si="73"/>
        <v>7.4</v>
      </c>
      <c r="H482" s="138">
        <f t="shared" si="74"/>
        <v>59.2</v>
      </c>
      <c r="I482" s="212"/>
      <c r="J482" s="58">
        <v>8</v>
      </c>
      <c r="K482" s="59"/>
      <c r="L482" s="12"/>
      <c r="M482" s="97"/>
      <c r="N482" s="160"/>
      <c r="O482" s="97"/>
      <c r="P482" s="107"/>
      <c r="Q482" s="99"/>
      <c r="R482" s="6"/>
    </row>
    <row r="483" spans="1:18" s="131" customFormat="1" outlineLevel="1" x14ac:dyDescent="0.2">
      <c r="A483" s="73" t="s">
        <v>61</v>
      </c>
      <c r="B483" s="66"/>
      <c r="C483" s="43" t="s">
        <v>52</v>
      </c>
      <c r="D483" s="41"/>
      <c r="E483" s="43"/>
      <c r="F483" s="43"/>
      <c r="G483" s="43"/>
      <c r="H483" s="41"/>
      <c r="I483" s="205">
        <f>SUM(H484:H485)</f>
        <v>17229.21</v>
      </c>
      <c r="J483" s="74"/>
      <c r="K483" s="118"/>
      <c r="L483" s="12"/>
      <c r="M483" s="97"/>
      <c r="N483" s="160"/>
      <c r="O483" s="97"/>
      <c r="P483" s="107"/>
      <c r="Q483" s="99"/>
      <c r="R483" s="6"/>
    </row>
    <row r="484" spans="1:18" s="131" customFormat="1" ht="48" customHeight="1" outlineLevel="1" x14ac:dyDescent="0.2">
      <c r="A484" s="49" t="s">
        <v>65</v>
      </c>
      <c r="B484" s="47">
        <v>90843</v>
      </c>
      <c r="C484" s="48" t="s">
        <v>54</v>
      </c>
      <c r="D484" s="49" t="s">
        <v>45</v>
      </c>
      <c r="E484" s="50">
        <f>J484</f>
        <v>14</v>
      </c>
      <c r="F484" s="50">
        <v>742.69</v>
      </c>
      <c r="G484" s="51">
        <f>TRUNC(F484*$J$13,2)</f>
        <v>935.78</v>
      </c>
      <c r="H484" s="51">
        <f>TRUNC(E484*G484,2)</f>
        <v>13100.92</v>
      </c>
      <c r="I484" s="157"/>
      <c r="J484" s="74">
        <f>14</f>
        <v>14</v>
      </c>
      <c r="K484" s="178" t="s">
        <v>362</v>
      </c>
      <c r="L484" s="12">
        <v>14</v>
      </c>
      <c r="M484" s="97"/>
      <c r="N484" s="160"/>
      <c r="O484" s="97"/>
      <c r="P484" s="107"/>
      <c r="Q484" s="99"/>
      <c r="R484" s="6"/>
    </row>
    <row r="485" spans="1:18" s="131" customFormat="1" ht="22.5" outlineLevel="1" x14ac:dyDescent="0.2">
      <c r="A485" s="49" t="s">
        <v>70</v>
      </c>
      <c r="B485" s="47">
        <v>91338</v>
      </c>
      <c r="C485" s="48" t="s">
        <v>58</v>
      </c>
      <c r="D485" s="49" t="s">
        <v>24</v>
      </c>
      <c r="E485" s="50">
        <f>J485</f>
        <v>3.3600000000000003</v>
      </c>
      <c r="F485" s="50">
        <v>975.13</v>
      </c>
      <c r="G485" s="51">
        <f>TRUNC(F485*$J$13,2)</f>
        <v>1228.6600000000001</v>
      </c>
      <c r="H485" s="51">
        <f>TRUNC(E485*G485,2)</f>
        <v>4128.29</v>
      </c>
      <c r="I485" s="158"/>
      <c r="J485" s="12">
        <f>0.8*2.1*2</f>
        <v>3.3600000000000003</v>
      </c>
      <c r="K485" s="178" t="s">
        <v>363</v>
      </c>
      <c r="L485" s="12">
        <f>0.8*2.1*2</f>
        <v>3.3600000000000003</v>
      </c>
      <c r="M485" s="97"/>
      <c r="N485" s="160"/>
      <c r="O485" s="97"/>
      <c r="P485" s="107"/>
      <c r="Q485" s="99"/>
      <c r="R485" s="6"/>
    </row>
    <row r="486" spans="1:18" s="131" customFormat="1" outlineLevel="1" x14ac:dyDescent="0.2">
      <c r="A486" s="73" t="s">
        <v>75</v>
      </c>
      <c r="B486" s="66"/>
      <c r="C486" s="43" t="s">
        <v>62</v>
      </c>
      <c r="D486" s="41"/>
      <c r="E486" s="43"/>
      <c r="F486" s="43"/>
      <c r="G486" s="43"/>
      <c r="H486" s="41"/>
      <c r="I486" s="205">
        <f>SUM(H487:H489)</f>
        <v>9202.5600000000013</v>
      </c>
      <c r="J486" s="74"/>
      <c r="K486" s="12"/>
      <c r="L486" s="12"/>
      <c r="M486" s="97"/>
      <c r="N486" s="160"/>
      <c r="O486" s="97"/>
      <c r="P486" s="107"/>
      <c r="Q486" s="99"/>
      <c r="R486" s="6"/>
    </row>
    <row r="487" spans="1:18" s="131" customFormat="1" ht="33.75" outlineLevel="1" x14ac:dyDescent="0.2">
      <c r="A487" s="49" t="s">
        <v>78</v>
      </c>
      <c r="B487" s="47">
        <v>87266</v>
      </c>
      <c r="C487" s="48" t="s">
        <v>66</v>
      </c>
      <c r="D487" s="49" t="s">
        <v>24</v>
      </c>
      <c r="E487" s="50">
        <f>J487</f>
        <v>110.25</v>
      </c>
      <c r="F487" s="50">
        <v>40.9</v>
      </c>
      <c r="G487" s="51">
        <f>TRUNC(F487*$J$13,2)</f>
        <v>51.53</v>
      </c>
      <c r="H487" s="51">
        <f>TRUNC(E487*G487,2)</f>
        <v>5681.18</v>
      </c>
      <c r="I487" s="154"/>
      <c r="J487" s="74">
        <f>(12.8+12.8+8.52+18.38)*2.1</f>
        <v>110.25</v>
      </c>
      <c r="K487" s="12" t="s">
        <v>67</v>
      </c>
      <c r="L487" s="12">
        <v>39.04</v>
      </c>
      <c r="M487" s="97"/>
      <c r="N487" s="160"/>
      <c r="O487" s="97"/>
      <c r="P487" s="107"/>
      <c r="Q487" s="99"/>
      <c r="R487" s="6"/>
    </row>
    <row r="488" spans="1:18" s="131" customFormat="1" ht="33.75" outlineLevel="1" x14ac:dyDescent="0.2">
      <c r="A488" s="49" t="s">
        <v>84</v>
      </c>
      <c r="B488" s="71">
        <v>87879</v>
      </c>
      <c r="C488" s="48" t="s">
        <v>226</v>
      </c>
      <c r="D488" s="70" t="s">
        <v>24</v>
      </c>
      <c r="E488" s="50">
        <f>J488</f>
        <v>110.25</v>
      </c>
      <c r="F488" s="50">
        <v>2.72</v>
      </c>
      <c r="G488" s="51">
        <f>TRUNC(F488*$J$13,2)</f>
        <v>3.42</v>
      </c>
      <c r="H488" s="51">
        <f>TRUNC(E488*G488,2)</f>
        <v>377.05</v>
      </c>
      <c r="I488" s="154"/>
      <c r="J488" s="74">
        <f>J487</f>
        <v>110.25</v>
      </c>
      <c r="K488" s="12"/>
      <c r="L488" s="12"/>
      <c r="M488" s="97"/>
      <c r="N488" s="160"/>
      <c r="O488" s="97"/>
      <c r="P488" s="107"/>
      <c r="Q488" s="99"/>
      <c r="R488" s="6"/>
    </row>
    <row r="489" spans="1:18" s="131" customFormat="1" ht="33.75" outlineLevel="1" x14ac:dyDescent="0.2">
      <c r="A489" s="49" t="s">
        <v>323</v>
      </c>
      <c r="B489" s="47">
        <v>90408</v>
      </c>
      <c r="C489" s="48" t="s">
        <v>74</v>
      </c>
      <c r="D489" s="49" t="s">
        <v>24</v>
      </c>
      <c r="E489" s="50">
        <f>J489</f>
        <v>110.25</v>
      </c>
      <c r="F489" s="50">
        <v>22.64</v>
      </c>
      <c r="G489" s="51">
        <f>TRUNC(F489*$J$13,2)</f>
        <v>28.52</v>
      </c>
      <c r="H489" s="51">
        <f>TRUNC(E489*G489,2)</f>
        <v>3144.33</v>
      </c>
      <c r="I489" s="154"/>
      <c r="J489" s="74">
        <f>J488</f>
        <v>110.25</v>
      </c>
      <c r="K489" s="12"/>
      <c r="L489" s="12"/>
      <c r="M489" s="97"/>
      <c r="N489" s="160"/>
      <c r="O489" s="97"/>
      <c r="P489" s="107"/>
      <c r="Q489" s="99"/>
      <c r="R489" s="6"/>
    </row>
    <row r="490" spans="1:18" s="131" customFormat="1" outlineLevel="1" x14ac:dyDescent="0.2">
      <c r="A490" s="73" t="s">
        <v>86</v>
      </c>
      <c r="B490" s="66"/>
      <c r="C490" s="43" t="s">
        <v>222</v>
      </c>
      <c r="D490" s="41"/>
      <c r="E490" s="43"/>
      <c r="F490" s="43"/>
      <c r="G490" s="43"/>
      <c r="H490" s="41"/>
      <c r="I490" s="205">
        <f>SUM(H491:H492)</f>
        <v>15335.84</v>
      </c>
      <c r="J490" s="74"/>
      <c r="K490" s="12"/>
      <c r="L490" s="12"/>
      <c r="M490" s="97"/>
      <c r="N490" s="160"/>
      <c r="O490" s="97"/>
      <c r="P490" s="107"/>
      <c r="Q490" s="99"/>
      <c r="R490" s="6"/>
    </row>
    <row r="491" spans="1:18" s="131" customFormat="1" ht="22.5" outlineLevel="1" x14ac:dyDescent="0.2">
      <c r="A491" s="49" t="s">
        <v>88</v>
      </c>
      <c r="B491" s="72">
        <v>79627</v>
      </c>
      <c r="C491" s="48" t="s">
        <v>223</v>
      </c>
      <c r="D491" s="138" t="s">
        <v>306</v>
      </c>
      <c r="E491" s="50">
        <f>J491</f>
        <v>18.060000000000002</v>
      </c>
      <c r="F491" s="155">
        <v>658</v>
      </c>
      <c r="G491" s="51">
        <f>TRUNC(F491*$J$13,2)</f>
        <v>829.08</v>
      </c>
      <c r="H491" s="51">
        <f>TRUNC(E491*G491,2)</f>
        <v>14973.18</v>
      </c>
      <c r="I491" s="154"/>
      <c r="J491" s="74">
        <f>(1.46*3+2.56*2)*1.8+0.8*0.6*2</f>
        <v>18.060000000000002</v>
      </c>
      <c r="K491" s="12"/>
      <c r="L491" s="12"/>
      <c r="M491" s="97"/>
      <c r="N491" s="160"/>
      <c r="O491" s="97"/>
      <c r="P491" s="107"/>
      <c r="Q491" s="99"/>
      <c r="R491" s="6"/>
    </row>
    <row r="492" spans="1:18" s="131" customFormat="1" ht="33.75" outlineLevel="1" x14ac:dyDescent="0.2">
      <c r="A492" s="49" t="s">
        <v>91</v>
      </c>
      <c r="B492" s="47">
        <v>87477</v>
      </c>
      <c r="C492" s="48" t="s">
        <v>71</v>
      </c>
      <c r="D492" s="49" t="s">
        <v>24</v>
      </c>
      <c r="E492" s="50">
        <f>J492</f>
        <v>7.0379999999999994</v>
      </c>
      <c r="F492" s="50">
        <v>40.9</v>
      </c>
      <c r="G492" s="51">
        <f>TRUNC(F492*$J$13,2)</f>
        <v>51.53</v>
      </c>
      <c r="H492" s="51">
        <f>TRUNC(E492*G492,2)</f>
        <v>362.66</v>
      </c>
      <c r="I492" s="154"/>
      <c r="J492" s="83">
        <f>(2.56+0.5)*2.3</f>
        <v>7.0379999999999994</v>
      </c>
      <c r="K492" s="93" t="s">
        <v>225</v>
      </c>
      <c r="L492" s="83"/>
      <c r="M492" s="85">
        <f>40.65*3.3</f>
        <v>134.14499999999998</v>
      </c>
      <c r="N492" s="160"/>
      <c r="O492" s="97"/>
      <c r="P492" s="107"/>
      <c r="Q492" s="99"/>
      <c r="R492" s="6"/>
    </row>
    <row r="493" spans="1:18" s="131" customFormat="1" outlineLevel="1" x14ac:dyDescent="0.2">
      <c r="A493" s="73" t="s">
        <v>96</v>
      </c>
      <c r="B493" s="66"/>
      <c r="C493" s="43" t="s">
        <v>76</v>
      </c>
      <c r="D493" s="41"/>
      <c r="E493" s="43"/>
      <c r="F493" s="43"/>
      <c r="G493" s="43"/>
      <c r="H493" s="41"/>
      <c r="I493" s="205">
        <f>SUM(H494:H496)</f>
        <v>19042.84</v>
      </c>
      <c r="J493" s="74"/>
      <c r="K493" s="12"/>
      <c r="L493" s="12"/>
      <c r="M493" s="97"/>
      <c r="N493" s="160"/>
      <c r="O493" s="97"/>
      <c r="P493" s="107"/>
      <c r="Q493" s="99"/>
      <c r="R493" s="6"/>
    </row>
    <row r="494" spans="1:18" s="131" customFormat="1" ht="27" customHeight="1" outlineLevel="1" x14ac:dyDescent="0.2">
      <c r="A494" s="49" t="s">
        <v>98</v>
      </c>
      <c r="B494" s="47">
        <v>94993</v>
      </c>
      <c r="C494" s="48" t="s">
        <v>79</v>
      </c>
      <c r="D494" s="49" t="s">
        <v>24</v>
      </c>
      <c r="E494" s="50">
        <f>J494</f>
        <v>161.87</v>
      </c>
      <c r="F494" s="50">
        <v>62.94</v>
      </c>
      <c r="G494" s="51">
        <f>TRUNC(F494*$J$13,2)</f>
        <v>79.3</v>
      </c>
      <c r="H494" s="51">
        <f>TRUNC(E494*G494,2)</f>
        <v>12836.29</v>
      </c>
      <c r="I494" s="158"/>
      <c r="J494" s="74">
        <f>161.87</f>
        <v>161.87</v>
      </c>
      <c r="K494" s="12" t="s">
        <v>67</v>
      </c>
      <c r="L494" s="12">
        <v>164</v>
      </c>
      <c r="M494" s="97"/>
      <c r="N494" s="160"/>
      <c r="O494" s="97"/>
      <c r="P494" s="107"/>
      <c r="Q494" s="99"/>
      <c r="R494" s="6"/>
    </row>
    <row r="495" spans="1:18" s="131" customFormat="1" ht="33.75" outlineLevel="1" x14ac:dyDescent="0.2">
      <c r="A495" s="49" t="s">
        <v>101</v>
      </c>
      <c r="B495" s="47">
        <v>87620</v>
      </c>
      <c r="C495" s="48" t="s">
        <v>641</v>
      </c>
      <c r="D495" s="49" t="s">
        <v>24</v>
      </c>
      <c r="E495" s="50">
        <f>J495</f>
        <v>42.379999999999995</v>
      </c>
      <c r="F495" s="50">
        <v>23.42</v>
      </c>
      <c r="G495" s="51">
        <f>TRUNC(F495*$J$13,2)</f>
        <v>29.5</v>
      </c>
      <c r="H495" s="51">
        <f>TRUNC(E495*G495,2)</f>
        <v>1250.21</v>
      </c>
      <c r="I495" s="158"/>
      <c r="J495" s="58">
        <f>(4.34+18.38+9.83+9.83)</f>
        <v>42.379999999999995</v>
      </c>
      <c r="K495" s="12"/>
      <c r="L495" s="12"/>
      <c r="M495" s="97"/>
      <c r="N495" s="160"/>
      <c r="O495" s="97"/>
      <c r="P495" s="107"/>
      <c r="Q495" s="99"/>
      <c r="R495" s="6"/>
    </row>
    <row r="496" spans="1:18" s="131" customFormat="1" ht="33.75" outlineLevel="1" x14ac:dyDescent="0.2">
      <c r="A496" s="49" t="s">
        <v>106</v>
      </c>
      <c r="B496" s="47">
        <v>87262</v>
      </c>
      <c r="C496" s="48" t="s">
        <v>85</v>
      </c>
      <c r="D496" s="49" t="s">
        <v>24</v>
      </c>
      <c r="E496" s="50">
        <f>J496</f>
        <v>42.379999999999995</v>
      </c>
      <c r="F496" s="50">
        <v>92.82</v>
      </c>
      <c r="G496" s="51">
        <f>TRUNC(F496*$J$13,2)</f>
        <v>116.95</v>
      </c>
      <c r="H496" s="51">
        <f>TRUNC(E496*G496,2)</f>
        <v>4956.34</v>
      </c>
      <c r="I496" s="159"/>
      <c r="J496" s="58">
        <f>(4.34+18.38+9.83+9.83)</f>
        <v>42.379999999999995</v>
      </c>
      <c r="K496" s="12" t="s">
        <v>67</v>
      </c>
      <c r="L496" s="12">
        <v>185.16</v>
      </c>
      <c r="M496" s="97"/>
      <c r="N496" s="160"/>
      <c r="O496" s="97"/>
      <c r="P496" s="107"/>
      <c r="Q496" s="99"/>
      <c r="R496" s="6"/>
    </row>
    <row r="497" spans="1:18" s="131" customFormat="1" outlineLevel="1" x14ac:dyDescent="0.2">
      <c r="A497" s="73" t="s">
        <v>117</v>
      </c>
      <c r="B497" s="66"/>
      <c r="C497" s="43" t="s">
        <v>87</v>
      </c>
      <c r="D497" s="41"/>
      <c r="E497" s="43"/>
      <c r="F497" s="43"/>
      <c r="G497" s="43"/>
      <c r="H497" s="41"/>
      <c r="I497" s="193">
        <f>SUM(H498:H500)</f>
        <v>3652.07</v>
      </c>
      <c r="J497" s="74"/>
      <c r="K497" s="12"/>
      <c r="L497" s="12"/>
      <c r="M497" s="97"/>
      <c r="N497" s="160"/>
      <c r="O497" s="97"/>
      <c r="P497" s="107"/>
      <c r="Q497" s="99"/>
      <c r="R497" s="6"/>
    </row>
    <row r="498" spans="1:18" s="131" customFormat="1" outlineLevel="1" x14ac:dyDescent="0.2">
      <c r="A498" s="49" t="s">
        <v>119</v>
      </c>
      <c r="B498" s="47">
        <v>72117</v>
      </c>
      <c r="C498" s="101" t="s">
        <v>89</v>
      </c>
      <c r="D498" s="49" t="s">
        <v>24</v>
      </c>
      <c r="E498" s="50">
        <v>0.5</v>
      </c>
      <c r="F498" s="50">
        <v>128.78</v>
      </c>
      <c r="G498" s="51">
        <f>TRUNC(F498*$J$13,2)</f>
        <v>162.26</v>
      </c>
      <c r="H498" s="51">
        <f>TRUNC(E498*G498,2)</f>
        <v>81.13</v>
      </c>
      <c r="I498" s="154"/>
      <c r="J498" s="74"/>
      <c r="K498" s="12"/>
      <c r="L498" s="12"/>
      <c r="M498" s="97"/>
      <c r="N498" s="160"/>
      <c r="O498" s="97"/>
      <c r="P498" s="107"/>
      <c r="Q498" s="99"/>
      <c r="R498" s="6"/>
    </row>
    <row r="499" spans="1:18" s="131" customFormat="1" outlineLevel="1" x14ac:dyDescent="0.2">
      <c r="A499" s="49" t="s">
        <v>121</v>
      </c>
      <c r="B499" s="47">
        <v>84886</v>
      </c>
      <c r="C499" s="101" t="s">
        <v>92</v>
      </c>
      <c r="D499" s="49" t="s">
        <v>93</v>
      </c>
      <c r="E499" s="50">
        <v>2</v>
      </c>
      <c r="F499" s="50">
        <v>1114.46</v>
      </c>
      <c r="G499" s="51">
        <f>TRUNC(F499*$J$13,2)</f>
        <v>1404.21</v>
      </c>
      <c r="H499" s="51">
        <f>TRUNC(E499*G499,2)</f>
        <v>2808.42</v>
      </c>
      <c r="I499" s="154"/>
      <c r="J499" s="74"/>
      <c r="K499" s="12"/>
      <c r="L499" s="12"/>
      <c r="M499" s="97"/>
      <c r="N499" s="160"/>
      <c r="O499" s="97"/>
      <c r="P499" s="107"/>
      <c r="Q499" s="99"/>
      <c r="R499" s="6"/>
    </row>
    <row r="500" spans="1:18" s="131" customFormat="1" ht="33.75" outlineLevel="1" x14ac:dyDescent="0.2">
      <c r="A500" s="49" t="s">
        <v>123</v>
      </c>
      <c r="B500" s="47">
        <v>84885</v>
      </c>
      <c r="C500" s="48" t="s">
        <v>95</v>
      </c>
      <c r="D500" s="49" t="s">
        <v>45</v>
      </c>
      <c r="E500" s="50">
        <v>1</v>
      </c>
      <c r="F500" s="50">
        <v>605.17999999999995</v>
      </c>
      <c r="G500" s="51">
        <f>TRUNC(F500*$J$13,2)</f>
        <v>762.52</v>
      </c>
      <c r="H500" s="51">
        <f>TRUNC(E500*G500,2)</f>
        <v>762.52</v>
      </c>
      <c r="I500" s="154"/>
      <c r="J500" s="74"/>
      <c r="K500" s="12"/>
      <c r="L500" s="12"/>
      <c r="M500" s="97"/>
      <c r="N500" s="160"/>
      <c r="O500" s="97"/>
      <c r="P500" s="107"/>
      <c r="Q500" s="99"/>
      <c r="R500" s="6"/>
    </row>
    <row r="501" spans="1:18" s="131" customFormat="1" outlineLevel="1" x14ac:dyDescent="0.2">
      <c r="A501" s="73" t="s">
        <v>161</v>
      </c>
      <c r="B501" s="66"/>
      <c r="C501" s="43" t="s">
        <v>97</v>
      </c>
      <c r="D501" s="41"/>
      <c r="E501" s="43"/>
      <c r="F501" s="43"/>
      <c r="G501" s="43"/>
      <c r="H501" s="41"/>
      <c r="I501" s="193">
        <f>SUM(H502:H512)</f>
        <v>84098.310000000012</v>
      </c>
      <c r="J501" s="74"/>
      <c r="K501" s="12"/>
      <c r="L501" s="12"/>
      <c r="M501" s="97"/>
      <c r="N501" s="160"/>
      <c r="O501" s="97"/>
      <c r="P501" s="107"/>
      <c r="Q501" s="99"/>
      <c r="R501" s="6"/>
    </row>
    <row r="502" spans="1:18" s="131" customFormat="1" ht="22.5" outlineLevel="1" x14ac:dyDescent="0.2">
      <c r="A502" s="49" t="s">
        <v>163</v>
      </c>
      <c r="B502" s="47">
        <v>88423</v>
      </c>
      <c r="C502" s="48" t="s">
        <v>99</v>
      </c>
      <c r="D502" s="49" t="s">
        <v>24</v>
      </c>
      <c r="E502" s="103">
        <f>L502</f>
        <v>410.39</v>
      </c>
      <c r="F502" s="50">
        <v>15.45</v>
      </c>
      <c r="G502" s="51">
        <f>TRUNC(F502*$J$13,2)</f>
        <v>19.46</v>
      </c>
      <c r="H502" s="51">
        <f t="shared" ref="H502:H512" si="75">TRUNC(E502*G502,2)</f>
        <v>7986.18</v>
      </c>
      <c r="I502" s="154"/>
      <c r="J502" s="74"/>
      <c r="K502" s="12" t="s">
        <v>67</v>
      </c>
      <c r="L502" s="12">
        <v>410.39</v>
      </c>
      <c r="M502" s="97"/>
      <c r="N502" s="160"/>
      <c r="O502" s="97"/>
      <c r="P502" s="107"/>
      <c r="Q502" s="99"/>
      <c r="R502" s="6"/>
    </row>
    <row r="503" spans="1:18" s="131" customFormat="1" outlineLevel="1" x14ac:dyDescent="0.2">
      <c r="A503" s="49" t="s">
        <v>164</v>
      </c>
      <c r="B503" s="47">
        <v>88496</v>
      </c>
      <c r="C503" s="68" t="s">
        <v>102</v>
      </c>
      <c r="D503" s="49" t="s">
        <v>24</v>
      </c>
      <c r="E503" s="103">
        <f>J503</f>
        <v>752.85000000000025</v>
      </c>
      <c r="F503" s="50">
        <v>19.75</v>
      </c>
      <c r="G503" s="51">
        <f t="shared" ref="G503:G512" si="76">TRUNC(F503*$J$13,2)</f>
        <v>24.88</v>
      </c>
      <c r="H503" s="51">
        <f t="shared" si="75"/>
        <v>18730.900000000001</v>
      </c>
      <c r="I503" s="154"/>
      <c r="J503" s="74">
        <f>29.4+7.38+34.39+45.37+26.24+9.83+6.46+122.46+79.78+25+200.72+56.36+9.83+4.35+43.7+20.57+10.4+20.61</f>
        <v>752.85000000000025</v>
      </c>
      <c r="K503" s="12"/>
      <c r="L503" s="12">
        <f>L504</f>
        <v>762.9</v>
      </c>
      <c r="M503" s="97"/>
      <c r="N503" s="160"/>
      <c r="O503" s="97"/>
      <c r="P503" s="107"/>
      <c r="Q503" s="99"/>
      <c r="R503" s="6"/>
    </row>
    <row r="504" spans="1:18" s="131" customFormat="1" ht="22.5" outlineLevel="1" x14ac:dyDescent="0.2">
      <c r="A504" s="49" t="s">
        <v>165</v>
      </c>
      <c r="B504" s="47">
        <v>88488</v>
      </c>
      <c r="C504" s="48" t="s">
        <v>105</v>
      </c>
      <c r="D504" s="49" t="s">
        <v>24</v>
      </c>
      <c r="E504" s="103">
        <f>L504</f>
        <v>762.9</v>
      </c>
      <c r="F504" s="50">
        <v>12.25</v>
      </c>
      <c r="G504" s="51">
        <f t="shared" si="76"/>
        <v>15.43</v>
      </c>
      <c r="H504" s="51">
        <f t="shared" si="75"/>
        <v>11771.54</v>
      </c>
      <c r="I504" s="154"/>
      <c r="J504" s="74">
        <f>J503</f>
        <v>752.85000000000025</v>
      </c>
      <c r="K504" s="12" t="s">
        <v>364</v>
      </c>
      <c r="L504" s="12">
        <v>762.9</v>
      </c>
      <c r="M504" s="97"/>
      <c r="N504" s="160"/>
      <c r="O504" s="97"/>
      <c r="P504" s="107"/>
      <c r="Q504" s="99"/>
      <c r="R504" s="6"/>
    </row>
    <row r="505" spans="1:18" s="131" customFormat="1" outlineLevel="1" x14ac:dyDescent="0.2">
      <c r="A505" s="49" t="s">
        <v>166</v>
      </c>
      <c r="B505" s="47">
        <v>88497</v>
      </c>
      <c r="C505" s="68" t="s">
        <v>233</v>
      </c>
      <c r="D505" s="49" t="s">
        <v>24</v>
      </c>
      <c r="E505" s="103">
        <f t="shared" ref="E505:E512" si="77">J505</f>
        <v>1292.0320000000002</v>
      </c>
      <c r="F505" s="50">
        <v>11.01</v>
      </c>
      <c r="G505" s="51">
        <f t="shared" si="76"/>
        <v>13.87</v>
      </c>
      <c r="H505" s="51">
        <f t="shared" si="75"/>
        <v>17920.48</v>
      </c>
      <c r="I505" s="154"/>
      <c r="J505" s="74">
        <f>((24+10.89+26.84+29.17+10.17+9.83+9.83+50.35+8.52+29.18+18.38+13.27+53.67+21.46+41.26+20+59.04)*3.2)-(60*1.2*1.1+14*0.8*2.1)</f>
        <v>1292.0320000000002</v>
      </c>
      <c r="K505" s="12"/>
      <c r="L505" s="12">
        <v>1122.54</v>
      </c>
      <c r="M505" s="97"/>
      <c r="N505" s="160"/>
      <c r="O505" s="97"/>
      <c r="P505" s="107"/>
      <c r="Q505" s="99"/>
      <c r="R505" s="6"/>
    </row>
    <row r="506" spans="1:18" s="131" customFormat="1" ht="22.5" outlineLevel="1" x14ac:dyDescent="0.2">
      <c r="A506" s="49" t="s">
        <v>167</v>
      </c>
      <c r="B506" s="47">
        <v>88489</v>
      </c>
      <c r="C506" s="48" t="s">
        <v>109</v>
      </c>
      <c r="D506" s="49" t="s">
        <v>24</v>
      </c>
      <c r="E506" s="103">
        <f t="shared" si="77"/>
        <v>1292.0320000000002</v>
      </c>
      <c r="F506" s="50">
        <v>10.88</v>
      </c>
      <c r="G506" s="51">
        <f t="shared" si="76"/>
        <v>13.7</v>
      </c>
      <c r="H506" s="51">
        <f t="shared" si="75"/>
        <v>17700.830000000002</v>
      </c>
      <c r="I506" s="154"/>
      <c r="J506" s="74">
        <f>J505</f>
        <v>1292.0320000000002</v>
      </c>
      <c r="K506" s="12"/>
      <c r="L506" s="12"/>
      <c r="M506" s="97"/>
      <c r="N506" s="160"/>
      <c r="O506" s="97"/>
      <c r="P506" s="107"/>
      <c r="Q506" s="99"/>
      <c r="R506" s="6"/>
    </row>
    <row r="507" spans="1:18" s="131" customFormat="1" outlineLevel="1" x14ac:dyDescent="0.2">
      <c r="A507" s="49" t="s">
        <v>168</v>
      </c>
      <c r="B507" s="47" t="s">
        <v>365</v>
      </c>
      <c r="C507" s="68" t="s">
        <v>366</v>
      </c>
      <c r="D507" s="49" t="s">
        <v>24</v>
      </c>
      <c r="E507" s="50">
        <f t="shared" si="77"/>
        <v>47.040000000000006</v>
      </c>
      <c r="F507" s="50">
        <v>19.04</v>
      </c>
      <c r="G507" s="51">
        <f t="shared" si="76"/>
        <v>23.99</v>
      </c>
      <c r="H507" s="51">
        <f t="shared" si="75"/>
        <v>1128.48</v>
      </c>
      <c r="I507" s="154"/>
      <c r="J507" s="74">
        <f>14*0.8*2.1*2</f>
        <v>47.040000000000006</v>
      </c>
      <c r="K507" s="12"/>
      <c r="L507" s="12"/>
      <c r="M507" s="97"/>
      <c r="N507" s="160"/>
      <c r="O507" s="97"/>
      <c r="P507" s="107"/>
      <c r="Q507" s="99"/>
      <c r="R507" s="6"/>
    </row>
    <row r="508" spans="1:18" s="131" customFormat="1" outlineLevel="1" x14ac:dyDescent="0.2">
      <c r="A508" s="49" t="s">
        <v>170</v>
      </c>
      <c r="B508" s="47" t="s">
        <v>110</v>
      </c>
      <c r="C508" s="48" t="s">
        <v>111</v>
      </c>
      <c r="D508" s="49" t="s">
        <v>24</v>
      </c>
      <c r="E508" s="50">
        <f t="shared" si="77"/>
        <v>47.040000000000006</v>
      </c>
      <c r="F508" s="50">
        <v>14.69</v>
      </c>
      <c r="G508" s="51">
        <f t="shared" si="76"/>
        <v>18.5</v>
      </c>
      <c r="H508" s="51">
        <f t="shared" si="75"/>
        <v>870.24</v>
      </c>
      <c r="I508" s="154"/>
      <c r="J508" s="74">
        <f>J507</f>
        <v>47.040000000000006</v>
      </c>
      <c r="K508" s="12"/>
      <c r="L508" s="12"/>
      <c r="M508" s="97"/>
      <c r="N508" s="160"/>
      <c r="O508" s="97"/>
      <c r="P508" s="107"/>
      <c r="Q508" s="99"/>
      <c r="R508" s="6"/>
    </row>
    <row r="509" spans="1:18" s="131" customFormat="1" ht="22.5" outlineLevel="1" x14ac:dyDescent="0.2">
      <c r="A509" s="49" t="s">
        <v>172</v>
      </c>
      <c r="B509" s="47">
        <v>100725</v>
      </c>
      <c r="C509" s="48" t="s">
        <v>805</v>
      </c>
      <c r="D509" s="49" t="s">
        <v>24</v>
      </c>
      <c r="E509" s="50">
        <f>64*2</f>
        <v>128</v>
      </c>
      <c r="F509" s="50">
        <v>15.69</v>
      </c>
      <c r="G509" s="51">
        <f t="shared" ref="G509" si="78">TRUNC(F509*$J$13,2)</f>
        <v>19.760000000000002</v>
      </c>
      <c r="H509" s="51">
        <f t="shared" ref="H509" si="79">TRUNC(E509*G509,2)</f>
        <v>2529.2800000000002</v>
      </c>
      <c r="I509" s="154"/>
      <c r="J509" s="74"/>
      <c r="K509" s="12"/>
      <c r="L509" s="12"/>
      <c r="M509" s="97"/>
      <c r="N509" s="160"/>
      <c r="O509" s="97"/>
      <c r="P509" s="107"/>
      <c r="Q509" s="99"/>
      <c r="R509" s="6"/>
    </row>
    <row r="510" spans="1:18" s="131" customFormat="1" ht="22.5" outlineLevel="1" x14ac:dyDescent="0.2">
      <c r="A510" s="49" t="s">
        <v>174</v>
      </c>
      <c r="B510" s="47">
        <v>100727</v>
      </c>
      <c r="C510" s="105" t="s">
        <v>806</v>
      </c>
      <c r="D510" s="49" t="s">
        <v>24</v>
      </c>
      <c r="E510" s="103">
        <f>92.9*2</f>
        <v>185.8</v>
      </c>
      <c r="F510" s="50">
        <v>11.97</v>
      </c>
      <c r="G510" s="51">
        <f t="shared" si="76"/>
        <v>15.08</v>
      </c>
      <c r="H510" s="51">
        <f t="shared" si="75"/>
        <v>2801.86</v>
      </c>
      <c r="I510" s="154"/>
      <c r="J510" s="74"/>
      <c r="K510" s="12"/>
      <c r="L510" s="12"/>
      <c r="M510" s="97"/>
      <c r="N510" s="160"/>
      <c r="O510" s="97"/>
      <c r="P510" s="107"/>
      <c r="Q510" s="99"/>
      <c r="R510" s="6"/>
    </row>
    <row r="511" spans="1:18" s="131" customFormat="1" ht="22.5" outlineLevel="1" x14ac:dyDescent="0.2">
      <c r="A511" s="49" t="s">
        <v>176</v>
      </c>
      <c r="B511" s="47">
        <v>88489</v>
      </c>
      <c r="C511" s="48" t="s">
        <v>367</v>
      </c>
      <c r="D511" s="49" t="s">
        <v>24</v>
      </c>
      <c r="E511" s="103">
        <f t="shared" si="77"/>
        <v>144.36400000000003</v>
      </c>
      <c r="F511" s="50">
        <v>10.88</v>
      </c>
      <c r="G511" s="51">
        <f t="shared" si="76"/>
        <v>13.7</v>
      </c>
      <c r="H511" s="51">
        <f t="shared" si="75"/>
        <v>1977.78</v>
      </c>
      <c r="I511" s="154"/>
      <c r="J511" s="74">
        <f>(46.45+46.45+19.17+19.17)*1.1</f>
        <v>144.36400000000003</v>
      </c>
      <c r="K511" s="178" t="s">
        <v>368</v>
      </c>
      <c r="L511" s="12">
        <f>1.5*4*20</f>
        <v>120</v>
      </c>
      <c r="M511" s="97"/>
      <c r="N511" s="160"/>
      <c r="O511" s="97"/>
      <c r="P511" s="107"/>
      <c r="Q511" s="99"/>
      <c r="R511" s="6"/>
    </row>
    <row r="512" spans="1:18" s="131" customFormat="1" outlineLevel="1" x14ac:dyDescent="0.2">
      <c r="A512" s="49" t="s">
        <v>178</v>
      </c>
      <c r="B512" s="47" t="s">
        <v>335</v>
      </c>
      <c r="C512" s="48" t="s">
        <v>114</v>
      </c>
      <c r="D512" s="49" t="s">
        <v>24</v>
      </c>
      <c r="E512" s="103">
        <f t="shared" si="77"/>
        <v>24.08</v>
      </c>
      <c r="F512" s="50">
        <v>22.44</v>
      </c>
      <c r="G512" s="51">
        <f t="shared" si="76"/>
        <v>28.27</v>
      </c>
      <c r="H512" s="51">
        <f t="shared" si="75"/>
        <v>680.74</v>
      </c>
      <c r="I512" s="154"/>
      <c r="J512" s="74">
        <f>4.3*2.8*2</f>
        <v>24.08</v>
      </c>
      <c r="K512" s="12"/>
      <c r="L512" s="12"/>
      <c r="M512" s="97"/>
      <c r="N512" s="160"/>
      <c r="O512" s="97"/>
      <c r="P512" s="107"/>
      <c r="Q512" s="99"/>
      <c r="R512" s="6"/>
    </row>
    <row r="513" spans="1:18" s="131" customFormat="1" outlineLevel="1" x14ac:dyDescent="0.2">
      <c r="A513" s="73" t="s">
        <v>187</v>
      </c>
      <c r="B513" s="66"/>
      <c r="C513" s="43" t="s">
        <v>118</v>
      </c>
      <c r="D513" s="41"/>
      <c r="E513" s="43"/>
      <c r="F513" s="43"/>
      <c r="G513" s="67" t="s">
        <v>39</v>
      </c>
      <c r="H513" s="41"/>
      <c r="I513" s="44">
        <f>SUM(H514:H536)</f>
        <v>23295.359999999997</v>
      </c>
      <c r="J513" s="74"/>
      <c r="K513" s="12"/>
      <c r="L513" s="12"/>
      <c r="M513" s="97"/>
      <c r="N513" s="160"/>
      <c r="O513" s="97"/>
      <c r="P513" s="107"/>
      <c r="Q513" s="99"/>
      <c r="R513" s="6"/>
    </row>
    <row r="514" spans="1:18" s="131" customFormat="1" ht="22.5" outlineLevel="1" x14ac:dyDescent="0.2">
      <c r="A514" s="49" t="s">
        <v>189</v>
      </c>
      <c r="B514" s="47">
        <v>91932</v>
      </c>
      <c r="C514" s="48" t="s">
        <v>120</v>
      </c>
      <c r="D514" s="49" t="s">
        <v>56</v>
      </c>
      <c r="E514" s="50">
        <v>150</v>
      </c>
      <c r="F514" s="50">
        <v>9.02</v>
      </c>
      <c r="G514" s="51">
        <f t="shared" ref="G514:G535" si="80">TRUNC(F514*$J$13,2)</f>
        <v>11.36</v>
      </c>
      <c r="H514" s="51">
        <f>TRUNC(E514*G514,2)</f>
        <v>1704</v>
      </c>
      <c r="I514" s="106"/>
      <c r="J514" s="74"/>
      <c r="K514" s="12"/>
      <c r="L514" s="12"/>
      <c r="M514" s="97"/>
      <c r="N514" s="160"/>
      <c r="O514" s="97"/>
      <c r="P514" s="107"/>
      <c r="Q514" s="99"/>
      <c r="R514" s="6"/>
    </row>
    <row r="515" spans="1:18" s="131" customFormat="1" ht="22.5" outlineLevel="1" x14ac:dyDescent="0.2">
      <c r="A515" s="49" t="s">
        <v>201</v>
      </c>
      <c r="B515" s="47">
        <v>91930</v>
      </c>
      <c r="C515" s="48" t="s">
        <v>122</v>
      </c>
      <c r="D515" s="49" t="s">
        <v>56</v>
      </c>
      <c r="E515" s="50">
        <v>400</v>
      </c>
      <c r="F515" s="50">
        <v>5.5</v>
      </c>
      <c r="G515" s="51">
        <f t="shared" si="80"/>
        <v>6.93</v>
      </c>
      <c r="H515" s="51">
        <f>TRUNC(E515*G515,2)</f>
        <v>2772</v>
      </c>
      <c r="I515" s="106"/>
      <c r="J515" s="74"/>
      <c r="K515" s="12"/>
      <c r="L515" s="12"/>
      <c r="M515" s="97"/>
      <c r="N515" s="160"/>
      <c r="O515" s="97"/>
      <c r="P515" s="107"/>
      <c r="Q515" s="99"/>
      <c r="R515" s="6"/>
    </row>
    <row r="516" spans="1:18" s="131" customFormat="1" ht="22.5" outlineLevel="1" x14ac:dyDescent="0.2">
      <c r="A516" s="49" t="s">
        <v>237</v>
      </c>
      <c r="B516" s="47">
        <v>91928</v>
      </c>
      <c r="C516" s="48" t="s">
        <v>124</v>
      </c>
      <c r="D516" s="49" t="s">
        <v>56</v>
      </c>
      <c r="E516" s="50">
        <v>600</v>
      </c>
      <c r="F516" s="50">
        <v>4.03</v>
      </c>
      <c r="G516" s="51">
        <f t="shared" si="80"/>
        <v>5.07</v>
      </c>
      <c r="H516" s="51">
        <f t="shared" ref="H516:H534" si="81">TRUNC(E516*G516,2)</f>
        <v>3042</v>
      </c>
      <c r="I516" s="106"/>
      <c r="J516" s="74"/>
      <c r="K516" s="12"/>
      <c r="L516" s="12"/>
      <c r="M516" s="97"/>
      <c r="N516" s="160"/>
      <c r="O516" s="97"/>
      <c r="P516" s="107"/>
      <c r="Q516" s="99"/>
      <c r="R516" s="6"/>
    </row>
    <row r="517" spans="1:18" s="131" customFormat="1" ht="22.5" outlineLevel="1" x14ac:dyDescent="0.2">
      <c r="A517" s="49" t="s">
        <v>238</v>
      </c>
      <c r="B517" s="47">
        <v>91927</v>
      </c>
      <c r="C517" s="48" t="s">
        <v>126</v>
      </c>
      <c r="D517" s="49" t="s">
        <v>56</v>
      </c>
      <c r="E517" s="50">
        <v>700</v>
      </c>
      <c r="F517" s="50">
        <v>3.25</v>
      </c>
      <c r="G517" s="51">
        <f t="shared" si="80"/>
        <v>4.09</v>
      </c>
      <c r="H517" s="51">
        <f t="shared" si="81"/>
        <v>2863</v>
      </c>
      <c r="I517" s="106"/>
      <c r="J517" s="74"/>
      <c r="K517" s="12"/>
      <c r="L517" s="12"/>
      <c r="M517" s="97"/>
      <c r="N517" s="160"/>
      <c r="O517" s="97"/>
      <c r="P517" s="107"/>
      <c r="Q517" s="99"/>
      <c r="R517" s="6"/>
    </row>
    <row r="518" spans="1:18" s="131" customFormat="1" ht="22.5" outlineLevel="1" x14ac:dyDescent="0.2">
      <c r="A518" s="49" t="s">
        <v>239</v>
      </c>
      <c r="B518" s="47">
        <v>90447</v>
      </c>
      <c r="C518" s="48" t="s">
        <v>128</v>
      </c>
      <c r="D518" s="49" t="s">
        <v>56</v>
      </c>
      <c r="E518" s="50">
        <v>180</v>
      </c>
      <c r="F518" s="50">
        <v>4.46</v>
      </c>
      <c r="G518" s="51">
        <f t="shared" si="80"/>
        <v>5.61</v>
      </c>
      <c r="H518" s="51">
        <f t="shared" si="81"/>
        <v>1009.8</v>
      </c>
      <c r="I518" s="106"/>
      <c r="J518" s="74"/>
      <c r="K518" s="12"/>
      <c r="L518" s="12"/>
      <c r="M518" s="97"/>
      <c r="N518" s="160"/>
      <c r="O518" s="97"/>
      <c r="P518" s="107"/>
      <c r="Q518" s="99"/>
      <c r="R518" s="6"/>
    </row>
    <row r="519" spans="1:18" s="131" customFormat="1" ht="22.5" outlineLevel="1" x14ac:dyDescent="0.2">
      <c r="A519" s="49" t="s">
        <v>240</v>
      </c>
      <c r="B519" s="47">
        <v>91836</v>
      </c>
      <c r="C519" s="48" t="s">
        <v>131</v>
      </c>
      <c r="D519" s="49" t="s">
        <v>56</v>
      </c>
      <c r="E519" s="50">
        <v>100</v>
      </c>
      <c r="F519" s="50">
        <v>7.43</v>
      </c>
      <c r="G519" s="51">
        <f t="shared" si="80"/>
        <v>9.36</v>
      </c>
      <c r="H519" s="51">
        <f t="shared" si="81"/>
        <v>936</v>
      </c>
      <c r="I519" s="106"/>
      <c r="J519" s="74"/>
      <c r="K519" s="12"/>
      <c r="L519" s="12"/>
      <c r="M519" s="97"/>
      <c r="N519" s="160"/>
      <c r="O519" s="97"/>
      <c r="P519" s="107"/>
      <c r="Q519" s="99"/>
      <c r="R519" s="6"/>
    </row>
    <row r="520" spans="1:18" s="131" customFormat="1" ht="22.5" outlineLevel="1" x14ac:dyDescent="0.2">
      <c r="A520" s="49" t="s">
        <v>241</v>
      </c>
      <c r="B520" s="47">
        <v>91869</v>
      </c>
      <c r="C520" s="48" t="s">
        <v>133</v>
      </c>
      <c r="D520" s="49" t="s">
        <v>56</v>
      </c>
      <c r="E520" s="50">
        <v>50</v>
      </c>
      <c r="F520" s="50">
        <v>9.94</v>
      </c>
      <c r="G520" s="51">
        <f t="shared" si="80"/>
        <v>12.52</v>
      </c>
      <c r="H520" s="51">
        <f t="shared" si="81"/>
        <v>626</v>
      </c>
      <c r="I520" s="106"/>
      <c r="J520" s="74"/>
      <c r="K520" s="12"/>
      <c r="L520" s="12"/>
      <c r="M520" s="97"/>
      <c r="N520" s="160"/>
      <c r="O520" s="97"/>
      <c r="P520" s="107"/>
      <c r="Q520" s="99"/>
      <c r="R520" s="6"/>
    </row>
    <row r="521" spans="1:18" s="131" customFormat="1" outlineLevel="1" x14ac:dyDescent="0.2">
      <c r="A521" s="49" t="s">
        <v>242</v>
      </c>
      <c r="B521" s="47">
        <v>91990</v>
      </c>
      <c r="C521" s="48" t="s">
        <v>135</v>
      </c>
      <c r="D521" s="49" t="s">
        <v>45</v>
      </c>
      <c r="E521" s="50">
        <v>100</v>
      </c>
      <c r="F521" s="50">
        <v>21.81</v>
      </c>
      <c r="G521" s="51">
        <f t="shared" si="80"/>
        <v>27.48</v>
      </c>
      <c r="H521" s="51">
        <f t="shared" si="81"/>
        <v>2748</v>
      </c>
      <c r="I521" s="106"/>
      <c r="J521" s="74"/>
      <c r="K521" s="12"/>
      <c r="L521" s="12"/>
      <c r="M521" s="97"/>
      <c r="N521" s="160"/>
      <c r="O521" s="97"/>
      <c r="P521" s="107"/>
      <c r="Q521" s="99"/>
      <c r="R521" s="6"/>
    </row>
    <row r="522" spans="1:18" s="131" customFormat="1" outlineLevel="1" x14ac:dyDescent="0.2">
      <c r="A522" s="49" t="s">
        <v>243</v>
      </c>
      <c r="B522" s="47">
        <v>91991</v>
      </c>
      <c r="C522" s="48" t="s">
        <v>138</v>
      </c>
      <c r="D522" s="49" t="s">
        <v>45</v>
      </c>
      <c r="E522" s="50">
        <v>32</v>
      </c>
      <c r="F522" s="50">
        <v>23.35</v>
      </c>
      <c r="G522" s="51">
        <f t="shared" si="80"/>
        <v>29.42</v>
      </c>
      <c r="H522" s="51">
        <f t="shared" si="81"/>
        <v>941.44</v>
      </c>
      <c r="I522" s="106"/>
      <c r="J522" s="74"/>
      <c r="K522" s="12"/>
      <c r="L522" s="12"/>
      <c r="M522" s="97"/>
      <c r="N522" s="160"/>
      <c r="O522" s="97"/>
      <c r="P522" s="107"/>
      <c r="Q522" s="99"/>
      <c r="R522" s="6"/>
    </row>
    <row r="523" spans="1:18" s="131" customFormat="1" ht="22.5" outlineLevel="1" x14ac:dyDescent="0.2">
      <c r="A523" s="49" t="s">
        <v>244</v>
      </c>
      <c r="B523" s="47">
        <v>91953</v>
      </c>
      <c r="C523" s="48" t="s">
        <v>140</v>
      </c>
      <c r="D523" s="49" t="s">
        <v>45</v>
      </c>
      <c r="E523" s="50">
        <v>15</v>
      </c>
      <c r="F523" s="50">
        <v>17.649999999999999</v>
      </c>
      <c r="G523" s="51">
        <f t="shared" si="80"/>
        <v>22.23</v>
      </c>
      <c r="H523" s="51">
        <f t="shared" si="81"/>
        <v>333.45</v>
      </c>
      <c r="I523" s="106"/>
      <c r="J523" s="74"/>
      <c r="K523" s="12"/>
      <c r="L523" s="12"/>
      <c r="M523" s="97"/>
      <c r="N523" s="160"/>
      <c r="O523" s="97"/>
      <c r="P523" s="107"/>
      <c r="Q523" s="99"/>
      <c r="R523" s="6"/>
    </row>
    <row r="524" spans="1:18" s="131" customFormat="1" ht="22.5" outlineLevel="1" x14ac:dyDescent="0.2">
      <c r="A524" s="49" t="s">
        <v>245</v>
      </c>
      <c r="B524" s="47">
        <v>91959</v>
      </c>
      <c r="C524" s="48" t="s">
        <v>141</v>
      </c>
      <c r="D524" s="49" t="s">
        <v>45</v>
      </c>
      <c r="E524" s="50">
        <v>10</v>
      </c>
      <c r="F524" s="50">
        <v>27.93</v>
      </c>
      <c r="G524" s="51">
        <f t="shared" si="80"/>
        <v>35.19</v>
      </c>
      <c r="H524" s="51">
        <f t="shared" si="81"/>
        <v>351.9</v>
      </c>
      <c r="I524" s="106"/>
      <c r="J524" s="74"/>
      <c r="K524" s="12"/>
      <c r="L524" s="12"/>
      <c r="M524" s="97"/>
      <c r="N524" s="160"/>
      <c r="O524" s="97"/>
      <c r="P524" s="107"/>
      <c r="Q524" s="99"/>
      <c r="R524" s="6"/>
    </row>
    <row r="525" spans="1:18" s="131" customFormat="1" ht="22.5" outlineLevel="1" x14ac:dyDescent="0.2">
      <c r="A525" s="49" t="s">
        <v>369</v>
      </c>
      <c r="B525" s="47" t="s">
        <v>342</v>
      </c>
      <c r="C525" s="48" t="s">
        <v>343</v>
      </c>
      <c r="D525" s="49" t="s">
        <v>45</v>
      </c>
      <c r="E525" s="50">
        <v>3</v>
      </c>
      <c r="F525" s="50">
        <v>72.87</v>
      </c>
      <c r="G525" s="51">
        <f t="shared" si="80"/>
        <v>91.81</v>
      </c>
      <c r="H525" s="51">
        <f t="shared" si="81"/>
        <v>275.43</v>
      </c>
      <c r="I525" s="106"/>
      <c r="J525" s="74"/>
      <c r="K525" s="12"/>
      <c r="L525" s="12"/>
      <c r="M525" s="97"/>
      <c r="N525" s="160"/>
      <c r="O525" s="97"/>
      <c r="P525" s="107"/>
      <c r="Q525" s="99"/>
      <c r="R525" s="6"/>
    </row>
    <row r="526" spans="1:18" s="131" customFormat="1" outlineLevel="1" x14ac:dyDescent="0.2">
      <c r="A526" s="49" t="s">
        <v>340</v>
      </c>
      <c r="B526" s="47" t="s">
        <v>345</v>
      </c>
      <c r="C526" s="48" t="s">
        <v>346</v>
      </c>
      <c r="D526" s="49" t="s">
        <v>45</v>
      </c>
      <c r="E526" s="50">
        <v>12</v>
      </c>
      <c r="F526" s="50">
        <v>50.66</v>
      </c>
      <c r="G526" s="51">
        <f t="shared" si="80"/>
        <v>63.83</v>
      </c>
      <c r="H526" s="51">
        <f t="shared" si="81"/>
        <v>765.96</v>
      </c>
      <c r="I526" s="106"/>
      <c r="J526" s="74"/>
      <c r="K526" s="12"/>
      <c r="L526" s="12"/>
      <c r="M526" s="97"/>
      <c r="N526" s="160"/>
      <c r="O526" s="97"/>
      <c r="P526" s="107"/>
      <c r="Q526" s="99"/>
      <c r="R526" s="6"/>
    </row>
    <row r="527" spans="1:18" s="131" customFormat="1" ht="22.5" outlineLevel="1" x14ac:dyDescent="0.2">
      <c r="A527" s="49" t="s">
        <v>341</v>
      </c>
      <c r="B527" s="47" t="s">
        <v>348</v>
      </c>
      <c r="C527" s="48" t="s">
        <v>349</v>
      </c>
      <c r="D527" s="49" t="s">
        <v>45</v>
      </c>
      <c r="E527" s="50">
        <v>5</v>
      </c>
      <c r="F527" s="50">
        <v>97.3</v>
      </c>
      <c r="G527" s="51">
        <f t="shared" si="80"/>
        <v>122.59</v>
      </c>
      <c r="H527" s="51">
        <f t="shared" si="81"/>
        <v>612.95000000000005</v>
      </c>
      <c r="I527" s="106"/>
      <c r="J527" s="74"/>
      <c r="K527" s="12"/>
      <c r="L527" s="12"/>
      <c r="M527" s="97"/>
      <c r="N527" s="160"/>
      <c r="O527" s="97"/>
      <c r="P527" s="107"/>
      <c r="Q527" s="99"/>
      <c r="R527" s="6"/>
    </row>
    <row r="528" spans="1:18" s="131" customFormat="1" ht="22.5" outlineLevel="1" x14ac:dyDescent="0.2">
      <c r="A528" s="49" t="s">
        <v>344</v>
      </c>
      <c r="B528" s="47" t="s">
        <v>350</v>
      </c>
      <c r="C528" s="48" t="s">
        <v>351</v>
      </c>
      <c r="D528" s="49" t="s">
        <v>45</v>
      </c>
      <c r="E528" s="50">
        <v>12</v>
      </c>
      <c r="F528" s="50">
        <v>11.2</v>
      </c>
      <c r="G528" s="51">
        <f t="shared" si="80"/>
        <v>14.11</v>
      </c>
      <c r="H528" s="51">
        <f t="shared" si="81"/>
        <v>169.32</v>
      </c>
      <c r="I528" s="106"/>
      <c r="J528" s="74"/>
      <c r="K528" s="12"/>
      <c r="L528" s="12"/>
      <c r="M528" s="97"/>
      <c r="N528" s="160"/>
      <c r="O528" s="97"/>
      <c r="P528" s="107"/>
      <c r="Q528" s="99"/>
      <c r="R528" s="6"/>
    </row>
    <row r="529" spans="1:18" s="131" customFormat="1" ht="22.5" outlineLevel="1" x14ac:dyDescent="0.2">
      <c r="A529" s="49" t="s">
        <v>347</v>
      </c>
      <c r="B529" s="47" t="s">
        <v>370</v>
      </c>
      <c r="C529" s="48" t="s">
        <v>371</v>
      </c>
      <c r="D529" s="49" t="s">
        <v>45</v>
      </c>
      <c r="E529" s="50">
        <v>1</v>
      </c>
      <c r="F529" s="50">
        <v>432.24</v>
      </c>
      <c r="G529" s="51">
        <f t="shared" si="80"/>
        <v>544.62</v>
      </c>
      <c r="H529" s="51">
        <f t="shared" si="81"/>
        <v>544.62</v>
      </c>
      <c r="I529" s="106"/>
      <c r="J529" s="74"/>
      <c r="K529" s="12"/>
      <c r="L529" s="12"/>
      <c r="M529" s="97"/>
      <c r="N529" s="160"/>
      <c r="O529" s="97"/>
      <c r="P529" s="107"/>
      <c r="Q529" s="99"/>
      <c r="R529" s="6"/>
    </row>
    <row r="530" spans="1:18" s="131" customFormat="1" ht="22.5" outlineLevel="1" x14ac:dyDescent="0.2">
      <c r="A530" s="49" t="s">
        <v>246</v>
      </c>
      <c r="B530" s="47">
        <v>91944</v>
      </c>
      <c r="C530" s="48" t="s">
        <v>152</v>
      </c>
      <c r="D530" s="49" t="s">
        <v>45</v>
      </c>
      <c r="E530" s="50">
        <v>15</v>
      </c>
      <c r="F530" s="50">
        <v>9.06</v>
      </c>
      <c r="G530" s="51">
        <f t="shared" si="80"/>
        <v>11.41</v>
      </c>
      <c r="H530" s="51">
        <f t="shared" si="81"/>
        <v>171.15</v>
      </c>
      <c r="I530" s="113"/>
      <c r="J530" s="74"/>
      <c r="K530" s="12"/>
      <c r="L530" s="12"/>
      <c r="M530" s="97"/>
      <c r="N530" s="160"/>
      <c r="O530" s="97"/>
      <c r="P530" s="107"/>
      <c r="Q530" s="99"/>
      <c r="R530" s="6"/>
    </row>
    <row r="531" spans="1:18" s="131" customFormat="1" ht="33.75" outlineLevel="1" x14ac:dyDescent="0.2">
      <c r="A531" s="49" t="s">
        <v>247</v>
      </c>
      <c r="B531" s="47">
        <v>83463</v>
      </c>
      <c r="C531" s="48" t="s">
        <v>153</v>
      </c>
      <c r="D531" s="49" t="s">
        <v>45</v>
      </c>
      <c r="E531" s="50">
        <v>1</v>
      </c>
      <c r="F531" s="50">
        <v>308.27</v>
      </c>
      <c r="G531" s="51">
        <f t="shared" si="80"/>
        <v>388.42</v>
      </c>
      <c r="H531" s="51">
        <f t="shared" si="81"/>
        <v>388.42</v>
      </c>
      <c r="I531" s="106"/>
      <c r="J531" s="74"/>
      <c r="K531" s="12"/>
      <c r="L531" s="12"/>
      <c r="M531" s="97"/>
      <c r="N531" s="160"/>
      <c r="O531" s="97"/>
      <c r="P531" s="107"/>
      <c r="Q531" s="99"/>
      <c r="R531" s="6"/>
    </row>
    <row r="532" spans="1:18" s="131" customFormat="1" ht="33.75" outlineLevel="1" x14ac:dyDescent="0.2">
      <c r="A532" s="49" t="s">
        <v>248</v>
      </c>
      <c r="B532" s="47" t="s">
        <v>154</v>
      </c>
      <c r="C532" s="48" t="s">
        <v>155</v>
      </c>
      <c r="D532" s="49" t="s">
        <v>45</v>
      </c>
      <c r="E532" s="50">
        <v>1</v>
      </c>
      <c r="F532" s="50">
        <v>524.64</v>
      </c>
      <c r="G532" s="51">
        <f t="shared" si="80"/>
        <v>661.04</v>
      </c>
      <c r="H532" s="51">
        <f t="shared" si="81"/>
        <v>661.04</v>
      </c>
      <c r="I532" s="106"/>
      <c r="J532" s="74"/>
      <c r="K532" s="12"/>
      <c r="L532" s="12"/>
      <c r="M532" s="97"/>
      <c r="N532" s="160"/>
      <c r="O532" s="97"/>
      <c r="P532" s="107"/>
      <c r="Q532" s="99"/>
      <c r="R532" s="6"/>
    </row>
    <row r="533" spans="1:18" s="131" customFormat="1" ht="22.5" outlineLevel="1" x14ac:dyDescent="0.2">
      <c r="A533" s="49" t="s">
        <v>249</v>
      </c>
      <c r="B533" s="47">
        <v>91941</v>
      </c>
      <c r="C533" s="48" t="s">
        <v>151</v>
      </c>
      <c r="D533" s="49" t="s">
        <v>45</v>
      </c>
      <c r="E533" s="50">
        <v>52</v>
      </c>
      <c r="F533" s="50">
        <v>6.69</v>
      </c>
      <c r="G533" s="51">
        <f t="shared" si="80"/>
        <v>8.42</v>
      </c>
      <c r="H533" s="51">
        <f t="shared" si="81"/>
        <v>437.84</v>
      </c>
      <c r="I533" s="106"/>
      <c r="J533" s="74"/>
      <c r="K533" s="12"/>
      <c r="L533" s="12"/>
      <c r="M533" s="97"/>
      <c r="N533" s="160"/>
      <c r="O533" s="97"/>
      <c r="P533" s="107"/>
      <c r="Q533" s="99"/>
      <c r="R533" s="6"/>
    </row>
    <row r="534" spans="1:18" s="131" customFormat="1" ht="22.5" outlineLevel="1" x14ac:dyDescent="0.2">
      <c r="A534" s="49" t="s">
        <v>250</v>
      </c>
      <c r="B534" s="47">
        <v>93012</v>
      </c>
      <c r="C534" s="48" t="s">
        <v>156</v>
      </c>
      <c r="D534" s="49" t="s">
        <v>56</v>
      </c>
      <c r="E534" s="50">
        <v>12</v>
      </c>
      <c r="F534" s="50">
        <v>34.270000000000003</v>
      </c>
      <c r="G534" s="51">
        <f t="shared" si="80"/>
        <v>43.18</v>
      </c>
      <c r="H534" s="51">
        <f t="shared" si="81"/>
        <v>518.16</v>
      </c>
      <c r="I534" s="106"/>
      <c r="J534" s="74"/>
      <c r="K534" s="12"/>
      <c r="L534" s="12"/>
      <c r="M534" s="97"/>
      <c r="N534" s="160"/>
      <c r="O534" s="97"/>
      <c r="P534" s="107"/>
      <c r="Q534" s="99"/>
      <c r="R534" s="6"/>
    </row>
    <row r="535" spans="1:18" s="131" customFormat="1" ht="33.75" outlineLevel="1" x14ac:dyDescent="0.2">
      <c r="A535" s="49" t="s">
        <v>251</v>
      </c>
      <c r="B535" s="47" t="s">
        <v>157</v>
      </c>
      <c r="C535" s="48" t="s">
        <v>158</v>
      </c>
      <c r="D535" s="49" t="s">
        <v>45</v>
      </c>
      <c r="E535" s="50">
        <v>1</v>
      </c>
      <c r="F535" s="50">
        <v>732.55</v>
      </c>
      <c r="G535" s="51">
        <f t="shared" si="80"/>
        <v>923.01</v>
      </c>
      <c r="H535" s="51">
        <f>TRUNC(E535*G535,2)</f>
        <v>923.01</v>
      </c>
      <c r="I535" s="106"/>
      <c r="J535" s="74"/>
      <c r="K535" s="12"/>
      <c r="L535" s="12"/>
      <c r="M535" s="97"/>
      <c r="N535" s="160"/>
      <c r="O535" s="97"/>
      <c r="P535" s="107"/>
      <c r="Q535" s="99"/>
      <c r="R535" s="6"/>
    </row>
    <row r="536" spans="1:18" s="131" customFormat="1" ht="33.75" outlineLevel="1" x14ac:dyDescent="0.2">
      <c r="A536" s="49" t="s">
        <v>252</v>
      </c>
      <c r="B536" s="47" t="s">
        <v>352</v>
      </c>
      <c r="C536" s="48" t="s">
        <v>353</v>
      </c>
      <c r="D536" s="49" t="s">
        <v>45</v>
      </c>
      <c r="E536" s="50">
        <v>1</v>
      </c>
      <c r="F536" s="50">
        <v>396.73</v>
      </c>
      <c r="G536" s="51">
        <f>TRUNC(F536*$J$13,2)</f>
        <v>499.87</v>
      </c>
      <c r="H536" s="51">
        <f>TRUNC(E536*G536,2)</f>
        <v>499.87</v>
      </c>
      <c r="I536" s="106"/>
      <c r="J536" s="74"/>
      <c r="K536" s="12"/>
      <c r="L536" s="12"/>
      <c r="M536" s="97"/>
      <c r="N536" s="160"/>
      <c r="O536" s="97"/>
      <c r="P536" s="107"/>
      <c r="Q536" s="99"/>
      <c r="R536" s="6"/>
    </row>
    <row r="537" spans="1:18" s="131" customFormat="1" outlineLevel="1" x14ac:dyDescent="0.2">
      <c r="A537" s="125" t="s">
        <v>207</v>
      </c>
      <c r="B537" s="66"/>
      <c r="C537" s="43" t="s">
        <v>162</v>
      </c>
      <c r="D537" s="41"/>
      <c r="E537" s="43"/>
      <c r="F537" s="43"/>
      <c r="G537" s="67" t="s">
        <v>39</v>
      </c>
      <c r="H537" s="41"/>
      <c r="I537" s="44">
        <f>SUM(H538:H547)</f>
        <v>19539.96</v>
      </c>
      <c r="J537" s="74"/>
      <c r="K537" s="12"/>
      <c r="L537" s="12"/>
      <c r="M537" s="97"/>
      <c r="N537" s="160"/>
      <c r="O537" s="97"/>
      <c r="P537" s="107"/>
      <c r="Q537" s="99"/>
      <c r="R537" s="6"/>
    </row>
    <row r="538" spans="1:18" s="131" customFormat="1" ht="22.5" outlineLevel="1" x14ac:dyDescent="0.2">
      <c r="A538" s="49" t="s">
        <v>209</v>
      </c>
      <c r="B538" s="47">
        <v>90447</v>
      </c>
      <c r="C538" s="122" t="s">
        <v>128</v>
      </c>
      <c r="D538" s="49" t="s">
        <v>56</v>
      </c>
      <c r="E538" s="50">
        <v>46</v>
      </c>
      <c r="F538" s="50">
        <v>4.46</v>
      </c>
      <c r="G538" s="51">
        <f t="shared" ref="G538:G547" si="82">TRUNC(F538*$J$13,2)</f>
        <v>5.61</v>
      </c>
      <c r="H538" s="51">
        <f t="shared" ref="H538:H547" si="83">TRUNC(E538*G538,2)</f>
        <v>258.06</v>
      </c>
      <c r="I538" s="106"/>
      <c r="J538" s="74"/>
      <c r="K538" s="12"/>
      <c r="L538" s="12"/>
      <c r="M538" s="97"/>
      <c r="N538" s="160"/>
      <c r="O538" s="97"/>
      <c r="P538" s="107"/>
      <c r="Q538" s="99"/>
      <c r="R538" s="6"/>
    </row>
    <row r="539" spans="1:18" s="131" customFormat="1" ht="22.5" outlineLevel="1" x14ac:dyDescent="0.2">
      <c r="A539" s="49" t="s">
        <v>253</v>
      </c>
      <c r="B539" s="47">
        <v>91836</v>
      </c>
      <c r="C539" s="122" t="s">
        <v>131</v>
      </c>
      <c r="D539" s="49" t="s">
        <v>56</v>
      </c>
      <c r="E539" s="50">
        <v>120</v>
      </c>
      <c r="F539" s="50">
        <v>7.43</v>
      </c>
      <c r="G539" s="51">
        <f t="shared" si="82"/>
        <v>9.36</v>
      </c>
      <c r="H539" s="51">
        <f t="shared" si="83"/>
        <v>1123.2</v>
      </c>
      <c r="I539" s="106"/>
      <c r="J539" s="74"/>
      <c r="K539" s="12"/>
      <c r="L539" s="12"/>
      <c r="M539" s="97"/>
      <c r="N539" s="160"/>
      <c r="O539" s="97"/>
      <c r="P539" s="107"/>
      <c r="Q539" s="99"/>
      <c r="R539" s="6"/>
    </row>
    <row r="540" spans="1:18" s="131" customFormat="1" ht="22.5" outlineLevel="1" x14ac:dyDescent="0.2">
      <c r="A540" s="49" t="s">
        <v>210</v>
      </c>
      <c r="B540" s="47">
        <v>91869</v>
      </c>
      <c r="C540" s="122" t="s">
        <v>133</v>
      </c>
      <c r="D540" s="49" t="s">
        <v>56</v>
      </c>
      <c r="E540" s="50">
        <v>200</v>
      </c>
      <c r="F540" s="50">
        <v>9.94</v>
      </c>
      <c r="G540" s="51">
        <f t="shared" si="82"/>
        <v>12.52</v>
      </c>
      <c r="H540" s="51">
        <f t="shared" si="83"/>
        <v>2504</v>
      </c>
      <c r="I540" s="106"/>
      <c r="J540" s="74"/>
      <c r="K540" s="12"/>
      <c r="L540" s="12"/>
      <c r="M540" s="97"/>
      <c r="N540" s="160"/>
      <c r="O540" s="97"/>
      <c r="P540" s="107"/>
      <c r="Q540" s="99"/>
      <c r="R540" s="6"/>
    </row>
    <row r="541" spans="1:18" s="131" customFormat="1" ht="22.5" outlineLevel="1" x14ac:dyDescent="0.2">
      <c r="A541" s="49" t="s">
        <v>254</v>
      </c>
      <c r="B541" s="47">
        <v>91941</v>
      </c>
      <c r="C541" s="122" t="s">
        <v>151</v>
      </c>
      <c r="D541" s="49" t="s">
        <v>45</v>
      </c>
      <c r="E541" s="50">
        <v>60</v>
      </c>
      <c r="F541" s="50">
        <v>6.69</v>
      </c>
      <c r="G541" s="51">
        <f t="shared" si="82"/>
        <v>8.42</v>
      </c>
      <c r="H541" s="51">
        <f t="shared" si="83"/>
        <v>505.2</v>
      </c>
      <c r="I541" s="106"/>
      <c r="J541" s="74"/>
      <c r="K541" s="12"/>
      <c r="L541" s="12"/>
      <c r="M541" s="97"/>
      <c r="N541" s="160"/>
      <c r="O541" s="97"/>
      <c r="P541" s="107"/>
      <c r="Q541" s="99"/>
      <c r="R541" s="6"/>
    </row>
    <row r="542" spans="1:18" s="131" customFormat="1" ht="24.75" customHeight="1" outlineLevel="1" x14ac:dyDescent="0.2">
      <c r="A542" s="49" t="s">
        <v>255</v>
      </c>
      <c r="B542" s="47">
        <v>95778</v>
      </c>
      <c r="C542" s="48" t="s">
        <v>169</v>
      </c>
      <c r="D542" s="49" t="s">
        <v>56</v>
      </c>
      <c r="E542" s="50">
        <v>120</v>
      </c>
      <c r="F542" s="50">
        <v>18.37</v>
      </c>
      <c r="G542" s="51">
        <f t="shared" si="82"/>
        <v>23.14</v>
      </c>
      <c r="H542" s="51">
        <f t="shared" si="83"/>
        <v>2776.8</v>
      </c>
      <c r="I542" s="106"/>
      <c r="J542" s="74"/>
      <c r="K542" s="12"/>
      <c r="L542" s="12"/>
      <c r="M542" s="97"/>
      <c r="N542" s="160"/>
      <c r="O542" s="97"/>
      <c r="P542" s="107"/>
      <c r="Q542" s="99"/>
      <c r="R542" s="6"/>
    </row>
    <row r="543" spans="1:18" s="131" customFormat="1" ht="22.5" outlineLevel="1" x14ac:dyDescent="0.2">
      <c r="A543" s="49" t="s">
        <v>256</v>
      </c>
      <c r="B543" s="119">
        <v>98296</v>
      </c>
      <c r="C543" s="105" t="s">
        <v>173</v>
      </c>
      <c r="D543" s="49" t="s">
        <v>56</v>
      </c>
      <c r="E543" s="50">
        <v>2000</v>
      </c>
      <c r="F543" s="206">
        <v>2.52</v>
      </c>
      <c r="G543" s="51">
        <f t="shared" si="82"/>
        <v>3.17</v>
      </c>
      <c r="H543" s="51">
        <f t="shared" si="83"/>
        <v>6340</v>
      </c>
      <c r="I543" s="106"/>
      <c r="J543" s="74"/>
      <c r="K543" s="12"/>
      <c r="L543" s="12"/>
      <c r="M543" s="97"/>
      <c r="N543" s="160"/>
      <c r="O543" s="97"/>
      <c r="P543" s="107"/>
      <c r="Q543" s="99"/>
      <c r="R543" s="6"/>
    </row>
    <row r="544" spans="1:18" s="131" customFormat="1" outlineLevel="1" x14ac:dyDescent="0.2">
      <c r="A544" s="49" t="s">
        <v>257</v>
      </c>
      <c r="B544" s="47">
        <v>98593</v>
      </c>
      <c r="C544" s="161" t="s">
        <v>177</v>
      </c>
      <c r="D544" s="49" t="s">
        <v>45</v>
      </c>
      <c r="E544" s="50">
        <v>2</v>
      </c>
      <c r="F544" s="50">
        <v>651.96</v>
      </c>
      <c r="G544" s="51">
        <f t="shared" si="82"/>
        <v>821.46</v>
      </c>
      <c r="H544" s="51">
        <f t="shared" si="83"/>
        <v>1642.92</v>
      </c>
      <c r="I544" s="106"/>
      <c r="J544" s="74"/>
      <c r="K544" s="12"/>
      <c r="L544" s="12"/>
      <c r="M544" s="97"/>
      <c r="N544" s="160"/>
      <c r="O544" s="97"/>
      <c r="P544" s="107"/>
      <c r="Q544" s="99"/>
      <c r="R544" s="6"/>
    </row>
    <row r="545" spans="1:18" s="131" customFormat="1" ht="33.75" outlineLevel="1" x14ac:dyDescent="0.2">
      <c r="A545" s="49" t="s">
        <v>258</v>
      </c>
      <c r="B545" s="47" t="s">
        <v>359</v>
      </c>
      <c r="C545" s="136" t="s">
        <v>180</v>
      </c>
      <c r="D545" s="49" t="s">
        <v>45</v>
      </c>
      <c r="E545" s="50">
        <v>1</v>
      </c>
      <c r="F545" s="50">
        <v>1489.4</v>
      </c>
      <c r="G545" s="51">
        <f t="shared" si="82"/>
        <v>1876.64</v>
      </c>
      <c r="H545" s="51">
        <f t="shared" si="83"/>
        <v>1876.64</v>
      </c>
      <c r="I545" s="106"/>
      <c r="J545" s="74"/>
      <c r="K545" s="12"/>
      <c r="L545" s="12"/>
      <c r="M545" s="97"/>
      <c r="N545" s="160"/>
      <c r="O545" s="97"/>
      <c r="P545" s="107"/>
      <c r="Q545" s="99"/>
      <c r="R545" s="6"/>
    </row>
    <row r="546" spans="1:18" s="131" customFormat="1" outlineLevel="1" x14ac:dyDescent="0.2">
      <c r="A546" s="49" t="s">
        <v>259</v>
      </c>
      <c r="B546" s="47">
        <v>98307</v>
      </c>
      <c r="C546" s="122" t="s">
        <v>183</v>
      </c>
      <c r="D546" s="49" t="s">
        <v>45</v>
      </c>
      <c r="E546" s="50">
        <v>60</v>
      </c>
      <c r="F546" s="50">
        <v>32.04</v>
      </c>
      <c r="G546" s="51">
        <f t="shared" si="82"/>
        <v>40.369999999999997</v>
      </c>
      <c r="H546" s="51">
        <f t="shared" si="83"/>
        <v>2422.1999999999998</v>
      </c>
      <c r="I546" s="82"/>
      <c r="J546" s="74"/>
      <c r="K546" s="12"/>
      <c r="L546" s="12"/>
      <c r="M546" s="97"/>
      <c r="N546" s="160"/>
      <c r="O546" s="97"/>
      <c r="P546" s="107"/>
      <c r="Q546" s="99"/>
      <c r="R546" s="6"/>
    </row>
    <row r="547" spans="1:18" s="131" customFormat="1" ht="22.5" outlineLevel="1" x14ac:dyDescent="0.2">
      <c r="A547" s="49" t="s">
        <v>260</v>
      </c>
      <c r="B547" s="47">
        <v>100560</v>
      </c>
      <c r="C547" s="48" t="s">
        <v>185</v>
      </c>
      <c r="D547" s="49" t="s">
        <v>186</v>
      </c>
      <c r="E547" s="50">
        <v>1</v>
      </c>
      <c r="F547" s="50">
        <v>72.180000000000007</v>
      </c>
      <c r="G547" s="51">
        <f t="shared" si="82"/>
        <v>90.94</v>
      </c>
      <c r="H547" s="51">
        <f t="shared" si="83"/>
        <v>90.94</v>
      </c>
      <c r="I547" s="106"/>
      <c r="J547" s="74"/>
      <c r="K547" s="12"/>
      <c r="L547" s="12"/>
      <c r="M547" s="97"/>
      <c r="N547" s="160"/>
      <c r="O547" s="97"/>
      <c r="P547" s="107"/>
      <c r="Q547" s="99"/>
      <c r="R547" s="6"/>
    </row>
    <row r="548" spans="1:18" s="131" customFormat="1" outlineLevel="1" x14ac:dyDescent="0.2">
      <c r="A548" s="73" t="s">
        <v>212</v>
      </c>
      <c r="B548" s="66"/>
      <c r="C548" s="43" t="s">
        <v>188</v>
      </c>
      <c r="D548" s="41"/>
      <c r="E548" s="125"/>
      <c r="F548" s="43"/>
      <c r="G548" s="67" t="s">
        <v>39</v>
      </c>
      <c r="H548" s="41"/>
      <c r="I548" s="44">
        <f>SUM(H549:H577)</f>
        <v>15471.509999999997</v>
      </c>
      <c r="J548" s="74"/>
      <c r="K548" s="12"/>
      <c r="L548" s="12"/>
      <c r="M548" s="97"/>
      <c r="N548" s="160"/>
      <c r="O548" s="97"/>
      <c r="P548" s="107"/>
      <c r="Q548" s="99"/>
      <c r="R548" s="6"/>
    </row>
    <row r="549" spans="1:18" s="131" customFormat="1" outlineLevel="1" x14ac:dyDescent="0.2">
      <c r="A549" s="75" t="s">
        <v>214</v>
      </c>
      <c r="B549" s="47"/>
      <c r="C549" s="126" t="s">
        <v>190</v>
      </c>
      <c r="D549" s="49"/>
      <c r="E549" s="68"/>
      <c r="F549" s="78"/>
      <c r="G549" s="78"/>
      <c r="H549" s="127"/>
      <c r="I549" s="128"/>
      <c r="J549" s="74"/>
      <c r="K549" s="12"/>
      <c r="L549" s="12"/>
      <c r="M549" s="97"/>
      <c r="N549" s="160"/>
      <c r="O549" s="97"/>
      <c r="P549" s="107"/>
      <c r="Q549" s="99"/>
      <c r="R549" s="6"/>
    </row>
    <row r="550" spans="1:18" s="131" customFormat="1" ht="22.5" outlineLevel="1" x14ac:dyDescent="0.2">
      <c r="A550" s="49" t="s">
        <v>264</v>
      </c>
      <c r="B550" s="47">
        <v>90443</v>
      </c>
      <c r="C550" s="48" t="s">
        <v>191</v>
      </c>
      <c r="D550" s="49" t="s">
        <v>56</v>
      </c>
      <c r="E550" s="50">
        <f t="shared" ref="E550:E563" si="84">J550</f>
        <v>28.8</v>
      </c>
      <c r="F550" s="50">
        <v>8.9499999999999993</v>
      </c>
      <c r="G550" s="51">
        <f t="shared" ref="G550:G563" si="85">TRUNC(F550*$J$13,2)</f>
        <v>11.27</v>
      </c>
      <c r="H550" s="51">
        <f>TRUNC(E550*G550,2)</f>
        <v>324.57</v>
      </c>
      <c r="I550" s="129"/>
      <c r="J550" s="74">
        <f>9*3.2</f>
        <v>28.8</v>
      </c>
      <c r="K550" s="12"/>
      <c r="L550" s="12"/>
      <c r="M550" s="97"/>
      <c r="N550" s="160"/>
      <c r="O550" s="97"/>
      <c r="P550" s="107"/>
      <c r="Q550" s="99"/>
      <c r="R550" s="6"/>
    </row>
    <row r="551" spans="1:18" s="131" customFormat="1" ht="22.5" outlineLevel="1" x14ac:dyDescent="0.2">
      <c r="A551" s="49" t="s">
        <v>265</v>
      </c>
      <c r="B551" s="47">
        <v>93358</v>
      </c>
      <c r="C551" s="48" t="s">
        <v>356</v>
      </c>
      <c r="D551" s="49" t="s">
        <v>305</v>
      </c>
      <c r="E551" s="50">
        <f t="shared" si="84"/>
        <v>25</v>
      </c>
      <c r="F551" s="50">
        <v>56.84</v>
      </c>
      <c r="G551" s="138">
        <f t="shared" si="85"/>
        <v>71.61</v>
      </c>
      <c r="H551" s="138">
        <f t="shared" ref="H551:H563" si="86">TRUNC(E551*G551,2)</f>
        <v>1790.25</v>
      </c>
      <c r="I551" s="129"/>
      <c r="J551" s="74">
        <v>25</v>
      </c>
      <c r="K551" s="12"/>
      <c r="L551" s="12"/>
      <c r="M551" s="97"/>
      <c r="N551" s="160"/>
      <c r="O551" s="97"/>
      <c r="P551" s="107"/>
      <c r="Q551" s="99"/>
      <c r="R551" s="6"/>
    </row>
    <row r="552" spans="1:18" s="131" customFormat="1" ht="33.75" outlineLevel="1" x14ac:dyDescent="0.2">
      <c r="A552" s="49" t="s">
        <v>266</v>
      </c>
      <c r="B552" s="47">
        <v>89707</v>
      </c>
      <c r="C552" s="48" t="s">
        <v>293</v>
      </c>
      <c r="D552" s="49" t="s">
        <v>45</v>
      </c>
      <c r="E552" s="50">
        <f t="shared" si="84"/>
        <v>3</v>
      </c>
      <c r="F552" s="50">
        <v>25.09</v>
      </c>
      <c r="G552" s="138">
        <f t="shared" si="85"/>
        <v>31.61</v>
      </c>
      <c r="H552" s="138">
        <f t="shared" si="86"/>
        <v>94.83</v>
      </c>
      <c r="I552" s="129"/>
      <c r="J552" s="74">
        <v>3</v>
      </c>
      <c r="K552" s="12"/>
      <c r="L552" s="12"/>
      <c r="M552" s="97"/>
      <c r="N552" s="160"/>
      <c r="O552" s="97"/>
      <c r="P552" s="107"/>
      <c r="Q552" s="99"/>
      <c r="R552" s="6"/>
    </row>
    <row r="553" spans="1:18" s="131" customFormat="1" ht="33.75" outlineLevel="1" x14ac:dyDescent="0.2">
      <c r="A553" s="49" t="s">
        <v>268</v>
      </c>
      <c r="B553" s="47">
        <v>95472</v>
      </c>
      <c r="C553" s="48" t="s">
        <v>281</v>
      </c>
      <c r="D553" s="49" t="s">
        <v>45</v>
      </c>
      <c r="E553" s="50">
        <f t="shared" si="84"/>
        <v>1</v>
      </c>
      <c r="F553" s="50">
        <v>611.63</v>
      </c>
      <c r="G553" s="138">
        <f t="shared" si="85"/>
        <v>770.65</v>
      </c>
      <c r="H553" s="138">
        <f t="shared" si="86"/>
        <v>770.65</v>
      </c>
      <c r="I553" s="129"/>
      <c r="J553" s="74">
        <v>1</v>
      </c>
      <c r="K553" s="12"/>
      <c r="L553" s="12"/>
      <c r="M553" s="97"/>
      <c r="N553" s="160"/>
      <c r="O553" s="97"/>
      <c r="P553" s="107"/>
      <c r="Q553" s="99"/>
      <c r="R553" s="6"/>
    </row>
    <row r="554" spans="1:18" s="131" customFormat="1" ht="33.75" outlineLevel="1" x14ac:dyDescent="0.2">
      <c r="A554" s="49" t="s">
        <v>270</v>
      </c>
      <c r="B554" s="47">
        <v>95470</v>
      </c>
      <c r="C554" s="48" t="s">
        <v>206</v>
      </c>
      <c r="D554" s="49" t="s">
        <v>45</v>
      </c>
      <c r="E554" s="50">
        <f t="shared" si="84"/>
        <v>3</v>
      </c>
      <c r="F554" s="50">
        <v>169.53</v>
      </c>
      <c r="G554" s="138">
        <f t="shared" si="85"/>
        <v>213.6</v>
      </c>
      <c r="H554" s="138">
        <f t="shared" si="86"/>
        <v>640.79999999999995</v>
      </c>
      <c r="I554" s="129"/>
      <c r="J554" s="74">
        <v>3</v>
      </c>
      <c r="K554" s="12"/>
      <c r="L554" s="12"/>
      <c r="M554" s="97"/>
      <c r="N554" s="160"/>
      <c r="O554" s="97"/>
      <c r="P554" s="107"/>
      <c r="Q554" s="99"/>
      <c r="R554" s="6"/>
    </row>
    <row r="555" spans="1:18" s="131" customFormat="1" ht="33.75" outlineLevel="1" x14ac:dyDescent="0.2">
      <c r="A555" s="49" t="s">
        <v>271</v>
      </c>
      <c r="B555" s="47">
        <v>100858</v>
      </c>
      <c r="C555" s="48" t="s">
        <v>372</v>
      </c>
      <c r="D555" s="49" t="s">
        <v>45</v>
      </c>
      <c r="E555" s="50">
        <f t="shared" si="84"/>
        <v>2</v>
      </c>
      <c r="F555" s="50">
        <v>437.11</v>
      </c>
      <c r="G555" s="138">
        <f t="shared" si="85"/>
        <v>550.75</v>
      </c>
      <c r="H555" s="138">
        <f>TRUNC(E555*G555,2)</f>
        <v>1101.5</v>
      </c>
      <c r="I555" s="129"/>
      <c r="J555" s="74">
        <v>2</v>
      </c>
      <c r="K555" s="12"/>
      <c r="L555" s="12"/>
      <c r="M555" s="97"/>
      <c r="N555" s="160"/>
      <c r="O555" s="97"/>
      <c r="P555" s="107"/>
      <c r="Q555" s="99"/>
      <c r="R555" s="6"/>
    </row>
    <row r="556" spans="1:18" s="131" customFormat="1" ht="22.5" outlineLevel="1" x14ac:dyDescent="0.2">
      <c r="A556" s="49" t="s">
        <v>272</v>
      </c>
      <c r="B556" s="72">
        <v>86889</v>
      </c>
      <c r="C556" s="48" t="s">
        <v>373</v>
      </c>
      <c r="D556" s="49" t="s">
        <v>45</v>
      </c>
      <c r="E556" s="50">
        <f t="shared" si="84"/>
        <v>4</v>
      </c>
      <c r="F556" s="50">
        <v>574.45000000000005</v>
      </c>
      <c r="G556" s="138">
        <f t="shared" si="85"/>
        <v>723.8</v>
      </c>
      <c r="H556" s="138">
        <f t="shared" si="86"/>
        <v>2895.2</v>
      </c>
      <c r="I556" s="129"/>
      <c r="J556" s="74">
        <v>4</v>
      </c>
      <c r="K556" s="12"/>
      <c r="L556" s="12"/>
      <c r="M556" s="97"/>
      <c r="N556" s="160"/>
      <c r="O556" s="97"/>
      <c r="P556" s="107"/>
      <c r="Q556" s="99"/>
      <c r="R556" s="6"/>
    </row>
    <row r="557" spans="1:18" s="131" customFormat="1" outlineLevel="1" x14ac:dyDescent="0.2">
      <c r="A557" s="49" t="s">
        <v>273</v>
      </c>
      <c r="B557" s="47" t="s">
        <v>284</v>
      </c>
      <c r="C557" s="48" t="s">
        <v>285</v>
      </c>
      <c r="D557" s="49" t="s">
        <v>45</v>
      </c>
      <c r="E557" s="50">
        <f t="shared" si="84"/>
        <v>1</v>
      </c>
      <c r="F557" s="50">
        <v>690.19</v>
      </c>
      <c r="G557" s="138">
        <f t="shared" si="85"/>
        <v>869.63</v>
      </c>
      <c r="H557" s="138">
        <f t="shared" si="86"/>
        <v>869.63</v>
      </c>
      <c r="I557" s="129"/>
      <c r="J557" s="74">
        <f>1</f>
        <v>1</v>
      </c>
      <c r="K557" s="12"/>
      <c r="L557" s="12"/>
      <c r="M557" s="97"/>
      <c r="N557" s="160"/>
      <c r="O557" s="97"/>
      <c r="P557" s="107"/>
      <c r="Q557" s="99"/>
      <c r="R557" s="6"/>
    </row>
    <row r="558" spans="1:18" s="131" customFormat="1" ht="22.5" outlineLevel="1" x14ac:dyDescent="0.2">
      <c r="A558" s="49" t="s">
        <v>275</v>
      </c>
      <c r="B558" s="47">
        <v>86901</v>
      </c>
      <c r="C558" s="48" t="s">
        <v>193</v>
      </c>
      <c r="D558" s="49" t="s">
        <v>45</v>
      </c>
      <c r="E558" s="50">
        <f t="shared" si="84"/>
        <v>4</v>
      </c>
      <c r="F558" s="50">
        <v>108.45</v>
      </c>
      <c r="G558" s="138">
        <f t="shared" si="85"/>
        <v>136.63999999999999</v>
      </c>
      <c r="H558" s="138">
        <f t="shared" si="86"/>
        <v>546.55999999999995</v>
      </c>
      <c r="I558" s="129"/>
      <c r="J558" s="74">
        <v>4</v>
      </c>
      <c r="K558" s="12"/>
      <c r="L558" s="12"/>
      <c r="M558" s="97"/>
      <c r="N558" s="160"/>
      <c r="O558" s="97"/>
      <c r="P558" s="107"/>
      <c r="Q558" s="99"/>
      <c r="R558" s="6"/>
    </row>
    <row r="559" spans="1:18" s="131" customFormat="1" ht="22.5" outlineLevel="1" x14ac:dyDescent="0.2">
      <c r="A559" s="49" t="s">
        <v>277</v>
      </c>
      <c r="B559" s="47">
        <v>86915</v>
      </c>
      <c r="C559" s="48" t="s">
        <v>194</v>
      </c>
      <c r="D559" s="49" t="s">
        <v>45</v>
      </c>
      <c r="E559" s="50">
        <f t="shared" si="84"/>
        <v>1</v>
      </c>
      <c r="F559" s="50">
        <v>84.78</v>
      </c>
      <c r="G559" s="138">
        <f t="shared" si="85"/>
        <v>106.82</v>
      </c>
      <c r="H559" s="138">
        <f t="shared" si="86"/>
        <v>106.82</v>
      </c>
      <c r="I559" s="129"/>
      <c r="J559" s="74">
        <v>1</v>
      </c>
      <c r="K559" s="12"/>
      <c r="L559" s="12"/>
      <c r="M559" s="97"/>
      <c r="N559" s="160"/>
      <c r="O559" s="97"/>
      <c r="P559" s="107"/>
      <c r="Q559" s="99"/>
      <c r="R559" s="6"/>
    </row>
    <row r="560" spans="1:18" s="131" customFormat="1" ht="22.5" outlineLevel="1" x14ac:dyDescent="0.2">
      <c r="A560" s="49" t="s">
        <v>374</v>
      </c>
      <c r="B560" s="47">
        <v>99635</v>
      </c>
      <c r="C560" s="48" t="s">
        <v>195</v>
      </c>
      <c r="D560" s="49" t="s">
        <v>45</v>
      </c>
      <c r="E560" s="50">
        <f t="shared" si="84"/>
        <v>3</v>
      </c>
      <c r="F560" s="50">
        <v>184.35</v>
      </c>
      <c r="G560" s="138">
        <f t="shared" si="85"/>
        <v>232.28</v>
      </c>
      <c r="H560" s="138">
        <f t="shared" si="86"/>
        <v>696.84</v>
      </c>
      <c r="I560" s="129"/>
      <c r="J560" s="74">
        <v>3</v>
      </c>
      <c r="K560" s="12"/>
      <c r="L560" s="12"/>
      <c r="M560" s="97"/>
      <c r="N560" s="160"/>
      <c r="O560" s="97"/>
      <c r="P560" s="107"/>
      <c r="Q560" s="99"/>
      <c r="R560" s="6"/>
    </row>
    <row r="561" spans="1:18" s="131" customFormat="1" ht="22.5" outlineLevel="1" x14ac:dyDescent="0.2">
      <c r="A561" s="49" t="s">
        <v>375</v>
      </c>
      <c r="B561" s="47">
        <v>89984</v>
      </c>
      <c r="C561" s="48" t="s">
        <v>278</v>
      </c>
      <c r="D561" s="49" t="s">
        <v>45</v>
      </c>
      <c r="E561" s="50">
        <f t="shared" si="84"/>
        <v>2</v>
      </c>
      <c r="F561" s="50">
        <v>53.43</v>
      </c>
      <c r="G561" s="138">
        <f t="shared" si="85"/>
        <v>67.319999999999993</v>
      </c>
      <c r="H561" s="138">
        <f t="shared" si="86"/>
        <v>134.63999999999999</v>
      </c>
      <c r="I561" s="129"/>
      <c r="J561" s="74">
        <v>2</v>
      </c>
      <c r="K561" s="12"/>
      <c r="L561" s="12"/>
      <c r="M561" s="97"/>
      <c r="N561" s="160"/>
      <c r="O561" s="97"/>
      <c r="P561" s="107"/>
      <c r="Q561" s="99"/>
      <c r="R561" s="6"/>
    </row>
    <row r="562" spans="1:18" s="131" customFormat="1" ht="22.5" outlineLevel="1" x14ac:dyDescent="0.2">
      <c r="A562" s="49" t="s">
        <v>376</v>
      </c>
      <c r="B562" s="47">
        <v>86911</v>
      </c>
      <c r="C562" s="48" t="s">
        <v>314</v>
      </c>
      <c r="D562" s="49" t="s">
        <v>45</v>
      </c>
      <c r="E562" s="50">
        <f t="shared" si="84"/>
        <v>2</v>
      </c>
      <c r="F562" s="50">
        <v>42.42</v>
      </c>
      <c r="G562" s="51">
        <f t="shared" si="85"/>
        <v>53.44</v>
      </c>
      <c r="H562" s="138">
        <f t="shared" si="86"/>
        <v>106.88</v>
      </c>
      <c r="I562" s="129"/>
      <c r="J562" s="74">
        <v>2</v>
      </c>
      <c r="K562" s="12"/>
      <c r="L562" s="12"/>
      <c r="M562" s="97"/>
      <c r="N562" s="160"/>
      <c r="O562" s="97"/>
      <c r="P562" s="107"/>
      <c r="Q562" s="99"/>
      <c r="R562" s="6"/>
    </row>
    <row r="563" spans="1:18" s="131" customFormat="1" ht="45" outlineLevel="1" x14ac:dyDescent="0.2">
      <c r="A563" s="49" t="s">
        <v>377</v>
      </c>
      <c r="B563" s="47">
        <v>91785</v>
      </c>
      <c r="C563" s="48" t="s">
        <v>378</v>
      </c>
      <c r="D563" s="49" t="s">
        <v>56</v>
      </c>
      <c r="E563" s="50">
        <f t="shared" si="84"/>
        <v>24</v>
      </c>
      <c r="F563" s="50">
        <v>30.64</v>
      </c>
      <c r="G563" s="51">
        <f t="shared" si="85"/>
        <v>38.6</v>
      </c>
      <c r="H563" s="138">
        <f t="shared" si="86"/>
        <v>926.4</v>
      </c>
      <c r="I563" s="129"/>
      <c r="J563" s="74">
        <v>24</v>
      </c>
      <c r="K563" s="12"/>
      <c r="L563" s="12"/>
      <c r="M563" s="97"/>
      <c r="N563" s="160"/>
      <c r="O563" s="97"/>
      <c r="P563" s="107"/>
      <c r="Q563" s="99"/>
      <c r="R563" s="6"/>
    </row>
    <row r="564" spans="1:18" s="131" customFormat="1" outlineLevel="1" x14ac:dyDescent="0.2">
      <c r="A564" s="49" t="s">
        <v>375</v>
      </c>
      <c r="B564" s="47"/>
      <c r="C564" s="162" t="s">
        <v>202</v>
      </c>
      <c r="D564" s="49"/>
      <c r="E564" s="50"/>
      <c r="F564" s="50"/>
      <c r="G564" s="51"/>
      <c r="H564" s="51"/>
      <c r="I564" s="129"/>
      <c r="J564" s="74"/>
      <c r="K564" s="12"/>
      <c r="L564" s="12"/>
      <c r="M564" s="97"/>
      <c r="N564" s="160"/>
      <c r="O564" s="97"/>
      <c r="P564" s="107"/>
      <c r="Q564" s="99"/>
      <c r="R564" s="6"/>
    </row>
    <row r="565" spans="1:18" s="131" customFormat="1" ht="22.5" outlineLevel="1" x14ac:dyDescent="0.2">
      <c r="A565" s="49" t="s">
        <v>376</v>
      </c>
      <c r="B565" s="47">
        <v>86881</v>
      </c>
      <c r="C565" s="48" t="s">
        <v>287</v>
      </c>
      <c r="D565" s="49" t="s">
        <v>45</v>
      </c>
      <c r="E565" s="50">
        <f t="shared" ref="E565:E570" si="87">J565</f>
        <v>7</v>
      </c>
      <c r="F565" s="50">
        <v>155.91999999999999</v>
      </c>
      <c r="G565" s="138">
        <f t="shared" ref="G565:G570" si="88">TRUNC(F565*$J$13,2)</f>
        <v>196.45</v>
      </c>
      <c r="H565" s="138">
        <f t="shared" ref="H565:H570" si="89">TRUNC(E565*G565,2)</f>
        <v>1375.15</v>
      </c>
      <c r="I565" s="129"/>
      <c r="J565" s="74">
        <v>7</v>
      </c>
      <c r="K565" s="12"/>
      <c r="L565" s="12"/>
      <c r="M565" s="97"/>
      <c r="N565" s="160"/>
      <c r="O565" s="97"/>
      <c r="P565" s="107"/>
      <c r="Q565" s="99"/>
      <c r="R565" s="6"/>
    </row>
    <row r="566" spans="1:18" s="131" customFormat="1" ht="22.5" outlineLevel="1" x14ac:dyDescent="0.2">
      <c r="A566" s="49" t="s">
        <v>377</v>
      </c>
      <c r="B566" s="47">
        <v>86877</v>
      </c>
      <c r="C566" s="48" t="s">
        <v>289</v>
      </c>
      <c r="D566" s="49" t="s">
        <v>45</v>
      </c>
      <c r="E566" s="50">
        <f t="shared" si="87"/>
        <v>4</v>
      </c>
      <c r="F566" s="50">
        <v>25.76</v>
      </c>
      <c r="G566" s="138">
        <f t="shared" si="88"/>
        <v>32.450000000000003</v>
      </c>
      <c r="H566" s="138">
        <f t="shared" si="89"/>
        <v>129.80000000000001</v>
      </c>
      <c r="I566" s="129"/>
      <c r="J566" s="74">
        <v>4</v>
      </c>
      <c r="K566" s="12"/>
      <c r="L566" s="12"/>
      <c r="M566" s="97"/>
      <c r="N566" s="160"/>
      <c r="O566" s="97"/>
      <c r="P566" s="107"/>
      <c r="Q566" s="99"/>
      <c r="R566" s="6"/>
    </row>
    <row r="567" spans="1:18" s="131" customFormat="1" ht="22.5" outlineLevel="1" x14ac:dyDescent="0.2">
      <c r="A567" s="49" t="s">
        <v>379</v>
      </c>
      <c r="B567" s="47">
        <v>86878</v>
      </c>
      <c r="C567" s="48" t="s">
        <v>315</v>
      </c>
      <c r="D567" s="49" t="s">
        <v>45</v>
      </c>
      <c r="E567" s="50">
        <f t="shared" si="87"/>
        <v>2</v>
      </c>
      <c r="F567" s="50">
        <v>55.19</v>
      </c>
      <c r="G567" s="51">
        <f t="shared" si="88"/>
        <v>69.53</v>
      </c>
      <c r="H567" s="51">
        <f t="shared" si="89"/>
        <v>139.06</v>
      </c>
      <c r="I567" s="129"/>
      <c r="J567" s="74">
        <v>2</v>
      </c>
      <c r="K567" s="12"/>
      <c r="L567" s="12"/>
      <c r="M567" s="97"/>
      <c r="N567" s="160"/>
      <c r="O567" s="97"/>
      <c r="P567" s="107"/>
      <c r="Q567" s="99"/>
      <c r="R567" s="6"/>
    </row>
    <row r="568" spans="1:18" s="131" customFormat="1" ht="18.75" customHeight="1" outlineLevel="1" x14ac:dyDescent="0.2">
      <c r="A568" s="49" t="s">
        <v>380</v>
      </c>
      <c r="B568" s="47">
        <v>95544</v>
      </c>
      <c r="C568" s="48" t="s">
        <v>203</v>
      </c>
      <c r="D568" s="49" t="s">
        <v>45</v>
      </c>
      <c r="E568" s="50">
        <f t="shared" si="87"/>
        <v>4</v>
      </c>
      <c r="F568" s="50">
        <v>30.21</v>
      </c>
      <c r="G568" s="51">
        <f t="shared" si="88"/>
        <v>38.06</v>
      </c>
      <c r="H568" s="51">
        <f t="shared" si="89"/>
        <v>152.24</v>
      </c>
      <c r="I568" s="129"/>
      <c r="J568" s="74">
        <v>4</v>
      </c>
      <c r="K568" s="12"/>
      <c r="L568" s="12"/>
      <c r="M568" s="97"/>
      <c r="N568" s="160"/>
      <c r="O568" s="97"/>
      <c r="P568" s="107"/>
      <c r="Q568" s="99"/>
      <c r="R568" s="6"/>
    </row>
    <row r="569" spans="1:18" s="131" customFormat="1" ht="22.5" outlineLevel="1" x14ac:dyDescent="0.2">
      <c r="A569" s="49" t="s">
        <v>381</v>
      </c>
      <c r="B569" s="47">
        <v>88571</v>
      </c>
      <c r="C569" s="48" t="s">
        <v>358</v>
      </c>
      <c r="D569" s="49" t="s">
        <v>45</v>
      </c>
      <c r="E569" s="50">
        <f t="shared" si="87"/>
        <v>3</v>
      </c>
      <c r="F569" s="50">
        <v>29.63</v>
      </c>
      <c r="G569" s="51">
        <f t="shared" si="88"/>
        <v>37.33</v>
      </c>
      <c r="H569" s="51">
        <f t="shared" si="89"/>
        <v>111.99</v>
      </c>
      <c r="I569" s="129"/>
      <c r="J569" s="74">
        <v>3</v>
      </c>
      <c r="K569" s="12"/>
      <c r="L569" s="12"/>
      <c r="M569" s="97"/>
      <c r="N569" s="160"/>
      <c r="O569" s="97"/>
      <c r="P569" s="107"/>
      <c r="Q569" s="99"/>
      <c r="R569" s="6"/>
    </row>
    <row r="570" spans="1:18" s="131" customFormat="1" ht="22.5" outlineLevel="1" x14ac:dyDescent="0.2">
      <c r="A570" s="49" t="s">
        <v>382</v>
      </c>
      <c r="B570" s="47">
        <v>9535</v>
      </c>
      <c r="C570" s="48" t="s">
        <v>274</v>
      </c>
      <c r="D570" s="49" t="s">
        <v>45</v>
      </c>
      <c r="E570" s="50">
        <f t="shared" si="87"/>
        <v>2</v>
      </c>
      <c r="F570" s="50">
        <v>40.83</v>
      </c>
      <c r="G570" s="51">
        <f t="shared" si="88"/>
        <v>51.44</v>
      </c>
      <c r="H570" s="51">
        <f t="shared" si="89"/>
        <v>102.88</v>
      </c>
      <c r="I570" s="129"/>
      <c r="J570" s="74">
        <v>2</v>
      </c>
      <c r="K570" s="12"/>
      <c r="L570" s="12"/>
      <c r="M570" s="97"/>
      <c r="N570" s="160"/>
      <c r="O570" s="97"/>
      <c r="P570" s="107"/>
      <c r="Q570" s="99"/>
      <c r="R570" s="6"/>
    </row>
    <row r="571" spans="1:18" s="131" customFormat="1" ht="22.5" outlineLevel="1" x14ac:dyDescent="0.2">
      <c r="A571" s="49" t="s">
        <v>383</v>
      </c>
      <c r="B571" s="47">
        <v>89714</v>
      </c>
      <c r="C571" s="48" t="s">
        <v>196</v>
      </c>
      <c r="D571" s="49" t="s">
        <v>56</v>
      </c>
      <c r="E571" s="50">
        <f>J571</f>
        <v>18</v>
      </c>
      <c r="F571" s="50">
        <v>42.17</v>
      </c>
      <c r="G571" s="51">
        <f t="shared" ref="G571:G577" si="90">TRUNC(F571*$J$13,2)</f>
        <v>53.13</v>
      </c>
      <c r="H571" s="51">
        <f t="shared" ref="H571:H577" si="91">TRUNC(E571*G571,2)</f>
        <v>956.34</v>
      </c>
      <c r="I571" s="129"/>
      <c r="J571" s="74">
        <v>18</v>
      </c>
      <c r="K571" s="12"/>
      <c r="L571" s="12"/>
      <c r="M571" s="97"/>
      <c r="N571" s="160"/>
      <c r="O571" s="97"/>
      <c r="P571" s="107"/>
      <c r="Q571" s="99"/>
      <c r="R571" s="6"/>
    </row>
    <row r="572" spans="1:18" s="131" customFormat="1" ht="22.5" outlineLevel="1" x14ac:dyDescent="0.2">
      <c r="A572" s="49" t="s">
        <v>384</v>
      </c>
      <c r="B572" s="47">
        <v>89712</v>
      </c>
      <c r="C572" s="48" t="s">
        <v>197</v>
      </c>
      <c r="D572" s="49" t="s">
        <v>56</v>
      </c>
      <c r="E572" s="50">
        <f>J572</f>
        <v>12</v>
      </c>
      <c r="F572" s="50">
        <v>21.1</v>
      </c>
      <c r="G572" s="51">
        <f t="shared" si="90"/>
        <v>26.58</v>
      </c>
      <c r="H572" s="51">
        <f t="shared" si="91"/>
        <v>318.95999999999998</v>
      </c>
      <c r="I572" s="129"/>
      <c r="J572" s="74">
        <v>12</v>
      </c>
      <c r="K572" s="12"/>
      <c r="L572" s="12"/>
      <c r="M572" s="97"/>
      <c r="N572" s="160"/>
      <c r="O572" s="97"/>
      <c r="P572" s="107"/>
      <c r="Q572" s="99"/>
      <c r="R572" s="6"/>
    </row>
    <row r="573" spans="1:18" s="131" customFormat="1" ht="22.5" outlineLevel="1" x14ac:dyDescent="0.2">
      <c r="A573" s="49" t="s">
        <v>385</v>
      </c>
      <c r="B573" s="47">
        <v>89567</v>
      </c>
      <c r="C573" s="48" t="s">
        <v>198</v>
      </c>
      <c r="D573" s="49" t="s">
        <v>45</v>
      </c>
      <c r="E573" s="50">
        <f>J573</f>
        <v>2</v>
      </c>
      <c r="F573" s="50">
        <v>57.95</v>
      </c>
      <c r="G573" s="51">
        <f t="shared" si="90"/>
        <v>73.010000000000005</v>
      </c>
      <c r="H573" s="51">
        <f t="shared" si="91"/>
        <v>146.02000000000001</v>
      </c>
      <c r="I573" s="129"/>
      <c r="J573" s="74">
        <v>2</v>
      </c>
      <c r="K573" s="12"/>
      <c r="L573" s="12"/>
      <c r="M573" s="97"/>
      <c r="N573" s="160"/>
      <c r="O573" s="97"/>
      <c r="P573" s="107"/>
      <c r="Q573" s="99"/>
      <c r="R573" s="6"/>
    </row>
    <row r="574" spans="1:18" s="131" customFormat="1" ht="33.75" outlineLevel="1" x14ac:dyDescent="0.2">
      <c r="A574" s="49" t="s">
        <v>386</v>
      </c>
      <c r="B574" s="47">
        <v>89731</v>
      </c>
      <c r="C574" s="48" t="s">
        <v>199</v>
      </c>
      <c r="D574" s="49" t="s">
        <v>45</v>
      </c>
      <c r="E574" s="50">
        <f>J574</f>
        <v>9</v>
      </c>
      <c r="F574" s="50">
        <v>8.56</v>
      </c>
      <c r="G574" s="51">
        <f t="shared" si="90"/>
        <v>10.78</v>
      </c>
      <c r="H574" s="51">
        <f t="shared" si="91"/>
        <v>97.02</v>
      </c>
      <c r="I574" s="129"/>
      <c r="J574" s="74">
        <v>9</v>
      </c>
      <c r="K574" s="12"/>
      <c r="L574" s="12"/>
      <c r="M574" s="97"/>
      <c r="N574" s="160"/>
      <c r="O574" s="97"/>
      <c r="P574" s="107"/>
      <c r="Q574" s="99"/>
      <c r="R574" s="6"/>
    </row>
    <row r="575" spans="1:18" s="131" customFormat="1" ht="22.5" outlineLevel="1" x14ac:dyDescent="0.2">
      <c r="A575" s="49" t="s">
        <v>387</v>
      </c>
      <c r="B575" s="47" t="s">
        <v>811</v>
      </c>
      <c r="C575" s="48" t="s">
        <v>809</v>
      </c>
      <c r="D575" s="393" t="s">
        <v>186</v>
      </c>
      <c r="E575" s="50">
        <v>2</v>
      </c>
      <c r="F575" s="50">
        <v>234.43</v>
      </c>
      <c r="G575" s="51">
        <f t="shared" si="90"/>
        <v>295.38</v>
      </c>
      <c r="H575" s="51">
        <f t="shared" si="91"/>
        <v>590.76</v>
      </c>
      <c r="I575" s="129"/>
      <c r="J575" s="74"/>
      <c r="K575" s="12"/>
      <c r="L575" s="12"/>
      <c r="M575" s="97"/>
      <c r="N575" s="160"/>
      <c r="O575" s="97"/>
      <c r="P575" s="107"/>
      <c r="Q575" s="99"/>
      <c r="R575" s="6"/>
    </row>
    <row r="576" spans="1:18" s="131" customFormat="1" ht="22.5" outlineLevel="1" x14ac:dyDescent="0.2">
      <c r="A576" s="49" t="s">
        <v>821</v>
      </c>
      <c r="B576" s="47" t="s">
        <v>812</v>
      </c>
      <c r="C576" s="48" t="s">
        <v>810</v>
      </c>
      <c r="D576" s="393" t="s">
        <v>186</v>
      </c>
      <c r="E576" s="50">
        <v>1</v>
      </c>
      <c r="F576" s="50">
        <v>198.89</v>
      </c>
      <c r="G576" s="51">
        <f t="shared" si="90"/>
        <v>250.6</v>
      </c>
      <c r="H576" s="51">
        <f t="shared" si="91"/>
        <v>250.6</v>
      </c>
      <c r="I576" s="129"/>
      <c r="J576" s="74"/>
      <c r="K576" s="12"/>
      <c r="L576" s="12"/>
      <c r="M576" s="97"/>
      <c r="N576" s="160"/>
      <c r="O576" s="97"/>
      <c r="P576" s="107"/>
      <c r="Q576" s="99"/>
      <c r="R576" s="6"/>
    </row>
    <row r="577" spans="1:18" s="131" customFormat="1" ht="33.75" outlineLevel="1" x14ac:dyDescent="0.2">
      <c r="A577" s="49" t="s">
        <v>822</v>
      </c>
      <c r="B577" s="47">
        <v>89744</v>
      </c>
      <c r="C577" s="48" t="s">
        <v>200</v>
      </c>
      <c r="D577" s="49" t="s">
        <v>45</v>
      </c>
      <c r="E577" s="50">
        <f>J577</f>
        <v>4</v>
      </c>
      <c r="F577" s="50">
        <v>18.88</v>
      </c>
      <c r="G577" s="51">
        <f t="shared" si="90"/>
        <v>23.78</v>
      </c>
      <c r="H577" s="51">
        <f t="shared" si="91"/>
        <v>95.12</v>
      </c>
      <c r="I577" s="129"/>
      <c r="J577" s="74">
        <v>4</v>
      </c>
      <c r="K577" s="12"/>
      <c r="L577" s="12"/>
      <c r="M577" s="97"/>
      <c r="N577" s="160"/>
      <c r="O577" s="97"/>
      <c r="P577" s="107"/>
      <c r="Q577" s="99"/>
      <c r="R577" s="6"/>
    </row>
    <row r="578" spans="1:18" s="131" customFormat="1" outlineLevel="1" x14ac:dyDescent="0.2">
      <c r="A578" s="73" t="s">
        <v>300</v>
      </c>
      <c r="B578" s="73"/>
      <c r="C578" s="43" t="s">
        <v>208</v>
      </c>
      <c r="D578" s="41"/>
      <c r="E578" s="43"/>
      <c r="F578" s="43"/>
      <c r="G578" s="67" t="s">
        <v>39</v>
      </c>
      <c r="H578" s="43"/>
      <c r="I578" s="44">
        <f>SUM(H579:H580)</f>
        <v>2073.6</v>
      </c>
      <c r="J578" s="74"/>
      <c r="K578" s="12"/>
      <c r="L578" s="12"/>
      <c r="M578" s="97"/>
      <c r="N578" s="160"/>
      <c r="O578" s="97"/>
      <c r="P578" s="107"/>
      <c r="Q578" s="99"/>
      <c r="R578" s="6"/>
    </row>
    <row r="579" spans="1:18" s="131" customFormat="1" outlineLevel="1" x14ac:dyDescent="0.2">
      <c r="A579" s="49" t="s">
        <v>301</v>
      </c>
      <c r="B579" s="47">
        <v>72178</v>
      </c>
      <c r="C579" s="48" t="s">
        <v>51</v>
      </c>
      <c r="D579" s="49" t="s">
        <v>24</v>
      </c>
      <c r="E579" s="123">
        <v>32</v>
      </c>
      <c r="F579" s="123">
        <v>22.6</v>
      </c>
      <c r="G579" s="51">
        <f>TRUNC(F579*$J$13,2)</f>
        <v>28.47</v>
      </c>
      <c r="H579" s="51">
        <f>TRUNC(E579*G579,2)</f>
        <v>911.04</v>
      </c>
      <c r="I579" s="134"/>
      <c r="J579" s="74"/>
      <c r="K579" s="12"/>
      <c r="L579" s="12"/>
      <c r="M579" s="97"/>
      <c r="N579" s="160"/>
      <c r="O579" s="97"/>
      <c r="P579" s="107"/>
      <c r="Q579" s="99"/>
      <c r="R579" s="6"/>
    </row>
    <row r="580" spans="1:18" s="131" customFormat="1" ht="22.5" outlineLevel="1" x14ac:dyDescent="0.2">
      <c r="A580" s="49" t="s">
        <v>302</v>
      </c>
      <c r="B580" s="47">
        <v>72181</v>
      </c>
      <c r="C580" s="208" t="s">
        <v>211</v>
      </c>
      <c r="D580" s="49" t="s">
        <v>24</v>
      </c>
      <c r="E580" s="123">
        <v>32</v>
      </c>
      <c r="F580" s="68">
        <v>28.84</v>
      </c>
      <c r="G580" s="51">
        <f>TRUNC(F580*$J$13,2)</f>
        <v>36.33</v>
      </c>
      <c r="H580" s="51">
        <f>TRUNC(E580*G580,2)</f>
        <v>1162.56</v>
      </c>
      <c r="I580" s="134"/>
      <c r="J580" s="74"/>
      <c r="K580" s="12"/>
      <c r="L580" s="12"/>
      <c r="M580" s="97"/>
      <c r="N580" s="160"/>
      <c r="O580" s="97"/>
      <c r="P580" s="107"/>
      <c r="Q580" s="99"/>
      <c r="R580" s="6"/>
    </row>
    <row r="581" spans="1:18" s="131" customFormat="1" outlineLevel="1" x14ac:dyDescent="0.2">
      <c r="A581" s="49"/>
      <c r="B581" s="47"/>
      <c r="C581" s="208"/>
      <c r="D581" s="49"/>
      <c r="E581" s="123"/>
      <c r="F581" s="213"/>
      <c r="G581" s="51"/>
      <c r="H581" s="51"/>
      <c r="I581" s="163"/>
      <c r="J581" s="74"/>
      <c r="K581" s="12"/>
      <c r="L581" s="12"/>
      <c r="M581" s="97"/>
      <c r="N581" s="160"/>
      <c r="O581" s="97"/>
      <c r="P581" s="107"/>
      <c r="Q581" s="99"/>
      <c r="R581" s="6"/>
    </row>
    <row r="582" spans="1:18" s="131" customFormat="1" outlineLevel="1" x14ac:dyDescent="0.2">
      <c r="A582" s="73" t="s">
        <v>388</v>
      </c>
      <c r="B582" s="125"/>
      <c r="C582" s="43" t="s">
        <v>213</v>
      </c>
      <c r="D582" s="41"/>
      <c r="E582" s="43"/>
      <c r="F582" s="43"/>
      <c r="G582" s="43"/>
      <c r="H582" s="41"/>
      <c r="I582" s="135">
        <f>SUM(H583:H583)</f>
        <v>6102.15</v>
      </c>
      <c r="J582" s="74"/>
      <c r="K582" s="12"/>
      <c r="L582" s="12"/>
      <c r="M582" s="97"/>
      <c r="N582" s="160"/>
      <c r="O582" s="97"/>
      <c r="P582" s="107"/>
      <c r="Q582" s="99"/>
      <c r="R582" s="6"/>
    </row>
    <row r="583" spans="1:18" s="131" customFormat="1" ht="22.5" outlineLevel="1" x14ac:dyDescent="0.2">
      <c r="A583" s="49" t="s">
        <v>389</v>
      </c>
      <c r="B583" s="47">
        <v>96114</v>
      </c>
      <c r="C583" s="101" t="s">
        <v>640</v>
      </c>
      <c r="D583" s="49" t="s">
        <v>24</v>
      </c>
      <c r="E583" s="50">
        <v>85</v>
      </c>
      <c r="F583" s="50">
        <v>56.98</v>
      </c>
      <c r="G583" s="51">
        <f>TRUNC(F583*$J$13,2)</f>
        <v>71.790000000000006</v>
      </c>
      <c r="H583" s="51">
        <f>TRUNC(E583*G583,2)</f>
        <v>6102.15</v>
      </c>
      <c r="I583" s="134"/>
      <c r="J583" s="74"/>
      <c r="K583" s="12"/>
      <c r="L583" s="12"/>
      <c r="M583" s="97"/>
      <c r="N583" s="160"/>
      <c r="O583" s="97"/>
      <c r="P583" s="107"/>
      <c r="Q583" s="99"/>
      <c r="R583" s="6"/>
    </row>
    <row r="584" spans="1:18" s="131" customFormat="1" x14ac:dyDescent="0.2">
      <c r="A584" s="49"/>
      <c r="B584" s="121"/>
      <c r="C584" s="136"/>
      <c r="D584" s="49"/>
      <c r="E584" s="137"/>
      <c r="F584" s="68"/>
      <c r="G584" s="68"/>
      <c r="H584" s="138"/>
      <c r="I584" s="134"/>
      <c r="J584" s="74"/>
      <c r="K584" s="12"/>
      <c r="L584" s="12"/>
      <c r="M584" s="97"/>
      <c r="N584" s="160"/>
      <c r="O584" s="97"/>
      <c r="P584" s="107"/>
      <c r="Q584" s="99"/>
      <c r="R584" s="6"/>
    </row>
    <row r="585" spans="1:18" s="131" customFormat="1" ht="15.75" x14ac:dyDescent="0.2">
      <c r="A585" s="164" t="s">
        <v>390</v>
      </c>
      <c r="B585" s="165"/>
      <c r="C585" s="166"/>
      <c r="D585" s="41"/>
      <c r="E585" s="166"/>
      <c r="F585" s="214"/>
      <c r="G585" s="37" t="s">
        <v>19</v>
      </c>
      <c r="H585" s="214"/>
      <c r="I585" s="39">
        <f>SUM(I586:I663)</f>
        <v>74078.359999999986</v>
      </c>
      <c r="J585" s="215"/>
      <c r="K585" s="32"/>
      <c r="L585" s="12"/>
      <c r="M585" s="97"/>
      <c r="N585" s="160"/>
      <c r="O585" s="97"/>
      <c r="P585" s="107"/>
      <c r="Q585" s="99"/>
      <c r="R585" s="6"/>
    </row>
    <row r="586" spans="1:18" s="131" customFormat="1" ht="15" outlineLevel="1" x14ac:dyDescent="0.2">
      <c r="A586" s="381" t="s">
        <v>20</v>
      </c>
      <c r="B586" s="66"/>
      <c r="C586" s="43" t="s">
        <v>38</v>
      </c>
      <c r="D586" s="41"/>
      <c r="E586" s="43"/>
      <c r="F586" s="43"/>
      <c r="G586" s="43"/>
      <c r="H586" s="41"/>
      <c r="I586" s="168">
        <f>SUM(H587:H592)</f>
        <v>1851.35</v>
      </c>
      <c r="J586" s="215"/>
      <c r="K586" s="32"/>
      <c r="L586" s="12"/>
      <c r="M586" s="97"/>
      <c r="N586" s="160"/>
      <c r="O586" s="97"/>
      <c r="P586" s="107"/>
      <c r="Q586" s="99"/>
      <c r="R586" s="6"/>
    </row>
    <row r="587" spans="1:18" s="131" customFormat="1" ht="22.5" outlineLevel="1" x14ac:dyDescent="0.2">
      <c r="A587" s="49" t="s">
        <v>22</v>
      </c>
      <c r="B587" s="72">
        <v>97622</v>
      </c>
      <c r="C587" s="48" t="s">
        <v>304</v>
      </c>
      <c r="D587" s="49" t="s">
        <v>305</v>
      </c>
      <c r="E587" s="50">
        <v>15</v>
      </c>
      <c r="F587" s="50">
        <v>37.39</v>
      </c>
      <c r="G587" s="51">
        <f>TRUNC(F587*$J$13,2)</f>
        <v>47.11</v>
      </c>
      <c r="H587" s="51">
        <f t="shared" ref="H587:H592" si="92">TRUNC(E587*G587,2)</f>
        <v>706.65</v>
      </c>
      <c r="I587" s="169"/>
      <c r="J587" s="215"/>
      <c r="K587" s="32"/>
      <c r="L587" s="12"/>
      <c r="M587" s="97"/>
      <c r="N587" s="160"/>
      <c r="O587" s="97"/>
      <c r="P587" s="107"/>
      <c r="Q587" s="99"/>
      <c r="R587" s="6"/>
    </row>
    <row r="588" spans="1:18" s="131" customFormat="1" ht="15" outlineLevel="1" x14ac:dyDescent="0.2">
      <c r="A588" s="49" t="s">
        <v>25</v>
      </c>
      <c r="B588" s="72">
        <v>97644</v>
      </c>
      <c r="C588" s="68" t="s">
        <v>44</v>
      </c>
      <c r="D588" s="49" t="s">
        <v>306</v>
      </c>
      <c r="E588" s="50">
        <v>12</v>
      </c>
      <c r="F588" s="50">
        <v>6.04</v>
      </c>
      <c r="G588" s="51">
        <f t="shared" ref="G588:G592" si="93">TRUNC(F588*$J$13,2)</f>
        <v>7.61</v>
      </c>
      <c r="H588" s="51">
        <f t="shared" si="92"/>
        <v>91.32</v>
      </c>
      <c r="I588" s="175"/>
      <c r="J588" s="215"/>
      <c r="K588" s="32"/>
      <c r="L588" s="12"/>
      <c r="M588" s="97"/>
      <c r="N588" s="160"/>
      <c r="O588" s="97"/>
      <c r="P588" s="107"/>
      <c r="Q588" s="99"/>
      <c r="R588" s="6"/>
    </row>
    <row r="589" spans="1:18" s="131" customFormat="1" ht="15" outlineLevel="1" x14ac:dyDescent="0.2">
      <c r="A589" s="49" t="s">
        <v>57</v>
      </c>
      <c r="B589" s="72" t="s">
        <v>40</v>
      </c>
      <c r="C589" s="68" t="s">
        <v>41</v>
      </c>
      <c r="D589" s="49" t="s">
        <v>305</v>
      </c>
      <c r="E589" s="50">
        <v>0.5</v>
      </c>
      <c r="F589" s="50">
        <v>216.76</v>
      </c>
      <c r="G589" s="51">
        <f t="shared" si="93"/>
        <v>273.11</v>
      </c>
      <c r="H589" s="51">
        <f t="shared" si="92"/>
        <v>136.55000000000001</v>
      </c>
      <c r="I589" s="175"/>
      <c r="J589" s="215"/>
      <c r="K589" s="32"/>
      <c r="L589" s="12"/>
      <c r="M589" s="97"/>
      <c r="N589" s="160"/>
      <c r="O589" s="97"/>
      <c r="P589" s="107"/>
      <c r="Q589" s="99"/>
      <c r="R589" s="6"/>
    </row>
    <row r="590" spans="1:18" s="131" customFormat="1" ht="15" outlineLevel="1" x14ac:dyDescent="0.2">
      <c r="A590" s="49" t="s">
        <v>217</v>
      </c>
      <c r="B590" s="72">
        <v>97663</v>
      </c>
      <c r="C590" s="68" t="s">
        <v>46</v>
      </c>
      <c r="D590" s="49" t="s">
        <v>45</v>
      </c>
      <c r="E590" s="50">
        <v>3</v>
      </c>
      <c r="F590" s="50">
        <v>8.07</v>
      </c>
      <c r="G590" s="51">
        <f t="shared" si="93"/>
        <v>10.16</v>
      </c>
      <c r="H590" s="51">
        <f t="shared" si="92"/>
        <v>30.48</v>
      </c>
      <c r="I590" s="175"/>
      <c r="J590" s="215"/>
      <c r="K590" s="32"/>
      <c r="L590" s="12"/>
      <c r="M590" s="97"/>
      <c r="N590" s="160"/>
      <c r="O590" s="97"/>
      <c r="P590" s="107"/>
      <c r="Q590" s="99"/>
      <c r="R590" s="6"/>
    </row>
    <row r="591" spans="1:18" s="131" customFormat="1" ht="22.5" outlineLevel="1" x14ac:dyDescent="0.2">
      <c r="A591" s="49" t="s">
        <v>218</v>
      </c>
      <c r="B591" s="72">
        <v>97666</v>
      </c>
      <c r="C591" s="48" t="s">
        <v>47</v>
      </c>
      <c r="D591" s="49" t="s">
        <v>45</v>
      </c>
      <c r="E591" s="50">
        <v>6</v>
      </c>
      <c r="F591" s="50">
        <v>5.88</v>
      </c>
      <c r="G591" s="51">
        <f t="shared" si="93"/>
        <v>7.4</v>
      </c>
      <c r="H591" s="51">
        <f t="shared" si="92"/>
        <v>44.4</v>
      </c>
      <c r="I591" s="175"/>
      <c r="J591" s="215"/>
      <c r="K591" s="32"/>
      <c r="L591" s="12"/>
      <c r="M591" s="97"/>
      <c r="N591" s="160"/>
      <c r="O591" s="97"/>
      <c r="P591" s="107"/>
      <c r="Q591" s="99"/>
      <c r="R591" s="6"/>
    </row>
    <row r="592" spans="1:18" s="131" customFormat="1" ht="22.5" outlineLevel="1" x14ac:dyDescent="0.2">
      <c r="A592" s="49" t="s">
        <v>219</v>
      </c>
      <c r="B592" s="72">
        <v>97633</v>
      </c>
      <c r="C592" s="48" t="s">
        <v>43</v>
      </c>
      <c r="D592" s="49" t="s">
        <v>24</v>
      </c>
      <c r="E592" s="50">
        <v>45</v>
      </c>
      <c r="F592" s="50">
        <v>14.85</v>
      </c>
      <c r="G592" s="51">
        <f t="shared" si="93"/>
        <v>18.71</v>
      </c>
      <c r="H592" s="51">
        <f t="shared" si="92"/>
        <v>841.95</v>
      </c>
      <c r="I592" s="175"/>
      <c r="J592" s="215"/>
      <c r="K592" s="32"/>
      <c r="L592" s="12"/>
      <c r="M592" s="97"/>
      <c r="N592" s="160"/>
      <c r="O592" s="97"/>
      <c r="P592" s="107"/>
      <c r="Q592" s="99"/>
      <c r="R592" s="6"/>
    </row>
    <row r="593" spans="1:18" s="131" customFormat="1" ht="15" outlineLevel="1" x14ac:dyDescent="0.25">
      <c r="A593" s="73" t="s">
        <v>61</v>
      </c>
      <c r="B593" s="66"/>
      <c r="C593" s="43" t="s">
        <v>52</v>
      </c>
      <c r="D593" s="41"/>
      <c r="E593" s="43"/>
      <c r="F593" s="216"/>
      <c r="G593" s="216"/>
      <c r="H593" s="168"/>
      <c r="I593" s="217">
        <f>SUM(H594:H595)</f>
        <v>4094.38</v>
      </c>
      <c r="J593" s="74"/>
      <c r="K593" s="12"/>
      <c r="L593" s="12"/>
      <c r="M593" s="97"/>
      <c r="N593" s="160"/>
      <c r="O593" s="97"/>
      <c r="P593" s="107"/>
      <c r="Q593" s="99"/>
      <c r="R593" s="6"/>
    </row>
    <row r="594" spans="1:18" s="131" customFormat="1" ht="22.5" outlineLevel="1" x14ac:dyDescent="0.2">
      <c r="A594" s="49" t="s">
        <v>65</v>
      </c>
      <c r="B594" s="47">
        <v>91338</v>
      </c>
      <c r="C594" s="48" t="s">
        <v>58</v>
      </c>
      <c r="D594" s="49" t="s">
        <v>24</v>
      </c>
      <c r="E594" s="50">
        <f>L594</f>
        <v>1.6800000000000002</v>
      </c>
      <c r="F594" s="50">
        <v>975.13</v>
      </c>
      <c r="G594" s="51">
        <f>TRUNC(F594*$J$13,2)</f>
        <v>1228.6600000000001</v>
      </c>
      <c r="H594" s="51">
        <f>TRUNC(E594*G594,2)</f>
        <v>2064.14</v>
      </c>
      <c r="I594" s="158"/>
      <c r="J594" s="74"/>
      <c r="K594" s="178" t="s">
        <v>391</v>
      </c>
      <c r="L594" s="12">
        <f>0.8*2.1</f>
        <v>1.6800000000000002</v>
      </c>
      <c r="M594" s="97"/>
      <c r="N594" s="160"/>
      <c r="O594" s="97"/>
      <c r="P594" s="107"/>
      <c r="Q594" s="99"/>
      <c r="R594" s="6"/>
    </row>
    <row r="595" spans="1:18" s="131" customFormat="1" ht="22.5" customHeight="1" outlineLevel="1" x14ac:dyDescent="0.2">
      <c r="A595" s="49" t="s">
        <v>70</v>
      </c>
      <c r="B595" s="47">
        <v>100701</v>
      </c>
      <c r="C595" s="48" t="s">
        <v>392</v>
      </c>
      <c r="D595" s="49" t="s">
        <v>24</v>
      </c>
      <c r="E595" s="50">
        <f>L595</f>
        <v>3.3600000000000003</v>
      </c>
      <c r="F595" s="50">
        <v>479.56</v>
      </c>
      <c r="G595" s="51">
        <f>TRUNC(F595*$J$13,2)</f>
        <v>604.24</v>
      </c>
      <c r="H595" s="51">
        <f>TRUNC(E595*G595,2)</f>
        <v>2030.24</v>
      </c>
      <c r="I595" s="204"/>
      <c r="J595" s="74"/>
      <c r="K595" s="178" t="s">
        <v>393</v>
      </c>
      <c r="L595" s="12">
        <f>0.8*2.1*2</f>
        <v>3.3600000000000003</v>
      </c>
      <c r="M595" s="97"/>
      <c r="N595" s="160"/>
      <c r="O595" s="97"/>
      <c r="P595" s="107"/>
      <c r="Q595" s="99"/>
      <c r="R595" s="6"/>
    </row>
    <row r="596" spans="1:18" s="131" customFormat="1" ht="15" outlineLevel="1" x14ac:dyDescent="0.25">
      <c r="A596" s="73" t="s">
        <v>75</v>
      </c>
      <c r="B596" s="66"/>
      <c r="C596" s="43" t="s">
        <v>62</v>
      </c>
      <c r="D596" s="41"/>
      <c r="E596" s="43"/>
      <c r="F596" s="43"/>
      <c r="G596" s="43"/>
      <c r="H596" s="41"/>
      <c r="I596" s="217">
        <f>SUM(H597)</f>
        <v>1936.2</v>
      </c>
      <c r="J596" s="74"/>
      <c r="K596" s="12"/>
      <c r="L596" s="12"/>
      <c r="M596" s="97"/>
      <c r="N596" s="160"/>
      <c r="O596" s="97"/>
      <c r="P596" s="107"/>
      <c r="Q596" s="99"/>
      <c r="R596" s="6"/>
    </row>
    <row r="597" spans="1:18" s="131" customFormat="1" ht="33.75" outlineLevel="1" x14ac:dyDescent="0.2">
      <c r="A597" s="49" t="s">
        <v>78</v>
      </c>
      <c r="B597" s="47">
        <v>87266</v>
      </c>
      <c r="C597" s="48" t="s">
        <v>66</v>
      </c>
      <c r="D597" s="49" t="s">
        <v>24</v>
      </c>
      <c r="E597" s="50">
        <f>L597</f>
        <v>35</v>
      </c>
      <c r="F597" s="50">
        <v>43.91</v>
      </c>
      <c r="G597" s="51">
        <f>TRUNC(F597*$J$13,2)</f>
        <v>55.32</v>
      </c>
      <c r="H597" s="51">
        <f>TRUNC(E597*G597,2)</f>
        <v>1936.2</v>
      </c>
      <c r="I597" s="218"/>
      <c r="J597" s="74"/>
      <c r="K597" s="12" t="s">
        <v>67</v>
      </c>
      <c r="L597" s="12">
        <v>35</v>
      </c>
      <c r="M597" s="97"/>
      <c r="N597" s="160"/>
      <c r="O597" s="97"/>
      <c r="P597" s="107"/>
      <c r="Q597" s="99"/>
      <c r="R597" s="6"/>
    </row>
    <row r="598" spans="1:18" s="131" customFormat="1" ht="15" outlineLevel="1" x14ac:dyDescent="0.25">
      <c r="A598" s="73" t="s">
        <v>86</v>
      </c>
      <c r="B598" s="66"/>
      <c r="C598" s="43" t="s">
        <v>76</v>
      </c>
      <c r="D598" s="41"/>
      <c r="E598" s="43"/>
      <c r="F598" s="43"/>
      <c r="G598" s="43"/>
      <c r="H598" s="41"/>
      <c r="I598" s="217">
        <f>SUM(H599:H600)</f>
        <v>3362.7</v>
      </c>
      <c r="J598" s="74"/>
      <c r="K598" s="12"/>
      <c r="L598" s="12"/>
      <c r="M598" s="97"/>
      <c r="N598" s="160"/>
      <c r="O598" s="97"/>
      <c r="P598" s="107"/>
      <c r="Q598" s="99"/>
      <c r="R598" s="6"/>
    </row>
    <row r="599" spans="1:18" s="131" customFormat="1" ht="33.75" outlineLevel="1" x14ac:dyDescent="0.2">
      <c r="A599" s="49" t="s">
        <v>88</v>
      </c>
      <c r="B599" s="47">
        <v>94993</v>
      </c>
      <c r="C599" s="48" t="s">
        <v>79</v>
      </c>
      <c r="D599" s="49" t="s">
        <v>24</v>
      </c>
      <c r="E599" s="50">
        <f>L599</f>
        <v>35.520000000000003</v>
      </c>
      <c r="F599" s="50">
        <v>62.94</v>
      </c>
      <c r="G599" s="51">
        <f>TRUNC(F599*$J$13,2)</f>
        <v>79.3</v>
      </c>
      <c r="H599" s="51">
        <f>TRUNC(E599*G599,2)</f>
        <v>2816.73</v>
      </c>
      <c r="I599" s="219"/>
      <c r="J599" s="74"/>
      <c r="K599" s="12" t="s">
        <v>67</v>
      </c>
      <c r="L599" s="12">
        <v>35.520000000000003</v>
      </c>
      <c r="M599" s="97"/>
      <c r="N599" s="160"/>
      <c r="O599" s="97"/>
      <c r="P599" s="107"/>
      <c r="Q599" s="99"/>
      <c r="R599" s="6"/>
    </row>
    <row r="600" spans="1:18" s="131" customFormat="1" ht="33.75" outlineLevel="1" x14ac:dyDescent="0.2">
      <c r="A600" s="49" t="s">
        <v>91</v>
      </c>
      <c r="B600" s="47">
        <v>87249</v>
      </c>
      <c r="C600" s="48" t="s">
        <v>394</v>
      </c>
      <c r="D600" s="49" t="s">
        <v>24</v>
      </c>
      <c r="E600" s="50">
        <f>J600</f>
        <v>10.23</v>
      </c>
      <c r="F600" s="50">
        <v>42.36</v>
      </c>
      <c r="G600" s="51">
        <f>TRUNC(F600*$J$13,2)</f>
        <v>53.37</v>
      </c>
      <c r="H600" s="51">
        <f>TRUNC(E600*G600,2)</f>
        <v>545.97</v>
      </c>
      <c r="I600" s="220"/>
      <c r="J600" s="74">
        <v>10.23</v>
      </c>
      <c r="K600" s="12" t="s">
        <v>67</v>
      </c>
      <c r="L600" s="12">
        <v>6.4</v>
      </c>
      <c r="M600" s="97"/>
      <c r="N600" s="160"/>
      <c r="O600" s="97"/>
      <c r="P600" s="107"/>
      <c r="Q600" s="99"/>
      <c r="R600" s="6"/>
    </row>
    <row r="601" spans="1:18" s="131" customFormat="1" ht="15" outlineLevel="1" x14ac:dyDescent="0.2">
      <c r="A601" s="73" t="s">
        <v>96</v>
      </c>
      <c r="B601" s="66"/>
      <c r="C601" s="43" t="s">
        <v>87</v>
      </c>
      <c r="D601" s="41"/>
      <c r="E601" s="43"/>
      <c r="F601" s="43"/>
      <c r="G601" s="43"/>
      <c r="H601" s="41"/>
      <c r="I601" s="221">
        <f>SUM(H602:H605)</f>
        <v>38676.559999999998</v>
      </c>
      <c r="J601" s="74"/>
      <c r="K601" s="12"/>
      <c r="L601" s="12"/>
      <c r="M601" s="97"/>
      <c r="N601" s="160"/>
      <c r="O601" s="97"/>
      <c r="P601" s="107"/>
      <c r="Q601" s="99"/>
      <c r="R601" s="6"/>
    </row>
    <row r="602" spans="1:18" s="131" customFormat="1" ht="14.25" outlineLevel="1" x14ac:dyDescent="0.2">
      <c r="A602" s="49" t="s">
        <v>98</v>
      </c>
      <c r="B602" s="47">
        <v>72117</v>
      </c>
      <c r="C602" s="101" t="s">
        <v>89</v>
      </c>
      <c r="D602" s="49" t="s">
        <v>24</v>
      </c>
      <c r="E602" s="50">
        <v>0.5</v>
      </c>
      <c r="F602" s="50">
        <v>159.13</v>
      </c>
      <c r="G602" s="51">
        <f>TRUNC(F602*$J$13,2)</f>
        <v>200.5</v>
      </c>
      <c r="H602" s="51">
        <f>TRUNC(E602*G602,2)</f>
        <v>100.25</v>
      </c>
      <c r="I602" s="218"/>
      <c r="J602" s="74"/>
      <c r="K602" s="12"/>
      <c r="L602" s="12"/>
      <c r="M602" s="97"/>
      <c r="N602" s="160"/>
      <c r="O602" s="97"/>
      <c r="P602" s="107"/>
      <c r="Q602" s="99"/>
      <c r="R602" s="6"/>
    </row>
    <row r="603" spans="1:18" s="131" customFormat="1" ht="14.25" outlineLevel="1" x14ac:dyDescent="0.2">
      <c r="A603" s="49" t="s">
        <v>101</v>
      </c>
      <c r="B603" s="47">
        <v>84886</v>
      </c>
      <c r="C603" s="101" t="s">
        <v>92</v>
      </c>
      <c r="D603" s="49" t="s">
        <v>93</v>
      </c>
      <c r="E603" s="50">
        <v>1</v>
      </c>
      <c r="F603" s="50">
        <v>1139.6199999999999</v>
      </c>
      <c r="G603" s="51">
        <f>TRUNC(F603*$J$13,2)</f>
        <v>1435.92</v>
      </c>
      <c r="H603" s="51">
        <f>TRUNC(E603*G603,2)</f>
        <v>1435.92</v>
      </c>
      <c r="I603" s="218"/>
      <c r="J603" s="74"/>
      <c r="K603" s="12"/>
      <c r="L603" s="12"/>
      <c r="M603" s="97"/>
      <c r="N603" s="160"/>
      <c r="O603" s="97"/>
      <c r="P603" s="107"/>
      <c r="Q603" s="99"/>
      <c r="R603" s="6"/>
    </row>
    <row r="604" spans="1:18" s="131" customFormat="1" ht="33.75" outlineLevel="1" x14ac:dyDescent="0.2">
      <c r="A604" s="49" t="s">
        <v>104</v>
      </c>
      <c r="B604" s="47">
        <v>84885</v>
      </c>
      <c r="C604" s="48" t="s">
        <v>95</v>
      </c>
      <c r="D604" s="49" t="s">
        <v>45</v>
      </c>
      <c r="E604" s="50">
        <v>1</v>
      </c>
      <c r="F604" s="50">
        <v>612.76</v>
      </c>
      <c r="G604" s="51">
        <f>TRUNC(F604*$J$13,2)</f>
        <v>772.07</v>
      </c>
      <c r="H604" s="51">
        <f>TRUNC(E604*G604,2)</f>
        <v>772.07</v>
      </c>
      <c r="I604" s="218"/>
      <c r="J604" s="74"/>
      <c r="K604" s="12"/>
      <c r="L604" s="12"/>
      <c r="M604" s="97"/>
      <c r="N604" s="160"/>
      <c r="O604" s="97"/>
      <c r="P604" s="107"/>
      <c r="Q604" s="99"/>
      <c r="R604" s="6"/>
    </row>
    <row r="605" spans="1:18" s="131" customFormat="1" ht="22.5" outlineLevel="1" x14ac:dyDescent="0.2">
      <c r="A605" s="49" t="s">
        <v>106</v>
      </c>
      <c r="B605" s="47">
        <v>72120</v>
      </c>
      <c r="C605" s="48" t="s">
        <v>230</v>
      </c>
      <c r="D605" s="49" t="s">
        <v>24</v>
      </c>
      <c r="E605" s="50">
        <v>83.12</v>
      </c>
      <c r="F605" s="50">
        <v>347.26</v>
      </c>
      <c r="G605" s="51">
        <f>TRUNC(F605*$J$13,2)</f>
        <v>437.54</v>
      </c>
      <c r="H605" s="51">
        <f>TRUNC(E605*G605,2)</f>
        <v>36368.32</v>
      </c>
      <c r="I605" s="218"/>
      <c r="J605" s="74"/>
      <c r="K605" s="12"/>
      <c r="L605" s="12"/>
      <c r="M605" s="97"/>
      <c r="N605" s="160"/>
      <c r="O605" s="97"/>
      <c r="P605" s="107"/>
      <c r="Q605" s="99"/>
      <c r="R605" s="6"/>
    </row>
    <row r="606" spans="1:18" s="131" customFormat="1" ht="15" outlineLevel="1" x14ac:dyDescent="0.2">
      <c r="A606" s="73" t="s">
        <v>117</v>
      </c>
      <c r="B606" s="66"/>
      <c r="C606" s="43" t="s">
        <v>97</v>
      </c>
      <c r="D606" s="41"/>
      <c r="E606" s="43"/>
      <c r="F606" s="43"/>
      <c r="G606" s="43"/>
      <c r="H606" s="41"/>
      <c r="I606" s="221">
        <f>SUM(H607:H614)</f>
        <v>5895.1699999999992</v>
      </c>
      <c r="J606" s="74"/>
      <c r="K606" s="12"/>
      <c r="L606" s="12"/>
      <c r="M606" s="97"/>
      <c r="N606" s="160"/>
      <c r="O606" s="97"/>
      <c r="P606" s="107"/>
      <c r="Q606" s="99"/>
      <c r="R606" s="6"/>
    </row>
    <row r="607" spans="1:18" s="131" customFormat="1" ht="22.5" outlineLevel="1" x14ac:dyDescent="0.2">
      <c r="A607" s="49" t="s">
        <v>119</v>
      </c>
      <c r="B607" s="47">
        <v>88423</v>
      </c>
      <c r="C607" s="48" t="s">
        <v>99</v>
      </c>
      <c r="D607" s="49" t="s">
        <v>24</v>
      </c>
      <c r="E607" s="103">
        <v>89.6</v>
      </c>
      <c r="F607" s="50">
        <v>16.21</v>
      </c>
      <c r="G607" s="51">
        <f>TRUNC(F607*$J$13,2)</f>
        <v>20.420000000000002</v>
      </c>
      <c r="H607" s="51">
        <f t="shared" ref="H607:H614" si="94">TRUNC(E607*G607,2)</f>
        <v>1829.63</v>
      </c>
      <c r="I607" s="218"/>
      <c r="J607" s="74"/>
      <c r="K607" s="12"/>
      <c r="L607" s="12"/>
      <c r="M607" s="97"/>
      <c r="N607" s="160"/>
      <c r="O607" s="97"/>
      <c r="P607" s="107"/>
      <c r="Q607" s="99"/>
      <c r="R607" s="6"/>
    </row>
    <row r="608" spans="1:18" s="131" customFormat="1" ht="22.5" outlineLevel="1" x14ac:dyDescent="0.2">
      <c r="A608" s="49" t="s">
        <v>121</v>
      </c>
      <c r="B608" s="47">
        <v>88488</v>
      </c>
      <c r="C608" s="48" t="s">
        <v>105</v>
      </c>
      <c r="D608" s="49" t="s">
        <v>24</v>
      </c>
      <c r="E608" s="103">
        <v>45.81</v>
      </c>
      <c r="F608" s="50">
        <v>12.65</v>
      </c>
      <c r="G608" s="51">
        <f t="shared" ref="G608:G614" si="95">TRUNC(F608*$J$13,2)</f>
        <v>15.93</v>
      </c>
      <c r="H608" s="51">
        <f t="shared" si="94"/>
        <v>729.75</v>
      </c>
      <c r="I608" s="218"/>
      <c r="J608" s="74"/>
      <c r="K608" s="12"/>
      <c r="L608" s="12"/>
      <c r="M608" s="97"/>
      <c r="N608" s="160"/>
      <c r="O608" s="97"/>
      <c r="P608" s="107"/>
      <c r="Q608" s="99"/>
      <c r="R608" s="6"/>
    </row>
    <row r="609" spans="1:18" s="131" customFormat="1" ht="14.25" outlineLevel="1" x14ac:dyDescent="0.2">
      <c r="A609" s="49" t="s">
        <v>123</v>
      </c>
      <c r="B609" s="47">
        <v>88497</v>
      </c>
      <c r="C609" s="68" t="s">
        <v>233</v>
      </c>
      <c r="D609" s="49" t="s">
        <v>24</v>
      </c>
      <c r="E609" s="103">
        <v>65</v>
      </c>
      <c r="F609" s="50">
        <v>11.24</v>
      </c>
      <c r="G609" s="51">
        <f t="shared" si="95"/>
        <v>14.16</v>
      </c>
      <c r="H609" s="51">
        <f t="shared" si="94"/>
        <v>920.4</v>
      </c>
      <c r="I609" s="218"/>
      <c r="J609" s="74"/>
      <c r="K609" s="12"/>
      <c r="L609" s="12"/>
      <c r="M609" s="97"/>
      <c r="N609" s="160"/>
      <c r="O609" s="97"/>
      <c r="P609" s="107"/>
      <c r="Q609" s="99"/>
      <c r="R609" s="6"/>
    </row>
    <row r="610" spans="1:18" s="131" customFormat="1" ht="22.5" outlineLevel="1" x14ac:dyDescent="0.2">
      <c r="A610" s="49" t="s">
        <v>125</v>
      </c>
      <c r="B610" s="47">
        <v>88489</v>
      </c>
      <c r="C610" s="48" t="s">
        <v>649</v>
      </c>
      <c r="D610" s="49" t="s">
        <v>24</v>
      </c>
      <c r="E610" s="103">
        <v>103.6</v>
      </c>
      <c r="F610" s="50">
        <v>11.3</v>
      </c>
      <c r="G610" s="51">
        <f t="shared" si="95"/>
        <v>14.23</v>
      </c>
      <c r="H610" s="51">
        <f>TRUNC(E610*G610,2)</f>
        <v>1474.22</v>
      </c>
      <c r="I610" s="218"/>
      <c r="J610" s="74">
        <f>7*3.2*4</f>
        <v>89.600000000000009</v>
      </c>
      <c r="K610" s="12"/>
      <c r="L610" s="12"/>
      <c r="M610" s="97"/>
      <c r="N610" s="160"/>
      <c r="O610" s="97"/>
      <c r="P610" s="107"/>
      <c r="Q610" s="99"/>
      <c r="R610" s="6"/>
    </row>
    <row r="611" spans="1:18" s="131" customFormat="1" ht="22.5" outlineLevel="1" x14ac:dyDescent="0.2">
      <c r="A611" s="49" t="s">
        <v>127</v>
      </c>
      <c r="B611" s="47">
        <v>100725</v>
      </c>
      <c r="C611" s="48" t="s">
        <v>805</v>
      </c>
      <c r="D611" s="49" t="s">
        <v>24</v>
      </c>
      <c r="E611" s="103">
        <f>7*2</f>
        <v>14</v>
      </c>
      <c r="F611" s="50">
        <v>12.3</v>
      </c>
      <c r="G611" s="51">
        <f t="shared" ref="G611" si="96">TRUNC(F611*$J$13,2)</f>
        <v>15.49</v>
      </c>
      <c r="H611" s="51">
        <f>TRUNC(E611*G611,2)</f>
        <v>216.86</v>
      </c>
      <c r="I611" s="218"/>
      <c r="J611" s="74"/>
      <c r="K611" s="12"/>
      <c r="L611" s="12"/>
      <c r="M611" s="97"/>
      <c r="N611" s="160"/>
      <c r="O611" s="97"/>
      <c r="P611" s="107"/>
      <c r="Q611" s="99"/>
      <c r="R611" s="6"/>
    </row>
    <row r="612" spans="1:18" s="131" customFormat="1" ht="22.5" outlineLevel="1" x14ac:dyDescent="0.2">
      <c r="A612" s="49" t="s">
        <v>130</v>
      </c>
      <c r="B612" s="47">
        <v>100727</v>
      </c>
      <c r="C612" s="105" t="s">
        <v>806</v>
      </c>
      <c r="D612" s="49" t="s">
        <v>24</v>
      </c>
      <c r="E612" s="103">
        <f>16.86*2</f>
        <v>33.72</v>
      </c>
      <c r="F612" s="50">
        <v>11.97</v>
      </c>
      <c r="G612" s="51">
        <f t="shared" si="95"/>
        <v>15.08</v>
      </c>
      <c r="H612" s="51">
        <f t="shared" ref="H612" si="97">TRUNC(E612*G612,2)</f>
        <v>508.49</v>
      </c>
      <c r="I612" s="218"/>
      <c r="J612" s="74"/>
      <c r="K612" s="12"/>
      <c r="L612" s="12"/>
      <c r="M612" s="97"/>
      <c r="N612" s="160"/>
      <c r="O612" s="97"/>
      <c r="P612" s="107"/>
      <c r="Q612" s="99"/>
      <c r="R612" s="6"/>
    </row>
    <row r="613" spans="1:18" s="131" customFormat="1" ht="14.25" outlineLevel="1" x14ac:dyDescent="0.2">
      <c r="A613" s="49" t="s">
        <v>132</v>
      </c>
      <c r="B613" s="47" t="s">
        <v>110</v>
      </c>
      <c r="C613" s="48" t="s">
        <v>111</v>
      </c>
      <c r="D613" s="49" t="s">
        <v>24</v>
      </c>
      <c r="E613" s="50">
        <v>6</v>
      </c>
      <c r="F613" s="50">
        <v>15.01</v>
      </c>
      <c r="G613" s="51">
        <f t="shared" si="95"/>
        <v>18.91</v>
      </c>
      <c r="H613" s="51">
        <f t="shared" si="94"/>
        <v>113.46</v>
      </c>
      <c r="I613" s="218"/>
      <c r="J613" s="74"/>
      <c r="K613" s="12"/>
      <c r="L613" s="12"/>
      <c r="M613" s="97"/>
      <c r="N613" s="160"/>
      <c r="O613" s="97"/>
      <c r="P613" s="107"/>
      <c r="Q613" s="99"/>
      <c r="R613" s="6"/>
    </row>
    <row r="614" spans="1:18" s="131" customFormat="1" ht="14.25" outlineLevel="1" x14ac:dyDescent="0.2">
      <c r="A614" s="49" t="s">
        <v>134</v>
      </c>
      <c r="B614" s="47">
        <v>100725</v>
      </c>
      <c r="C614" s="48" t="s">
        <v>114</v>
      </c>
      <c r="D614" s="49" t="s">
        <v>24</v>
      </c>
      <c r="E614" s="103">
        <v>5.04</v>
      </c>
      <c r="F614" s="50">
        <v>16.12</v>
      </c>
      <c r="G614" s="51">
        <f t="shared" si="95"/>
        <v>20.309999999999999</v>
      </c>
      <c r="H614" s="51">
        <f t="shared" si="94"/>
        <v>102.36</v>
      </c>
      <c r="I614" s="218"/>
      <c r="J614" s="74"/>
      <c r="K614" s="12"/>
      <c r="L614" s="12"/>
      <c r="M614" s="97"/>
      <c r="N614" s="160"/>
      <c r="O614" s="97"/>
      <c r="P614" s="107"/>
      <c r="Q614" s="99"/>
      <c r="R614" s="6"/>
    </row>
    <row r="615" spans="1:18" s="131" customFormat="1" ht="15" outlineLevel="1" x14ac:dyDescent="0.2">
      <c r="A615" s="73" t="s">
        <v>161</v>
      </c>
      <c r="B615" s="66"/>
      <c r="C615" s="43" t="s">
        <v>118</v>
      </c>
      <c r="D615" s="41"/>
      <c r="E615" s="43"/>
      <c r="F615" s="43"/>
      <c r="G615" s="67" t="s">
        <v>39</v>
      </c>
      <c r="H615" s="41"/>
      <c r="I615" s="222">
        <f>SUM(H616:H636)</f>
        <v>8048.74</v>
      </c>
      <c r="J615" s="74"/>
      <c r="K615" s="12"/>
      <c r="L615" s="12"/>
      <c r="M615" s="97"/>
      <c r="N615" s="160"/>
      <c r="O615" s="97"/>
      <c r="P615" s="107"/>
      <c r="Q615" s="99"/>
      <c r="R615" s="6"/>
    </row>
    <row r="616" spans="1:18" s="131" customFormat="1" ht="22.5" outlineLevel="1" x14ac:dyDescent="0.2">
      <c r="A616" s="49" t="s">
        <v>163</v>
      </c>
      <c r="B616" s="47">
        <v>91928</v>
      </c>
      <c r="C616" s="48" t="s">
        <v>124</v>
      </c>
      <c r="D616" s="49" t="s">
        <v>56</v>
      </c>
      <c r="E616" s="50">
        <v>210</v>
      </c>
      <c r="F616" s="50">
        <v>4.42</v>
      </c>
      <c r="G616" s="51">
        <f t="shared" ref="G616:G636" si="98">TRUNC(F616*$J$13,2)</f>
        <v>5.56</v>
      </c>
      <c r="H616" s="51">
        <f t="shared" ref="H616:H636" si="99">TRUNC(E616*G616,2)</f>
        <v>1167.5999999999999</v>
      </c>
      <c r="I616" s="223"/>
      <c r="J616" s="74"/>
      <c r="K616" s="12">
        <f>26.22*3.17</f>
        <v>83.117399999999989</v>
      </c>
      <c r="L616" s="12"/>
      <c r="M616" s="97"/>
      <c r="N616" s="160"/>
      <c r="O616" s="97"/>
      <c r="P616" s="107"/>
      <c r="Q616" s="99"/>
      <c r="R616" s="6"/>
    </row>
    <row r="617" spans="1:18" s="131" customFormat="1" ht="22.5" outlineLevel="1" x14ac:dyDescent="0.2">
      <c r="A617" s="49" t="s">
        <v>164</v>
      </c>
      <c r="B617" s="47">
        <v>91927</v>
      </c>
      <c r="C617" s="48" t="s">
        <v>126</v>
      </c>
      <c r="D617" s="49" t="s">
        <v>56</v>
      </c>
      <c r="E617" s="50">
        <v>250</v>
      </c>
      <c r="F617" s="50">
        <v>3.58</v>
      </c>
      <c r="G617" s="51">
        <f t="shared" si="98"/>
        <v>4.51</v>
      </c>
      <c r="H617" s="51">
        <f t="shared" si="99"/>
        <v>1127.5</v>
      </c>
      <c r="I617" s="223"/>
      <c r="J617" s="74"/>
      <c r="K617" s="12"/>
      <c r="L617" s="12"/>
      <c r="M617" s="97"/>
      <c r="N617" s="160"/>
      <c r="O617" s="97"/>
      <c r="P617" s="107"/>
      <c r="Q617" s="99"/>
      <c r="R617" s="6"/>
    </row>
    <row r="618" spans="1:18" s="131" customFormat="1" ht="22.5" outlineLevel="1" x14ac:dyDescent="0.2">
      <c r="A618" s="49" t="s">
        <v>165</v>
      </c>
      <c r="B618" s="47">
        <v>90447</v>
      </c>
      <c r="C618" s="48" t="s">
        <v>128</v>
      </c>
      <c r="D618" s="49" t="s">
        <v>56</v>
      </c>
      <c r="E618" s="50">
        <v>36</v>
      </c>
      <c r="F618" s="50">
        <v>4.45</v>
      </c>
      <c r="G618" s="51">
        <f t="shared" si="98"/>
        <v>5.6</v>
      </c>
      <c r="H618" s="51">
        <f t="shared" si="99"/>
        <v>201.6</v>
      </c>
      <c r="I618" s="223"/>
      <c r="J618" s="74"/>
      <c r="K618" s="12"/>
      <c r="L618" s="12"/>
      <c r="M618" s="97"/>
      <c r="N618" s="160"/>
      <c r="O618" s="97"/>
      <c r="P618" s="107"/>
      <c r="Q618" s="99"/>
      <c r="R618" s="6"/>
    </row>
    <row r="619" spans="1:18" s="131" customFormat="1" ht="30" customHeight="1" outlineLevel="1" x14ac:dyDescent="0.2">
      <c r="A619" s="49" t="s">
        <v>166</v>
      </c>
      <c r="B619" s="224" t="s">
        <v>650</v>
      </c>
      <c r="C619" s="225" t="s">
        <v>397</v>
      </c>
      <c r="D619" s="49" t="s">
        <v>398</v>
      </c>
      <c r="E619" s="50">
        <v>14</v>
      </c>
      <c r="F619" s="50">
        <v>112.46</v>
      </c>
      <c r="G619" s="51">
        <f t="shared" si="98"/>
        <v>141.69</v>
      </c>
      <c r="H619" s="51">
        <f t="shared" si="99"/>
        <v>1983.66</v>
      </c>
      <c r="I619" s="223"/>
      <c r="J619" s="74"/>
      <c r="K619" s="12"/>
      <c r="L619" s="12"/>
      <c r="M619" s="97"/>
      <c r="N619" s="160"/>
      <c r="O619" s="97"/>
      <c r="P619" s="107"/>
      <c r="Q619" s="99"/>
      <c r="R619" s="6"/>
    </row>
    <row r="620" spans="1:18" s="131" customFormat="1" ht="22.5" outlineLevel="1" x14ac:dyDescent="0.2">
      <c r="A620" s="49" t="s">
        <v>167</v>
      </c>
      <c r="B620" s="47">
        <v>91836</v>
      </c>
      <c r="C620" s="48" t="s">
        <v>131</v>
      </c>
      <c r="D620" s="49" t="s">
        <v>56</v>
      </c>
      <c r="E620" s="50">
        <v>80</v>
      </c>
      <c r="F620" s="50">
        <v>7.55</v>
      </c>
      <c r="G620" s="51">
        <f t="shared" si="98"/>
        <v>9.51</v>
      </c>
      <c r="H620" s="51">
        <f t="shared" si="99"/>
        <v>760.8</v>
      </c>
      <c r="I620" s="223"/>
      <c r="J620" s="74"/>
      <c r="K620" s="12"/>
      <c r="L620" s="12"/>
      <c r="M620" s="97"/>
      <c r="N620" s="160"/>
      <c r="O620" s="97"/>
      <c r="P620" s="107"/>
      <c r="Q620" s="99"/>
      <c r="R620" s="6"/>
    </row>
    <row r="621" spans="1:18" s="131" customFormat="1" ht="14.25" outlineLevel="1" x14ac:dyDescent="0.2">
      <c r="A621" s="49" t="s">
        <v>168</v>
      </c>
      <c r="B621" s="47">
        <v>91996</v>
      </c>
      <c r="C621" s="48" t="s">
        <v>135</v>
      </c>
      <c r="D621" s="49" t="s">
        <v>45</v>
      </c>
      <c r="E621" s="50">
        <v>11</v>
      </c>
      <c r="F621" s="50">
        <v>19.41</v>
      </c>
      <c r="G621" s="51">
        <f t="shared" si="98"/>
        <v>24.45</v>
      </c>
      <c r="H621" s="51">
        <f t="shared" si="99"/>
        <v>268.95</v>
      </c>
      <c r="I621" s="223"/>
      <c r="J621" s="74"/>
      <c r="K621" s="12"/>
      <c r="L621" s="12"/>
      <c r="M621" s="97"/>
      <c r="N621" s="160"/>
      <c r="O621" s="97"/>
      <c r="P621" s="107"/>
      <c r="Q621" s="99"/>
      <c r="R621" s="6"/>
    </row>
    <row r="622" spans="1:18" s="131" customFormat="1" ht="14.25" outlineLevel="1" x14ac:dyDescent="0.2">
      <c r="A622" s="49" t="s">
        <v>170</v>
      </c>
      <c r="B622" s="47">
        <v>91991</v>
      </c>
      <c r="C622" s="48" t="s">
        <v>138</v>
      </c>
      <c r="D622" s="49" t="s">
        <v>45</v>
      </c>
      <c r="E622" s="50">
        <v>6</v>
      </c>
      <c r="F622" s="50">
        <v>21.99</v>
      </c>
      <c r="G622" s="51">
        <f t="shared" si="98"/>
        <v>27.7</v>
      </c>
      <c r="H622" s="51">
        <f t="shared" si="99"/>
        <v>166.2</v>
      </c>
      <c r="I622" s="223"/>
      <c r="J622" s="74"/>
      <c r="K622" s="12"/>
      <c r="L622" s="12"/>
      <c r="M622" s="97"/>
      <c r="N622" s="160"/>
      <c r="O622" s="97"/>
      <c r="P622" s="107"/>
      <c r="Q622" s="99"/>
      <c r="R622" s="6"/>
    </row>
    <row r="623" spans="1:18" s="131" customFormat="1" ht="14.25" outlineLevel="1" x14ac:dyDescent="0.2">
      <c r="A623" s="49" t="s">
        <v>172</v>
      </c>
      <c r="B623" s="47">
        <v>91993</v>
      </c>
      <c r="C623" s="48" t="s">
        <v>399</v>
      </c>
      <c r="D623" s="49" t="s">
        <v>45</v>
      </c>
      <c r="E623" s="50">
        <v>3</v>
      </c>
      <c r="F623" s="50">
        <v>26.81</v>
      </c>
      <c r="G623" s="51">
        <f>TRUNC(F623*$J$13,2)</f>
        <v>33.78</v>
      </c>
      <c r="H623" s="51">
        <f>TRUNC(E623*G623,2)</f>
        <v>101.34</v>
      </c>
      <c r="I623" s="223"/>
      <c r="J623" s="74"/>
      <c r="K623" s="12"/>
      <c r="L623" s="12"/>
      <c r="M623" s="97"/>
      <c r="N623" s="160"/>
      <c r="O623" s="97"/>
      <c r="P623" s="107"/>
      <c r="Q623" s="99"/>
      <c r="R623" s="6"/>
    </row>
    <row r="624" spans="1:18" s="131" customFormat="1" ht="22.5" outlineLevel="1" x14ac:dyDescent="0.2">
      <c r="A624" s="49" t="s">
        <v>174</v>
      </c>
      <c r="B624" s="47">
        <v>91953</v>
      </c>
      <c r="C624" s="48" t="s">
        <v>140</v>
      </c>
      <c r="D624" s="49" t="s">
        <v>45</v>
      </c>
      <c r="E624" s="50">
        <v>3</v>
      </c>
      <c r="F624" s="50">
        <v>16.14</v>
      </c>
      <c r="G624" s="51">
        <f t="shared" si="98"/>
        <v>20.329999999999998</v>
      </c>
      <c r="H624" s="51">
        <f t="shared" si="99"/>
        <v>60.99</v>
      </c>
      <c r="I624" s="223"/>
      <c r="J624" s="74"/>
      <c r="K624" s="12"/>
      <c r="L624" s="12"/>
      <c r="M624" s="97"/>
      <c r="N624" s="160"/>
      <c r="O624" s="97"/>
      <c r="P624" s="107"/>
      <c r="Q624" s="99"/>
      <c r="R624" s="6"/>
    </row>
    <row r="625" spans="1:18" s="131" customFormat="1" ht="22.5" outlineLevel="1" x14ac:dyDescent="0.2">
      <c r="A625" s="49" t="s">
        <v>176</v>
      </c>
      <c r="B625" s="47">
        <v>91959</v>
      </c>
      <c r="C625" s="48" t="s">
        <v>141</v>
      </c>
      <c r="D625" s="49" t="s">
        <v>45</v>
      </c>
      <c r="E625" s="50">
        <v>2</v>
      </c>
      <c r="F625" s="50">
        <v>25.5</v>
      </c>
      <c r="G625" s="51">
        <f t="shared" si="98"/>
        <v>32.130000000000003</v>
      </c>
      <c r="H625" s="51">
        <f t="shared" si="99"/>
        <v>64.260000000000005</v>
      </c>
      <c r="I625" s="223"/>
      <c r="J625" s="74"/>
      <c r="K625" s="12"/>
      <c r="L625" s="12"/>
      <c r="M625" s="97"/>
      <c r="N625" s="160"/>
      <c r="O625" s="97"/>
      <c r="P625" s="107"/>
      <c r="Q625" s="99"/>
      <c r="R625" s="6"/>
    </row>
    <row r="626" spans="1:18" s="131" customFormat="1" ht="22.5" outlineLevel="1" x14ac:dyDescent="0.2">
      <c r="A626" s="49" t="s">
        <v>178</v>
      </c>
      <c r="B626" s="47">
        <v>93655</v>
      </c>
      <c r="C626" s="48" t="s">
        <v>143</v>
      </c>
      <c r="D626" s="49" t="s">
        <v>45</v>
      </c>
      <c r="E626" s="50">
        <v>6</v>
      </c>
      <c r="F626" s="50">
        <v>10.59</v>
      </c>
      <c r="G626" s="51">
        <f t="shared" ref="G626:G633" si="100">TRUNC(F626*$J$13,2)</f>
        <v>13.34</v>
      </c>
      <c r="H626" s="51">
        <f t="shared" ref="H626:H633" si="101">TRUNC(E626*G626,2)</f>
        <v>80.040000000000006</v>
      </c>
      <c r="I626" s="223"/>
      <c r="J626" s="74"/>
      <c r="K626" s="12"/>
      <c r="L626" s="12"/>
      <c r="M626" s="97"/>
      <c r="N626" s="160"/>
      <c r="O626" s="97"/>
      <c r="P626" s="107"/>
      <c r="Q626" s="99"/>
      <c r="R626" s="6"/>
    </row>
    <row r="627" spans="1:18" s="131" customFormat="1" ht="22.5" outlineLevel="1" x14ac:dyDescent="0.2">
      <c r="A627" s="49" t="s">
        <v>676</v>
      </c>
      <c r="B627" s="47">
        <v>93657</v>
      </c>
      <c r="C627" s="48" t="s">
        <v>144</v>
      </c>
      <c r="D627" s="49" t="s">
        <v>45</v>
      </c>
      <c r="E627" s="50">
        <v>4</v>
      </c>
      <c r="F627" s="50">
        <v>11.59</v>
      </c>
      <c r="G627" s="51">
        <f t="shared" si="100"/>
        <v>14.6</v>
      </c>
      <c r="H627" s="51">
        <f t="shared" si="101"/>
        <v>58.4</v>
      </c>
      <c r="I627" s="223"/>
      <c r="J627" s="74"/>
      <c r="K627" s="12"/>
      <c r="L627" s="12"/>
      <c r="M627" s="97"/>
      <c r="N627" s="160"/>
      <c r="O627" s="97"/>
      <c r="P627" s="107"/>
      <c r="Q627" s="99"/>
      <c r="R627" s="6"/>
    </row>
    <row r="628" spans="1:18" s="131" customFormat="1" ht="22.5" outlineLevel="1" x14ac:dyDescent="0.2">
      <c r="A628" s="49" t="s">
        <v>677</v>
      </c>
      <c r="B628" s="47">
        <v>93660</v>
      </c>
      <c r="C628" s="48" t="s">
        <v>145</v>
      </c>
      <c r="D628" s="49" t="s">
        <v>45</v>
      </c>
      <c r="E628" s="50">
        <v>6</v>
      </c>
      <c r="F628" s="50">
        <v>46.9</v>
      </c>
      <c r="G628" s="51">
        <f t="shared" si="100"/>
        <v>59.09</v>
      </c>
      <c r="H628" s="51">
        <f t="shared" si="101"/>
        <v>354.54</v>
      </c>
      <c r="I628" s="223"/>
      <c r="J628" s="74"/>
      <c r="K628" s="12"/>
      <c r="L628" s="12"/>
      <c r="M628" s="97"/>
      <c r="N628" s="160"/>
      <c r="O628" s="97"/>
      <c r="P628" s="107"/>
      <c r="Q628" s="99"/>
      <c r="R628" s="6"/>
    </row>
    <row r="629" spans="1:18" s="131" customFormat="1" ht="22.5" outlineLevel="1" x14ac:dyDescent="0.2">
      <c r="A629" s="49" t="s">
        <v>312</v>
      </c>
      <c r="B629" s="47">
        <v>93662</v>
      </c>
      <c r="C629" s="48" t="s">
        <v>146</v>
      </c>
      <c r="D629" s="49" t="s">
        <v>45</v>
      </c>
      <c r="E629" s="50">
        <v>4</v>
      </c>
      <c r="F629" s="50">
        <v>49.38</v>
      </c>
      <c r="G629" s="51">
        <f t="shared" si="100"/>
        <v>62.21</v>
      </c>
      <c r="H629" s="51">
        <f t="shared" si="101"/>
        <v>248.84</v>
      </c>
      <c r="I629" s="223"/>
      <c r="J629" s="74"/>
      <c r="K629" s="12"/>
      <c r="L629" s="12"/>
      <c r="M629" s="97"/>
      <c r="N629" s="160"/>
      <c r="O629" s="97"/>
      <c r="P629" s="107"/>
      <c r="Q629" s="99"/>
      <c r="R629" s="6"/>
    </row>
    <row r="630" spans="1:18" s="131" customFormat="1" ht="22.5" outlineLevel="1" x14ac:dyDescent="0.2">
      <c r="A630" s="49" t="s">
        <v>182</v>
      </c>
      <c r="B630" s="47">
        <v>93664</v>
      </c>
      <c r="C630" s="48" t="s">
        <v>147</v>
      </c>
      <c r="D630" s="49" t="s">
        <v>45</v>
      </c>
      <c r="E630" s="50">
        <v>4</v>
      </c>
      <c r="F630" s="50">
        <v>51.34</v>
      </c>
      <c r="G630" s="51">
        <f t="shared" si="100"/>
        <v>64.680000000000007</v>
      </c>
      <c r="H630" s="51">
        <f t="shared" si="101"/>
        <v>258.72000000000003</v>
      </c>
      <c r="I630" s="223"/>
      <c r="J630" s="74"/>
      <c r="K630" s="12"/>
      <c r="L630" s="12"/>
      <c r="M630" s="97"/>
      <c r="N630" s="160"/>
      <c r="O630" s="97"/>
      <c r="P630" s="107"/>
      <c r="Q630" s="99"/>
      <c r="R630" s="6"/>
    </row>
    <row r="631" spans="1:18" s="131" customFormat="1" ht="22.5" outlineLevel="1" x14ac:dyDescent="0.2">
      <c r="A631" s="49" t="s">
        <v>184</v>
      </c>
      <c r="B631" s="47">
        <v>93673</v>
      </c>
      <c r="C631" s="48" t="s">
        <v>148</v>
      </c>
      <c r="D631" s="49" t="s">
        <v>45</v>
      </c>
      <c r="E631" s="50">
        <v>4</v>
      </c>
      <c r="F631" s="50">
        <v>75.680000000000007</v>
      </c>
      <c r="G631" s="51">
        <f t="shared" si="100"/>
        <v>95.35</v>
      </c>
      <c r="H631" s="51">
        <f t="shared" si="101"/>
        <v>381.4</v>
      </c>
      <c r="I631" s="223"/>
      <c r="J631" s="74"/>
      <c r="K631" s="12"/>
      <c r="L631" s="12"/>
      <c r="M631" s="97"/>
      <c r="N631" s="160"/>
      <c r="O631" s="97"/>
      <c r="P631" s="107"/>
      <c r="Q631" s="99"/>
      <c r="R631" s="6"/>
    </row>
    <row r="632" spans="1:18" s="131" customFormat="1" ht="22.5" outlineLevel="1" x14ac:dyDescent="0.2">
      <c r="A632" s="49" t="s">
        <v>678</v>
      </c>
      <c r="B632" s="47">
        <v>93667</v>
      </c>
      <c r="C632" s="48" t="s">
        <v>149</v>
      </c>
      <c r="D632" s="49" t="s">
        <v>45</v>
      </c>
      <c r="E632" s="50">
        <v>4</v>
      </c>
      <c r="F632" s="50">
        <v>58.47</v>
      </c>
      <c r="G632" s="51">
        <f t="shared" si="100"/>
        <v>73.67</v>
      </c>
      <c r="H632" s="51">
        <f t="shared" si="101"/>
        <v>294.68</v>
      </c>
      <c r="I632" s="223"/>
      <c r="J632" s="74"/>
      <c r="K632" s="12"/>
      <c r="L632" s="12"/>
      <c r="M632" s="97"/>
      <c r="N632" s="160"/>
      <c r="O632" s="97"/>
      <c r="P632" s="107"/>
      <c r="Q632" s="99"/>
      <c r="R632" s="6"/>
    </row>
    <row r="633" spans="1:18" s="131" customFormat="1" ht="22.5" outlineLevel="1" x14ac:dyDescent="0.2">
      <c r="A633" s="49" t="s">
        <v>679</v>
      </c>
      <c r="B633" s="47">
        <v>93669</v>
      </c>
      <c r="C633" s="48" t="s">
        <v>150</v>
      </c>
      <c r="D633" s="49" t="s">
        <v>45</v>
      </c>
      <c r="E633" s="50">
        <v>4</v>
      </c>
      <c r="F633" s="50">
        <v>62.18</v>
      </c>
      <c r="G633" s="51">
        <f t="shared" si="100"/>
        <v>78.34</v>
      </c>
      <c r="H633" s="51">
        <f t="shared" si="101"/>
        <v>313.36</v>
      </c>
      <c r="I633" s="223"/>
      <c r="J633" s="74"/>
      <c r="K633" s="12"/>
      <c r="L633" s="12"/>
      <c r="M633" s="97"/>
      <c r="N633" s="160"/>
      <c r="O633" s="97"/>
      <c r="P633" s="107"/>
      <c r="Q633" s="99"/>
      <c r="R633" s="6"/>
    </row>
    <row r="634" spans="1:18" s="131" customFormat="1" ht="22.5" outlineLevel="1" x14ac:dyDescent="0.25">
      <c r="A634" s="49" t="s">
        <v>680</v>
      </c>
      <c r="B634" s="47">
        <v>91944</v>
      </c>
      <c r="C634" s="48" t="s">
        <v>152</v>
      </c>
      <c r="D634" s="49" t="s">
        <v>45</v>
      </c>
      <c r="E634" s="50">
        <v>5</v>
      </c>
      <c r="F634" s="50">
        <v>9.3000000000000007</v>
      </c>
      <c r="G634" s="51">
        <f t="shared" si="98"/>
        <v>11.71</v>
      </c>
      <c r="H634" s="51">
        <f t="shared" si="99"/>
        <v>58.55</v>
      </c>
      <c r="I634" s="226"/>
      <c r="J634" s="74"/>
      <c r="K634" s="12"/>
      <c r="L634" s="12"/>
      <c r="M634" s="97"/>
      <c r="N634" s="160"/>
      <c r="O634" s="97"/>
      <c r="P634" s="107"/>
      <c r="Q634" s="99"/>
      <c r="R634" s="6"/>
    </row>
    <row r="635" spans="1:18" s="131" customFormat="1" ht="33.75" outlineLevel="1" x14ac:dyDescent="0.2">
      <c r="A635" s="49" t="s">
        <v>681</v>
      </c>
      <c r="B635" s="47">
        <v>83463</v>
      </c>
      <c r="C635" s="48" t="s">
        <v>153</v>
      </c>
      <c r="D635" s="49" t="s">
        <v>45</v>
      </c>
      <c r="E635" s="50">
        <v>1</v>
      </c>
      <c r="F635" s="50">
        <v>9.3000000000000007</v>
      </c>
      <c r="G635" s="51">
        <f t="shared" si="98"/>
        <v>11.71</v>
      </c>
      <c r="H635" s="51">
        <f t="shared" si="99"/>
        <v>11.71</v>
      </c>
      <c r="I635" s="223"/>
      <c r="J635" s="74"/>
      <c r="K635" s="12"/>
      <c r="L635" s="12"/>
      <c r="M635" s="97"/>
      <c r="N635" s="160"/>
      <c r="O635" s="97"/>
      <c r="P635" s="107"/>
      <c r="Q635" s="99"/>
      <c r="R635" s="6"/>
    </row>
    <row r="636" spans="1:18" s="131" customFormat="1" ht="22.5" outlineLevel="1" x14ac:dyDescent="0.2">
      <c r="A636" s="49" t="s">
        <v>682</v>
      </c>
      <c r="B636" s="47">
        <v>91941</v>
      </c>
      <c r="C636" s="48" t="s">
        <v>151</v>
      </c>
      <c r="D636" s="49" t="s">
        <v>45</v>
      </c>
      <c r="E636" s="50">
        <v>10</v>
      </c>
      <c r="F636" s="50">
        <v>6.8</v>
      </c>
      <c r="G636" s="51">
        <f t="shared" si="98"/>
        <v>8.56</v>
      </c>
      <c r="H636" s="51">
        <f t="shared" si="99"/>
        <v>85.6</v>
      </c>
      <c r="I636" s="223"/>
      <c r="J636" s="74"/>
      <c r="K636" s="12"/>
      <c r="L636" s="12"/>
      <c r="M636" s="97"/>
      <c r="N636" s="160"/>
      <c r="O636" s="97"/>
      <c r="P636" s="107"/>
      <c r="Q636" s="99"/>
      <c r="R636" s="6"/>
    </row>
    <row r="637" spans="1:18" s="131" customFormat="1" ht="15" outlineLevel="1" x14ac:dyDescent="0.2">
      <c r="A637" s="73" t="s">
        <v>187</v>
      </c>
      <c r="B637" s="66"/>
      <c r="C637" s="43" t="s">
        <v>162</v>
      </c>
      <c r="D637" s="41"/>
      <c r="E637" s="43"/>
      <c r="F637" s="43"/>
      <c r="G637" s="67" t="s">
        <v>39</v>
      </c>
      <c r="H637" s="41"/>
      <c r="I637" s="222">
        <f>SUM(H638:H648)</f>
        <v>5970.02</v>
      </c>
      <c r="J637" s="74"/>
      <c r="K637" s="12"/>
      <c r="L637" s="12"/>
      <c r="M637" s="97"/>
      <c r="N637" s="160"/>
      <c r="O637" s="97"/>
      <c r="P637" s="107"/>
      <c r="Q637" s="99"/>
      <c r="R637" s="6"/>
    </row>
    <row r="638" spans="1:18" s="131" customFormat="1" ht="22.5" outlineLevel="1" x14ac:dyDescent="0.2">
      <c r="A638" s="49" t="s">
        <v>189</v>
      </c>
      <c r="B638" s="47">
        <v>90447</v>
      </c>
      <c r="C638" s="122" t="s">
        <v>128</v>
      </c>
      <c r="D638" s="49" t="s">
        <v>56</v>
      </c>
      <c r="E638" s="50">
        <v>36</v>
      </c>
      <c r="F638" s="50">
        <v>4.45</v>
      </c>
      <c r="G638" s="51">
        <f t="shared" ref="G638:G647" si="102">TRUNC(F638*$J$13,2)</f>
        <v>5.6</v>
      </c>
      <c r="H638" s="51">
        <f t="shared" ref="H638:H647" si="103">TRUNC(E638*G638,2)</f>
        <v>201.6</v>
      </c>
      <c r="I638" s="223"/>
      <c r="J638" s="74"/>
      <c r="K638" s="12"/>
      <c r="L638" s="12"/>
      <c r="M638" s="97"/>
      <c r="N638" s="160"/>
      <c r="O638" s="97"/>
      <c r="P638" s="107"/>
      <c r="Q638" s="99"/>
      <c r="R638" s="6"/>
    </row>
    <row r="639" spans="1:18" s="131" customFormat="1" ht="22.5" outlineLevel="1" x14ac:dyDescent="0.2">
      <c r="A639" s="49" t="s">
        <v>201</v>
      </c>
      <c r="B639" s="47">
        <v>91869</v>
      </c>
      <c r="C639" s="122" t="s">
        <v>133</v>
      </c>
      <c r="D639" s="49" t="s">
        <v>56</v>
      </c>
      <c r="E639" s="50">
        <v>100</v>
      </c>
      <c r="F639" s="50">
        <v>10.32</v>
      </c>
      <c r="G639" s="51">
        <f t="shared" si="102"/>
        <v>13</v>
      </c>
      <c r="H639" s="51">
        <f t="shared" si="103"/>
        <v>1300</v>
      </c>
      <c r="I639" s="223"/>
      <c r="J639" s="74"/>
      <c r="K639" s="12"/>
      <c r="L639" s="12"/>
      <c r="M639" s="97"/>
      <c r="N639" s="160"/>
      <c r="O639" s="97"/>
      <c r="P639" s="107"/>
      <c r="Q639" s="99"/>
      <c r="R639" s="6"/>
    </row>
    <row r="640" spans="1:18" s="131" customFormat="1" ht="22.5" outlineLevel="1" x14ac:dyDescent="0.2">
      <c r="A640" s="49" t="s">
        <v>237</v>
      </c>
      <c r="B640" s="47">
        <v>91941</v>
      </c>
      <c r="C640" s="122" t="s">
        <v>151</v>
      </c>
      <c r="D640" s="49" t="s">
        <v>45</v>
      </c>
      <c r="E640" s="50">
        <v>6</v>
      </c>
      <c r="F640" s="50">
        <v>6.8</v>
      </c>
      <c r="G640" s="51">
        <f t="shared" si="102"/>
        <v>8.56</v>
      </c>
      <c r="H640" s="51">
        <f t="shared" si="103"/>
        <v>51.36</v>
      </c>
      <c r="I640" s="223"/>
      <c r="J640" s="74"/>
      <c r="K640" s="12"/>
      <c r="L640" s="12"/>
      <c r="M640" s="97"/>
      <c r="N640" s="160"/>
      <c r="O640" s="97"/>
      <c r="P640" s="107"/>
      <c r="Q640" s="99"/>
      <c r="R640" s="6"/>
    </row>
    <row r="641" spans="1:18" s="131" customFormat="1" ht="25.5" customHeight="1" outlineLevel="1" x14ac:dyDescent="0.2">
      <c r="A641" s="49" t="s">
        <v>238</v>
      </c>
      <c r="B641" s="47">
        <v>95778</v>
      </c>
      <c r="C641" s="208" t="s">
        <v>169</v>
      </c>
      <c r="D641" s="49" t="s">
        <v>56</v>
      </c>
      <c r="E641" s="50">
        <v>36</v>
      </c>
      <c r="F641" s="50">
        <v>20.28</v>
      </c>
      <c r="G641" s="51">
        <f t="shared" si="102"/>
        <v>25.55</v>
      </c>
      <c r="H641" s="51">
        <f t="shared" si="103"/>
        <v>919.8</v>
      </c>
      <c r="I641" s="223"/>
      <c r="J641" s="74"/>
      <c r="K641" s="12"/>
      <c r="L641" s="12"/>
      <c r="M641" s="97"/>
      <c r="N641" s="160"/>
      <c r="O641" s="97"/>
      <c r="P641" s="107"/>
      <c r="Q641" s="99"/>
      <c r="R641" s="6"/>
    </row>
    <row r="642" spans="1:18" s="131" customFormat="1" ht="22.5" outlineLevel="1" x14ac:dyDescent="0.2">
      <c r="A642" s="49" t="s">
        <v>239</v>
      </c>
      <c r="B642" s="119">
        <v>98294</v>
      </c>
      <c r="C642" s="105" t="s">
        <v>171</v>
      </c>
      <c r="D642" s="49" t="s">
        <v>56</v>
      </c>
      <c r="E642" s="50">
        <v>200</v>
      </c>
      <c r="F642" s="50">
        <v>2.52</v>
      </c>
      <c r="G642" s="51">
        <f t="shared" si="102"/>
        <v>3.17</v>
      </c>
      <c r="H642" s="51">
        <f t="shared" si="103"/>
        <v>634</v>
      </c>
      <c r="I642" s="223"/>
      <c r="J642" s="74"/>
      <c r="K642" s="12"/>
      <c r="L642" s="12"/>
      <c r="M642" s="97"/>
      <c r="N642" s="160"/>
      <c r="O642" s="97"/>
      <c r="P642" s="107"/>
      <c r="Q642" s="99"/>
      <c r="R642" s="6"/>
    </row>
    <row r="643" spans="1:18" s="131" customFormat="1" ht="22.5" outlineLevel="1" x14ac:dyDescent="0.2">
      <c r="A643" s="49" t="s">
        <v>240</v>
      </c>
      <c r="B643" s="119">
        <v>98296</v>
      </c>
      <c r="C643" s="105" t="s">
        <v>173</v>
      </c>
      <c r="D643" s="49" t="s">
        <v>56</v>
      </c>
      <c r="E643" s="50">
        <v>100</v>
      </c>
      <c r="F643" s="50">
        <v>2.52</v>
      </c>
      <c r="G643" s="51">
        <f t="shared" si="102"/>
        <v>3.17</v>
      </c>
      <c r="H643" s="51">
        <f t="shared" si="103"/>
        <v>317</v>
      </c>
      <c r="I643" s="223"/>
      <c r="J643" s="74"/>
      <c r="K643" s="12"/>
      <c r="L643" s="12"/>
      <c r="M643" s="97"/>
      <c r="N643" s="160"/>
      <c r="O643" s="97"/>
      <c r="P643" s="107"/>
      <c r="Q643" s="99"/>
      <c r="R643" s="6"/>
    </row>
    <row r="644" spans="1:18" s="131" customFormat="1" ht="33.75" outlineLevel="1" x14ac:dyDescent="0.2">
      <c r="A644" s="49" t="s">
        <v>241</v>
      </c>
      <c r="B644" s="47" t="s">
        <v>179</v>
      </c>
      <c r="C644" s="105" t="s">
        <v>180</v>
      </c>
      <c r="D644" s="49" t="s">
        <v>45</v>
      </c>
      <c r="E644" s="50">
        <v>1</v>
      </c>
      <c r="F644" s="50">
        <v>1489.4</v>
      </c>
      <c r="G644" s="51">
        <f t="shared" si="102"/>
        <v>1876.64</v>
      </c>
      <c r="H644" s="51">
        <f t="shared" si="103"/>
        <v>1876.64</v>
      </c>
      <c r="I644" s="223"/>
      <c r="J644" s="74"/>
      <c r="K644" s="12"/>
      <c r="L644" s="12"/>
      <c r="M644" s="97"/>
      <c r="N644" s="160"/>
      <c r="O644" s="97"/>
      <c r="P644" s="107"/>
      <c r="Q644" s="99"/>
      <c r="R644" s="6"/>
    </row>
    <row r="645" spans="1:18" s="131" customFormat="1" ht="22.5" outlineLevel="1" x14ac:dyDescent="0.2">
      <c r="A645" s="49" t="s">
        <v>242</v>
      </c>
      <c r="B645" s="47" t="s">
        <v>400</v>
      </c>
      <c r="C645" s="105" t="s">
        <v>401</v>
      </c>
      <c r="D645" s="49" t="s">
        <v>45</v>
      </c>
      <c r="E645" s="50">
        <v>1</v>
      </c>
      <c r="F645" s="50">
        <v>176.86</v>
      </c>
      <c r="G645" s="51">
        <f>TRUNC(F645*$J$13,2)</f>
        <v>222.84</v>
      </c>
      <c r="H645" s="51">
        <f>TRUNC(E645*G645,2)</f>
        <v>222.84</v>
      </c>
      <c r="I645" s="223"/>
      <c r="J645" s="74"/>
      <c r="K645" s="12"/>
      <c r="L645" s="12"/>
      <c r="M645" s="97"/>
      <c r="N645" s="160"/>
      <c r="O645" s="97"/>
      <c r="P645" s="107"/>
      <c r="Q645" s="99"/>
      <c r="R645" s="6"/>
    </row>
    <row r="646" spans="1:18" s="131" customFormat="1" ht="22.5" outlineLevel="1" x14ac:dyDescent="0.2">
      <c r="A646" s="49" t="s">
        <v>243</v>
      </c>
      <c r="B646" s="47">
        <v>84798</v>
      </c>
      <c r="C646" s="105" t="s">
        <v>402</v>
      </c>
      <c r="D646" s="49" t="s">
        <v>45</v>
      </c>
      <c r="E646" s="50">
        <v>1</v>
      </c>
      <c r="F646" s="50">
        <v>257.19</v>
      </c>
      <c r="G646" s="51">
        <f>TRUNC(F646*$J$13,2)</f>
        <v>324.05</v>
      </c>
      <c r="H646" s="51">
        <f>TRUNC(E646*G646,2)</f>
        <v>324.05</v>
      </c>
      <c r="I646" s="223"/>
      <c r="J646" s="74"/>
      <c r="K646" s="12"/>
      <c r="L646" s="12"/>
      <c r="M646" s="97"/>
      <c r="N646" s="160"/>
      <c r="O646" s="97"/>
      <c r="P646" s="107"/>
      <c r="Q646" s="99"/>
      <c r="R646" s="6"/>
    </row>
    <row r="647" spans="1:18" s="131" customFormat="1" ht="14.25" outlineLevel="1" x14ac:dyDescent="0.2">
      <c r="A647" s="49" t="s">
        <v>244</v>
      </c>
      <c r="B647" s="47">
        <v>98307</v>
      </c>
      <c r="C647" s="122" t="s">
        <v>183</v>
      </c>
      <c r="D647" s="49" t="s">
        <v>45</v>
      </c>
      <c r="E647" s="50">
        <v>3</v>
      </c>
      <c r="F647" s="50">
        <v>27.38</v>
      </c>
      <c r="G647" s="51">
        <f t="shared" si="102"/>
        <v>34.49</v>
      </c>
      <c r="H647" s="51">
        <f t="shared" si="103"/>
        <v>103.47</v>
      </c>
      <c r="I647" s="227"/>
      <c r="J647" s="74"/>
      <c r="K647" s="12"/>
      <c r="L647" s="12"/>
      <c r="M647" s="97"/>
      <c r="N647" s="160"/>
      <c r="O647" s="97"/>
      <c r="P647" s="107"/>
      <c r="Q647" s="99"/>
      <c r="R647" s="6"/>
    </row>
    <row r="648" spans="1:18" s="131" customFormat="1" ht="14.25" outlineLevel="1" x14ac:dyDescent="0.2">
      <c r="A648" s="49" t="s">
        <v>245</v>
      </c>
      <c r="B648" s="47" t="s">
        <v>652</v>
      </c>
      <c r="C648" s="101" t="s">
        <v>403</v>
      </c>
      <c r="D648" s="49" t="s">
        <v>45</v>
      </c>
      <c r="E648" s="50">
        <v>3</v>
      </c>
      <c r="F648" s="50">
        <v>5.0999999999999996</v>
      </c>
      <c r="G648" s="51">
        <f>TRUNC(F648*$J$13,2)</f>
        <v>6.42</v>
      </c>
      <c r="H648" s="51">
        <f>TRUNC(E648*G648,2)</f>
        <v>19.260000000000002</v>
      </c>
      <c r="I648" s="227"/>
      <c r="J648" s="74"/>
      <c r="K648" s="12"/>
      <c r="L648" s="12"/>
      <c r="M648" s="97"/>
      <c r="N648" s="160"/>
      <c r="O648" s="97"/>
      <c r="P648" s="107"/>
      <c r="Q648" s="99"/>
      <c r="R648" s="6"/>
    </row>
    <row r="649" spans="1:18" s="131" customFormat="1" ht="15" outlineLevel="1" x14ac:dyDescent="0.2">
      <c r="A649" s="73" t="s">
        <v>207</v>
      </c>
      <c r="B649" s="66"/>
      <c r="C649" s="43" t="s">
        <v>188</v>
      </c>
      <c r="D649" s="41"/>
      <c r="E649" s="125"/>
      <c r="F649" s="43"/>
      <c r="G649" s="67" t="s">
        <v>39</v>
      </c>
      <c r="H649" s="41"/>
      <c r="I649" s="222">
        <f>SUM(H650:H659)</f>
        <v>1730.5899999999997</v>
      </c>
      <c r="J649" s="74"/>
      <c r="K649" s="12"/>
      <c r="L649" s="12"/>
      <c r="M649" s="97"/>
      <c r="N649" s="160"/>
      <c r="O649" s="97"/>
      <c r="P649" s="107"/>
      <c r="Q649" s="99"/>
      <c r="R649" s="6"/>
    </row>
    <row r="650" spans="1:18" s="131" customFormat="1" ht="14.25" outlineLevel="1" x14ac:dyDescent="0.2">
      <c r="A650" s="75" t="s">
        <v>209</v>
      </c>
      <c r="B650" s="47"/>
      <c r="C650" s="126" t="s">
        <v>190</v>
      </c>
      <c r="D650" s="49"/>
      <c r="E650" s="68"/>
      <c r="F650" s="78"/>
      <c r="G650" s="78"/>
      <c r="H650" s="127"/>
      <c r="I650" s="228"/>
      <c r="J650" s="74"/>
      <c r="K650" s="12"/>
      <c r="L650" s="12"/>
      <c r="M650" s="97"/>
      <c r="N650" s="160"/>
      <c r="O650" s="97"/>
      <c r="P650" s="107"/>
      <c r="Q650" s="99"/>
      <c r="R650" s="6"/>
    </row>
    <row r="651" spans="1:18" s="131" customFormat="1" ht="22.5" outlineLevel="1" x14ac:dyDescent="0.2">
      <c r="A651" s="49" t="s">
        <v>689</v>
      </c>
      <c r="B651" s="47">
        <v>90443</v>
      </c>
      <c r="C651" s="48" t="s">
        <v>191</v>
      </c>
      <c r="D651" s="49" t="s">
        <v>56</v>
      </c>
      <c r="E651" s="50">
        <v>12</v>
      </c>
      <c r="F651" s="50">
        <v>8.9499999999999993</v>
      </c>
      <c r="G651" s="51">
        <f>TRUNC(F651*$J$13,2)</f>
        <v>11.27</v>
      </c>
      <c r="H651" s="51">
        <f>TRUNC(E651*G651,2)</f>
        <v>135.24</v>
      </c>
      <c r="I651" s="229"/>
      <c r="J651" s="74"/>
      <c r="K651" s="12"/>
      <c r="L651" s="12"/>
      <c r="M651" s="97"/>
      <c r="N651" s="160"/>
      <c r="O651" s="97"/>
      <c r="P651" s="107"/>
      <c r="Q651" s="99"/>
      <c r="R651" s="6"/>
    </row>
    <row r="652" spans="1:18" s="131" customFormat="1" ht="22.5" outlineLevel="1" x14ac:dyDescent="0.2">
      <c r="A652" s="49" t="s">
        <v>690</v>
      </c>
      <c r="B652" s="47">
        <v>86895</v>
      </c>
      <c r="C652" s="48" t="s">
        <v>192</v>
      </c>
      <c r="D652" s="49" t="s">
        <v>45</v>
      </c>
      <c r="E652" s="50">
        <v>1</v>
      </c>
      <c r="F652" s="50">
        <v>574.45000000000005</v>
      </c>
      <c r="G652" s="51">
        <f>TRUNC(F652*$J$13,2)</f>
        <v>723.8</v>
      </c>
      <c r="H652" s="51">
        <f>TRUNC(E652*G652,2)</f>
        <v>723.8</v>
      </c>
      <c r="I652" s="229"/>
      <c r="J652" s="74"/>
      <c r="K652" s="12"/>
      <c r="L652" s="12"/>
      <c r="M652" s="97"/>
      <c r="N652" s="160"/>
      <c r="O652" s="97"/>
      <c r="P652" s="107"/>
      <c r="Q652" s="99"/>
      <c r="R652" s="6"/>
    </row>
    <row r="653" spans="1:18" s="131" customFormat="1" ht="22.5" outlineLevel="1" x14ac:dyDescent="0.2">
      <c r="A653" s="49" t="s">
        <v>691</v>
      </c>
      <c r="B653" s="47">
        <v>86901</v>
      </c>
      <c r="C653" s="48" t="s">
        <v>193</v>
      </c>
      <c r="D653" s="49" t="s">
        <v>45</v>
      </c>
      <c r="E653" s="50">
        <v>1</v>
      </c>
      <c r="F653" s="50">
        <v>108.45</v>
      </c>
      <c r="G653" s="51">
        <f>TRUNC(F653*$J$13,2)</f>
        <v>136.63999999999999</v>
      </c>
      <c r="H653" s="51">
        <f>TRUNC(E653*G653,2)</f>
        <v>136.63999999999999</v>
      </c>
      <c r="I653" s="229"/>
      <c r="J653" s="74"/>
      <c r="K653" s="12"/>
      <c r="L653" s="12"/>
      <c r="M653" s="97"/>
      <c r="N653" s="160"/>
      <c r="O653" s="97"/>
      <c r="P653" s="107"/>
      <c r="Q653" s="99"/>
      <c r="R653" s="6"/>
    </row>
    <row r="654" spans="1:18" s="131" customFormat="1" ht="22.5" outlineLevel="1" x14ac:dyDescent="0.2">
      <c r="A654" s="49" t="s">
        <v>692</v>
      </c>
      <c r="B654" s="47">
        <v>86915</v>
      </c>
      <c r="C654" s="48" t="s">
        <v>194</v>
      </c>
      <c r="D654" s="49" t="s">
        <v>45</v>
      </c>
      <c r="E654" s="50">
        <v>2</v>
      </c>
      <c r="F654" s="50">
        <v>84.78</v>
      </c>
      <c r="G654" s="51">
        <f>TRUNC(F654*$J$13,2)</f>
        <v>106.82</v>
      </c>
      <c r="H654" s="51">
        <f>TRUNC(E654*G654,2)</f>
        <v>213.64</v>
      </c>
      <c r="I654" s="229"/>
      <c r="J654" s="74"/>
      <c r="K654" s="12"/>
      <c r="L654" s="12"/>
      <c r="M654" s="97"/>
      <c r="N654" s="160"/>
      <c r="O654" s="97"/>
      <c r="P654" s="107"/>
      <c r="Q654" s="99"/>
      <c r="R654" s="6"/>
    </row>
    <row r="655" spans="1:18" s="131" customFormat="1" ht="22.5" outlineLevel="1" x14ac:dyDescent="0.2">
      <c r="A655" s="49" t="s">
        <v>693</v>
      </c>
      <c r="B655" s="47">
        <v>99635</v>
      </c>
      <c r="C655" s="48" t="s">
        <v>195</v>
      </c>
      <c r="D655" s="49" t="s">
        <v>45</v>
      </c>
      <c r="E655" s="50">
        <v>1</v>
      </c>
      <c r="F655" s="50">
        <v>184.35</v>
      </c>
      <c r="G655" s="51">
        <f>TRUNC(F655*$J$13,2)</f>
        <v>232.28</v>
      </c>
      <c r="H655" s="51">
        <f>TRUNC(E655*G655,2)</f>
        <v>232.28</v>
      </c>
      <c r="I655" s="229"/>
      <c r="J655" s="74"/>
      <c r="K655" s="12"/>
      <c r="L655" s="12"/>
      <c r="M655" s="97"/>
      <c r="N655" s="160"/>
      <c r="O655" s="97"/>
      <c r="P655" s="107"/>
      <c r="Q655" s="99"/>
      <c r="R655" s="6"/>
    </row>
    <row r="656" spans="1:18" s="131" customFormat="1" ht="14.25" outlineLevel="1" x14ac:dyDescent="0.2">
      <c r="A656" s="189" t="s">
        <v>253</v>
      </c>
      <c r="B656" s="47"/>
      <c r="C656" s="132" t="s">
        <v>202</v>
      </c>
      <c r="D656" s="49"/>
      <c r="E656" s="50"/>
      <c r="F656" s="50"/>
      <c r="G656" s="51"/>
      <c r="H656" s="51"/>
      <c r="I656" s="229"/>
      <c r="J656" s="74"/>
      <c r="K656" s="12"/>
      <c r="L656" s="12"/>
      <c r="M656" s="97"/>
      <c r="N656" s="160"/>
      <c r="O656" s="97"/>
      <c r="P656" s="107"/>
      <c r="Q656" s="99"/>
      <c r="R656" s="6"/>
    </row>
    <row r="657" spans="1:18" s="131" customFormat="1" ht="22.5" outlineLevel="1" x14ac:dyDescent="0.2">
      <c r="A657" s="49" t="s">
        <v>699</v>
      </c>
      <c r="B657" s="47">
        <v>95544</v>
      </c>
      <c r="C657" s="48" t="s">
        <v>203</v>
      </c>
      <c r="D657" s="49" t="s">
        <v>45</v>
      </c>
      <c r="E657" s="50">
        <v>1</v>
      </c>
      <c r="F657" s="50">
        <v>30.21</v>
      </c>
      <c r="G657" s="51">
        <f>TRUNC(F657*$J$13,2)</f>
        <v>38.06</v>
      </c>
      <c r="H657" s="51">
        <f>TRUNC(E657*G657,2)</f>
        <v>38.06</v>
      </c>
      <c r="I657" s="229"/>
      <c r="J657" s="74"/>
      <c r="K657" s="12"/>
      <c r="L657" s="12"/>
      <c r="M657" s="97"/>
      <c r="N657" s="160"/>
      <c r="O657" s="97"/>
      <c r="P657" s="107"/>
      <c r="Q657" s="99"/>
      <c r="R657" s="6"/>
    </row>
    <row r="658" spans="1:18" s="131" customFormat="1" ht="22.5" outlineLevel="1" x14ac:dyDescent="0.2">
      <c r="A658" s="49" t="s">
        <v>700</v>
      </c>
      <c r="B658" s="47">
        <v>88571</v>
      </c>
      <c r="C658" s="48" t="s">
        <v>358</v>
      </c>
      <c r="D658" s="49" t="s">
        <v>45</v>
      </c>
      <c r="E658" s="50">
        <v>1</v>
      </c>
      <c r="F658" s="50">
        <v>29.63</v>
      </c>
      <c r="G658" s="51">
        <f>TRUNC(F658*$J$13,2)</f>
        <v>37.33</v>
      </c>
      <c r="H658" s="51">
        <f>TRUNC(E658*G658,2)</f>
        <v>37.33</v>
      </c>
      <c r="I658" s="229"/>
      <c r="J658" s="74"/>
      <c r="K658" s="12"/>
      <c r="L658" s="12"/>
      <c r="M658" s="97"/>
      <c r="N658" s="160"/>
      <c r="O658" s="97"/>
      <c r="P658" s="107"/>
      <c r="Q658" s="99"/>
      <c r="R658" s="6"/>
    </row>
    <row r="659" spans="1:18" s="131" customFormat="1" ht="33.75" outlineLevel="1" x14ac:dyDescent="0.2">
      <c r="A659" s="49" t="s">
        <v>701</v>
      </c>
      <c r="B659" s="47">
        <v>95470</v>
      </c>
      <c r="C659" s="48" t="s">
        <v>206</v>
      </c>
      <c r="D659" s="49" t="s">
        <v>45</v>
      </c>
      <c r="E659" s="50">
        <v>1</v>
      </c>
      <c r="F659" s="50">
        <v>169.53</v>
      </c>
      <c r="G659" s="51">
        <f>TRUNC(F659*$J$13,2)</f>
        <v>213.6</v>
      </c>
      <c r="H659" s="51">
        <f>TRUNC(E659*G659,2)</f>
        <v>213.6</v>
      </c>
      <c r="I659" s="229"/>
      <c r="J659" s="74"/>
      <c r="K659" s="12"/>
      <c r="L659" s="12"/>
      <c r="M659" s="97"/>
      <c r="N659" s="160"/>
      <c r="O659" s="97"/>
      <c r="P659" s="107"/>
      <c r="Q659" s="99"/>
      <c r="R659" s="6"/>
    </row>
    <row r="660" spans="1:18" s="131" customFormat="1" ht="14.25" outlineLevel="1" x14ac:dyDescent="0.2">
      <c r="A660" s="49"/>
      <c r="B660" s="47"/>
      <c r="C660" s="48"/>
      <c r="D660" s="49"/>
      <c r="E660" s="50"/>
      <c r="F660" s="51"/>
      <c r="G660" s="51"/>
      <c r="H660" s="51"/>
      <c r="I660" s="231"/>
      <c r="J660" s="95"/>
      <c r="K660" s="207"/>
      <c r="L660" s="95"/>
      <c r="M660" s="97"/>
      <c r="N660" s="160"/>
      <c r="O660" s="97"/>
      <c r="P660" s="107"/>
      <c r="Q660" s="99"/>
      <c r="R660" s="6"/>
    </row>
    <row r="661" spans="1:18" s="131" customFormat="1" outlineLevel="1" x14ac:dyDescent="0.2">
      <c r="A661" s="73">
        <v>10</v>
      </c>
      <c r="B661" s="125"/>
      <c r="C661" s="43" t="s">
        <v>213</v>
      </c>
      <c r="D661" s="41"/>
      <c r="E661" s="43"/>
      <c r="F661" s="43"/>
      <c r="G661" s="43"/>
      <c r="H661" s="41"/>
      <c r="I661" s="135">
        <f>SUM(H662:H662)</f>
        <v>2512.65</v>
      </c>
      <c r="J661" s="95"/>
      <c r="K661" s="207"/>
      <c r="L661" s="95"/>
      <c r="M661" s="97"/>
      <c r="N661" s="160"/>
      <c r="O661" s="97"/>
      <c r="P661" s="107"/>
      <c r="Q661" s="99"/>
      <c r="R661" s="6"/>
    </row>
    <row r="662" spans="1:18" s="131" customFormat="1" ht="22.5" outlineLevel="1" x14ac:dyDescent="0.2">
      <c r="A662" s="49" t="s">
        <v>214</v>
      </c>
      <c r="B662" s="47">
        <v>96114</v>
      </c>
      <c r="C662" s="101" t="s">
        <v>640</v>
      </c>
      <c r="D662" s="49" t="s">
        <v>24</v>
      </c>
      <c r="E662" s="50">
        <v>35</v>
      </c>
      <c r="F662" s="50">
        <v>56.98</v>
      </c>
      <c r="G662" s="51">
        <f>TRUNC(F662*$J$13,2)</f>
        <v>71.790000000000006</v>
      </c>
      <c r="H662" s="51">
        <f>TRUNC(E662*G662,2)</f>
        <v>2512.65</v>
      </c>
      <c r="I662" s="134"/>
      <c r="J662" s="95"/>
      <c r="K662" s="207"/>
      <c r="L662" s="95"/>
      <c r="M662" s="97"/>
      <c r="N662" s="160"/>
      <c r="O662" s="97"/>
      <c r="P662" s="107"/>
      <c r="Q662" s="99"/>
      <c r="R662" s="6"/>
    </row>
    <row r="663" spans="1:18" s="131" customFormat="1" ht="14.25" x14ac:dyDescent="0.2">
      <c r="A663" s="49"/>
      <c r="B663" s="232"/>
      <c r="C663" s="232"/>
      <c r="D663" s="49"/>
      <c r="E663" s="50"/>
      <c r="F663" s="51"/>
      <c r="G663" s="51"/>
      <c r="H663" s="70"/>
      <c r="I663" s="231"/>
      <c r="J663" s="74"/>
      <c r="K663" s="12"/>
      <c r="L663" s="12"/>
      <c r="M663" s="97"/>
      <c r="N663" s="160"/>
      <c r="O663" s="97"/>
      <c r="P663" s="107"/>
      <c r="Q663" s="99"/>
      <c r="R663" s="6"/>
    </row>
    <row r="664" spans="1:18" s="131" customFormat="1" ht="15.75" x14ac:dyDescent="0.2">
      <c r="A664" s="164" t="s">
        <v>404</v>
      </c>
      <c r="B664" s="165"/>
      <c r="C664" s="166"/>
      <c r="D664" s="41"/>
      <c r="E664" s="166"/>
      <c r="F664" s="166"/>
      <c r="G664" s="37" t="s">
        <v>19</v>
      </c>
      <c r="H664" s="166"/>
      <c r="I664" s="39">
        <f>SUM(I665:I755)</f>
        <v>111952.73000000001</v>
      </c>
      <c r="J664" s="233"/>
      <c r="K664" s="59"/>
      <c r="L664" s="12"/>
      <c r="M664" s="97"/>
      <c r="N664" s="160"/>
      <c r="O664" s="97"/>
      <c r="P664" s="107"/>
      <c r="Q664" s="99"/>
      <c r="R664" s="6"/>
    </row>
    <row r="665" spans="1:18" s="131" customFormat="1" outlineLevel="1" x14ac:dyDescent="0.2">
      <c r="A665" s="66" t="s">
        <v>20</v>
      </c>
      <c r="B665" s="66"/>
      <c r="C665" s="43" t="s">
        <v>38</v>
      </c>
      <c r="D665" s="41"/>
      <c r="E665" s="43"/>
      <c r="F665" s="43"/>
      <c r="G665" s="67" t="s">
        <v>39</v>
      </c>
      <c r="H665" s="41"/>
      <c r="I665" s="44">
        <f>SUM(H666:H671)</f>
        <v>1839.9900000000002</v>
      </c>
      <c r="J665" s="233"/>
      <c r="K665" s="59"/>
      <c r="L665" s="12"/>
      <c r="M665" s="97"/>
      <c r="N665" s="160"/>
      <c r="O665" s="97"/>
      <c r="P665" s="107"/>
      <c r="Q665" s="99"/>
      <c r="R665" s="6"/>
    </row>
    <row r="666" spans="1:18" s="131" customFormat="1" ht="15.75" outlineLevel="1" x14ac:dyDescent="0.2">
      <c r="A666" s="49" t="s">
        <v>22</v>
      </c>
      <c r="B666" s="71" t="s">
        <v>40</v>
      </c>
      <c r="C666" s="68" t="s">
        <v>41</v>
      </c>
      <c r="D666" s="49" t="s">
        <v>42</v>
      </c>
      <c r="E666" s="50">
        <v>4</v>
      </c>
      <c r="F666" s="50">
        <v>216.76</v>
      </c>
      <c r="G666" s="51">
        <f t="shared" ref="G666:G671" si="104">TRUNC(F666*$J$13,2)</f>
        <v>273.11</v>
      </c>
      <c r="H666" s="51">
        <f t="shared" ref="H666:H671" si="105">TRUNC(E666*G666,2)</f>
        <v>1092.44</v>
      </c>
      <c r="I666" s="69"/>
      <c r="J666" s="233"/>
      <c r="K666" s="59"/>
      <c r="L666" s="12"/>
      <c r="M666" s="97"/>
      <c r="N666" s="160"/>
      <c r="O666" s="97"/>
      <c r="P666" s="107"/>
      <c r="Q666" s="99"/>
      <c r="R666" s="6"/>
    </row>
    <row r="667" spans="1:18" s="131" customFormat="1" ht="22.5" outlineLevel="1" x14ac:dyDescent="0.2">
      <c r="A667" s="49" t="s">
        <v>25</v>
      </c>
      <c r="B667" s="71">
        <v>97633</v>
      </c>
      <c r="C667" s="48" t="s">
        <v>43</v>
      </c>
      <c r="D667" s="70" t="s">
        <v>24</v>
      </c>
      <c r="E667" s="50">
        <v>24</v>
      </c>
      <c r="F667" s="50">
        <v>14.85</v>
      </c>
      <c r="G667" s="51">
        <f t="shared" si="104"/>
        <v>18.71</v>
      </c>
      <c r="H667" s="51">
        <f t="shared" si="105"/>
        <v>449.04</v>
      </c>
      <c r="I667" s="69"/>
      <c r="J667" s="233"/>
      <c r="K667" s="59"/>
      <c r="L667" s="12"/>
      <c r="M667" s="97"/>
      <c r="N667" s="160"/>
      <c r="O667" s="97"/>
      <c r="P667" s="107"/>
      <c r="Q667" s="99"/>
      <c r="R667" s="6"/>
    </row>
    <row r="668" spans="1:18" s="131" customFormat="1" ht="15.75" outlineLevel="1" x14ac:dyDescent="0.2">
      <c r="A668" s="49" t="s">
        <v>57</v>
      </c>
      <c r="B668" s="71">
        <v>97644</v>
      </c>
      <c r="C668" s="68" t="s">
        <v>44</v>
      </c>
      <c r="D668" s="70" t="s">
        <v>45</v>
      </c>
      <c r="E668" s="50">
        <v>13</v>
      </c>
      <c r="F668" s="50">
        <v>6.04</v>
      </c>
      <c r="G668" s="51">
        <f t="shared" si="104"/>
        <v>7.61</v>
      </c>
      <c r="H668" s="51">
        <f t="shared" si="105"/>
        <v>98.93</v>
      </c>
      <c r="I668" s="69"/>
      <c r="J668" s="233"/>
      <c r="K668" s="59"/>
      <c r="L668" s="12"/>
      <c r="M668" s="97"/>
      <c r="N668" s="160"/>
      <c r="O668" s="97"/>
      <c r="P668" s="107"/>
      <c r="Q668" s="99"/>
      <c r="R668" s="6"/>
    </row>
    <row r="669" spans="1:18" s="131" customFormat="1" ht="15.75" outlineLevel="1" x14ac:dyDescent="0.2">
      <c r="A669" s="49" t="s">
        <v>217</v>
      </c>
      <c r="B669" s="71">
        <v>97663</v>
      </c>
      <c r="C669" s="68" t="s">
        <v>46</v>
      </c>
      <c r="D669" s="70" t="s">
        <v>45</v>
      </c>
      <c r="E669" s="50">
        <v>6</v>
      </c>
      <c r="F669" s="50">
        <v>8.07</v>
      </c>
      <c r="G669" s="51">
        <f t="shared" si="104"/>
        <v>10.16</v>
      </c>
      <c r="H669" s="51">
        <f t="shared" si="105"/>
        <v>60.96</v>
      </c>
      <c r="I669" s="69"/>
      <c r="J669" s="233"/>
      <c r="K669" s="59"/>
      <c r="L669" s="12"/>
      <c r="M669" s="97"/>
      <c r="N669" s="160"/>
      <c r="O669" s="97"/>
      <c r="P669" s="107"/>
      <c r="Q669" s="99"/>
      <c r="R669" s="6"/>
    </row>
    <row r="670" spans="1:18" s="131" customFormat="1" ht="22.5" outlineLevel="1" x14ac:dyDescent="0.2">
      <c r="A670" s="49" t="s">
        <v>218</v>
      </c>
      <c r="B670" s="71">
        <v>97666</v>
      </c>
      <c r="C670" s="48" t="s">
        <v>47</v>
      </c>
      <c r="D670" s="70" t="s">
        <v>45</v>
      </c>
      <c r="E670" s="50">
        <v>6</v>
      </c>
      <c r="F670" s="50">
        <v>5.88</v>
      </c>
      <c r="G670" s="51">
        <f t="shared" si="104"/>
        <v>7.4</v>
      </c>
      <c r="H670" s="51">
        <f t="shared" si="105"/>
        <v>44.4</v>
      </c>
      <c r="I670" s="69"/>
      <c r="J670" s="233"/>
      <c r="K670" s="59"/>
      <c r="L670" s="12"/>
      <c r="M670" s="97"/>
      <c r="N670" s="160"/>
      <c r="O670" s="97"/>
      <c r="P670" s="107"/>
      <c r="Q670" s="99"/>
      <c r="R670" s="6"/>
    </row>
    <row r="671" spans="1:18" s="131" customFormat="1" ht="22.5" outlineLevel="1" x14ac:dyDescent="0.2">
      <c r="A671" s="49" t="s">
        <v>219</v>
      </c>
      <c r="B671" s="47">
        <v>97622</v>
      </c>
      <c r="C671" s="48" t="s">
        <v>48</v>
      </c>
      <c r="D671" s="49" t="s">
        <v>42</v>
      </c>
      <c r="E671" s="50">
        <v>2</v>
      </c>
      <c r="F671" s="50">
        <v>37.39</v>
      </c>
      <c r="G671" s="51">
        <f t="shared" si="104"/>
        <v>47.11</v>
      </c>
      <c r="H671" s="51">
        <f t="shared" si="105"/>
        <v>94.22</v>
      </c>
      <c r="I671" s="69"/>
      <c r="J671" s="233"/>
      <c r="K671" s="59"/>
      <c r="L671" s="12"/>
      <c r="M671" s="97"/>
      <c r="N671" s="160"/>
      <c r="O671" s="97"/>
      <c r="P671" s="107"/>
      <c r="Q671" s="99"/>
      <c r="R671" s="6"/>
    </row>
    <row r="672" spans="1:18" s="131" customFormat="1" ht="15" outlineLevel="1" x14ac:dyDescent="0.25">
      <c r="A672" s="73" t="s">
        <v>61</v>
      </c>
      <c r="B672" s="66"/>
      <c r="C672" s="43" t="s">
        <v>52</v>
      </c>
      <c r="D672" s="41"/>
      <c r="E672" s="43"/>
      <c r="F672" s="43"/>
      <c r="G672" s="43"/>
      <c r="H672" s="41"/>
      <c r="I672" s="217">
        <f>SUM(H673:H675)</f>
        <v>14580.550000000001</v>
      </c>
      <c r="J672" s="74"/>
      <c r="K672" s="12"/>
      <c r="L672" s="12"/>
      <c r="M672" s="97"/>
      <c r="N672" s="160"/>
      <c r="O672" s="97"/>
      <c r="P672" s="107"/>
      <c r="Q672" s="99"/>
      <c r="R672" s="6"/>
    </row>
    <row r="673" spans="1:18" s="131" customFormat="1" ht="45" outlineLevel="1" x14ac:dyDescent="0.2">
      <c r="A673" s="191" t="s">
        <v>65</v>
      </c>
      <c r="B673" s="377">
        <v>90843</v>
      </c>
      <c r="C673" s="48" t="s">
        <v>54</v>
      </c>
      <c r="D673" s="49" t="s">
        <v>45</v>
      </c>
      <c r="E673" s="50">
        <v>9</v>
      </c>
      <c r="F673" s="50">
        <v>742.69</v>
      </c>
      <c r="G673" s="51">
        <f>TRUNC(F673*$J$13,2)</f>
        <v>935.78</v>
      </c>
      <c r="H673" s="51">
        <f>TRUNC(E673*G673,2)</f>
        <v>8422.02</v>
      </c>
      <c r="I673" s="234"/>
      <c r="J673" s="74"/>
      <c r="K673" s="12"/>
      <c r="L673" s="12"/>
      <c r="M673" s="97"/>
      <c r="N673" s="160"/>
      <c r="O673" s="97"/>
      <c r="P673" s="107"/>
      <c r="Q673" s="99"/>
      <c r="R673" s="6"/>
    </row>
    <row r="674" spans="1:18" s="131" customFormat="1" ht="22.5" outlineLevel="1" x14ac:dyDescent="0.2">
      <c r="A674" s="191" t="s">
        <v>70</v>
      </c>
      <c r="B674" s="47">
        <v>91338</v>
      </c>
      <c r="C674" s="48" t="s">
        <v>58</v>
      </c>
      <c r="D674" s="49" t="s">
        <v>24</v>
      </c>
      <c r="E674" s="50">
        <f>L674</f>
        <v>3.3600000000000003</v>
      </c>
      <c r="F674" s="50">
        <v>975.13</v>
      </c>
      <c r="G674" s="51">
        <f>TRUNC(F674*$J$13,2)</f>
        <v>1228.6600000000001</v>
      </c>
      <c r="H674" s="51">
        <f>TRUNC(E674*G674,2)</f>
        <v>4128.29</v>
      </c>
      <c r="I674" s="219"/>
      <c r="J674" s="235"/>
      <c r="K674" s="178" t="s">
        <v>405</v>
      </c>
      <c r="L674" s="12">
        <f>0.8*2.1*2</f>
        <v>3.3600000000000003</v>
      </c>
      <c r="M674" s="97"/>
      <c r="N674" s="160"/>
      <c r="O674" s="97"/>
      <c r="P674" s="107"/>
      <c r="Q674" s="99"/>
      <c r="R674" s="6"/>
    </row>
    <row r="675" spans="1:18" s="131" customFormat="1" ht="19.5" customHeight="1" outlineLevel="1" x14ac:dyDescent="0.2">
      <c r="A675" s="191" t="s">
        <v>73</v>
      </c>
      <c r="B675" s="47">
        <v>100701</v>
      </c>
      <c r="C675" s="48" t="s">
        <v>325</v>
      </c>
      <c r="D675" s="49" t="s">
        <v>24</v>
      </c>
      <c r="E675" s="50">
        <f>L675</f>
        <v>3.3600000000000003</v>
      </c>
      <c r="F675" s="50">
        <v>479.56</v>
      </c>
      <c r="G675" s="51">
        <f>TRUNC(F675*$J$13,2)</f>
        <v>604.24</v>
      </c>
      <c r="H675" s="51">
        <f>TRUNC(E675*G675,2)</f>
        <v>2030.24</v>
      </c>
      <c r="I675" s="236"/>
      <c r="J675" s="74"/>
      <c r="K675" s="12"/>
      <c r="L675" s="12">
        <f>L674</f>
        <v>3.3600000000000003</v>
      </c>
      <c r="M675" s="97"/>
      <c r="N675" s="160"/>
      <c r="O675" s="97"/>
      <c r="P675" s="107"/>
      <c r="Q675" s="99"/>
      <c r="R675" s="6"/>
    </row>
    <row r="676" spans="1:18" s="131" customFormat="1" ht="15" outlineLevel="1" x14ac:dyDescent="0.25">
      <c r="A676" s="73" t="s">
        <v>75</v>
      </c>
      <c r="B676" s="66"/>
      <c r="C676" s="43" t="s">
        <v>62</v>
      </c>
      <c r="D676" s="41"/>
      <c r="E676" s="43"/>
      <c r="F676" s="43"/>
      <c r="G676" s="43"/>
      <c r="H676" s="41"/>
      <c r="I676" s="217">
        <f>SUM(H677)</f>
        <v>6895.08</v>
      </c>
      <c r="J676" s="74"/>
      <c r="K676" s="12"/>
      <c r="L676" s="12"/>
      <c r="M676" s="97"/>
      <c r="N676" s="160"/>
      <c r="O676" s="97"/>
      <c r="P676" s="107"/>
      <c r="Q676" s="99"/>
      <c r="R676" s="6"/>
    </row>
    <row r="677" spans="1:18" s="131" customFormat="1" ht="33.75" outlineLevel="1" x14ac:dyDescent="0.2">
      <c r="A677" s="49" t="s">
        <v>78</v>
      </c>
      <c r="B677" s="47">
        <v>87266</v>
      </c>
      <c r="C677" s="48" t="s">
        <v>66</v>
      </c>
      <c r="D677" s="49" t="s">
        <v>24</v>
      </c>
      <c r="E677" s="50">
        <f>L677</f>
        <v>124.64</v>
      </c>
      <c r="F677" s="50">
        <v>43.91</v>
      </c>
      <c r="G677" s="51">
        <f>TRUNC(F677*$J$13,2)</f>
        <v>55.32</v>
      </c>
      <c r="H677" s="51">
        <f>TRUNC(E677*G677,2)</f>
        <v>6895.08</v>
      </c>
      <c r="I677" s="218"/>
      <c r="J677" s="74"/>
      <c r="K677" s="12" t="s">
        <v>67</v>
      </c>
      <c r="L677" s="12">
        <v>124.64</v>
      </c>
      <c r="M677" s="97"/>
      <c r="N677" s="160"/>
      <c r="O677" s="97"/>
      <c r="P677" s="107"/>
      <c r="Q677" s="99"/>
      <c r="R677" s="6"/>
    </row>
    <row r="678" spans="1:18" s="131" customFormat="1" ht="15" outlineLevel="1" x14ac:dyDescent="0.25">
      <c r="A678" s="73" t="s">
        <v>86</v>
      </c>
      <c r="B678" s="66"/>
      <c r="C678" s="43" t="s">
        <v>76</v>
      </c>
      <c r="D678" s="41"/>
      <c r="E678" s="43"/>
      <c r="F678" s="43"/>
      <c r="G678" s="43"/>
      <c r="H678" s="41"/>
      <c r="I678" s="217">
        <f>SUM(H679:H680)</f>
        <v>6444.9</v>
      </c>
      <c r="J678" s="74"/>
      <c r="K678" s="12"/>
      <c r="L678" s="12"/>
      <c r="M678" s="97"/>
      <c r="N678" s="160"/>
      <c r="O678" s="97"/>
      <c r="P678" s="107"/>
      <c r="Q678" s="99"/>
      <c r="R678" s="6"/>
    </row>
    <row r="679" spans="1:18" s="131" customFormat="1" ht="33.75" outlineLevel="1" x14ac:dyDescent="0.2">
      <c r="A679" s="49" t="s">
        <v>88</v>
      </c>
      <c r="B679" s="47">
        <v>94993</v>
      </c>
      <c r="C679" s="48" t="s">
        <v>79</v>
      </c>
      <c r="D679" s="49" t="s">
        <v>24</v>
      </c>
      <c r="E679" s="50">
        <f>L679</f>
        <v>47.5</v>
      </c>
      <c r="F679" s="50">
        <v>62.94</v>
      </c>
      <c r="G679" s="51">
        <f>TRUNC(F679*$J$13,2)</f>
        <v>79.3</v>
      </c>
      <c r="H679" s="51">
        <f>TRUNC(E679*G679,2)</f>
        <v>3766.75</v>
      </c>
      <c r="I679" s="219"/>
      <c r="J679" s="74"/>
      <c r="K679" s="12" t="s">
        <v>67</v>
      </c>
      <c r="L679" s="12">
        <v>47.5</v>
      </c>
      <c r="M679" s="97"/>
      <c r="N679" s="160"/>
      <c r="O679" s="97"/>
      <c r="P679" s="107"/>
      <c r="Q679" s="99"/>
      <c r="R679" s="6"/>
    </row>
    <row r="680" spans="1:18" s="131" customFormat="1" ht="33.75" outlineLevel="1" x14ac:dyDescent="0.2">
      <c r="A680" s="49" t="s">
        <v>91</v>
      </c>
      <c r="B680" s="47">
        <v>87262</v>
      </c>
      <c r="C680" s="48" t="s">
        <v>85</v>
      </c>
      <c r="D680" s="49" t="s">
        <v>24</v>
      </c>
      <c r="E680" s="50">
        <f>L680</f>
        <v>22.9</v>
      </c>
      <c r="F680" s="50">
        <v>92.82</v>
      </c>
      <c r="G680" s="51">
        <f>TRUNC(F680*$J$13,2)</f>
        <v>116.95</v>
      </c>
      <c r="H680" s="51">
        <f>TRUNC(E680*G680,2)</f>
        <v>2678.15</v>
      </c>
      <c r="I680" s="159"/>
      <c r="J680" s="74"/>
      <c r="K680" s="12" t="s">
        <v>67</v>
      </c>
      <c r="L680" s="12">
        <v>22.9</v>
      </c>
      <c r="M680" s="97"/>
      <c r="N680" s="160"/>
      <c r="O680" s="97"/>
      <c r="P680" s="107"/>
      <c r="Q680" s="99"/>
      <c r="R680" s="6"/>
    </row>
    <row r="681" spans="1:18" s="131" customFormat="1" ht="15" outlineLevel="1" x14ac:dyDescent="0.2">
      <c r="A681" s="73" t="s">
        <v>96</v>
      </c>
      <c r="B681" s="66"/>
      <c r="C681" s="43" t="s">
        <v>87</v>
      </c>
      <c r="D681" s="41"/>
      <c r="E681" s="43"/>
      <c r="F681" s="43"/>
      <c r="G681" s="43"/>
      <c r="H681" s="41"/>
      <c r="I681" s="221">
        <f>SUM(H682:H684)</f>
        <v>2308.2400000000002</v>
      </c>
      <c r="J681" s="74"/>
      <c r="K681" s="12"/>
      <c r="L681" s="12"/>
      <c r="M681" s="97"/>
      <c r="N681" s="160"/>
      <c r="O681" s="97"/>
      <c r="P681" s="107"/>
      <c r="Q681" s="99"/>
      <c r="R681" s="6"/>
    </row>
    <row r="682" spans="1:18" s="131" customFormat="1" outlineLevel="1" x14ac:dyDescent="0.2">
      <c r="A682" s="49" t="s">
        <v>98</v>
      </c>
      <c r="B682" s="47">
        <v>72117</v>
      </c>
      <c r="C682" s="101" t="s">
        <v>89</v>
      </c>
      <c r="D682" s="49" t="s">
        <v>24</v>
      </c>
      <c r="E682" s="50">
        <v>0.5</v>
      </c>
      <c r="F682" s="50">
        <v>159.13</v>
      </c>
      <c r="G682" s="51">
        <f>TRUNC(F682*$J$13,2)</f>
        <v>200.5</v>
      </c>
      <c r="H682" s="51">
        <f>TRUNC(E682*G682,2)</f>
        <v>100.25</v>
      </c>
      <c r="I682" s="154"/>
      <c r="J682" s="74"/>
      <c r="K682" s="12"/>
      <c r="L682" s="12"/>
      <c r="M682" s="97"/>
      <c r="N682" s="160"/>
      <c r="O682" s="97"/>
      <c r="P682" s="107"/>
      <c r="Q682" s="99"/>
      <c r="R682" s="6"/>
    </row>
    <row r="683" spans="1:18" s="131" customFormat="1" outlineLevel="1" x14ac:dyDescent="0.2">
      <c r="A683" s="49" t="s">
        <v>101</v>
      </c>
      <c r="B683" s="47">
        <v>84886</v>
      </c>
      <c r="C683" s="101" t="s">
        <v>92</v>
      </c>
      <c r="D683" s="49" t="s">
        <v>93</v>
      </c>
      <c r="E683" s="50">
        <v>1</v>
      </c>
      <c r="F683" s="50">
        <v>1139.6199999999999</v>
      </c>
      <c r="G683" s="51">
        <f>TRUNC(F683*$J$13,2)</f>
        <v>1435.92</v>
      </c>
      <c r="H683" s="51">
        <f>TRUNC(E683*G683,2)</f>
        <v>1435.92</v>
      </c>
      <c r="I683" s="154"/>
      <c r="J683" s="74"/>
      <c r="K683" s="12"/>
      <c r="L683" s="12"/>
      <c r="M683" s="97"/>
      <c r="N683" s="160"/>
      <c r="O683" s="97"/>
      <c r="P683" s="107"/>
      <c r="Q683" s="99"/>
      <c r="R683" s="6"/>
    </row>
    <row r="684" spans="1:18" s="131" customFormat="1" ht="33.75" outlineLevel="1" x14ac:dyDescent="0.2">
      <c r="A684" s="49" t="s">
        <v>104</v>
      </c>
      <c r="B684" s="47">
        <v>84885</v>
      </c>
      <c r="C684" s="48" t="s">
        <v>95</v>
      </c>
      <c r="D684" s="49" t="s">
        <v>45</v>
      </c>
      <c r="E684" s="50">
        <v>1</v>
      </c>
      <c r="F684" s="50">
        <v>612.76</v>
      </c>
      <c r="G684" s="51">
        <f>TRUNC(F684*$J$13,2)</f>
        <v>772.07</v>
      </c>
      <c r="H684" s="51">
        <f>TRUNC(E684*G684,2)</f>
        <v>772.07</v>
      </c>
      <c r="I684" s="154"/>
      <c r="J684" s="74"/>
      <c r="K684" s="12"/>
      <c r="L684" s="12"/>
      <c r="M684" s="97"/>
      <c r="N684" s="160"/>
      <c r="O684" s="97"/>
      <c r="P684" s="107"/>
      <c r="Q684" s="99"/>
      <c r="R684" s="6"/>
    </row>
    <row r="685" spans="1:18" s="131" customFormat="1" ht="15" outlineLevel="1" x14ac:dyDescent="0.2">
      <c r="A685" s="73" t="s">
        <v>117</v>
      </c>
      <c r="B685" s="66"/>
      <c r="C685" s="43" t="s">
        <v>97</v>
      </c>
      <c r="D685" s="41"/>
      <c r="E685" s="43"/>
      <c r="F685" s="43"/>
      <c r="G685" s="43"/>
      <c r="H685" s="41"/>
      <c r="I685" s="221">
        <f>SUM(H686:H694)</f>
        <v>27228.380000000005</v>
      </c>
      <c r="J685" s="74"/>
      <c r="K685" s="12"/>
      <c r="L685" s="12"/>
      <c r="M685" s="97"/>
      <c r="N685" s="160"/>
      <c r="O685" s="97"/>
      <c r="P685" s="107"/>
      <c r="Q685" s="99"/>
      <c r="R685" s="6"/>
    </row>
    <row r="686" spans="1:18" s="131" customFormat="1" ht="22.5" outlineLevel="1" x14ac:dyDescent="0.2">
      <c r="A686" s="49" t="s">
        <v>119</v>
      </c>
      <c r="B686" s="47">
        <v>88423</v>
      </c>
      <c r="C686" s="48" t="s">
        <v>99</v>
      </c>
      <c r="D686" s="49" t="s">
        <v>24</v>
      </c>
      <c r="E686" s="103">
        <f>L686</f>
        <v>200</v>
      </c>
      <c r="F686" s="50">
        <v>16.21</v>
      </c>
      <c r="G686" s="51">
        <f>TRUNC(F686*$J$13,2)</f>
        <v>20.420000000000002</v>
      </c>
      <c r="H686" s="51">
        <f t="shared" ref="H686:H694" si="106">TRUNC(E686*G686,2)</f>
        <v>4084</v>
      </c>
      <c r="I686" s="154"/>
      <c r="J686" s="74"/>
      <c r="K686" s="12"/>
      <c r="L686" s="12">
        <v>200</v>
      </c>
      <c r="M686" s="97"/>
      <c r="N686" s="160"/>
      <c r="O686" s="97"/>
      <c r="P686" s="107"/>
      <c r="Q686" s="99"/>
      <c r="R686" s="6"/>
    </row>
    <row r="687" spans="1:18" s="131" customFormat="1" outlineLevel="1" x14ac:dyDescent="0.2">
      <c r="A687" s="49" t="s">
        <v>121</v>
      </c>
      <c r="B687" s="47">
        <v>88496</v>
      </c>
      <c r="C687" s="68" t="s">
        <v>102</v>
      </c>
      <c r="D687" s="49" t="s">
        <v>24</v>
      </c>
      <c r="E687" s="103">
        <f>L687</f>
        <v>326.25</v>
      </c>
      <c r="F687" s="50">
        <v>19.940000000000001</v>
      </c>
      <c r="G687" s="51">
        <f t="shared" ref="G687:G694" si="107">TRUNC(F687*$J$13,2)</f>
        <v>25.12</v>
      </c>
      <c r="H687" s="51">
        <f t="shared" si="106"/>
        <v>8195.4</v>
      </c>
      <c r="I687" s="154"/>
      <c r="J687" s="74"/>
      <c r="K687" s="12" t="s">
        <v>67</v>
      </c>
      <c r="L687" s="12">
        <v>326.25</v>
      </c>
      <c r="M687" s="97"/>
      <c r="N687" s="160"/>
      <c r="O687" s="97"/>
      <c r="P687" s="107"/>
      <c r="Q687" s="99"/>
      <c r="R687" s="6"/>
    </row>
    <row r="688" spans="1:18" s="131" customFormat="1" ht="22.5" outlineLevel="1" x14ac:dyDescent="0.2">
      <c r="A688" s="49" t="s">
        <v>123</v>
      </c>
      <c r="B688" s="47">
        <v>88488</v>
      </c>
      <c r="C688" s="48" t="s">
        <v>105</v>
      </c>
      <c r="D688" s="49" t="s">
        <v>24</v>
      </c>
      <c r="E688" s="103">
        <v>313.64999999999998</v>
      </c>
      <c r="F688" s="50">
        <v>12.65</v>
      </c>
      <c r="G688" s="51">
        <f t="shared" si="107"/>
        <v>15.93</v>
      </c>
      <c r="H688" s="51">
        <f t="shared" si="106"/>
        <v>4996.4399999999996</v>
      </c>
      <c r="I688" s="154"/>
      <c r="J688" s="74"/>
      <c r="K688" s="12"/>
      <c r="L688" s="12"/>
      <c r="M688" s="97"/>
      <c r="N688" s="160"/>
      <c r="O688" s="97"/>
      <c r="P688" s="107"/>
      <c r="Q688" s="99"/>
      <c r="R688" s="6"/>
    </row>
    <row r="689" spans="1:18" s="131" customFormat="1" outlineLevel="1" x14ac:dyDescent="0.2">
      <c r="A689" s="49" t="s">
        <v>125</v>
      </c>
      <c r="B689" s="47">
        <v>88497</v>
      </c>
      <c r="C689" s="68" t="s">
        <v>233</v>
      </c>
      <c r="D689" s="49" t="s">
        <v>24</v>
      </c>
      <c r="E689" s="103">
        <f>L689*0.3</f>
        <v>230.29499999999999</v>
      </c>
      <c r="F689" s="50">
        <v>11.24</v>
      </c>
      <c r="G689" s="51">
        <f t="shared" si="107"/>
        <v>14.16</v>
      </c>
      <c r="H689" s="51">
        <f t="shared" si="106"/>
        <v>3260.97</v>
      </c>
      <c r="I689" s="154"/>
      <c r="J689" s="74"/>
      <c r="K689" s="178" t="s">
        <v>406</v>
      </c>
      <c r="L689" s="12">
        <f>L690</f>
        <v>767.65</v>
      </c>
      <c r="M689" s="97"/>
      <c r="N689" s="160"/>
      <c r="O689" s="97"/>
      <c r="P689" s="107"/>
      <c r="Q689" s="99"/>
      <c r="R689" s="6"/>
    </row>
    <row r="690" spans="1:18" s="131" customFormat="1" ht="22.5" outlineLevel="1" x14ac:dyDescent="0.2">
      <c r="A690" s="49" t="s">
        <v>127</v>
      </c>
      <c r="B690" s="47">
        <v>88489</v>
      </c>
      <c r="C690" s="48" t="s">
        <v>109</v>
      </c>
      <c r="D690" s="49" t="s">
        <v>24</v>
      </c>
      <c r="E690" s="103">
        <v>254</v>
      </c>
      <c r="F690" s="50">
        <v>11.3</v>
      </c>
      <c r="G690" s="51">
        <f t="shared" si="107"/>
        <v>14.23</v>
      </c>
      <c r="H690" s="51">
        <f t="shared" si="106"/>
        <v>3614.42</v>
      </c>
      <c r="I690" s="154"/>
      <c r="J690" s="74"/>
      <c r="K690" s="12" t="s">
        <v>67</v>
      </c>
      <c r="L690" s="12">
        <v>767.65</v>
      </c>
      <c r="M690" s="97"/>
      <c r="N690" s="160"/>
      <c r="O690" s="97"/>
      <c r="P690" s="107"/>
      <c r="Q690" s="99"/>
      <c r="R690" s="6"/>
    </row>
    <row r="691" spans="1:18" s="131" customFormat="1" ht="22.5" outlineLevel="1" x14ac:dyDescent="0.2">
      <c r="A691" s="49" t="s">
        <v>130</v>
      </c>
      <c r="B691" s="47">
        <v>100725</v>
      </c>
      <c r="C691" s="48" t="s">
        <v>805</v>
      </c>
      <c r="D691" s="49" t="s">
        <v>24</v>
      </c>
      <c r="E691" s="103">
        <f>39*2</f>
        <v>78</v>
      </c>
      <c r="F691" s="50">
        <v>12.3</v>
      </c>
      <c r="G691" s="51">
        <f t="shared" ref="G691" si="108">TRUNC(F691*$J$13,2)</f>
        <v>15.49</v>
      </c>
      <c r="H691" s="51">
        <f t="shared" ref="H691" si="109">TRUNC(E691*G691,2)</f>
        <v>1208.22</v>
      </c>
      <c r="I691" s="154"/>
      <c r="J691" s="74"/>
      <c r="K691" s="12"/>
      <c r="L691" s="12"/>
      <c r="M691" s="97"/>
      <c r="N691" s="160"/>
      <c r="O691" s="97"/>
      <c r="P691" s="107"/>
      <c r="Q691" s="99"/>
      <c r="R691" s="6"/>
    </row>
    <row r="692" spans="1:18" s="131" customFormat="1" ht="22.5" outlineLevel="1" x14ac:dyDescent="0.2">
      <c r="A692" s="49" t="s">
        <v>132</v>
      </c>
      <c r="B692" s="47">
        <v>100727</v>
      </c>
      <c r="C692" s="105" t="s">
        <v>806</v>
      </c>
      <c r="D692" s="49" t="s">
        <v>24</v>
      </c>
      <c r="E692" s="103">
        <f>35.4*2</f>
        <v>70.8</v>
      </c>
      <c r="F692" s="50">
        <v>11.97</v>
      </c>
      <c r="G692" s="51">
        <f t="shared" si="107"/>
        <v>15.08</v>
      </c>
      <c r="H692" s="51">
        <f t="shared" si="106"/>
        <v>1067.6600000000001</v>
      </c>
      <c r="I692" s="154"/>
      <c r="J692" s="74"/>
      <c r="K692" s="12"/>
      <c r="L692" s="12"/>
      <c r="M692" s="97"/>
      <c r="N692" s="160"/>
      <c r="O692" s="97"/>
      <c r="P692" s="107"/>
      <c r="Q692" s="99"/>
      <c r="R692" s="6"/>
    </row>
    <row r="693" spans="1:18" s="131" customFormat="1" outlineLevel="1" x14ac:dyDescent="0.2">
      <c r="A693" s="49" t="s">
        <v>134</v>
      </c>
      <c r="B693" s="47" t="s">
        <v>110</v>
      </c>
      <c r="C693" s="48" t="s">
        <v>111</v>
      </c>
      <c r="D693" s="49" t="s">
        <v>24</v>
      </c>
      <c r="E693" s="50">
        <v>36.96</v>
      </c>
      <c r="F693" s="50">
        <v>15.01</v>
      </c>
      <c r="G693" s="51">
        <f t="shared" si="107"/>
        <v>18.91</v>
      </c>
      <c r="H693" s="51">
        <f t="shared" si="106"/>
        <v>698.91</v>
      </c>
      <c r="I693" s="154"/>
      <c r="J693" s="74"/>
      <c r="K693" s="12"/>
      <c r="L693" s="12"/>
      <c r="M693" s="97"/>
      <c r="N693" s="160"/>
      <c r="O693" s="97"/>
      <c r="P693" s="107"/>
      <c r="Q693" s="99"/>
      <c r="R693" s="6"/>
    </row>
    <row r="694" spans="1:18" s="131" customFormat="1" ht="19.5" customHeight="1" outlineLevel="1" x14ac:dyDescent="0.2">
      <c r="A694" s="49" t="s">
        <v>137</v>
      </c>
      <c r="B694" s="47">
        <v>100725</v>
      </c>
      <c r="C694" s="48" t="s">
        <v>114</v>
      </c>
      <c r="D694" s="49" t="s">
        <v>24</v>
      </c>
      <c r="E694" s="103">
        <v>5.04</v>
      </c>
      <c r="F694" s="50">
        <v>16.12</v>
      </c>
      <c r="G694" s="51">
        <f t="shared" si="107"/>
        <v>20.309999999999999</v>
      </c>
      <c r="H694" s="51">
        <f t="shared" si="106"/>
        <v>102.36</v>
      </c>
      <c r="I694" s="154"/>
      <c r="J694" s="74"/>
      <c r="K694" s="12"/>
      <c r="L694" s="12"/>
      <c r="M694" s="97"/>
      <c r="N694" s="160"/>
      <c r="O694" s="97"/>
      <c r="P694" s="107"/>
      <c r="Q694" s="99"/>
      <c r="R694" s="6"/>
    </row>
    <row r="695" spans="1:18" s="131" customFormat="1" ht="15" outlineLevel="1" x14ac:dyDescent="0.2">
      <c r="A695" s="73" t="s">
        <v>161</v>
      </c>
      <c r="B695" s="66"/>
      <c r="C695" s="43" t="s">
        <v>118</v>
      </c>
      <c r="D695" s="41"/>
      <c r="E695" s="43"/>
      <c r="F695" s="43"/>
      <c r="G695" s="67" t="s">
        <v>39</v>
      </c>
      <c r="H695" s="41"/>
      <c r="I695" s="237">
        <f>SUM(H696:H723)</f>
        <v>25487.520000000008</v>
      </c>
      <c r="J695" s="74"/>
      <c r="K695" s="12"/>
      <c r="L695" s="12"/>
      <c r="M695" s="97"/>
      <c r="N695" s="160"/>
      <c r="O695" s="97"/>
      <c r="P695" s="107"/>
      <c r="Q695" s="99"/>
      <c r="R695" s="6"/>
    </row>
    <row r="696" spans="1:18" s="131" customFormat="1" ht="22.5" outlineLevel="1" x14ac:dyDescent="0.2">
      <c r="A696" s="49" t="s">
        <v>163</v>
      </c>
      <c r="B696" s="47">
        <v>91932</v>
      </c>
      <c r="C696" s="48" t="s">
        <v>120</v>
      </c>
      <c r="D696" s="49" t="s">
        <v>56</v>
      </c>
      <c r="E696" s="50">
        <v>150</v>
      </c>
      <c r="F696" s="50">
        <v>9.9499999999999993</v>
      </c>
      <c r="G696" s="51">
        <f t="shared" ref="G696:G722" si="110">TRUNC(F696*$J$13,2)</f>
        <v>12.53</v>
      </c>
      <c r="H696" s="51">
        <f>TRUNC(E696*G696,2)</f>
        <v>1879.5</v>
      </c>
      <c r="I696" s="106"/>
      <c r="J696" s="74"/>
      <c r="K696" s="12"/>
      <c r="L696" s="12"/>
      <c r="M696" s="97"/>
      <c r="N696" s="160"/>
      <c r="O696" s="97"/>
      <c r="P696" s="107"/>
      <c r="Q696" s="99"/>
      <c r="R696" s="6"/>
    </row>
    <row r="697" spans="1:18" s="131" customFormat="1" ht="22.5" outlineLevel="1" x14ac:dyDescent="0.2">
      <c r="A697" s="49" t="s">
        <v>164</v>
      </c>
      <c r="B697" s="47">
        <v>91930</v>
      </c>
      <c r="C697" s="48" t="s">
        <v>122</v>
      </c>
      <c r="D697" s="49" t="s">
        <v>56</v>
      </c>
      <c r="E697" s="50">
        <v>300</v>
      </c>
      <c r="F697" s="50">
        <v>6.06</v>
      </c>
      <c r="G697" s="51">
        <f t="shared" si="110"/>
        <v>7.63</v>
      </c>
      <c r="H697" s="51">
        <f>TRUNC(E697*G697,2)</f>
        <v>2289</v>
      </c>
      <c r="I697" s="106"/>
      <c r="J697" s="74"/>
      <c r="K697" s="12"/>
      <c r="L697" s="12"/>
      <c r="M697" s="97"/>
      <c r="N697" s="160"/>
      <c r="O697" s="97"/>
      <c r="P697" s="107"/>
      <c r="Q697" s="99"/>
      <c r="R697" s="6"/>
    </row>
    <row r="698" spans="1:18" s="131" customFormat="1" ht="22.5" outlineLevel="1" x14ac:dyDescent="0.2">
      <c r="A698" s="49" t="s">
        <v>165</v>
      </c>
      <c r="B698" s="47">
        <v>91928</v>
      </c>
      <c r="C698" s="48" t="s">
        <v>124</v>
      </c>
      <c r="D698" s="49" t="s">
        <v>56</v>
      </c>
      <c r="E698" s="50">
        <v>700</v>
      </c>
      <c r="F698" s="50">
        <v>4.42</v>
      </c>
      <c r="G698" s="51">
        <f t="shared" si="110"/>
        <v>5.56</v>
      </c>
      <c r="H698" s="51">
        <f t="shared" ref="H698:H721" si="111">TRUNC(E698*G698,2)</f>
        <v>3892</v>
      </c>
      <c r="I698" s="106"/>
      <c r="J698" s="74"/>
      <c r="K698" s="12"/>
      <c r="L698" s="12"/>
      <c r="M698" s="97"/>
      <c r="N698" s="160"/>
      <c r="O698" s="97"/>
      <c r="P698" s="107"/>
      <c r="Q698" s="99"/>
      <c r="R698" s="6"/>
    </row>
    <row r="699" spans="1:18" s="131" customFormat="1" ht="22.5" outlineLevel="1" x14ac:dyDescent="0.2">
      <c r="A699" s="49" t="s">
        <v>166</v>
      </c>
      <c r="B699" s="47">
        <v>91927</v>
      </c>
      <c r="C699" s="48" t="s">
        <v>126</v>
      </c>
      <c r="D699" s="49" t="s">
        <v>56</v>
      </c>
      <c r="E699" s="50">
        <v>700</v>
      </c>
      <c r="F699" s="50">
        <v>3.58</v>
      </c>
      <c r="G699" s="51">
        <f t="shared" si="110"/>
        <v>4.51</v>
      </c>
      <c r="H699" s="51">
        <f t="shared" si="111"/>
        <v>3157</v>
      </c>
      <c r="I699" s="106"/>
      <c r="J699" s="74"/>
      <c r="K699" s="12"/>
      <c r="L699" s="12"/>
      <c r="M699" s="97"/>
      <c r="N699" s="160"/>
      <c r="O699" s="97"/>
      <c r="P699" s="107"/>
      <c r="Q699" s="99"/>
      <c r="R699" s="6"/>
    </row>
    <row r="700" spans="1:18" s="131" customFormat="1" ht="22.5" outlineLevel="1" x14ac:dyDescent="0.2">
      <c r="A700" s="49" t="s">
        <v>167</v>
      </c>
      <c r="B700" s="47">
        <v>90447</v>
      </c>
      <c r="C700" s="48" t="s">
        <v>128</v>
      </c>
      <c r="D700" s="49" t="s">
        <v>56</v>
      </c>
      <c r="E700" s="50">
        <v>180</v>
      </c>
      <c r="F700" s="50">
        <v>4.45</v>
      </c>
      <c r="G700" s="51">
        <f t="shared" si="110"/>
        <v>5.6</v>
      </c>
      <c r="H700" s="51">
        <f t="shared" si="111"/>
        <v>1008</v>
      </c>
      <c r="I700" s="106"/>
      <c r="J700" s="74"/>
      <c r="K700" s="12"/>
      <c r="L700" s="12"/>
      <c r="M700" s="97"/>
      <c r="N700" s="160"/>
      <c r="O700" s="97"/>
      <c r="P700" s="107"/>
      <c r="Q700" s="99"/>
      <c r="R700" s="6"/>
    </row>
    <row r="701" spans="1:18" s="131" customFormat="1" ht="22.5" outlineLevel="1" x14ac:dyDescent="0.2">
      <c r="A701" s="49" t="s">
        <v>168</v>
      </c>
      <c r="B701" s="47">
        <v>91836</v>
      </c>
      <c r="C701" s="48" t="s">
        <v>131</v>
      </c>
      <c r="D701" s="49" t="s">
        <v>56</v>
      </c>
      <c r="E701" s="50">
        <v>100</v>
      </c>
      <c r="F701" s="50">
        <v>7.55</v>
      </c>
      <c r="G701" s="51">
        <f t="shared" si="110"/>
        <v>9.51</v>
      </c>
      <c r="H701" s="51">
        <f t="shared" si="111"/>
        <v>951</v>
      </c>
      <c r="I701" s="106"/>
      <c r="J701" s="74"/>
      <c r="K701" s="12"/>
      <c r="L701" s="12"/>
      <c r="M701" s="97"/>
      <c r="N701" s="160"/>
      <c r="O701" s="97"/>
      <c r="P701" s="107"/>
      <c r="Q701" s="99"/>
      <c r="R701" s="6"/>
    </row>
    <row r="702" spans="1:18" s="131" customFormat="1" ht="22.5" outlineLevel="1" x14ac:dyDescent="0.2">
      <c r="A702" s="49" t="s">
        <v>170</v>
      </c>
      <c r="B702" s="47">
        <v>91869</v>
      </c>
      <c r="C702" s="48" t="s">
        <v>133</v>
      </c>
      <c r="D702" s="49" t="s">
        <v>56</v>
      </c>
      <c r="E702" s="50">
        <v>50</v>
      </c>
      <c r="F702" s="50">
        <v>10.32</v>
      </c>
      <c r="G702" s="51">
        <f t="shared" si="110"/>
        <v>13</v>
      </c>
      <c r="H702" s="51">
        <f t="shared" si="111"/>
        <v>650</v>
      </c>
      <c r="I702" s="106"/>
      <c r="J702" s="74"/>
      <c r="K702" s="12"/>
      <c r="L702" s="12"/>
      <c r="M702" s="97"/>
      <c r="N702" s="160"/>
      <c r="O702" s="97"/>
      <c r="P702" s="107"/>
      <c r="Q702" s="99"/>
      <c r="R702" s="6"/>
    </row>
    <row r="703" spans="1:18" s="131" customFormat="1" ht="24" customHeight="1" outlineLevel="1" x14ac:dyDescent="0.2">
      <c r="A703" s="49" t="s">
        <v>172</v>
      </c>
      <c r="B703" s="47">
        <v>91990</v>
      </c>
      <c r="C703" s="48" t="s">
        <v>135</v>
      </c>
      <c r="D703" s="49" t="s">
        <v>45</v>
      </c>
      <c r="E703" s="50">
        <v>100</v>
      </c>
      <c r="F703" s="50">
        <v>20.73</v>
      </c>
      <c r="G703" s="51">
        <f t="shared" si="110"/>
        <v>26.11</v>
      </c>
      <c r="H703" s="51">
        <f t="shared" si="111"/>
        <v>2611</v>
      </c>
      <c r="I703" s="106"/>
      <c r="J703" s="74"/>
      <c r="K703" s="12"/>
      <c r="L703" s="12"/>
      <c r="M703" s="97"/>
      <c r="N703" s="160"/>
      <c r="O703" s="97"/>
      <c r="P703" s="107"/>
      <c r="Q703" s="99"/>
      <c r="R703" s="6"/>
    </row>
    <row r="704" spans="1:18" s="131" customFormat="1" ht="27.75" customHeight="1" outlineLevel="1" x14ac:dyDescent="0.2">
      <c r="A704" s="49" t="s">
        <v>174</v>
      </c>
      <c r="B704" s="47">
        <v>91991</v>
      </c>
      <c r="C704" s="48" t="s">
        <v>138</v>
      </c>
      <c r="D704" s="49" t="s">
        <v>45</v>
      </c>
      <c r="E704" s="50">
        <v>32</v>
      </c>
      <c r="F704" s="50">
        <v>21.99</v>
      </c>
      <c r="G704" s="51">
        <f t="shared" si="110"/>
        <v>27.7</v>
      </c>
      <c r="H704" s="51">
        <f t="shared" si="111"/>
        <v>886.4</v>
      </c>
      <c r="I704" s="106"/>
      <c r="J704" s="74"/>
      <c r="K704" s="12"/>
      <c r="L704" s="12"/>
      <c r="M704" s="97"/>
      <c r="N704" s="160"/>
      <c r="O704" s="97"/>
      <c r="P704" s="107"/>
      <c r="Q704" s="99"/>
      <c r="R704" s="6"/>
    </row>
    <row r="705" spans="1:18" s="131" customFormat="1" ht="22.5" outlineLevel="1" x14ac:dyDescent="0.2">
      <c r="A705" s="49" t="s">
        <v>176</v>
      </c>
      <c r="B705" s="47">
        <v>91953</v>
      </c>
      <c r="C705" s="48" t="s">
        <v>140</v>
      </c>
      <c r="D705" s="49" t="s">
        <v>45</v>
      </c>
      <c r="E705" s="50">
        <v>15</v>
      </c>
      <c r="F705" s="50">
        <v>16.14</v>
      </c>
      <c r="G705" s="51">
        <f t="shared" si="110"/>
        <v>20.329999999999998</v>
      </c>
      <c r="H705" s="51">
        <f t="shared" si="111"/>
        <v>304.95</v>
      </c>
      <c r="I705" s="106"/>
      <c r="J705" s="74"/>
      <c r="K705" s="12"/>
      <c r="L705" s="12"/>
      <c r="M705" s="97"/>
      <c r="N705" s="160"/>
      <c r="O705" s="97"/>
      <c r="P705" s="107"/>
      <c r="Q705" s="99"/>
      <c r="R705" s="6"/>
    </row>
    <row r="706" spans="1:18" s="131" customFormat="1" ht="22.5" outlineLevel="1" x14ac:dyDescent="0.2">
      <c r="A706" s="49" t="s">
        <v>178</v>
      </c>
      <c r="B706" s="47">
        <v>91959</v>
      </c>
      <c r="C706" s="48" t="s">
        <v>141</v>
      </c>
      <c r="D706" s="49" t="s">
        <v>45</v>
      </c>
      <c r="E706" s="50">
        <v>10</v>
      </c>
      <c r="F706" s="50">
        <v>25.5</v>
      </c>
      <c r="G706" s="51">
        <f t="shared" si="110"/>
        <v>32.130000000000003</v>
      </c>
      <c r="H706" s="51">
        <f t="shared" si="111"/>
        <v>321.3</v>
      </c>
      <c r="I706" s="106"/>
      <c r="J706" s="74"/>
      <c r="K706" s="12"/>
      <c r="L706" s="12"/>
      <c r="M706" s="97"/>
      <c r="N706" s="160"/>
      <c r="O706" s="97"/>
      <c r="P706" s="107"/>
      <c r="Q706" s="99"/>
      <c r="R706" s="6"/>
    </row>
    <row r="707" spans="1:18" s="131" customFormat="1" ht="22.5" outlineLevel="1" x14ac:dyDescent="0.2">
      <c r="A707" s="49" t="s">
        <v>676</v>
      </c>
      <c r="B707" s="47">
        <v>93653</v>
      </c>
      <c r="C707" s="48" t="s">
        <v>142</v>
      </c>
      <c r="D707" s="49" t="s">
        <v>45</v>
      </c>
      <c r="E707" s="50">
        <v>8</v>
      </c>
      <c r="F707" s="50">
        <v>9.3699999999999992</v>
      </c>
      <c r="G707" s="51">
        <f t="shared" ref="G707:G714" si="112">TRUNC(F707*$J$13,2)</f>
        <v>11.8</v>
      </c>
      <c r="H707" s="51">
        <f t="shared" ref="H707:H714" si="113">TRUNC(E707*G707,2)</f>
        <v>94.4</v>
      </c>
      <c r="I707" s="106"/>
      <c r="J707" s="74"/>
      <c r="K707" s="12"/>
      <c r="L707" s="12"/>
      <c r="M707" s="97"/>
      <c r="N707" s="160"/>
      <c r="O707" s="97"/>
      <c r="P707" s="107"/>
      <c r="Q707" s="99"/>
      <c r="R707" s="6"/>
    </row>
    <row r="708" spans="1:18" s="131" customFormat="1" ht="22.5" outlineLevel="1" x14ac:dyDescent="0.2">
      <c r="A708" s="49" t="s">
        <v>677</v>
      </c>
      <c r="B708" s="47">
        <v>93655</v>
      </c>
      <c r="C708" s="48" t="s">
        <v>143</v>
      </c>
      <c r="D708" s="49" t="s">
        <v>45</v>
      </c>
      <c r="E708" s="50">
        <v>4</v>
      </c>
      <c r="F708" s="50">
        <v>10.59</v>
      </c>
      <c r="G708" s="51">
        <f t="shared" si="112"/>
        <v>13.34</v>
      </c>
      <c r="H708" s="51">
        <f t="shared" si="113"/>
        <v>53.36</v>
      </c>
      <c r="I708" s="106"/>
      <c r="J708" s="74"/>
      <c r="K708" s="12"/>
      <c r="L708" s="12"/>
      <c r="M708" s="97"/>
      <c r="N708" s="160"/>
      <c r="O708" s="97"/>
      <c r="P708" s="107"/>
      <c r="Q708" s="99"/>
      <c r="R708" s="6"/>
    </row>
    <row r="709" spans="1:18" s="131" customFormat="1" ht="22.5" outlineLevel="1" x14ac:dyDescent="0.2">
      <c r="A709" s="49" t="s">
        <v>312</v>
      </c>
      <c r="B709" s="47">
        <v>93657</v>
      </c>
      <c r="C709" s="48" t="s">
        <v>144</v>
      </c>
      <c r="D709" s="49" t="s">
        <v>45</v>
      </c>
      <c r="E709" s="50">
        <v>4</v>
      </c>
      <c r="F709" s="50">
        <v>11.59</v>
      </c>
      <c r="G709" s="51">
        <f t="shared" si="112"/>
        <v>14.6</v>
      </c>
      <c r="H709" s="51">
        <f t="shared" si="113"/>
        <v>58.4</v>
      </c>
      <c r="I709" s="106"/>
      <c r="J709" s="74"/>
      <c r="K709" s="12"/>
      <c r="L709" s="12"/>
      <c r="M709" s="97"/>
      <c r="N709" s="160"/>
      <c r="O709" s="97"/>
      <c r="P709" s="107"/>
      <c r="Q709" s="99"/>
      <c r="R709" s="6"/>
    </row>
    <row r="710" spans="1:18" s="131" customFormat="1" ht="22.5" outlineLevel="1" x14ac:dyDescent="0.2">
      <c r="A710" s="49" t="s">
        <v>182</v>
      </c>
      <c r="B710" s="47">
        <v>93660</v>
      </c>
      <c r="C710" s="48" t="s">
        <v>145</v>
      </c>
      <c r="D710" s="49" t="s">
        <v>45</v>
      </c>
      <c r="E710" s="50">
        <v>8</v>
      </c>
      <c r="F710" s="50">
        <v>46.9</v>
      </c>
      <c r="G710" s="51">
        <f t="shared" si="112"/>
        <v>59.09</v>
      </c>
      <c r="H710" s="51">
        <f t="shared" si="113"/>
        <v>472.72</v>
      </c>
      <c r="I710" s="106"/>
      <c r="J710" s="74"/>
      <c r="K710" s="12"/>
      <c r="L710" s="12"/>
      <c r="M710" s="97"/>
      <c r="N710" s="160"/>
      <c r="O710" s="97"/>
      <c r="P710" s="107"/>
      <c r="Q710" s="99"/>
      <c r="R710" s="6"/>
    </row>
    <row r="711" spans="1:18" s="131" customFormat="1" ht="22.5" outlineLevel="1" x14ac:dyDescent="0.2">
      <c r="A711" s="49" t="s">
        <v>184</v>
      </c>
      <c r="B711" s="47">
        <v>93662</v>
      </c>
      <c r="C711" s="48" t="s">
        <v>146</v>
      </c>
      <c r="D711" s="49" t="s">
        <v>45</v>
      </c>
      <c r="E711" s="50">
        <v>8</v>
      </c>
      <c r="F711" s="50">
        <v>49.38</v>
      </c>
      <c r="G711" s="51">
        <f t="shared" si="112"/>
        <v>62.21</v>
      </c>
      <c r="H711" s="51">
        <f t="shared" si="113"/>
        <v>497.68</v>
      </c>
      <c r="I711" s="106"/>
      <c r="J711" s="74"/>
      <c r="K711" s="12"/>
      <c r="L711" s="12"/>
      <c r="M711" s="97"/>
      <c r="N711" s="160"/>
      <c r="O711" s="97"/>
      <c r="P711" s="107"/>
      <c r="Q711" s="99"/>
      <c r="R711" s="6"/>
    </row>
    <row r="712" spans="1:18" s="131" customFormat="1" ht="22.5" outlineLevel="1" x14ac:dyDescent="0.2">
      <c r="A712" s="49" t="s">
        <v>678</v>
      </c>
      <c r="B712" s="47">
        <v>93664</v>
      </c>
      <c r="C712" s="48" t="s">
        <v>147</v>
      </c>
      <c r="D712" s="49" t="s">
        <v>45</v>
      </c>
      <c r="E712" s="50">
        <v>12</v>
      </c>
      <c r="F712" s="50">
        <v>51.34</v>
      </c>
      <c r="G712" s="51">
        <f t="shared" si="112"/>
        <v>64.680000000000007</v>
      </c>
      <c r="H712" s="51">
        <f t="shared" si="113"/>
        <v>776.16</v>
      </c>
      <c r="I712" s="106"/>
      <c r="J712" s="74"/>
      <c r="K712" s="12"/>
      <c r="L712" s="12"/>
      <c r="M712" s="97"/>
      <c r="N712" s="160"/>
      <c r="O712" s="97"/>
      <c r="P712" s="107"/>
      <c r="Q712" s="99"/>
      <c r="R712" s="6"/>
    </row>
    <row r="713" spans="1:18" s="131" customFormat="1" ht="22.5" outlineLevel="1" x14ac:dyDescent="0.2">
      <c r="A713" s="49" t="s">
        <v>679</v>
      </c>
      <c r="B713" s="47">
        <v>93673</v>
      </c>
      <c r="C713" s="48" t="s">
        <v>148</v>
      </c>
      <c r="D713" s="49" t="s">
        <v>45</v>
      </c>
      <c r="E713" s="50">
        <v>2</v>
      </c>
      <c r="F713" s="50">
        <v>75.680000000000007</v>
      </c>
      <c r="G713" s="51">
        <f t="shared" si="112"/>
        <v>95.35</v>
      </c>
      <c r="H713" s="51">
        <f t="shared" si="113"/>
        <v>190.7</v>
      </c>
      <c r="I713" s="106"/>
      <c r="J713" s="74"/>
      <c r="K713" s="12"/>
      <c r="L713" s="12"/>
      <c r="M713" s="97"/>
      <c r="N713" s="160"/>
      <c r="O713" s="97"/>
      <c r="P713" s="107"/>
      <c r="Q713" s="99"/>
      <c r="R713" s="6"/>
    </row>
    <row r="714" spans="1:18" s="131" customFormat="1" ht="22.5" outlineLevel="1" x14ac:dyDescent="0.2">
      <c r="A714" s="49" t="s">
        <v>680</v>
      </c>
      <c r="B714" s="47">
        <v>93667</v>
      </c>
      <c r="C714" s="48" t="s">
        <v>149</v>
      </c>
      <c r="D714" s="49" t="s">
        <v>45</v>
      </c>
      <c r="E714" s="50">
        <v>5</v>
      </c>
      <c r="F714" s="50">
        <v>58.47</v>
      </c>
      <c r="G714" s="51">
        <f t="shared" si="112"/>
        <v>73.67</v>
      </c>
      <c r="H714" s="51">
        <f t="shared" si="113"/>
        <v>368.35</v>
      </c>
      <c r="I714" s="106"/>
      <c r="J714" s="74"/>
      <c r="K714" s="12"/>
      <c r="L714" s="12"/>
      <c r="M714" s="97"/>
      <c r="N714" s="160"/>
      <c r="O714" s="97"/>
      <c r="P714" s="107"/>
      <c r="Q714" s="99"/>
      <c r="R714" s="6"/>
    </row>
    <row r="715" spans="1:18" s="131" customFormat="1" ht="22.5" outlineLevel="1" x14ac:dyDescent="0.2">
      <c r="A715" s="49" t="s">
        <v>681</v>
      </c>
      <c r="B715" s="47">
        <v>93669</v>
      </c>
      <c r="C715" s="48" t="s">
        <v>150</v>
      </c>
      <c r="D715" s="49" t="s">
        <v>45</v>
      </c>
      <c r="E715" s="50">
        <v>5</v>
      </c>
      <c r="F715" s="50">
        <v>62.18</v>
      </c>
      <c r="G715" s="51">
        <f t="shared" si="110"/>
        <v>78.34</v>
      </c>
      <c r="H715" s="51">
        <f t="shared" si="111"/>
        <v>391.7</v>
      </c>
      <c r="I715" s="106"/>
      <c r="J715" s="74"/>
      <c r="K715" s="12"/>
      <c r="L715" s="12"/>
      <c r="M715" s="97"/>
      <c r="N715" s="160"/>
      <c r="O715" s="97"/>
      <c r="P715" s="107"/>
      <c r="Q715" s="99"/>
      <c r="R715" s="6"/>
    </row>
    <row r="716" spans="1:18" s="131" customFormat="1" ht="22.5" outlineLevel="1" x14ac:dyDescent="0.2">
      <c r="A716" s="49" t="s">
        <v>682</v>
      </c>
      <c r="B716" s="47" t="s">
        <v>370</v>
      </c>
      <c r="C716" s="48" t="s">
        <v>371</v>
      </c>
      <c r="D716" s="49" t="s">
        <v>45</v>
      </c>
      <c r="E716" s="50">
        <v>1</v>
      </c>
      <c r="F716" s="50">
        <v>473.16</v>
      </c>
      <c r="G716" s="51">
        <f t="shared" si="110"/>
        <v>596.17999999999995</v>
      </c>
      <c r="H716" s="51">
        <f t="shared" si="111"/>
        <v>596.17999999999995</v>
      </c>
      <c r="I716" s="106"/>
      <c r="J716" s="74"/>
      <c r="K716" s="12"/>
      <c r="L716" s="12"/>
      <c r="M716" s="97"/>
      <c r="N716" s="160"/>
      <c r="O716" s="97"/>
      <c r="P716" s="107"/>
      <c r="Q716" s="99"/>
      <c r="R716" s="6"/>
    </row>
    <row r="717" spans="1:18" s="131" customFormat="1" ht="22.5" outlineLevel="1" x14ac:dyDescent="0.2">
      <c r="A717" s="49" t="s">
        <v>683</v>
      </c>
      <c r="B717" s="47">
        <v>91944</v>
      </c>
      <c r="C717" s="48" t="s">
        <v>152</v>
      </c>
      <c r="D717" s="49" t="s">
        <v>45</v>
      </c>
      <c r="E717" s="50">
        <v>15</v>
      </c>
      <c r="F717" s="50">
        <v>9.3000000000000007</v>
      </c>
      <c r="G717" s="51">
        <f t="shared" si="110"/>
        <v>11.71</v>
      </c>
      <c r="H717" s="51">
        <f t="shared" si="111"/>
        <v>175.65</v>
      </c>
      <c r="I717" s="113"/>
      <c r="J717" s="74"/>
      <c r="K717" s="12"/>
      <c r="L717" s="12"/>
      <c r="M717" s="97"/>
      <c r="N717" s="160"/>
      <c r="O717" s="97"/>
      <c r="P717" s="107"/>
      <c r="Q717" s="99"/>
      <c r="R717" s="6"/>
    </row>
    <row r="718" spans="1:18" s="131" customFormat="1" ht="33.75" outlineLevel="1" x14ac:dyDescent="0.2">
      <c r="A718" s="49" t="s">
        <v>684</v>
      </c>
      <c r="B718" s="47">
        <v>83463</v>
      </c>
      <c r="C718" s="48" t="s">
        <v>153</v>
      </c>
      <c r="D718" s="49" t="s">
        <v>45</v>
      </c>
      <c r="E718" s="50">
        <v>1</v>
      </c>
      <c r="F718" s="50">
        <v>356.52</v>
      </c>
      <c r="G718" s="51">
        <f t="shared" si="110"/>
        <v>449.21</v>
      </c>
      <c r="H718" s="51">
        <f t="shared" si="111"/>
        <v>449.21</v>
      </c>
      <c r="I718" s="106"/>
      <c r="J718" s="74"/>
      <c r="K718" s="12"/>
      <c r="L718" s="12"/>
      <c r="M718" s="97"/>
      <c r="N718" s="160"/>
      <c r="O718" s="97"/>
      <c r="P718" s="107"/>
      <c r="Q718" s="99"/>
      <c r="R718" s="6"/>
    </row>
    <row r="719" spans="1:18" s="131" customFormat="1" ht="33.75" outlineLevel="1" x14ac:dyDescent="0.2">
      <c r="A719" s="49" t="s">
        <v>685</v>
      </c>
      <c r="B719" s="47" t="s">
        <v>154</v>
      </c>
      <c r="C719" s="48" t="s">
        <v>155</v>
      </c>
      <c r="D719" s="49" t="s">
        <v>45</v>
      </c>
      <c r="E719" s="50">
        <v>1</v>
      </c>
      <c r="F719" s="50">
        <v>606.13</v>
      </c>
      <c r="G719" s="51">
        <f t="shared" si="110"/>
        <v>763.72</v>
      </c>
      <c r="H719" s="51">
        <f t="shared" si="111"/>
        <v>763.72</v>
      </c>
      <c r="I719" s="106"/>
      <c r="J719" s="74"/>
      <c r="K719" s="12"/>
      <c r="L719" s="12"/>
      <c r="M719" s="97"/>
      <c r="N719" s="160"/>
      <c r="O719" s="97"/>
      <c r="P719" s="107"/>
      <c r="Q719" s="99"/>
      <c r="R719" s="6"/>
    </row>
    <row r="720" spans="1:18" s="131" customFormat="1" ht="22.5" outlineLevel="1" x14ac:dyDescent="0.2">
      <c r="A720" s="49" t="s">
        <v>686</v>
      </c>
      <c r="B720" s="47">
        <v>91941</v>
      </c>
      <c r="C720" s="48" t="s">
        <v>151</v>
      </c>
      <c r="D720" s="49" t="s">
        <v>45</v>
      </c>
      <c r="E720" s="50">
        <v>52</v>
      </c>
      <c r="F720" s="50">
        <v>6.8</v>
      </c>
      <c r="G720" s="51">
        <f t="shared" si="110"/>
        <v>8.56</v>
      </c>
      <c r="H720" s="51">
        <f t="shared" si="111"/>
        <v>445.12</v>
      </c>
      <c r="I720" s="106"/>
      <c r="J720" s="74"/>
      <c r="K720" s="12"/>
      <c r="L720" s="12"/>
      <c r="M720" s="97"/>
      <c r="N720" s="160"/>
      <c r="O720" s="97"/>
      <c r="P720" s="107"/>
      <c r="Q720" s="99"/>
      <c r="R720" s="6"/>
    </row>
    <row r="721" spans="1:18" s="131" customFormat="1" ht="22.5" outlineLevel="1" x14ac:dyDescent="0.2">
      <c r="A721" s="49" t="s">
        <v>687</v>
      </c>
      <c r="B721" s="47">
        <v>93012</v>
      </c>
      <c r="C721" s="48" t="s">
        <v>156</v>
      </c>
      <c r="D721" s="49" t="s">
        <v>56</v>
      </c>
      <c r="E721" s="50">
        <v>12</v>
      </c>
      <c r="F721" s="50">
        <v>36.47</v>
      </c>
      <c r="G721" s="51">
        <f t="shared" si="110"/>
        <v>45.95</v>
      </c>
      <c r="H721" s="51">
        <f t="shared" si="111"/>
        <v>551.4</v>
      </c>
      <c r="I721" s="106"/>
      <c r="J721" s="74"/>
      <c r="K721" s="12"/>
      <c r="L721" s="12"/>
      <c r="M721" s="97"/>
      <c r="N721" s="160"/>
      <c r="O721" s="97"/>
      <c r="P721" s="107"/>
      <c r="Q721" s="99"/>
      <c r="R721" s="6"/>
    </row>
    <row r="722" spans="1:18" s="131" customFormat="1" ht="33.75" outlineLevel="1" x14ac:dyDescent="0.2">
      <c r="A722" s="49" t="s">
        <v>688</v>
      </c>
      <c r="B722" s="47" t="s">
        <v>157</v>
      </c>
      <c r="C722" s="48" t="s">
        <v>158</v>
      </c>
      <c r="D722" s="49" t="s">
        <v>45</v>
      </c>
      <c r="E722" s="50">
        <v>1</v>
      </c>
      <c r="F722" s="50">
        <v>852.27</v>
      </c>
      <c r="G722" s="51">
        <f t="shared" si="110"/>
        <v>1073.8599999999999</v>
      </c>
      <c r="H722" s="51">
        <f>TRUNC(E722*G722,2)</f>
        <v>1073.8599999999999</v>
      </c>
      <c r="I722" s="106"/>
      <c r="J722" s="74"/>
      <c r="K722" s="12"/>
      <c r="L722" s="12"/>
      <c r="M722" s="97"/>
      <c r="N722" s="160"/>
      <c r="O722" s="97"/>
      <c r="P722" s="107"/>
      <c r="Q722" s="99"/>
      <c r="R722" s="6"/>
    </row>
    <row r="723" spans="1:18" s="131" customFormat="1" ht="33.75" outlineLevel="1" x14ac:dyDescent="0.2">
      <c r="A723" s="49" t="s">
        <v>711</v>
      </c>
      <c r="B723" s="47" t="s">
        <v>352</v>
      </c>
      <c r="C723" s="48" t="s">
        <v>353</v>
      </c>
      <c r="D723" s="49" t="s">
        <v>45</v>
      </c>
      <c r="E723" s="50">
        <v>1</v>
      </c>
      <c r="F723" s="50">
        <v>459.34</v>
      </c>
      <c r="G723" s="51">
        <f>TRUNC(F723*$J$13,2)</f>
        <v>578.76</v>
      </c>
      <c r="H723" s="51">
        <f>TRUNC(E723*G723,2)</f>
        <v>578.76</v>
      </c>
      <c r="I723" s="106"/>
      <c r="J723" s="74"/>
      <c r="K723" s="12"/>
      <c r="L723" s="12"/>
      <c r="M723" s="97"/>
      <c r="N723" s="160"/>
      <c r="O723" s="97"/>
      <c r="P723" s="107"/>
      <c r="Q723" s="99"/>
      <c r="R723" s="6"/>
    </row>
    <row r="724" spans="1:18" s="131" customFormat="1" ht="15" outlineLevel="1" x14ac:dyDescent="0.2">
      <c r="A724" s="73" t="s">
        <v>187</v>
      </c>
      <c r="B724" s="66"/>
      <c r="C724" s="43" t="s">
        <v>162</v>
      </c>
      <c r="D724" s="41"/>
      <c r="E724" s="43"/>
      <c r="F724" s="43"/>
      <c r="G724" s="67" t="s">
        <v>39</v>
      </c>
      <c r="H724" s="41"/>
      <c r="I724" s="237">
        <f>SUM(H725:H736)</f>
        <v>16555.099999999999</v>
      </c>
      <c r="J724" s="74"/>
      <c r="K724" s="12"/>
      <c r="L724" s="12"/>
      <c r="M724" s="97"/>
      <c r="N724" s="160"/>
      <c r="O724" s="97"/>
      <c r="P724" s="107"/>
      <c r="Q724" s="99"/>
      <c r="R724" s="6"/>
    </row>
    <row r="725" spans="1:18" s="131" customFormat="1" ht="22.5" outlineLevel="1" x14ac:dyDescent="0.2">
      <c r="A725" s="49" t="s">
        <v>189</v>
      </c>
      <c r="B725" s="47">
        <v>90447</v>
      </c>
      <c r="C725" s="122" t="s">
        <v>128</v>
      </c>
      <c r="D725" s="49" t="s">
        <v>56</v>
      </c>
      <c r="E725" s="50">
        <v>36</v>
      </c>
      <c r="F725" s="50">
        <v>4.45</v>
      </c>
      <c r="G725" s="51">
        <f t="shared" ref="G725:G736" si="114">TRUNC(F725*$J$13,2)</f>
        <v>5.6</v>
      </c>
      <c r="H725" s="51">
        <f t="shared" ref="H725:H736" si="115">TRUNC(E725*G725,2)</f>
        <v>201.6</v>
      </c>
      <c r="I725" s="238"/>
      <c r="J725" s="74"/>
      <c r="K725" s="12"/>
      <c r="L725" s="12"/>
      <c r="M725" s="97"/>
      <c r="N725" s="160"/>
      <c r="O725" s="97"/>
      <c r="P725" s="107"/>
      <c r="Q725" s="99"/>
      <c r="R725" s="6"/>
    </row>
    <row r="726" spans="1:18" s="131" customFormat="1" ht="22.5" outlineLevel="1" x14ac:dyDescent="0.2">
      <c r="A726" s="49" t="s">
        <v>201</v>
      </c>
      <c r="B726" s="47">
        <v>91836</v>
      </c>
      <c r="C726" s="122" t="s">
        <v>131</v>
      </c>
      <c r="D726" s="49" t="s">
        <v>56</v>
      </c>
      <c r="E726" s="50">
        <v>500</v>
      </c>
      <c r="F726" s="50">
        <v>7.55</v>
      </c>
      <c r="G726" s="51">
        <f t="shared" si="114"/>
        <v>9.51</v>
      </c>
      <c r="H726" s="51">
        <f t="shared" si="115"/>
        <v>4755</v>
      </c>
      <c r="I726" s="238"/>
      <c r="J726" s="74"/>
      <c r="K726" s="12"/>
      <c r="L726" s="12"/>
      <c r="M726" s="97"/>
      <c r="N726" s="160"/>
      <c r="O726" s="97"/>
      <c r="P726" s="107"/>
      <c r="Q726" s="99"/>
      <c r="R726" s="6"/>
    </row>
    <row r="727" spans="1:18" s="131" customFormat="1" ht="22.5" outlineLevel="1" x14ac:dyDescent="0.2">
      <c r="A727" s="49" t="s">
        <v>237</v>
      </c>
      <c r="B727" s="47">
        <v>91869</v>
      </c>
      <c r="C727" s="122" t="s">
        <v>133</v>
      </c>
      <c r="D727" s="49" t="s">
        <v>56</v>
      </c>
      <c r="E727" s="50">
        <v>200</v>
      </c>
      <c r="F727" s="50">
        <v>10.32</v>
      </c>
      <c r="G727" s="51">
        <f t="shared" si="114"/>
        <v>13</v>
      </c>
      <c r="H727" s="51">
        <f t="shared" si="115"/>
        <v>2600</v>
      </c>
      <c r="I727" s="238"/>
      <c r="J727" s="74"/>
      <c r="K727" s="12"/>
      <c r="L727" s="12"/>
      <c r="M727" s="97"/>
      <c r="N727" s="160"/>
      <c r="O727" s="97"/>
      <c r="P727" s="107"/>
      <c r="Q727" s="99"/>
      <c r="R727" s="6"/>
    </row>
    <row r="728" spans="1:18" s="131" customFormat="1" ht="22.5" outlineLevel="1" x14ac:dyDescent="0.2">
      <c r="A728" s="49" t="s">
        <v>238</v>
      </c>
      <c r="B728" s="47">
        <v>91941</v>
      </c>
      <c r="C728" s="122" t="s">
        <v>151</v>
      </c>
      <c r="D728" s="49" t="s">
        <v>45</v>
      </c>
      <c r="E728" s="50">
        <v>60</v>
      </c>
      <c r="F728" s="50">
        <v>6.8</v>
      </c>
      <c r="G728" s="51">
        <f t="shared" si="114"/>
        <v>8.56</v>
      </c>
      <c r="H728" s="51">
        <f t="shared" si="115"/>
        <v>513.6</v>
      </c>
      <c r="I728" s="238"/>
      <c r="J728" s="74"/>
      <c r="K728" s="12"/>
      <c r="L728" s="12"/>
      <c r="M728" s="97"/>
      <c r="N728" s="160"/>
      <c r="O728" s="97"/>
      <c r="P728" s="107"/>
      <c r="Q728" s="99"/>
      <c r="R728" s="6"/>
    </row>
    <row r="729" spans="1:18" s="131" customFormat="1" ht="22.5" outlineLevel="1" x14ac:dyDescent="0.2">
      <c r="A729" s="49" t="s">
        <v>239</v>
      </c>
      <c r="B729" s="47">
        <v>95778</v>
      </c>
      <c r="C729" s="48" t="s">
        <v>169</v>
      </c>
      <c r="D729" s="49" t="s">
        <v>56</v>
      </c>
      <c r="E729" s="50">
        <v>36</v>
      </c>
      <c r="F729" s="50">
        <v>20.28</v>
      </c>
      <c r="G729" s="51">
        <f t="shared" si="114"/>
        <v>25.55</v>
      </c>
      <c r="H729" s="51">
        <f t="shared" si="115"/>
        <v>919.8</v>
      </c>
      <c r="I729" s="238"/>
      <c r="J729" s="74"/>
      <c r="K729" s="12"/>
      <c r="L729" s="12"/>
      <c r="M729" s="97"/>
      <c r="N729" s="160"/>
      <c r="O729" s="97"/>
      <c r="P729" s="107"/>
      <c r="Q729" s="99"/>
      <c r="R729" s="6"/>
    </row>
    <row r="730" spans="1:18" s="131" customFormat="1" ht="22.5" outlineLevel="1" x14ac:dyDescent="0.2">
      <c r="A730" s="49" t="s">
        <v>240</v>
      </c>
      <c r="B730" s="119">
        <v>98296</v>
      </c>
      <c r="C730" s="105" t="s">
        <v>173</v>
      </c>
      <c r="D730" s="49" t="s">
        <v>56</v>
      </c>
      <c r="E730" s="50">
        <v>600</v>
      </c>
      <c r="F730" s="50">
        <v>1.65</v>
      </c>
      <c r="G730" s="51">
        <f t="shared" si="114"/>
        <v>2.0699999999999998</v>
      </c>
      <c r="H730" s="51">
        <f t="shared" si="115"/>
        <v>1242</v>
      </c>
      <c r="I730" s="238"/>
      <c r="J730" s="74"/>
      <c r="K730" s="12"/>
      <c r="L730" s="12"/>
      <c r="M730" s="97"/>
      <c r="N730" s="160"/>
      <c r="O730" s="97"/>
      <c r="P730" s="107"/>
      <c r="Q730" s="99"/>
      <c r="R730" s="6"/>
    </row>
    <row r="731" spans="1:18" s="131" customFormat="1" outlineLevel="1" x14ac:dyDescent="0.2">
      <c r="A731" s="49" t="s">
        <v>241</v>
      </c>
      <c r="B731" s="47">
        <v>98302</v>
      </c>
      <c r="C731" s="136" t="s">
        <v>175</v>
      </c>
      <c r="D731" s="49" t="s">
        <v>45</v>
      </c>
      <c r="E731" s="50">
        <v>1</v>
      </c>
      <c r="F731" s="50">
        <v>497.66</v>
      </c>
      <c r="G731" s="51">
        <f t="shared" si="114"/>
        <v>627.04999999999995</v>
      </c>
      <c r="H731" s="51">
        <f t="shared" si="115"/>
        <v>627.04999999999995</v>
      </c>
      <c r="I731" s="238"/>
      <c r="J731" s="74"/>
      <c r="K731" s="12"/>
      <c r="L731" s="12"/>
      <c r="M731" s="97"/>
      <c r="N731" s="160"/>
      <c r="O731" s="97"/>
      <c r="P731" s="107"/>
      <c r="Q731" s="99"/>
      <c r="R731" s="6"/>
    </row>
    <row r="732" spans="1:18" s="131" customFormat="1" outlineLevel="1" x14ac:dyDescent="0.2">
      <c r="A732" s="49" t="s">
        <v>242</v>
      </c>
      <c r="B732" s="47">
        <v>98593</v>
      </c>
      <c r="C732" s="161" t="s">
        <v>177</v>
      </c>
      <c r="D732" s="49" t="s">
        <v>45</v>
      </c>
      <c r="E732" s="50">
        <v>2</v>
      </c>
      <c r="F732" s="50">
        <v>650.59</v>
      </c>
      <c r="G732" s="51">
        <f t="shared" si="114"/>
        <v>819.74</v>
      </c>
      <c r="H732" s="51">
        <f t="shared" si="115"/>
        <v>1639.48</v>
      </c>
      <c r="I732" s="238"/>
      <c r="J732" s="74"/>
      <c r="K732" s="12"/>
      <c r="L732" s="12"/>
      <c r="M732" s="97"/>
      <c r="N732" s="160"/>
      <c r="O732" s="97"/>
      <c r="P732" s="107"/>
      <c r="Q732" s="99"/>
      <c r="R732" s="6"/>
    </row>
    <row r="733" spans="1:18" s="131" customFormat="1" outlineLevel="1" x14ac:dyDescent="0.2">
      <c r="A733" s="49" t="s">
        <v>243</v>
      </c>
      <c r="B733" s="47" t="s">
        <v>653</v>
      </c>
      <c r="C733" s="239" t="s">
        <v>407</v>
      </c>
      <c r="D733" s="49" t="s">
        <v>45</v>
      </c>
      <c r="E733" s="50">
        <v>2</v>
      </c>
      <c r="F733" s="50">
        <v>3.65</v>
      </c>
      <c r="G733" s="51">
        <f t="shared" si="114"/>
        <v>4.59</v>
      </c>
      <c r="H733" s="51">
        <f t="shared" si="115"/>
        <v>9.18</v>
      </c>
      <c r="I733" s="238"/>
      <c r="J733" s="74"/>
      <c r="K733" s="12"/>
      <c r="L733" s="12"/>
      <c r="M733" s="97"/>
      <c r="N733" s="160"/>
      <c r="O733" s="97"/>
      <c r="P733" s="107"/>
      <c r="Q733" s="99"/>
      <c r="R733" s="6"/>
    </row>
    <row r="734" spans="1:18" s="131" customFormat="1" ht="22.5" outlineLevel="1" x14ac:dyDescent="0.2">
      <c r="A734" s="49" t="s">
        <v>244</v>
      </c>
      <c r="B734" s="47" t="s">
        <v>179</v>
      </c>
      <c r="C734" s="239" t="s">
        <v>408</v>
      </c>
      <c r="D734" s="49" t="s">
        <v>45</v>
      </c>
      <c r="E734" s="50">
        <v>1</v>
      </c>
      <c r="F734" s="50">
        <v>1489.4</v>
      </c>
      <c r="G734" s="51">
        <f t="shared" si="114"/>
        <v>1876.64</v>
      </c>
      <c r="H734" s="51">
        <f t="shared" si="115"/>
        <v>1876.64</v>
      </c>
      <c r="I734" s="238"/>
      <c r="J734" s="74"/>
      <c r="K734" s="12"/>
      <c r="L734" s="12"/>
      <c r="M734" s="97"/>
      <c r="N734" s="160"/>
      <c r="O734" s="97"/>
      <c r="P734" s="107"/>
      <c r="Q734" s="99"/>
      <c r="R734" s="6"/>
    </row>
    <row r="735" spans="1:18" s="131" customFormat="1" outlineLevel="1" x14ac:dyDescent="0.2">
      <c r="A735" s="49" t="s">
        <v>245</v>
      </c>
      <c r="B735" s="47">
        <v>98307</v>
      </c>
      <c r="C735" s="122" t="s">
        <v>183</v>
      </c>
      <c r="D735" s="49" t="s">
        <v>45</v>
      </c>
      <c r="E735" s="50">
        <v>60</v>
      </c>
      <c r="F735" s="50">
        <v>27.38</v>
      </c>
      <c r="G735" s="51">
        <f t="shared" si="114"/>
        <v>34.49</v>
      </c>
      <c r="H735" s="51">
        <f t="shared" si="115"/>
        <v>2069.4</v>
      </c>
      <c r="I735" s="240"/>
      <c r="J735" s="74"/>
      <c r="K735" s="12"/>
      <c r="L735" s="12"/>
      <c r="M735" s="97"/>
      <c r="N735" s="160"/>
      <c r="O735" s="97"/>
      <c r="P735" s="107"/>
      <c r="Q735" s="99"/>
      <c r="R735" s="6"/>
    </row>
    <row r="736" spans="1:18" s="131" customFormat="1" ht="22.5" outlineLevel="1" x14ac:dyDescent="0.2">
      <c r="A736" s="49" t="s">
        <v>369</v>
      </c>
      <c r="B736" s="47">
        <v>100560</v>
      </c>
      <c r="C736" s="48" t="s">
        <v>185</v>
      </c>
      <c r="D736" s="49" t="s">
        <v>186</v>
      </c>
      <c r="E736" s="50">
        <v>1</v>
      </c>
      <c r="F736" s="50">
        <v>80.44</v>
      </c>
      <c r="G736" s="51">
        <f t="shared" si="114"/>
        <v>101.35</v>
      </c>
      <c r="H736" s="51">
        <f t="shared" si="115"/>
        <v>101.35</v>
      </c>
      <c r="I736" s="238"/>
      <c r="J736" s="74"/>
      <c r="K736" s="12"/>
      <c r="L736" s="12"/>
      <c r="M736" s="97"/>
      <c r="N736" s="160"/>
      <c r="O736" s="97"/>
      <c r="P736" s="107"/>
      <c r="Q736" s="99"/>
      <c r="R736" s="6"/>
    </row>
    <row r="737" spans="1:18" s="131" customFormat="1" ht="15" outlineLevel="1" x14ac:dyDescent="0.2">
      <c r="A737" s="73" t="s">
        <v>207</v>
      </c>
      <c r="B737" s="66"/>
      <c r="C737" s="43" t="s">
        <v>188</v>
      </c>
      <c r="D737" s="41"/>
      <c r="E737" s="125"/>
      <c r="F737" s="43"/>
      <c r="G737" s="67" t="s">
        <v>39</v>
      </c>
      <c r="H737" s="41"/>
      <c r="I737" s="237">
        <f>SUM(H738:H749)</f>
        <v>4927.6400000000003</v>
      </c>
      <c r="J737" s="74"/>
      <c r="K737" s="12"/>
      <c r="L737" s="12"/>
      <c r="M737" s="97"/>
      <c r="N737" s="160"/>
      <c r="O737" s="97"/>
      <c r="P737" s="107"/>
      <c r="Q737" s="99"/>
      <c r="R737" s="6"/>
    </row>
    <row r="738" spans="1:18" s="131" customFormat="1" outlineLevel="1" x14ac:dyDescent="0.2">
      <c r="A738" s="75" t="s">
        <v>209</v>
      </c>
      <c r="B738" s="47"/>
      <c r="C738" s="126" t="s">
        <v>190</v>
      </c>
      <c r="D738" s="49"/>
      <c r="E738" s="68"/>
      <c r="F738" s="78"/>
      <c r="G738" s="78"/>
      <c r="H738" s="127"/>
      <c r="I738" s="128"/>
      <c r="J738" s="74"/>
      <c r="K738" s="12"/>
      <c r="L738" s="12"/>
      <c r="M738" s="97"/>
      <c r="N738" s="160"/>
      <c r="O738" s="97"/>
      <c r="P738" s="107"/>
      <c r="Q738" s="99"/>
      <c r="R738" s="6"/>
    </row>
    <row r="739" spans="1:18" s="131" customFormat="1" ht="22.5" outlineLevel="1" x14ac:dyDescent="0.2">
      <c r="A739" s="49" t="s">
        <v>689</v>
      </c>
      <c r="B739" s="47">
        <v>90443</v>
      </c>
      <c r="C739" s="48" t="s">
        <v>191</v>
      </c>
      <c r="D739" s="49" t="s">
        <v>56</v>
      </c>
      <c r="E739" s="50">
        <v>12</v>
      </c>
      <c r="F739" s="50">
        <v>8.9499999999999993</v>
      </c>
      <c r="G739" s="51">
        <f>TRUNC(F739*$J$13,2)</f>
        <v>11.27</v>
      </c>
      <c r="H739" s="51">
        <f>TRUNC(E739*G739,2)</f>
        <v>135.24</v>
      </c>
      <c r="I739" s="129"/>
      <c r="J739" s="74"/>
      <c r="K739" s="12"/>
      <c r="L739" s="12"/>
      <c r="M739" s="97"/>
      <c r="N739" s="160"/>
      <c r="O739" s="97"/>
      <c r="P739" s="107"/>
      <c r="Q739" s="99"/>
      <c r="R739" s="6"/>
    </row>
    <row r="740" spans="1:18" s="131" customFormat="1" ht="22.5" outlineLevel="1" x14ac:dyDescent="0.2">
      <c r="A740" s="49" t="s">
        <v>690</v>
      </c>
      <c r="B740" s="47">
        <v>86895</v>
      </c>
      <c r="C740" s="48" t="s">
        <v>192</v>
      </c>
      <c r="D740" s="49" t="s">
        <v>45</v>
      </c>
      <c r="E740" s="50">
        <v>4</v>
      </c>
      <c r="F740" s="50">
        <v>269.19</v>
      </c>
      <c r="G740" s="51">
        <f>TRUNC(F740*$J$13,2)</f>
        <v>339.17</v>
      </c>
      <c r="H740" s="51">
        <f>TRUNC(E740*G740,2)</f>
        <v>1356.68</v>
      </c>
      <c r="I740" s="129"/>
      <c r="J740" s="74"/>
      <c r="K740" s="12"/>
      <c r="L740" s="12"/>
      <c r="M740" s="97"/>
      <c r="N740" s="160"/>
      <c r="O740" s="97"/>
      <c r="P740" s="107"/>
      <c r="Q740" s="99"/>
      <c r="R740" s="6"/>
    </row>
    <row r="741" spans="1:18" s="131" customFormat="1" ht="22.5" outlineLevel="1" x14ac:dyDescent="0.2">
      <c r="A741" s="49" t="s">
        <v>691</v>
      </c>
      <c r="B741" s="47">
        <v>86901</v>
      </c>
      <c r="C741" s="48" t="s">
        <v>193</v>
      </c>
      <c r="D741" s="49" t="s">
        <v>45</v>
      </c>
      <c r="E741" s="50">
        <v>4</v>
      </c>
      <c r="F741" s="50">
        <v>108.45</v>
      </c>
      <c r="G741" s="51">
        <f>TRUNC(F741*$J$13,2)</f>
        <v>136.63999999999999</v>
      </c>
      <c r="H741" s="51">
        <f>TRUNC(E741*G741,2)</f>
        <v>546.55999999999995</v>
      </c>
      <c r="I741" s="129"/>
      <c r="J741" s="74"/>
      <c r="K741" s="12"/>
      <c r="L741" s="12"/>
      <c r="M741" s="97"/>
      <c r="N741" s="160"/>
      <c r="O741" s="97"/>
      <c r="P741" s="107"/>
      <c r="Q741" s="99"/>
      <c r="R741" s="6"/>
    </row>
    <row r="742" spans="1:18" s="131" customFormat="1" ht="22.5" outlineLevel="1" x14ac:dyDescent="0.2">
      <c r="A742" s="49" t="s">
        <v>692</v>
      </c>
      <c r="B742" s="47">
        <v>86915</v>
      </c>
      <c r="C742" s="48" t="s">
        <v>194</v>
      </c>
      <c r="D742" s="49" t="s">
        <v>45</v>
      </c>
      <c r="E742" s="50">
        <v>4</v>
      </c>
      <c r="F742" s="50">
        <v>84.78</v>
      </c>
      <c r="G742" s="51">
        <f>TRUNC(F742*$J$13,2)</f>
        <v>106.82</v>
      </c>
      <c r="H742" s="51">
        <f>TRUNC(E742*G742,2)</f>
        <v>427.28</v>
      </c>
      <c r="I742" s="129"/>
      <c r="J742" s="74"/>
      <c r="K742" s="12"/>
      <c r="L742" s="12"/>
      <c r="M742" s="97"/>
      <c r="N742" s="160"/>
      <c r="O742" s="97"/>
      <c r="P742" s="107"/>
      <c r="Q742" s="99"/>
      <c r="R742" s="6"/>
    </row>
    <row r="743" spans="1:18" s="131" customFormat="1" ht="22.5" outlineLevel="1" x14ac:dyDescent="0.2">
      <c r="A743" s="49" t="s">
        <v>693</v>
      </c>
      <c r="B743" s="47">
        <v>99635</v>
      </c>
      <c r="C743" s="48" t="s">
        <v>195</v>
      </c>
      <c r="D743" s="49" t="s">
        <v>45</v>
      </c>
      <c r="E743" s="50">
        <v>2</v>
      </c>
      <c r="F743" s="50">
        <v>184.35</v>
      </c>
      <c r="G743" s="51">
        <f>TRUNC(F743*$J$13,2)</f>
        <v>232.28</v>
      </c>
      <c r="H743" s="51">
        <f>TRUNC(E743*G743,2)</f>
        <v>464.56</v>
      </c>
      <c r="I743" s="129"/>
      <c r="J743" s="74"/>
      <c r="K743" s="12"/>
      <c r="L743" s="12"/>
      <c r="M743" s="97"/>
      <c r="N743" s="160"/>
      <c r="O743" s="97"/>
      <c r="P743" s="107"/>
      <c r="Q743" s="99"/>
      <c r="R743" s="6"/>
    </row>
    <row r="744" spans="1:18" s="131" customFormat="1" outlineLevel="1" x14ac:dyDescent="0.2">
      <c r="A744" s="189" t="s">
        <v>253</v>
      </c>
      <c r="B744" s="47"/>
      <c r="C744" s="132" t="s">
        <v>202</v>
      </c>
      <c r="D744" s="49"/>
      <c r="E744" s="50"/>
      <c r="F744" s="50"/>
      <c r="G744" s="51"/>
      <c r="H744" s="51"/>
      <c r="I744" s="129"/>
      <c r="J744" s="74"/>
      <c r="K744" s="12"/>
      <c r="L744" s="12"/>
      <c r="M744" s="97"/>
      <c r="N744" s="160"/>
      <c r="O744" s="97"/>
      <c r="P744" s="107"/>
      <c r="Q744" s="99"/>
      <c r="R744" s="6"/>
    </row>
    <row r="745" spans="1:18" s="131" customFormat="1" ht="22.5" outlineLevel="1" x14ac:dyDescent="0.2">
      <c r="A745" s="49" t="s">
        <v>699</v>
      </c>
      <c r="B745" s="47">
        <v>95544</v>
      </c>
      <c r="C745" s="48" t="s">
        <v>203</v>
      </c>
      <c r="D745" s="49" t="s">
        <v>45</v>
      </c>
      <c r="E745" s="50">
        <v>4</v>
      </c>
      <c r="F745" s="50">
        <v>30.21</v>
      </c>
      <c r="G745" s="51">
        <f>TRUNC(F745*$J$13,2)</f>
        <v>38.06</v>
      </c>
      <c r="H745" s="51">
        <f>TRUNC(E745*G745,2)</f>
        <v>152.24</v>
      </c>
      <c r="I745" s="129"/>
      <c r="J745" s="74"/>
      <c r="K745" s="12"/>
      <c r="L745" s="12"/>
      <c r="M745" s="97"/>
      <c r="N745" s="160"/>
      <c r="O745" s="97"/>
      <c r="P745" s="107"/>
      <c r="Q745" s="99"/>
      <c r="R745" s="6"/>
    </row>
    <row r="746" spans="1:18" s="131" customFormat="1" ht="22.5" outlineLevel="1" x14ac:dyDescent="0.2">
      <c r="A746" s="49" t="s">
        <v>700</v>
      </c>
      <c r="B746" s="47">
        <v>95545</v>
      </c>
      <c r="C746" s="48" t="s">
        <v>358</v>
      </c>
      <c r="D746" s="49" t="s">
        <v>45</v>
      </c>
      <c r="E746" s="50">
        <v>4</v>
      </c>
      <c r="F746" s="50">
        <v>29.63</v>
      </c>
      <c r="G746" s="51">
        <f>TRUNC(F746*$J$13,2)</f>
        <v>37.33</v>
      </c>
      <c r="H746" s="51">
        <f>TRUNC(E746*G746,2)</f>
        <v>149.32</v>
      </c>
      <c r="I746" s="129"/>
      <c r="J746" s="74"/>
      <c r="K746" s="12"/>
      <c r="L746" s="12"/>
      <c r="M746" s="97"/>
      <c r="N746" s="160"/>
      <c r="O746" s="97"/>
      <c r="P746" s="107"/>
      <c r="Q746" s="99"/>
      <c r="R746" s="6"/>
    </row>
    <row r="747" spans="1:18" s="131" customFormat="1" ht="22.5" outlineLevel="1" x14ac:dyDescent="0.2">
      <c r="A747" s="49" t="s">
        <v>701</v>
      </c>
      <c r="B747" s="47" t="s">
        <v>811</v>
      </c>
      <c r="C747" s="48" t="s">
        <v>809</v>
      </c>
      <c r="D747" s="393" t="s">
        <v>186</v>
      </c>
      <c r="E747" s="50">
        <v>2</v>
      </c>
      <c r="F747" s="50">
        <v>234.43</v>
      </c>
      <c r="G747" s="51">
        <f>TRUNC(F747*$J$13,2)</f>
        <v>295.38</v>
      </c>
      <c r="H747" s="51">
        <f>TRUNC(E747*G747,2)</f>
        <v>590.76</v>
      </c>
      <c r="I747" s="129"/>
      <c r="J747" s="74"/>
      <c r="K747" s="12"/>
      <c r="L747" s="12"/>
      <c r="M747" s="97"/>
      <c r="N747" s="160"/>
      <c r="O747" s="97"/>
      <c r="P747" s="107"/>
      <c r="Q747" s="99"/>
      <c r="R747" s="6"/>
    </row>
    <row r="748" spans="1:18" s="131" customFormat="1" ht="22.5" outlineLevel="1" x14ac:dyDescent="0.2">
      <c r="A748" s="49" t="s">
        <v>702</v>
      </c>
      <c r="B748" s="47" t="s">
        <v>812</v>
      </c>
      <c r="C748" s="48" t="s">
        <v>810</v>
      </c>
      <c r="D748" s="393" t="s">
        <v>186</v>
      </c>
      <c r="E748" s="50">
        <v>1</v>
      </c>
      <c r="F748" s="50">
        <v>198.89</v>
      </c>
      <c r="G748" s="51">
        <f>TRUNC(F748*$J$13,2)</f>
        <v>250.6</v>
      </c>
      <c r="H748" s="51">
        <f>TRUNC(E748*G748,2)</f>
        <v>250.6</v>
      </c>
      <c r="I748" s="129"/>
      <c r="J748" s="74"/>
      <c r="K748" s="12"/>
      <c r="L748" s="12"/>
      <c r="M748" s="97"/>
      <c r="N748" s="160"/>
      <c r="O748" s="97"/>
      <c r="P748" s="107"/>
      <c r="Q748" s="99"/>
      <c r="R748" s="6"/>
    </row>
    <row r="749" spans="1:18" s="131" customFormat="1" ht="33.75" outlineLevel="1" x14ac:dyDescent="0.2">
      <c r="A749" s="49" t="s">
        <v>817</v>
      </c>
      <c r="B749" s="47">
        <v>95470</v>
      </c>
      <c r="C749" s="48" t="s">
        <v>206</v>
      </c>
      <c r="D749" s="49" t="s">
        <v>45</v>
      </c>
      <c r="E749" s="50">
        <v>4</v>
      </c>
      <c r="F749" s="50">
        <v>169.53</v>
      </c>
      <c r="G749" s="51">
        <f>TRUNC(F749*$J$13,2)</f>
        <v>213.6</v>
      </c>
      <c r="H749" s="51">
        <f>TRUNC(E749*G749,2)</f>
        <v>854.4</v>
      </c>
      <c r="I749" s="129"/>
      <c r="J749" s="74"/>
      <c r="K749" s="12"/>
      <c r="L749" s="12"/>
      <c r="M749" s="97"/>
      <c r="N749" s="160"/>
      <c r="O749" s="97"/>
      <c r="P749" s="107"/>
      <c r="Q749" s="99"/>
      <c r="R749" s="6"/>
    </row>
    <row r="750" spans="1:18" s="131" customFormat="1" ht="15" outlineLevel="1" x14ac:dyDescent="0.2">
      <c r="A750" s="73" t="s">
        <v>212</v>
      </c>
      <c r="B750" s="73"/>
      <c r="C750" s="43" t="s">
        <v>208</v>
      </c>
      <c r="D750" s="41"/>
      <c r="E750" s="43"/>
      <c r="F750" s="43"/>
      <c r="G750" s="67" t="s">
        <v>39</v>
      </c>
      <c r="H750" s="43"/>
      <c r="I750" s="237">
        <f>SUM(H751:H751)</f>
        <v>1162.56</v>
      </c>
      <c r="J750" s="74"/>
      <c r="K750" s="12"/>
      <c r="L750" s="12"/>
      <c r="M750" s="97"/>
      <c r="N750" s="160"/>
      <c r="O750" s="97"/>
      <c r="P750" s="107"/>
      <c r="Q750" s="99"/>
      <c r="R750" s="6"/>
    </row>
    <row r="751" spans="1:18" s="131" customFormat="1" ht="33" customHeight="1" outlineLevel="1" x14ac:dyDescent="0.2">
      <c r="A751" s="49" t="s">
        <v>214</v>
      </c>
      <c r="B751" s="47">
        <v>72181</v>
      </c>
      <c r="C751" s="105" t="s">
        <v>211</v>
      </c>
      <c r="D751" s="49" t="s">
        <v>24</v>
      </c>
      <c r="E751" s="50">
        <v>32</v>
      </c>
      <c r="F751" s="50">
        <v>28.84</v>
      </c>
      <c r="G751" s="51">
        <f>TRUNC(F751*$J$13,2)</f>
        <v>36.33</v>
      </c>
      <c r="H751" s="51">
        <f>TRUNC(E751*G751,2)</f>
        <v>1162.56</v>
      </c>
      <c r="I751" s="134"/>
      <c r="J751" s="74"/>
      <c r="K751" s="12"/>
      <c r="L751" s="12"/>
      <c r="M751" s="97"/>
      <c r="N751" s="160"/>
      <c r="O751" s="97"/>
      <c r="P751" s="107"/>
      <c r="Q751" s="99"/>
      <c r="R751" s="6"/>
    </row>
    <row r="752" spans="1:18" s="131" customFormat="1" outlineLevel="1" x14ac:dyDescent="0.2">
      <c r="A752" s="49"/>
      <c r="B752" s="47"/>
      <c r="C752" s="105"/>
      <c r="D752" s="49"/>
      <c r="E752" s="50"/>
      <c r="F752" s="51"/>
      <c r="G752" s="51"/>
      <c r="H752" s="51"/>
      <c r="I752" s="163"/>
      <c r="J752" s="74"/>
      <c r="K752" s="12"/>
      <c r="L752" s="12"/>
      <c r="M752" s="97"/>
      <c r="N752" s="160"/>
      <c r="O752" s="97"/>
      <c r="P752" s="107"/>
      <c r="Q752" s="99"/>
      <c r="R752" s="6"/>
    </row>
    <row r="753" spans="1:18" s="131" customFormat="1" outlineLevel="1" x14ac:dyDescent="0.2">
      <c r="A753" s="73" t="s">
        <v>300</v>
      </c>
      <c r="B753" s="125"/>
      <c r="C753" s="43" t="s">
        <v>213</v>
      </c>
      <c r="D753" s="41"/>
      <c r="E753" s="43"/>
      <c r="F753" s="43"/>
      <c r="G753" s="43"/>
      <c r="H753" s="41"/>
      <c r="I753" s="135">
        <f>SUM(H754:H754)</f>
        <v>4522.7700000000004</v>
      </c>
      <c r="J753" s="74"/>
      <c r="K753" s="12"/>
      <c r="L753" s="12"/>
      <c r="M753" s="97"/>
      <c r="N753" s="160"/>
      <c r="O753" s="97"/>
      <c r="P753" s="107"/>
      <c r="Q753" s="99"/>
      <c r="R753" s="6"/>
    </row>
    <row r="754" spans="1:18" s="131" customFormat="1" ht="22.5" outlineLevel="1" x14ac:dyDescent="0.2">
      <c r="A754" s="49" t="s">
        <v>301</v>
      </c>
      <c r="B754" s="47">
        <v>96114</v>
      </c>
      <c r="C754" s="101" t="s">
        <v>640</v>
      </c>
      <c r="D754" s="49" t="s">
        <v>24</v>
      </c>
      <c r="E754" s="50">
        <v>63</v>
      </c>
      <c r="F754" s="50">
        <v>56.98</v>
      </c>
      <c r="G754" s="51">
        <f>TRUNC(F754*$J$13,2)</f>
        <v>71.790000000000006</v>
      </c>
      <c r="H754" s="51">
        <f>TRUNC(E754*G754,2)</f>
        <v>4522.7700000000004</v>
      </c>
      <c r="I754" s="134"/>
      <c r="J754" s="74"/>
      <c r="K754" s="12"/>
      <c r="L754" s="12"/>
      <c r="M754" s="97"/>
      <c r="N754" s="160"/>
      <c r="O754" s="97"/>
      <c r="P754" s="107"/>
      <c r="Q754" s="99"/>
      <c r="R754" s="6"/>
    </row>
    <row r="755" spans="1:18" s="131" customFormat="1" x14ac:dyDescent="0.2">
      <c r="A755" s="49"/>
      <c r="B755" s="232"/>
      <c r="C755" s="232"/>
      <c r="D755" s="49"/>
      <c r="E755" s="50"/>
      <c r="F755" s="51"/>
      <c r="G755" s="51"/>
      <c r="H755" s="70"/>
      <c r="I755" s="163"/>
      <c r="J755" s="74"/>
      <c r="K755" s="12"/>
      <c r="L755" s="12"/>
      <c r="M755" s="97"/>
      <c r="N755" s="160"/>
      <c r="O755" s="97"/>
      <c r="P755" s="107"/>
      <c r="Q755" s="99"/>
      <c r="R755" s="6"/>
    </row>
    <row r="756" spans="1:18" s="131" customFormat="1" ht="15.75" x14ac:dyDescent="0.2">
      <c r="A756" s="164" t="s">
        <v>409</v>
      </c>
      <c r="B756" s="165"/>
      <c r="C756" s="166"/>
      <c r="D756" s="41"/>
      <c r="E756" s="166"/>
      <c r="F756" s="166"/>
      <c r="G756" s="37" t="s">
        <v>19</v>
      </c>
      <c r="H756" s="166"/>
      <c r="I756" s="39">
        <f>SUM(I757:I890)</f>
        <v>580223.57999999996</v>
      </c>
      <c r="J756" s="58"/>
      <c r="K756" s="32"/>
      <c r="L756" s="12"/>
      <c r="M756" s="97"/>
      <c r="N756" s="160"/>
      <c r="O756" s="97"/>
      <c r="P756" s="107"/>
      <c r="Q756" s="99"/>
      <c r="R756" s="6"/>
    </row>
    <row r="757" spans="1:18" s="131" customFormat="1" ht="15" outlineLevel="1" x14ac:dyDescent="0.2">
      <c r="A757" s="73" t="s">
        <v>20</v>
      </c>
      <c r="B757" s="73"/>
      <c r="C757" s="43" t="s">
        <v>21</v>
      </c>
      <c r="D757" s="41"/>
      <c r="E757" s="43"/>
      <c r="F757" s="43"/>
      <c r="G757" s="43"/>
      <c r="H757" s="41"/>
      <c r="I757" s="221">
        <f>SUM(H758:H758)</f>
        <v>1092.44</v>
      </c>
      <c r="J757" s="241"/>
      <c r="K757" s="32"/>
      <c r="L757" s="242" t="s">
        <v>410</v>
      </c>
      <c r="M757" s="4"/>
      <c r="N757" s="4">
        <f>5*2.5</f>
        <v>12.5</v>
      </c>
      <c r="O757" s="4"/>
      <c r="P757" s="5"/>
      <c r="Q757" s="99"/>
      <c r="R757" s="6"/>
    </row>
    <row r="758" spans="1:18" s="131" customFormat="1" ht="14.25" outlineLevel="1" x14ac:dyDescent="0.2">
      <c r="A758" s="49" t="s">
        <v>22</v>
      </c>
      <c r="B758" s="71" t="s">
        <v>40</v>
      </c>
      <c r="C758" s="68" t="s">
        <v>41</v>
      </c>
      <c r="D758" s="49" t="s">
        <v>42</v>
      </c>
      <c r="E758" s="50">
        <v>4</v>
      </c>
      <c r="F758" s="50">
        <v>216.76</v>
      </c>
      <c r="G758" s="51">
        <f t="shared" ref="G758" si="116">TRUNC(F758*$J$13,2)</f>
        <v>273.11</v>
      </c>
      <c r="H758" s="51">
        <f>TRUNC(E758*G758,2)</f>
        <v>1092.44</v>
      </c>
      <c r="I758" s="230"/>
      <c r="J758" s="243"/>
      <c r="K758" s="83"/>
      <c r="L758" s="83"/>
      <c r="M758" s="85"/>
      <c r="N758" s="85"/>
      <c r="O758" s="85"/>
      <c r="P758" s="86"/>
      <c r="Q758" s="99"/>
      <c r="R758" s="6"/>
    </row>
    <row r="759" spans="1:18" s="131" customFormat="1" ht="15" outlineLevel="1" x14ac:dyDescent="0.2">
      <c r="A759" s="73" t="s">
        <v>61</v>
      </c>
      <c r="B759" s="66"/>
      <c r="C759" s="43" t="s">
        <v>412</v>
      </c>
      <c r="D759" s="41"/>
      <c r="E759" s="43"/>
      <c r="F759" s="43"/>
      <c r="G759" s="43"/>
      <c r="H759" s="41"/>
      <c r="I759" s="221">
        <f>SUM(H760:H766)</f>
        <v>28751.93</v>
      </c>
      <c r="J759" s="244"/>
      <c r="K759" s="12"/>
      <c r="L759" s="12"/>
      <c r="M759" s="4"/>
      <c r="N759" s="4"/>
      <c r="O759" s="4"/>
      <c r="P759" s="5"/>
      <c r="Q759" s="99"/>
      <c r="R759" s="6"/>
    </row>
    <row r="760" spans="1:18" s="131" customFormat="1" ht="22.5" outlineLevel="1" x14ac:dyDescent="0.2">
      <c r="A760" s="49" t="s">
        <v>65</v>
      </c>
      <c r="B760" s="47">
        <v>96526</v>
      </c>
      <c r="C760" s="101" t="s">
        <v>413</v>
      </c>
      <c r="D760" s="49" t="s">
        <v>42</v>
      </c>
      <c r="E760" s="50">
        <f t="shared" ref="E760:E766" si="117">TRUNC(J760,2)</f>
        <v>17.37</v>
      </c>
      <c r="F760" s="50">
        <v>204.77</v>
      </c>
      <c r="G760" s="51">
        <f t="shared" ref="G760:G766" si="118">TRUNC(F760*$J$13,2)</f>
        <v>258.01</v>
      </c>
      <c r="H760" s="51">
        <f>TRUNC(E760*G760,2)</f>
        <v>4481.63</v>
      </c>
      <c r="I760" s="230"/>
      <c r="J760" s="245">
        <f>(20+20+16.2+16.2)*0.4*0.6</f>
        <v>17.376000000000001</v>
      </c>
      <c r="K760" s="7"/>
      <c r="L760" s="83"/>
      <c r="M760" s="85"/>
      <c r="N760" s="85"/>
      <c r="O760" s="85"/>
      <c r="P760" s="86"/>
      <c r="Q760" s="99"/>
      <c r="R760" s="6"/>
    </row>
    <row r="761" spans="1:18" s="131" customFormat="1" ht="33.75" outlineLevel="1" x14ac:dyDescent="0.2">
      <c r="A761" s="49" t="s">
        <v>70</v>
      </c>
      <c r="B761" s="47">
        <v>101096</v>
      </c>
      <c r="C761" s="101" t="s">
        <v>414</v>
      </c>
      <c r="D761" s="49" t="s">
        <v>42</v>
      </c>
      <c r="E761" s="50">
        <v>19</v>
      </c>
      <c r="F761" s="50">
        <v>818.16</v>
      </c>
      <c r="G761" s="51">
        <f t="shared" si="118"/>
        <v>1030.8800000000001</v>
      </c>
      <c r="H761" s="51">
        <f t="shared" ref="H761:H766" si="119">TRUNC(E761*G761,2)</f>
        <v>19586.72</v>
      </c>
      <c r="I761" s="230"/>
      <c r="J761" s="246">
        <f>7*(0.4*0.4)*3.14*5+(12*(0.4*0.4)*3.14*2)+1.2*0.2*17</f>
        <v>33.721600000000002</v>
      </c>
      <c r="K761" s="83"/>
      <c r="L761" s="83"/>
      <c r="M761" s="85"/>
      <c r="N761" s="85"/>
      <c r="O761" s="85"/>
      <c r="P761" s="86"/>
      <c r="Q761" s="99"/>
      <c r="R761" s="6"/>
    </row>
    <row r="762" spans="1:18" s="131" customFormat="1" ht="22.5" outlineLevel="1" x14ac:dyDescent="0.2">
      <c r="A762" s="49" t="s">
        <v>73</v>
      </c>
      <c r="B762" s="47" t="s">
        <v>655</v>
      </c>
      <c r="C762" s="101" t="s">
        <v>415</v>
      </c>
      <c r="D762" s="49" t="s">
        <v>42</v>
      </c>
      <c r="E762" s="50">
        <f t="shared" si="117"/>
        <v>418.5</v>
      </c>
      <c r="F762" s="50">
        <v>2.46</v>
      </c>
      <c r="G762" s="51">
        <f t="shared" si="118"/>
        <v>3.09</v>
      </c>
      <c r="H762" s="51">
        <f t="shared" si="119"/>
        <v>1293.1600000000001</v>
      </c>
      <c r="I762" s="230"/>
      <c r="J762" s="245">
        <f>21*17.2*1+((1*1.5/2)*(21+21+17.2+17.2))</f>
        <v>418.5</v>
      </c>
      <c r="K762" s="83"/>
      <c r="L762" s="83"/>
      <c r="M762" s="85"/>
      <c r="N762" s="85"/>
      <c r="O762" s="85"/>
      <c r="P762" s="86"/>
      <c r="Q762" s="99"/>
      <c r="R762" s="6"/>
    </row>
    <row r="763" spans="1:18" s="131" customFormat="1" ht="14.25" outlineLevel="1" x14ac:dyDescent="0.2">
      <c r="A763" s="49" t="s">
        <v>672</v>
      </c>
      <c r="B763" s="47">
        <v>100574</v>
      </c>
      <c r="C763" s="101" t="s">
        <v>416</v>
      </c>
      <c r="D763" s="49" t="s">
        <v>42</v>
      </c>
      <c r="E763" s="50">
        <f t="shared" si="117"/>
        <v>418.5</v>
      </c>
      <c r="F763" s="50">
        <v>0.81</v>
      </c>
      <c r="G763" s="51">
        <f t="shared" si="118"/>
        <v>1.02</v>
      </c>
      <c r="H763" s="51">
        <f t="shared" si="119"/>
        <v>426.87</v>
      </c>
      <c r="I763" s="230"/>
      <c r="J763" s="245">
        <f>21*17.2*1+((1*1.5/2)*(21+21+17.2+17.2))</f>
        <v>418.5</v>
      </c>
      <c r="K763" s="83"/>
      <c r="L763" s="83"/>
      <c r="M763" s="85"/>
      <c r="N763" s="85"/>
      <c r="O763" s="85"/>
      <c r="P763" s="86"/>
      <c r="Q763" s="99"/>
      <c r="R763" s="6"/>
    </row>
    <row r="764" spans="1:18" s="131" customFormat="1" ht="14.25" outlineLevel="1" x14ac:dyDescent="0.2">
      <c r="A764" s="49" t="s">
        <v>673</v>
      </c>
      <c r="B764" s="47" t="s">
        <v>417</v>
      </c>
      <c r="C764" s="101" t="s">
        <v>418</v>
      </c>
      <c r="D764" s="49" t="s">
        <v>42</v>
      </c>
      <c r="E764" s="50">
        <f t="shared" si="117"/>
        <v>418.5</v>
      </c>
      <c r="F764" s="50">
        <v>4.55</v>
      </c>
      <c r="G764" s="51">
        <f t="shared" si="118"/>
        <v>5.73</v>
      </c>
      <c r="H764" s="51">
        <f t="shared" si="119"/>
        <v>2398</v>
      </c>
      <c r="I764" s="230"/>
      <c r="J764" s="243">
        <f>J762</f>
        <v>418.5</v>
      </c>
      <c r="K764" s="83"/>
      <c r="L764" s="83"/>
      <c r="M764" s="85"/>
      <c r="N764" s="85"/>
      <c r="O764" s="85"/>
      <c r="P764" s="86"/>
      <c r="Q764" s="99"/>
      <c r="R764" s="6"/>
    </row>
    <row r="765" spans="1:18" s="131" customFormat="1" ht="14.25" outlineLevel="1" x14ac:dyDescent="0.2">
      <c r="A765" s="49" t="s">
        <v>674</v>
      </c>
      <c r="B765" s="47">
        <v>96995</v>
      </c>
      <c r="C765" s="101" t="s">
        <v>419</v>
      </c>
      <c r="D765" s="49" t="s">
        <v>42</v>
      </c>
      <c r="E765" s="50">
        <f t="shared" si="117"/>
        <v>11.19</v>
      </c>
      <c r="F765" s="50">
        <v>34.46</v>
      </c>
      <c r="G765" s="51">
        <f t="shared" si="118"/>
        <v>43.41</v>
      </c>
      <c r="H765" s="51">
        <f t="shared" si="119"/>
        <v>485.75</v>
      </c>
      <c r="I765" s="230"/>
      <c r="J765" s="243">
        <f>K765-L765</f>
        <v>11.196000000000002</v>
      </c>
      <c r="K765" s="247">
        <f>(20+20+16.2+16.2)*0.4*0.6</f>
        <v>17.376000000000001</v>
      </c>
      <c r="L765" s="247">
        <f>0.2*0.3*(20+20+16.2+16.2+1.2+1.2+1.2+9.5+16+1.5)</f>
        <v>6.1800000000000006</v>
      </c>
      <c r="M765" s="85"/>
      <c r="N765" s="85"/>
      <c r="O765" s="85"/>
      <c r="P765" s="86"/>
      <c r="Q765" s="99"/>
      <c r="R765" s="6"/>
    </row>
    <row r="766" spans="1:18" s="131" customFormat="1" ht="22.5" outlineLevel="1" x14ac:dyDescent="0.2">
      <c r="A766" s="49" t="s">
        <v>710</v>
      </c>
      <c r="B766" s="47">
        <v>94097</v>
      </c>
      <c r="C766" s="101" t="s">
        <v>420</v>
      </c>
      <c r="D766" s="49" t="s">
        <v>24</v>
      </c>
      <c r="E766" s="50">
        <f t="shared" si="117"/>
        <v>15.2</v>
      </c>
      <c r="F766" s="50">
        <v>4.17</v>
      </c>
      <c r="G766" s="51">
        <f t="shared" si="118"/>
        <v>5.25</v>
      </c>
      <c r="H766" s="51">
        <f t="shared" si="119"/>
        <v>79.8</v>
      </c>
      <c r="I766" s="230"/>
      <c r="J766" s="245">
        <f>0.2*(20+20+16.2+16.2+1.2+1.2+1.2)</f>
        <v>15.200000000000003</v>
      </c>
      <c r="K766" s="83"/>
      <c r="L766" s="83"/>
      <c r="M766" s="85"/>
      <c r="N766" s="85"/>
      <c r="O766" s="85"/>
      <c r="P766" s="86"/>
      <c r="Q766" s="99"/>
      <c r="R766" s="6"/>
    </row>
    <row r="767" spans="1:18" s="131" customFormat="1" ht="15" outlineLevel="1" x14ac:dyDescent="0.2">
      <c r="A767" s="73" t="s">
        <v>75</v>
      </c>
      <c r="B767" s="66"/>
      <c r="C767" s="43" t="s">
        <v>421</v>
      </c>
      <c r="D767" s="41"/>
      <c r="E767" s="43"/>
      <c r="F767" s="43"/>
      <c r="G767" s="43"/>
      <c r="H767" s="41"/>
      <c r="I767" s="221">
        <f>SUM(H768:H775)</f>
        <v>56751.820000000007</v>
      </c>
      <c r="J767" s="244"/>
      <c r="K767" s="12"/>
      <c r="L767" s="12"/>
      <c r="M767" s="4"/>
      <c r="N767" s="4"/>
      <c r="O767" s="4"/>
      <c r="P767" s="5"/>
      <c r="Q767" s="99"/>
      <c r="R767" s="6"/>
    </row>
    <row r="768" spans="1:18" s="131" customFormat="1" ht="22.5" outlineLevel="1" x14ac:dyDescent="0.2">
      <c r="A768" s="49" t="s">
        <v>78</v>
      </c>
      <c r="B768" s="47">
        <v>94962</v>
      </c>
      <c r="C768" s="48" t="s">
        <v>422</v>
      </c>
      <c r="D768" s="49" t="s">
        <v>42</v>
      </c>
      <c r="E768" s="50">
        <f t="shared" ref="E768:E774" si="120">TRUNC(J768,2)</f>
        <v>0.76</v>
      </c>
      <c r="F768" s="50">
        <v>255.79</v>
      </c>
      <c r="G768" s="51">
        <f t="shared" ref="G768:G775" si="121">TRUNC(F768*$J$13,2)</f>
        <v>322.29000000000002</v>
      </c>
      <c r="H768" s="51">
        <f>TRUNC(E768*G768,2)</f>
        <v>244.94</v>
      </c>
      <c r="I768" s="230"/>
      <c r="J768" s="245">
        <f>(0.2*(20+20+16.2+16.2+1.2+1.2+1.2))*0.05</f>
        <v>0.76000000000000023</v>
      </c>
      <c r="K768" s="83"/>
      <c r="L768" s="83"/>
      <c r="M768" s="85"/>
      <c r="N768" s="85"/>
      <c r="O768" s="85"/>
      <c r="P768" s="86"/>
      <c r="Q768" s="99"/>
      <c r="R768" s="6"/>
    </row>
    <row r="769" spans="1:18" s="131" customFormat="1" ht="14.25" outlineLevel="1" x14ac:dyDescent="0.2">
      <c r="A769" s="49" t="s">
        <v>84</v>
      </c>
      <c r="B769" s="47">
        <v>96533</v>
      </c>
      <c r="C769" s="48" t="s">
        <v>423</v>
      </c>
      <c r="D769" s="49" t="s">
        <v>24</v>
      </c>
      <c r="E769" s="50">
        <f t="shared" si="120"/>
        <v>82.4</v>
      </c>
      <c r="F769" s="50">
        <v>57.82</v>
      </c>
      <c r="G769" s="51">
        <f t="shared" si="121"/>
        <v>72.849999999999994</v>
      </c>
      <c r="H769" s="51">
        <f t="shared" ref="H769:H775" si="122">TRUNC(E769*G769,2)</f>
        <v>6002.84</v>
      </c>
      <c r="I769" s="230"/>
      <c r="J769" s="245">
        <f>0.8*(20+20+16.2+16.2+1.2+1.2+1.2+27)</f>
        <v>82.40000000000002</v>
      </c>
      <c r="K769" s="83"/>
      <c r="L769" s="83"/>
      <c r="M769" s="85"/>
      <c r="N769" s="85"/>
      <c r="O769" s="85"/>
      <c r="P769" s="86"/>
      <c r="Q769" s="99"/>
      <c r="R769" s="6"/>
    </row>
    <row r="770" spans="1:18" s="131" customFormat="1" ht="22.5" outlineLevel="1" x14ac:dyDescent="0.2">
      <c r="A770" s="49" t="s">
        <v>323</v>
      </c>
      <c r="B770" s="47">
        <v>94965</v>
      </c>
      <c r="C770" s="48" t="s">
        <v>424</v>
      </c>
      <c r="D770" s="49" t="s">
        <v>42</v>
      </c>
      <c r="E770" s="50">
        <f t="shared" si="120"/>
        <v>6.18</v>
      </c>
      <c r="F770" s="50">
        <v>323.58999999999997</v>
      </c>
      <c r="G770" s="51">
        <f t="shared" si="121"/>
        <v>407.72</v>
      </c>
      <c r="H770" s="51">
        <f t="shared" si="122"/>
        <v>2519.6999999999998</v>
      </c>
      <c r="I770" s="230"/>
      <c r="J770" s="245">
        <f>0.2*0.3*(20+20+16.2+16.2+1.2+1.2+1.2+9.5+16+1.5)</f>
        <v>6.1800000000000006</v>
      </c>
      <c r="K770" s="84"/>
      <c r="L770" s="84"/>
      <c r="M770" s="85"/>
      <c r="N770" s="85"/>
      <c r="O770" s="85"/>
      <c r="P770" s="86"/>
      <c r="Q770" s="99"/>
      <c r="R770" s="6"/>
    </row>
    <row r="771" spans="1:18" s="131" customFormat="1" ht="14.25" outlineLevel="1" x14ac:dyDescent="0.2">
      <c r="A771" s="49" t="s">
        <v>324</v>
      </c>
      <c r="B771" s="47">
        <v>92873</v>
      </c>
      <c r="C771" s="48" t="s">
        <v>425</v>
      </c>
      <c r="D771" s="49" t="s">
        <v>42</v>
      </c>
      <c r="E771" s="50">
        <f t="shared" si="120"/>
        <v>6.18</v>
      </c>
      <c r="F771" s="50">
        <v>146.29</v>
      </c>
      <c r="G771" s="51">
        <f t="shared" si="121"/>
        <v>184.32</v>
      </c>
      <c r="H771" s="51">
        <f t="shared" si="122"/>
        <v>1139.0899999999999</v>
      </c>
      <c r="I771" s="230"/>
      <c r="J771" s="248">
        <f>J770</f>
        <v>6.1800000000000006</v>
      </c>
      <c r="K771" s="84"/>
      <c r="L771" s="84"/>
      <c r="M771" s="85"/>
      <c r="N771" s="85"/>
      <c r="O771" s="85"/>
      <c r="P771" s="86"/>
      <c r="Q771" s="99"/>
      <c r="R771" s="6"/>
    </row>
    <row r="772" spans="1:18" s="131" customFormat="1" ht="33.75" outlineLevel="1" x14ac:dyDescent="0.2">
      <c r="A772" s="49" t="s">
        <v>675</v>
      </c>
      <c r="B772" s="47">
        <v>92919</v>
      </c>
      <c r="C772" s="48" t="s">
        <v>426</v>
      </c>
      <c r="D772" s="49" t="s">
        <v>427</v>
      </c>
      <c r="E772" s="50">
        <v>1955</v>
      </c>
      <c r="F772" s="50">
        <v>8.65</v>
      </c>
      <c r="G772" s="51">
        <f t="shared" si="121"/>
        <v>10.89</v>
      </c>
      <c r="H772" s="51">
        <f t="shared" si="122"/>
        <v>21289.95</v>
      </c>
      <c r="I772" s="230"/>
      <c r="J772" s="243">
        <f>(J770+J761)*80*0.7</f>
        <v>2234.4895999999999</v>
      </c>
      <c r="K772" s="83"/>
      <c r="L772" s="83"/>
      <c r="M772" s="85"/>
      <c r="N772" s="85"/>
      <c r="O772" s="85"/>
      <c r="P772" s="86"/>
      <c r="Q772" s="99"/>
      <c r="R772" s="6"/>
    </row>
    <row r="773" spans="1:18" s="131" customFormat="1" ht="33.75" outlineLevel="1" x14ac:dyDescent="0.2">
      <c r="A773" s="49" t="s">
        <v>712</v>
      </c>
      <c r="B773" s="47">
        <v>92916</v>
      </c>
      <c r="C773" s="48" t="s">
        <v>428</v>
      </c>
      <c r="D773" s="49" t="s">
        <v>427</v>
      </c>
      <c r="E773" s="50">
        <v>875</v>
      </c>
      <c r="F773" s="50">
        <v>10.56</v>
      </c>
      <c r="G773" s="51">
        <f t="shared" si="121"/>
        <v>13.3</v>
      </c>
      <c r="H773" s="51">
        <f t="shared" si="122"/>
        <v>11637.5</v>
      </c>
      <c r="I773" s="230"/>
      <c r="J773" s="243">
        <f>(J770+J761)*80*0.3</f>
        <v>957.63840000000005</v>
      </c>
      <c r="K773" s="83"/>
      <c r="L773" s="83"/>
      <c r="M773" s="85"/>
      <c r="N773" s="85"/>
      <c r="O773" s="85"/>
      <c r="P773" s="86"/>
      <c r="Q773" s="99"/>
      <c r="R773" s="6"/>
    </row>
    <row r="774" spans="1:18" s="131" customFormat="1" ht="22.5" outlineLevel="1" x14ac:dyDescent="0.2">
      <c r="A774" s="49" t="s">
        <v>713</v>
      </c>
      <c r="B774" s="47">
        <v>98561</v>
      </c>
      <c r="C774" s="48" t="s">
        <v>429</v>
      </c>
      <c r="D774" s="49" t="s">
        <v>24</v>
      </c>
      <c r="E774" s="50">
        <f t="shared" si="120"/>
        <v>73.260000000000005</v>
      </c>
      <c r="F774" s="50">
        <v>28.67</v>
      </c>
      <c r="G774" s="51">
        <f t="shared" si="121"/>
        <v>36.119999999999997</v>
      </c>
      <c r="H774" s="51">
        <f t="shared" si="122"/>
        <v>2646.15</v>
      </c>
      <c r="I774" s="230"/>
      <c r="J774" s="243">
        <f>(12+15.45+12+14.8+14.8+14.8+14.8+15.45+4+4)*0.6</f>
        <v>73.259999999999991</v>
      </c>
      <c r="K774" s="83"/>
      <c r="L774" s="83"/>
      <c r="M774" s="85"/>
      <c r="N774" s="85"/>
      <c r="O774" s="85"/>
      <c r="P774" s="86"/>
      <c r="Q774" s="99"/>
      <c r="R774" s="6"/>
    </row>
    <row r="775" spans="1:18" s="131" customFormat="1" ht="33.75" outlineLevel="1" x14ac:dyDescent="0.2">
      <c r="A775" s="49" t="s">
        <v>714</v>
      </c>
      <c r="B775" s="47">
        <v>87517</v>
      </c>
      <c r="C775" s="48" t="s">
        <v>656</v>
      </c>
      <c r="D775" s="49" t="s">
        <v>24</v>
      </c>
      <c r="E775" s="50">
        <v>65</v>
      </c>
      <c r="F775" s="50">
        <v>137.63</v>
      </c>
      <c r="G775" s="51">
        <f t="shared" si="121"/>
        <v>173.41</v>
      </c>
      <c r="H775" s="51">
        <f t="shared" si="122"/>
        <v>11271.65</v>
      </c>
      <c r="I775" s="230"/>
      <c r="J775" s="243">
        <f>(12+15.45+12+14.8+14.8+14.8+14.8+15.45+4+4)*0.8</f>
        <v>97.68</v>
      </c>
      <c r="K775" s="83"/>
      <c r="L775" s="83"/>
      <c r="M775" s="85"/>
      <c r="N775" s="85"/>
      <c r="O775" s="85"/>
      <c r="P775" s="86"/>
      <c r="Q775" s="99"/>
      <c r="R775" s="6"/>
    </row>
    <row r="776" spans="1:18" s="131" customFormat="1" ht="15" outlineLevel="1" x14ac:dyDescent="0.25">
      <c r="A776" s="73" t="s">
        <v>86</v>
      </c>
      <c r="B776" s="66"/>
      <c r="C776" s="43" t="s">
        <v>430</v>
      </c>
      <c r="D776" s="41"/>
      <c r="E776" s="43"/>
      <c r="F776" s="43"/>
      <c r="G776" s="43"/>
      <c r="H776" s="41"/>
      <c r="I776" s="217">
        <f>SUM(H777:H782)</f>
        <v>76586.159999999989</v>
      </c>
      <c r="J776" s="244"/>
      <c r="K776" s="12"/>
      <c r="L776" s="12"/>
      <c r="M776" s="4"/>
      <c r="N776" s="4"/>
      <c r="O776" s="4"/>
      <c r="P776" s="5"/>
      <c r="Q776" s="99"/>
      <c r="R776" s="6"/>
    </row>
    <row r="777" spans="1:18" s="131" customFormat="1" ht="22.5" outlineLevel="1" x14ac:dyDescent="0.2">
      <c r="A777" s="49" t="s">
        <v>88</v>
      </c>
      <c r="B777" s="47">
        <v>94965</v>
      </c>
      <c r="C777" s="48" t="s">
        <v>424</v>
      </c>
      <c r="D777" s="49" t="s">
        <v>42</v>
      </c>
      <c r="E777" s="50">
        <f t="shared" ref="E777:E782" si="123">TRUNC(J777,2)</f>
        <v>26.11</v>
      </c>
      <c r="F777" s="50">
        <v>323.58999999999997</v>
      </c>
      <c r="G777" s="51">
        <f t="shared" ref="G777:G782" si="124">TRUNC(F777*$J$13,2)</f>
        <v>407.72</v>
      </c>
      <c r="H777" s="51">
        <f t="shared" ref="H777:H782" si="125">TRUNC(E777*G777,2)</f>
        <v>10645.56</v>
      </c>
      <c r="I777" s="218"/>
      <c r="J777" s="245">
        <f>(0.2*0.3*15*6)+(0.15*0.3*6*5)+((20+20+16.2+16.2+1.2+1.2+1.2)*0.15*0.3*1)+(20+20+15+15)*0.15*1+20*0.15*1.5+7*0.15*0.3*3</f>
        <v>26.115000000000002</v>
      </c>
      <c r="K777" s="84"/>
      <c r="L777" s="84"/>
      <c r="M777" s="85"/>
      <c r="N777" s="85"/>
      <c r="O777" s="85"/>
      <c r="P777" s="86"/>
      <c r="Q777" s="99"/>
      <c r="R777" s="6"/>
    </row>
    <row r="778" spans="1:18" s="131" customFormat="1" ht="22.5" outlineLevel="1" x14ac:dyDescent="0.2">
      <c r="A778" s="49" t="s">
        <v>91</v>
      </c>
      <c r="B778" s="47">
        <v>92873</v>
      </c>
      <c r="C778" s="48" t="s">
        <v>431</v>
      </c>
      <c r="D778" s="49" t="s">
        <v>42</v>
      </c>
      <c r="E778" s="50">
        <f t="shared" si="123"/>
        <v>26.11</v>
      </c>
      <c r="F778" s="50">
        <v>146.29</v>
      </c>
      <c r="G778" s="51">
        <f t="shared" si="124"/>
        <v>184.32</v>
      </c>
      <c r="H778" s="51">
        <f t="shared" si="125"/>
        <v>4812.59</v>
      </c>
      <c r="I778" s="218"/>
      <c r="J778" s="243">
        <f>J777</f>
        <v>26.115000000000002</v>
      </c>
      <c r="K778" s="84"/>
      <c r="L778" s="84"/>
      <c r="M778" s="85"/>
      <c r="N778" s="85"/>
      <c r="O778" s="85"/>
      <c r="P778" s="86"/>
      <c r="Q778" s="99"/>
      <c r="R778" s="6"/>
    </row>
    <row r="779" spans="1:18" s="131" customFormat="1" ht="22.5" outlineLevel="1" x14ac:dyDescent="0.2">
      <c r="A779" s="49" t="s">
        <v>94</v>
      </c>
      <c r="B779" s="47">
        <v>92263</v>
      </c>
      <c r="C779" s="48" t="s">
        <v>432</v>
      </c>
      <c r="D779" s="49" t="s">
        <v>24</v>
      </c>
      <c r="E779" s="50">
        <f t="shared" si="123"/>
        <v>276.05</v>
      </c>
      <c r="F779" s="50">
        <v>100.55</v>
      </c>
      <c r="G779" s="51">
        <f t="shared" si="124"/>
        <v>126.69</v>
      </c>
      <c r="H779" s="51">
        <f t="shared" si="125"/>
        <v>34972.769999999997</v>
      </c>
      <c r="I779" s="218"/>
      <c r="J779" s="245">
        <f>(20+20+16.2+16.2)*0.75*1+(20+20+15+15*2.15)+20*1*2+14*0.9*6+7*0.9*3</f>
        <v>276.04999999999995</v>
      </c>
      <c r="K779" s="83"/>
      <c r="L779" s="83"/>
      <c r="M779" s="85"/>
      <c r="N779" s="85"/>
      <c r="O779" s="85"/>
      <c r="P779" s="86"/>
      <c r="Q779" s="99"/>
      <c r="R779" s="6"/>
    </row>
    <row r="780" spans="1:18" s="131" customFormat="1" ht="33.75" outlineLevel="1" x14ac:dyDescent="0.2">
      <c r="A780" s="49" t="s">
        <v>227</v>
      </c>
      <c r="B780" s="47">
        <v>92919</v>
      </c>
      <c r="C780" s="48" t="s">
        <v>433</v>
      </c>
      <c r="D780" s="49" t="s">
        <v>427</v>
      </c>
      <c r="E780" s="50">
        <f t="shared" si="123"/>
        <v>1462.44</v>
      </c>
      <c r="F780" s="50">
        <v>8.65</v>
      </c>
      <c r="G780" s="51">
        <f t="shared" si="124"/>
        <v>10.89</v>
      </c>
      <c r="H780" s="51">
        <f t="shared" si="125"/>
        <v>15925.97</v>
      </c>
      <c r="I780" s="218"/>
      <c r="J780" s="243">
        <f>J777*80*0.7</f>
        <v>1462.44</v>
      </c>
      <c r="K780" s="83"/>
      <c r="L780" s="83"/>
      <c r="M780" s="85"/>
      <c r="N780" s="85"/>
      <c r="O780" s="85"/>
      <c r="P780" s="86"/>
      <c r="Q780" s="99"/>
      <c r="R780" s="6"/>
    </row>
    <row r="781" spans="1:18" s="131" customFormat="1" ht="33.75" outlineLevel="1" x14ac:dyDescent="0.2">
      <c r="A781" s="49" t="s">
        <v>395</v>
      </c>
      <c r="B781" s="47">
        <v>92916</v>
      </c>
      <c r="C781" s="48" t="s">
        <v>428</v>
      </c>
      <c r="D781" s="49" t="s">
        <v>427</v>
      </c>
      <c r="E781" s="50">
        <f t="shared" si="123"/>
        <v>626.76</v>
      </c>
      <c r="F781" s="50">
        <v>10.56</v>
      </c>
      <c r="G781" s="51">
        <f t="shared" si="124"/>
        <v>13.3</v>
      </c>
      <c r="H781" s="51">
        <f t="shared" si="125"/>
        <v>8335.9</v>
      </c>
      <c r="I781" s="218"/>
      <c r="J781" s="243">
        <f>J777*80*0.3</f>
        <v>626.7600000000001</v>
      </c>
      <c r="K781" s="84"/>
      <c r="L781" s="84"/>
      <c r="M781" s="85"/>
      <c r="N781" s="85"/>
      <c r="O781" s="85"/>
      <c r="P781" s="86"/>
      <c r="Q781" s="99"/>
      <c r="R781" s="6"/>
    </row>
    <row r="782" spans="1:18" s="131" customFormat="1" ht="33.75" outlineLevel="1" x14ac:dyDescent="0.2">
      <c r="A782" s="49" t="s">
        <v>715</v>
      </c>
      <c r="B782" s="47" t="s">
        <v>434</v>
      </c>
      <c r="C782" s="48" t="s">
        <v>435</v>
      </c>
      <c r="D782" s="49" t="s">
        <v>24</v>
      </c>
      <c r="E782" s="50">
        <f t="shared" si="123"/>
        <v>18.489999999999998</v>
      </c>
      <c r="F782" s="50">
        <v>81.27</v>
      </c>
      <c r="G782" s="51">
        <f t="shared" si="124"/>
        <v>102.4</v>
      </c>
      <c r="H782" s="51">
        <f t="shared" si="125"/>
        <v>1893.37</v>
      </c>
      <c r="I782" s="249"/>
      <c r="J782" s="245">
        <f>4.3*4.3</f>
        <v>18.489999999999998</v>
      </c>
      <c r="K782" s="84"/>
      <c r="L782" s="84"/>
      <c r="M782" s="85"/>
      <c r="N782" s="85"/>
      <c r="O782" s="85"/>
      <c r="P782" s="86"/>
      <c r="Q782" s="99"/>
      <c r="R782" s="6"/>
    </row>
    <row r="783" spans="1:18" s="131" customFormat="1" ht="15" outlineLevel="1" x14ac:dyDescent="0.25">
      <c r="A783" s="73" t="s">
        <v>96</v>
      </c>
      <c r="B783" s="66"/>
      <c r="C783" s="43" t="s">
        <v>222</v>
      </c>
      <c r="D783" s="41"/>
      <c r="E783" s="43"/>
      <c r="F783" s="43"/>
      <c r="G783" s="43"/>
      <c r="H783" s="41"/>
      <c r="I783" s="217">
        <f>SUM(H784:H785)</f>
        <v>45959.71</v>
      </c>
      <c r="J783" s="244"/>
      <c r="K783" s="12"/>
      <c r="L783" s="12"/>
      <c r="M783" s="4"/>
      <c r="N783" s="4"/>
      <c r="O783" s="4"/>
      <c r="P783" s="5"/>
      <c r="Q783" s="99"/>
      <c r="R783" s="6"/>
    </row>
    <row r="784" spans="1:18" s="131" customFormat="1" ht="33.75" outlineLevel="1" x14ac:dyDescent="0.2">
      <c r="A784" s="49" t="s">
        <v>98</v>
      </c>
      <c r="B784" s="47">
        <v>87496</v>
      </c>
      <c r="C784" s="48" t="s">
        <v>436</v>
      </c>
      <c r="D784" s="49" t="s">
        <v>24</v>
      </c>
      <c r="E784" s="50">
        <f>TRUNC(J784,2)</f>
        <v>519.9</v>
      </c>
      <c r="F784" s="50">
        <v>68.099999999999994</v>
      </c>
      <c r="G784" s="51">
        <f>TRUNC(F784*$J$13,2)</f>
        <v>85.8</v>
      </c>
      <c r="H784" s="51">
        <f>TRUNC(E784*G784,2)</f>
        <v>44607.42</v>
      </c>
      <c r="I784" s="230"/>
      <c r="J784" s="245">
        <f>(20+15+15+20)*6-(5.8*4.5)+(15*2*1.5)+(16+9.5+1.5)*3</f>
        <v>519.9</v>
      </c>
      <c r="K784" s="83"/>
      <c r="L784" s="83"/>
      <c r="M784" s="85"/>
      <c r="N784" s="85"/>
      <c r="O784" s="250"/>
      <c r="P784" s="86"/>
      <c r="Q784" s="99"/>
      <c r="R784" s="6"/>
    </row>
    <row r="785" spans="1:18" s="131" customFormat="1" ht="14.25" outlineLevel="1" x14ac:dyDescent="0.2">
      <c r="A785" s="49" t="s">
        <v>101</v>
      </c>
      <c r="B785" s="47">
        <v>93182</v>
      </c>
      <c r="C785" s="48" t="s">
        <v>437</v>
      </c>
      <c r="D785" s="49" t="s">
        <v>56</v>
      </c>
      <c r="E785" s="50">
        <f>TRUNC(J785,2)</f>
        <v>48.4</v>
      </c>
      <c r="F785" s="50">
        <v>22.18</v>
      </c>
      <c r="G785" s="51">
        <f>TRUNC(F785*$J$13,2)</f>
        <v>27.94</v>
      </c>
      <c r="H785" s="51">
        <f>TRUNC(E785*G785,2)</f>
        <v>1352.29</v>
      </c>
      <c r="I785" s="230"/>
      <c r="J785" s="243">
        <f>1.6*19+1.5*8+1.2*5</f>
        <v>48.400000000000006</v>
      </c>
      <c r="K785" s="83"/>
      <c r="L785" s="83"/>
      <c r="M785" s="85"/>
      <c r="N785" s="85"/>
      <c r="O785" s="250"/>
      <c r="P785" s="86"/>
      <c r="Q785" s="99"/>
      <c r="R785" s="6"/>
    </row>
    <row r="786" spans="1:18" s="131" customFormat="1" ht="15" outlineLevel="1" x14ac:dyDescent="0.2">
      <c r="A786" s="73" t="s">
        <v>117</v>
      </c>
      <c r="B786" s="66"/>
      <c r="C786" s="43" t="s">
        <v>438</v>
      </c>
      <c r="D786" s="41"/>
      <c r="E786" s="43"/>
      <c r="F786" s="43"/>
      <c r="G786" s="43"/>
      <c r="H786" s="41"/>
      <c r="I786" s="221">
        <f>SUM(H787:H791)</f>
        <v>114972.52</v>
      </c>
      <c r="J786" s="244"/>
      <c r="K786" s="12"/>
      <c r="L786" s="12"/>
      <c r="M786" s="4"/>
      <c r="N786" s="4"/>
      <c r="O786" s="4"/>
      <c r="P786" s="5"/>
      <c r="Q786" s="99"/>
      <c r="R786" s="6"/>
    </row>
    <row r="787" spans="1:18" s="131" customFormat="1" ht="33.75" outlineLevel="1" x14ac:dyDescent="0.2">
      <c r="A787" s="49" t="s">
        <v>119</v>
      </c>
      <c r="B787" s="47">
        <v>92580</v>
      </c>
      <c r="C787" s="48" t="s">
        <v>439</v>
      </c>
      <c r="D787" s="49" t="s">
        <v>24</v>
      </c>
      <c r="E787" s="50">
        <f>K787</f>
        <v>488.56</v>
      </c>
      <c r="F787" s="50">
        <v>27.27</v>
      </c>
      <c r="G787" s="51">
        <f>TRUNC(F787*$J$13,2)</f>
        <v>34.36</v>
      </c>
      <c r="H787" s="51">
        <f>TRUNC(E787*G787,2)</f>
        <v>16786.919999999998</v>
      </c>
      <c r="I787" s="230"/>
      <c r="J787" s="251">
        <f>21*15.5</f>
        <v>325.5</v>
      </c>
      <c r="K787" s="83">
        <v>488.56</v>
      </c>
      <c r="L787" s="83"/>
      <c r="M787" s="85"/>
      <c r="N787" s="85"/>
      <c r="O787" s="85"/>
      <c r="P787" s="86"/>
      <c r="Q787" s="99"/>
      <c r="R787" s="6"/>
    </row>
    <row r="788" spans="1:18" s="131" customFormat="1" ht="22.5" outlineLevel="1" x14ac:dyDescent="0.2">
      <c r="A788" s="49" t="s">
        <v>121</v>
      </c>
      <c r="B788" s="47">
        <v>94216</v>
      </c>
      <c r="C788" s="48" t="s">
        <v>440</v>
      </c>
      <c r="D788" s="49" t="s">
        <v>24</v>
      </c>
      <c r="E788" s="50">
        <f>K788</f>
        <v>488.56</v>
      </c>
      <c r="F788" s="50">
        <v>130.59</v>
      </c>
      <c r="G788" s="51">
        <f>TRUNC(F788*$J$13,2)</f>
        <v>164.54</v>
      </c>
      <c r="H788" s="51">
        <f>TRUNC(E788*G788,2)</f>
        <v>80387.66</v>
      </c>
      <c r="I788" s="230"/>
      <c r="J788" s="243">
        <f>J787</f>
        <v>325.5</v>
      </c>
      <c r="K788" s="83">
        <v>488.56</v>
      </c>
      <c r="L788" s="83"/>
      <c r="M788" s="85"/>
      <c r="N788" s="85"/>
      <c r="O788" s="85"/>
      <c r="P788" s="86"/>
      <c r="Q788" s="99"/>
      <c r="R788" s="6"/>
    </row>
    <row r="789" spans="1:18" s="131" customFormat="1" ht="22.5" outlineLevel="1" x14ac:dyDescent="0.2">
      <c r="A789" s="49" t="s">
        <v>123</v>
      </c>
      <c r="B789" s="47">
        <v>94231</v>
      </c>
      <c r="C789" s="48" t="s">
        <v>441</v>
      </c>
      <c r="D789" s="49" t="s">
        <v>56</v>
      </c>
      <c r="E789" s="50">
        <f>TRUNC(J789,2)+K789</f>
        <v>131.19999999999999</v>
      </c>
      <c r="F789" s="50">
        <v>36.200000000000003</v>
      </c>
      <c r="G789" s="51">
        <f>TRUNC(F789*$J$13,2)</f>
        <v>45.61</v>
      </c>
      <c r="H789" s="51">
        <f>TRUNC(E789*G789,2)</f>
        <v>5984.03</v>
      </c>
      <c r="I789" s="230"/>
      <c r="J789" s="243">
        <f>12+12+15.2+15.2+15.45*4</f>
        <v>116.2</v>
      </c>
      <c r="K789" s="83">
        <v>15</v>
      </c>
      <c r="L789" s="83"/>
      <c r="M789" s="85"/>
      <c r="N789" s="85"/>
      <c r="O789" s="85"/>
      <c r="P789" s="86"/>
      <c r="Q789" s="99"/>
      <c r="R789" s="6"/>
    </row>
    <row r="790" spans="1:18" s="131" customFormat="1" ht="22.5" outlineLevel="1" x14ac:dyDescent="0.2">
      <c r="A790" s="49" t="s">
        <v>125</v>
      </c>
      <c r="B790" s="47">
        <v>94228</v>
      </c>
      <c r="C790" s="48" t="s">
        <v>442</v>
      </c>
      <c r="D790" s="49" t="s">
        <v>56</v>
      </c>
      <c r="E790" s="50">
        <f>TRUNC(J790,2)+K790</f>
        <v>76.8</v>
      </c>
      <c r="F790" s="50">
        <v>60.25</v>
      </c>
      <c r="G790" s="51">
        <f>TRUNC(F790*$J$13,2)</f>
        <v>75.91</v>
      </c>
      <c r="H790" s="51">
        <f>TRUNC(E790*G790,2)</f>
        <v>5829.88</v>
      </c>
      <c r="I790" s="230"/>
      <c r="J790" s="243">
        <f>15.45*4</f>
        <v>61.8</v>
      </c>
      <c r="K790" s="83">
        <v>15</v>
      </c>
      <c r="L790" s="83"/>
      <c r="M790" s="85"/>
      <c r="N790" s="85"/>
      <c r="O790" s="85"/>
      <c r="P790" s="86"/>
      <c r="Q790" s="99"/>
      <c r="R790" s="6"/>
    </row>
    <row r="791" spans="1:18" s="131" customFormat="1" ht="22.5" outlineLevel="1" x14ac:dyDescent="0.2">
      <c r="A791" s="49" t="s">
        <v>127</v>
      </c>
      <c r="B791" s="47">
        <v>94231</v>
      </c>
      <c r="C791" s="48" t="s">
        <v>443</v>
      </c>
      <c r="D791" s="49" t="s">
        <v>56</v>
      </c>
      <c r="E791" s="50">
        <f>TRUNC(J791,2)+K791</f>
        <v>131.19999999999999</v>
      </c>
      <c r="F791" s="50">
        <v>36.200000000000003</v>
      </c>
      <c r="G791" s="51">
        <f>TRUNC(F791*$J$13,2)</f>
        <v>45.61</v>
      </c>
      <c r="H791" s="51">
        <f>TRUNC(E791*G791,2)</f>
        <v>5984.03</v>
      </c>
      <c r="I791" s="230"/>
      <c r="J791" s="243">
        <f>J789</f>
        <v>116.2</v>
      </c>
      <c r="K791" s="83">
        <v>15</v>
      </c>
      <c r="L791" s="83"/>
      <c r="M791" s="85"/>
      <c r="N791" s="89"/>
      <c r="O791" s="85"/>
      <c r="P791" s="86"/>
      <c r="Q791" s="99"/>
      <c r="R791" s="6"/>
    </row>
    <row r="792" spans="1:18" s="131" customFormat="1" ht="15" outlineLevel="1" x14ac:dyDescent="0.2">
      <c r="A792" s="73" t="s">
        <v>161</v>
      </c>
      <c r="B792" s="66"/>
      <c r="C792" s="43" t="s">
        <v>52</v>
      </c>
      <c r="D792" s="41"/>
      <c r="E792" s="43"/>
      <c r="F792" s="43"/>
      <c r="G792" s="43"/>
      <c r="H792" s="41"/>
      <c r="I792" s="221">
        <f>SUM(H793:H796)</f>
        <v>26743.079999999998</v>
      </c>
      <c r="J792" s="244">
        <v>80103.03</v>
      </c>
      <c r="K792" s="12"/>
      <c r="L792" s="12"/>
      <c r="M792" s="4"/>
      <c r="N792" s="4"/>
      <c r="O792" s="4"/>
      <c r="P792" s="5"/>
      <c r="Q792" s="99"/>
      <c r="R792" s="6"/>
    </row>
    <row r="793" spans="1:18" s="131" customFormat="1" ht="45" outlineLevel="1" x14ac:dyDescent="0.2">
      <c r="A793" s="49" t="s">
        <v>163</v>
      </c>
      <c r="B793" s="47">
        <v>90843</v>
      </c>
      <c r="C793" s="48" t="s">
        <v>54</v>
      </c>
      <c r="D793" s="49" t="s">
        <v>45</v>
      </c>
      <c r="E793" s="50">
        <v>5</v>
      </c>
      <c r="F793" s="50">
        <v>742.69</v>
      </c>
      <c r="G793" s="51">
        <f>TRUNC(F793*$J$13,2)</f>
        <v>935.78</v>
      </c>
      <c r="H793" s="51">
        <f>TRUNC(E793*G793,2)</f>
        <v>4678.8999999999996</v>
      </c>
      <c r="I793" s="219"/>
      <c r="J793" s="243">
        <v>5</v>
      </c>
      <c r="K793" s="84"/>
      <c r="L793" s="84"/>
      <c r="M793" s="85"/>
      <c r="N793" s="85"/>
      <c r="O793" s="85"/>
      <c r="P793" s="86"/>
      <c r="Q793" s="99"/>
      <c r="R793" s="6"/>
    </row>
    <row r="794" spans="1:18" s="131" customFormat="1" ht="24" customHeight="1" outlineLevel="1" x14ac:dyDescent="0.25">
      <c r="A794" s="49" t="s">
        <v>164</v>
      </c>
      <c r="B794" s="47">
        <v>100701</v>
      </c>
      <c r="C794" s="48" t="s">
        <v>392</v>
      </c>
      <c r="D794" s="49" t="s">
        <v>24</v>
      </c>
      <c r="E794" s="50">
        <f>TRUNC(J794,2)</f>
        <v>15.9</v>
      </c>
      <c r="F794" s="50">
        <v>479.56</v>
      </c>
      <c r="G794" s="51">
        <f>TRUNC(F794*$J$13,2)</f>
        <v>604.24</v>
      </c>
      <c r="H794" s="51">
        <f>TRUNC(E794*G794,2)</f>
        <v>9607.41</v>
      </c>
      <c r="I794" s="252"/>
      <c r="J794" s="253">
        <f>5.05*3.15</f>
        <v>15.907499999999999</v>
      </c>
      <c r="K794" s="96"/>
      <c r="L794" s="96"/>
      <c r="M794" s="97"/>
      <c r="N794" s="97"/>
      <c r="O794" s="97"/>
      <c r="P794" s="107"/>
      <c r="Q794" s="99"/>
      <c r="R794" s="6"/>
    </row>
    <row r="795" spans="1:18" s="131" customFormat="1" ht="22.5" outlineLevel="1" x14ac:dyDescent="0.25">
      <c r="A795" s="49" t="s">
        <v>165</v>
      </c>
      <c r="B795" s="47">
        <v>94559</v>
      </c>
      <c r="C795" s="48" t="s">
        <v>444</v>
      </c>
      <c r="D795" s="49" t="s">
        <v>24</v>
      </c>
      <c r="E795" s="50">
        <f>TRUNC(J795,2)</f>
        <v>9.36</v>
      </c>
      <c r="F795" s="50">
        <v>566.87</v>
      </c>
      <c r="G795" s="51">
        <f>TRUNC(F795*$J$13,2)</f>
        <v>714.25</v>
      </c>
      <c r="H795" s="51">
        <f>TRUNC(E795*G795,2)</f>
        <v>6685.38</v>
      </c>
      <c r="I795" s="252"/>
      <c r="J795" s="253">
        <f>13*1.2*0.6</f>
        <v>9.36</v>
      </c>
      <c r="K795" s="96"/>
      <c r="L795" s="96"/>
      <c r="M795" s="97"/>
      <c r="N795" s="97"/>
      <c r="O795" s="97"/>
      <c r="P795" s="107"/>
      <c r="Q795" s="99"/>
      <c r="R795" s="6"/>
    </row>
    <row r="796" spans="1:18" s="131" customFormat="1" ht="22.5" outlineLevel="1" x14ac:dyDescent="0.2">
      <c r="A796" s="49" t="s">
        <v>166</v>
      </c>
      <c r="B796" s="119">
        <v>94560</v>
      </c>
      <c r="C796" s="48" t="s">
        <v>445</v>
      </c>
      <c r="D796" s="49" t="s">
        <v>24</v>
      </c>
      <c r="E796" s="50">
        <f>TRUNC(J796,2)</f>
        <v>8.8000000000000007</v>
      </c>
      <c r="F796" s="50">
        <v>520.51</v>
      </c>
      <c r="G796" s="51">
        <f>TRUNC(F796*$J$13,2)</f>
        <v>655.84</v>
      </c>
      <c r="H796" s="51">
        <f>TRUNC(E796*G796,2)</f>
        <v>5771.39</v>
      </c>
      <c r="I796" s="220"/>
      <c r="J796" s="253">
        <f>8*1.1*1</f>
        <v>8.8000000000000007</v>
      </c>
      <c r="K796" s="96"/>
      <c r="L796" s="96"/>
      <c r="M796" s="97"/>
      <c r="N796" s="97"/>
      <c r="O796" s="97"/>
      <c r="P796" s="107"/>
      <c r="Q796" s="99"/>
      <c r="R796" s="6"/>
    </row>
    <row r="797" spans="1:18" s="131" customFormat="1" ht="15" outlineLevel="1" x14ac:dyDescent="0.2">
      <c r="A797" s="73" t="s">
        <v>187</v>
      </c>
      <c r="B797" s="66"/>
      <c r="C797" s="43" t="s">
        <v>62</v>
      </c>
      <c r="D797" s="41"/>
      <c r="E797" s="43"/>
      <c r="F797" s="43"/>
      <c r="G797" s="43"/>
      <c r="H797" s="41"/>
      <c r="I797" s="221">
        <f>SUM(H798:H800)</f>
        <v>43232.31</v>
      </c>
      <c r="J797" s="244"/>
      <c r="K797" s="12"/>
      <c r="L797" s="12"/>
      <c r="M797" s="4"/>
      <c r="N797" s="4"/>
      <c r="O797" s="4"/>
      <c r="P797" s="5"/>
      <c r="Q797" s="99"/>
      <c r="R797" s="6"/>
    </row>
    <row r="798" spans="1:18" s="131" customFormat="1" ht="45" outlineLevel="1" x14ac:dyDescent="0.2">
      <c r="A798" s="49" t="s">
        <v>189</v>
      </c>
      <c r="B798" s="47">
        <v>87874</v>
      </c>
      <c r="C798" s="254" t="s">
        <v>446</v>
      </c>
      <c r="D798" s="49" t="s">
        <v>24</v>
      </c>
      <c r="E798" s="50">
        <f>TRUNC(J798,2)</f>
        <v>1039.8</v>
      </c>
      <c r="F798" s="50">
        <v>3.99</v>
      </c>
      <c r="G798" s="51">
        <f>TRUNC(F798*$J$13,2)</f>
        <v>5.0199999999999996</v>
      </c>
      <c r="H798" s="51">
        <f>TRUNC(E798*G798,2)</f>
        <v>5219.79</v>
      </c>
      <c r="I798" s="218"/>
      <c r="J798" s="243">
        <f>J784*2</f>
        <v>1039.8</v>
      </c>
      <c r="K798" s="83"/>
      <c r="L798" s="83"/>
      <c r="M798" s="89"/>
      <c r="N798" s="85"/>
      <c r="O798" s="85"/>
      <c r="P798" s="86"/>
      <c r="Q798" s="99"/>
      <c r="R798" s="6"/>
    </row>
    <row r="799" spans="1:18" s="131" customFormat="1" ht="45" outlineLevel="1" x14ac:dyDescent="0.2">
      <c r="A799" s="49" t="s">
        <v>201</v>
      </c>
      <c r="B799" s="47">
        <v>87530</v>
      </c>
      <c r="C799" s="48" t="s">
        <v>447</v>
      </c>
      <c r="D799" s="49" t="s">
        <v>24</v>
      </c>
      <c r="E799" s="50">
        <f>TRUNC(J799,2)</f>
        <v>1039.8</v>
      </c>
      <c r="F799" s="50">
        <v>27.45</v>
      </c>
      <c r="G799" s="51">
        <f>TRUNC(F799*$J$13,2)</f>
        <v>34.58</v>
      </c>
      <c r="H799" s="51">
        <f>TRUNC(E799*G799,2)</f>
        <v>35956.28</v>
      </c>
      <c r="I799" s="218"/>
      <c r="J799" s="255">
        <f>J798</f>
        <v>1039.8</v>
      </c>
      <c r="K799" s="255">
        <f>TRUNC(H799*J799,2)</f>
        <v>37387339.939999998</v>
      </c>
      <c r="L799" s="83"/>
      <c r="M799" s="89"/>
      <c r="N799" s="85"/>
      <c r="O799" s="85"/>
      <c r="P799" s="86"/>
      <c r="Q799" s="99"/>
      <c r="R799" s="6"/>
    </row>
    <row r="800" spans="1:18" s="131" customFormat="1" ht="33.75" outlineLevel="1" x14ac:dyDescent="0.2">
      <c r="A800" s="49" t="s">
        <v>237</v>
      </c>
      <c r="B800" s="47">
        <v>87266</v>
      </c>
      <c r="C800" s="48" t="s">
        <v>66</v>
      </c>
      <c r="D800" s="49" t="s">
        <v>24</v>
      </c>
      <c r="E800" s="50">
        <f>TRUNC(J800,2)</f>
        <v>37.17</v>
      </c>
      <c r="F800" s="50">
        <v>43.91</v>
      </c>
      <c r="G800" s="51">
        <f>TRUNC(F800*$J$13,2)</f>
        <v>55.32</v>
      </c>
      <c r="H800" s="51">
        <f>TRUNC(E800*G800,2)</f>
        <v>2056.2399999999998</v>
      </c>
      <c r="I800" s="218"/>
      <c r="J800" s="243">
        <f>(3.85*2+5*2)*2.1</f>
        <v>37.17</v>
      </c>
      <c r="K800" s="83"/>
      <c r="L800" s="83"/>
      <c r="M800" s="85"/>
      <c r="N800" s="85"/>
      <c r="O800" s="85"/>
      <c r="P800" s="86"/>
      <c r="Q800" s="99"/>
      <c r="R800" s="6"/>
    </row>
    <row r="801" spans="1:18" s="131" customFormat="1" ht="15" outlineLevel="1" x14ac:dyDescent="0.25">
      <c r="A801" s="73" t="s">
        <v>207</v>
      </c>
      <c r="B801" s="66"/>
      <c r="C801" s="43" t="s">
        <v>76</v>
      </c>
      <c r="D801" s="41"/>
      <c r="E801" s="43"/>
      <c r="F801" s="43"/>
      <c r="G801" s="43"/>
      <c r="H801" s="41"/>
      <c r="I801" s="217">
        <f>SUM(H802:H806)</f>
        <v>72102.84</v>
      </c>
      <c r="J801" s="244"/>
      <c r="K801" s="12"/>
      <c r="L801" s="12"/>
      <c r="M801" s="4"/>
      <c r="N801" s="4"/>
      <c r="O801" s="4"/>
      <c r="P801" s="5"/>
      <c r="Q801" s="99"/>
      <c r="R801" s="6"/>
    </row>
    <row r="802" spans="1:18" s="131" customFormat="1" ht="22.5" outlineLevel="1" x14ac:dyDescent="0.2">
      <c r="A802" s="49" t="s">
        <v>209</v>
      </c>
      <c r="B802" s="47">
        <v>84191</v>
      </c>
      <c r="C802" s="48" t="s">
        <v>83</v>
      </c>
      <c r="D802" s="49" t="s">
        <v>24</v>
      </c>
      <c r="E802" s="50">
        <f>TRUNC(J802,2)</f>
        <v>311.02</v>
      </c>
      <c r="F802" s="50">
        <v>111.14</v>
      </c>
      <c r="G802" s="51">
        <f>TRUNC(F802*$J$13,2)</f>
        <v>140.03</v>
      </c>
      <c r="H802" s="51">
        <f>TRUNC(E802*G802,2)</f>
        <v>43552.13</v>
      </c>
      <c r="I802" s="219"/>
      <c r="J802" s="243">
        <f>74+19.25+19+19.25+179.52</f>
        <v>311.02</v>
      </c>
      <c r="K802" s="84">
        <v>60</v>
      </c>
      <c r="L802" s="84"/>
      <c r="M802" s="85"/>
      <c r="N802" s="85"/>
      <c r="O802" s="85"/>
      <c r="P802" s="86"/>
      <c r="Q802" s="99"/>
      <c r="R802" s="6"/>
    </row>
    <row r="803" spans="1:18" s="131" customFormat="1" ht="33.75" outlineLevel="1" x14ac:dyDescent="0.2">
      <c r="A803" s="49" t="s">
        <v>201</v>
      </c>
      <c r="B803" s="47">
        <v>94991</v>
      </c>
      <c r="C803" s="48" t="s">
        <v>448</v>
      </c>
      <c r="D803" s="49" t="s">
        <v>42</v>
      </c>
      <c r="E803" s="50">
        <f>TRUNC(J803,2)</f>
        <v>7.89</v>
      </c>
      <c r="F803" s="50">
        <v>545.37</v>
      </c>
      <c r="G803" s="51">
        <f>TRUNC(F803*$J$13,2)</f>
        <v>687.16</v>
      </c>
      <c r="H803" s="51">
        <f>TRUNC(E803*G803,2)</f>
        <v>5421.69</v>
      </c>
      <c r="I803" s="219"/>
      <c r="J803" s="243">
        <f>(74+19.25+19+19.25)*0.06</f>
        <v>7.89</v>
      </c>
      <c r="K803" s="84"/>
      <c r="L803" s="84"/>
      <c r="M803" s="85"/>
      <c r="N803" s="85"/>
      <c r="O803" s="85"/>
      <c r="P803" s="86"/>
      <c r="Q803" s="99"/>
      <c r="R803" s="6"/>
    </row>
    <row r="804" spans="1:18" s="131" customFormat="1" ht="33.75" outlineLevel="1" x14ac:dyDescent="0.2">
      <c r="A804" s="49" t="s">
        <v>253</v>
      </c>
      <c r="B804" s="47">
        <v>94994</v>
      </c>
      <c r="C804" s="48" t="s">
        <v>449</v>
      </c>
      <c r="D804" s="49" t="s">
        <v>24</v>
      </c>
      <c r="E804" s="50">
        <f>TRUNC(J804,2)</f>
        <v>179.52</v>
      </c>
      <c r="F804" s="50">
        <v>73.540000000000006</v>
      </c>
      <c r="G804" s="51">
        <f>TRUNC(F804*$J$13,2)</f>
        <v>92.66</v>
      </c>
      <c r="H804" s="51">
        <f>TRUNC(E804*G804,2)</f>
        <v>16634.32</v>
      </c>
      <c r="I804" s="219"/>
      <c r="J804" s="243">
        <v>179.52</v>
      </c>
      <c r="K804" s="84"/>
      <c r="L804" s="84"/>
      <c r="M804" s="85"/>
      <c r="N804" s="85"/>
      <c r="O804" s="85"/>
      <c r="P804" s="86"/>
      <c r="Q804" s="99"/>
      <c r="R804" s="6"/>
    </row>
    <row r="805" spans="1:18" s="131" customFormat="1" ht="33.75" outlineLevel="1" x14ac:dyDescent="0.2">
      <c r="A805" s="49" t="s">
        <v>237</v>
      </c>
      <c r="B805" s="47">
        <v>94991</v>
      </c>
      <c r="C805" s="48" t="s">
        <v>450</v>
      </c>
      <c r="D805" s="49" t="s">
        <v>42</v>
      </c>
      <c r="E805" s="50">
        <f>TRUNC(J805,2)</f>
        <v>4.28</v>
      </c>
      <c r="F805" s="50">
        <v>545.37</v>
      </c>
      <c r="G805" s="51">
        <f>TRUNC(F805*$J$13,2)</f>
        <v>687.16</v>
      </c>
      <c r="H805" s="51">
        <f>TRUNC(E805*G805,2)</f>
        <v>2941.04</v>
      </c>
      <c r="I805" s="219"/>
      <c r="J805" s="243">
        <f>(4.3*9+(12+15.45+12+15.2)*0.6)*0.06</f>
        <v>4.2893999999999997</v>
      </c>
      <c r="K805" s="84"/>
      <c r="L805" s="84"/>
      <c r="M805" s="85"/>
      <c r="N805" s="85"/>
      <c r="O805" s="85"/>
      <c r="P805" s="86"/>
      <c r="Q805" s="99"/>
      <c r="R805" s="6"/>
    </row>
    <row r="806" spans="1:18" s="131" customFormat="1" ht="15" outlineLevel="1" x14ac:dyDescent="0.25">
      <c r="A806" s="49" t="s">
        <v>210</v>
      </c>
      <c r="B806" s="47" t="s">
        <v>451</v>
      </c>
      <c r="C806" s="48" t="s">
        <v>452</v>
      </c>
      <c r="D806" s="49" t="s">
        <v>56</v>
      </c>
      <c r="E806" s="50">
        <f>TRUNC(J806,2)</f>
        <v>126.6</v>
      </c>
      <c r="F806" s="50">
        <v>22.28</v>
      </c>
      <c r="G806" s="51">
        <f>TRUNC(F806*$J$13,2)</f>
        <v>28.07</v>
      </c>
      <c r="H806" s="51">
        <f>TRUNC(E806*G806,2)</f>
        <v>3553.66</v>
      </c>
      <c r="I806" s="256"/>
      <c r="J806" s="83">
        <f>11.85+11.85+15.15+14.8+14.8+5+5+17.7+17.7+17.5-4.75</f>
        <v>126.60000000000002</v>
      </c>
      <c r="K806" s="84"/>
      <c r="L806" s="84"/>
      <c r="M806" s="85"/>
      <c r="N806" s="85"/>
      <c r="O806" s="85"/>
      <c r="P806" s="86"/>
      <c r="Q806" s="99"/>
      <c r="R806" s="6"/>
    </row>
    <row r="807" spans="1:18" s="131" customFormat="1" ht="15" outlineLevel="1" x14ac:dyDescent="0.2">
      <c r="A807" s="73" t="s">
        <v>716</v>
      </c>
      <c r="B807" s="66"/>
      <c r="C807" s="43" t="s">
        <v>87</v>
      </c>
      <c r="D807" s="41"/>
      <c r="E807" s="43"/>
      <c r="F807" s="43"/>
      <c r="G807" s="43"/>
      <c r="H807" s="41"/>
      <c r="I807" s="221">
        <f>SUM(H808)</f>
        <v>1764.4</v>
      </c>
      <c r="J807" s="244"/>
      <c r="K807" s="12"/>
      <c r="L807" s="12"/>
      <c r="M807" s="4"/>
      <c r="N807" s="4"/>
      <c r="O807" s="4"/>
      <c r="P807" s="5"/>
      <c r="Q807" s="99"/>
      <c r="R807" s="6"/>
    </row>
    <row r="808" spans="1:18" s="131" customFormat="1" ht="14.25" outlineLevel="1" x14ac:dyDescent="0.2">
      <c r="A808" s="49" t="s">
        <v>214</v>
      </c>
      <c r="B808" s="47">
        <v>72117</v>
      </c>
      <c r="C808" s="101" t="s">
        <v>89</v>
      </c>
      <c r="D808" s="49" t="s">
        <v>24</v>
      </c>
      <c r="E808" s="50">
        <f>TRUNC(J808,2)</f>
        <v>8.8000000000000007</v>
      </c>
      <c r="F808" s="50">
        <v>159.13</v>
      </c>
      <c r="G808" s="51">
        <f>TRUNC(F808*$J$13,2)</f>
        <v>200.5</v>
      </c>
      <c r="H808" s="51">
        <f>TRUNC(E808*G808,2)</f>
        <v>1764.4</v>
      </c>
      <c r="I808" s="218"/>
      <c r="J808" s="243">
        <f>J796</f>
        <v>8.8000000000000007</v>
      </c>
      <c r="K808" s="83"/>
      <c r="L808" s="83"/>
      <c r="M808" s="85"/>
      <c r="N808" s="85"/>
      <c r="O808" s="85"/>
      <c r="P808" s="86"/>
      <c r="Q808" s="99"/>
      <c r="R808" s="6"/>
    </row>
    <row r="809" spans="1:18" s="131" customFormat="1" ht="15" outlineLevel="1" x14ac:dyDescent="0.2">
      <c r="A809" s="73" t="s">
        <v>300</v>
      </c>
      <c r="B809" s="66"/>
      <c r="C809" s="43" t="s">
        <v>97</v>
      </c>
      <c r="D809" s="41"/>
      <c r="E809" s="43"/>
      <c r="F809" s="43"/>
      <c r="G809" s="43"/>
      <c r="H809" s="41"/>
      <c r="I809" s="221">
        <f>SUM(H810:H819)</f>
        <v>36406.860000000008</v>
      </c>
      <c r="J809" s="244"/>
      <c r="K809" s="12"/>
      <c r="L809" s="12"/>
      <c r="M809" s="4"/>
      <c r="N809" s="4"/>
      <c r="O809" s="4"/>
      <c r="P809" s="5"/>
      <c r="Q809" s="99"/>
      <c r="R809" s="6"/>
    </row>
    <row r="810" spans="1:18" s="131" customFormat="1" ht="22.5" outlineLevel="1" x14ac:dyDescent="0.2">
      <c r="A810" s="49" t="s">
        <v>301</v>
      </c>
      <c r="B810" s="47">
        <v>88415</v>
      </c>
      <c r="C810" s="48" t="s">
        <v>453</v>
      </c>
      <c r="D810" s="49" t="s">
        <v>24</v>
      </c>
      <c r="E810" s="50">
        <f t="shared" ref="E810:E818" si="126">TRUNC(J810,2)</f>
        <v>412.8</v>
      </c>
      <c r="F810" s="50">
        <v>1.83</v>
      </c>
      <c r="G810" s="51">
        <f t="shared" ref="G810:G818" si="127">TRUNC(F810*$J$13,2)</f>
        <v>2.2999999999999998</v>
      </c>
      <c r="H810" s="51">
        <f>TRUNC(E810*G810,2)</f>
        <v>949.44</v>
      </c>
      <c r="I810" s="257"/>
      <c r="J810" s="258">
        <f>(19.7+19.7+14.7+14.7)*6</f>
        <v>412.79999999999995</v>
      </c>
      <c r="K810" s="12"/>
      <c r="L810" s="12"/>
      <c r="M810" s="4"/>
      <c r="N810" s="4"/>
      <c r="O810" s="4"/>
      <c r="P810" s="5"/>
      <c r="Q810" s="99"/>
      <c r="R810" s="6"/>
    </row>
    <row r="811" spans="1:18" s="131" customFormat="1" ht="22.5" outlineLevel="1" x14ac:dyDescent="0.2">
      <c r="A811" s="49" t="s">
        <v>708</v>
      </c>
      <c r="B811" s="47">
        <v>88423</v>
      </c>
      <c r="C811" s="48" t="s">
        <v>99</v>
      </c>
      <c r="D811" s="49" t="s">
        <v>24</v>
      </c>
      <c r="E811" s="50">
        <f t="shared" si="126"/>
        <v>412.8</v>
      </c>
      <c r="F811" s="50">
        <v>16.21</v>
      </c>
      <c r="G811" s="51">
        <f t="shared" si="127"/>
        <v>20.420000000000002</v>
      </c>
      <c r="H811" s="51">
        <f t="shared" ref="H811:H818" si="128">TRUNC(E811*G811,2)</f>
        <v>8429.3700000000008</v>
      </c>
      <c r="I811" s="218"/>
      <c r="J811" s="243">
        <f>J810</f>
        <v>412.79999999999995</v>
      </c>
      <c r="K811" s="83"/>
      <c r="L811" s="83"/>
      <c r="M811" s="85"/>
      <c r="N811" s="85"/>
      <c r="O811" s="85"/>
      <c r="P811" s="86"/>
      <c r="Q811" s="99"/>
      <c r="R811" s="6"/>
    </row>
    <row r="812" spans="1:18" s="131" customFormat="1" ht="14.25" outlineLevel="1" x14ac:dyDescent="0.2">
      <c r="A812" s="49" t="s">
        <v>302</v>
      </c>
      <c r="B812" s="47">
        <v>88496</v>
      </c>
      <c r="C812" s="68" t="s">
        <v>102</v>
      </c>
      <c r="D812" s="49" t="s">
        <v>24</v>
      </c>
      <c r="E812" s="50">
        <f t="shared" si="126"/>
        <v>18.489999999999998</v>
      </c>
      <c r="F812" s="50">
        <v>19.940000000000001</v>
      </c>
      <c r="G812" s="51">
        <f t="shared" si="127"/>
        <v>25.12</v>
      </c>
      <c r="H812" s="51">
        <f t="shared" si="128"/>
        <v>464.46</v>
      </c>
      <c r="I812" s="218"/>
      <c r="J812" s="245">
        <f>4.3*4.3</f>
        <v>18.489999999999998</v>
      </c>
      <c r="K812" s="83"/>
      <c r="L812" s="83"/>
      <c r="M812" s="85"/>
      <c r="N812" s="85"/>
      <c r="O812" s="85"/>
      <c r="P812" s="86"/>
      <c r="Q812" s="99"/>
      <c r="R812" s="6"/>
    </row>
    <row r="813" spans="1:18" s="131" customFormat="1" ht="22.5" outlineLevel="1" x14ac:dyDescent="0.2">
      <c r="A813" s="49" t="s">
        <v>717</v>
      </c>
      <c r="B813" s="47">
        <v>88488</v>
      </c>
      <c r="C813" s="48" t="s">
        <v>105</v>
      </c>
      <c r="D813" s="49" t="s">
        <v>24</v>
      </c>
      <c r="E813" s="50">
        <f t="shared" si="126"/>
        <v>18.489999999999998</v>
      </c>
      <c r="F813" s="50">
        <v>12.65</v>
      </c>
      <c r="G813" s="51">
        <f t="shared" si="127"/>
        <v>15.93</v>
      </c>
      <c r="H813" s="51">
        <f t="shared" si="128"/>
        <v>294.54000000000002</v>
      </c>
      <c r="I813" s="218"/>
      <c r="J813" s="243">
        <f>J812</f>
        <v>18.489999999999998</v>
      </c>
      <c r="K813" s="83"/>
      <c r="L813" s="83"/>
      <c r="M813" s="85"/>
      <c r="N813" s="85"/>
      <c r="O813" s="85"/>
      <c r="P813" s="86"/>
      <c r="Q813" s="99"/>
      <c r="R813" s="6"/>
    </row>
    <row r="814" spans="1:18" s="131" customFormat="1" ht="14.25" outlineLevel="1" x14ac:dyDescent="0.2">
      <c r="A814" s="49" t="s">
        <v>718</v>
      </c>
      <c r="B814" s="47">
        <v>88497</v>
      </c>
      <c r="C814" s="68" t="s">
        <v>233</v>
      </c>
      <c r="D814" s="49" t="s">
        <v>24</v>
      </c>
      <c r="E814" s="50">
        <f t="shared" si="126"/>
        <v>621.26</v>
      </c>
      <c r="F814" s="50">
        <v>11.24</v>
      </c>
      <c r="G814" s="51">
        <f t="shared" si="127"/>
        <v>14.16</v>
      </c>
      <c r="H814" s="51">
        <f t="shared" si="128"/>
        <v>8797.0400000000009</v>
      </c>
      <c r="I814" s="218"/>
      <c r="J814" s="258">
        <f>(19.7+19.7+14.7+14.7)*6+(16+9.5+1.5)*2*3+10.1*4.6</f>
        <v>621.26</v>
      </c>
      <c r="K814" s="83"/>
      <c r="L814" s="83"/>
      <c r="M814" s="85"/>
      <c r="N814" s="85"/>
      <c r="O814" s="85"/>
      <c r="P814" s="86"/>
      <c r="Q814" s="99"/>
      <c r="R814" s="6"/>
    </row>
    <row r="815" spans="1:18" s="131" customFormat="1" ht="22.5" outlineLevel="1" x14ac:dyDescent="0.2">
      <c r="A815" s="49" t="s">
        <v>719</v>
      </c>
      <c r="B815" s="47">
        <v>88489</v>
      </c>
      <c r="C815" s="48" t="s">
        <v>109</v>
      </c>
      <c r="D815" s="49" t="s">
        <v>24</v>
      </c>
      <c r="E815" s="50">
        <f t="shared" si="126"/>
        <v>621.26</v>
      </c>
      <c r="F815" s="50">
        <v>11.3</v>
      </c>
      <c r="G815" s="51">
        <f t="shared" si="127"/>
        <v>14.23</v>
      </c>
      <c r="H815" s="51">
        <f t="shared" si="128"/>
        <v>8840.52</v>
      </c>
      <c r="I815" s="218"/>
      <c r="J815" s="243">
        <f>J814</f>
        <v>621.26</v>
      </c>
      <c r="K815" s="83"/>
      <c r="L815" s="83"/>
      <c r="M815" s="85"/>
      <c r="N815" s="85"/>
      <c r="O815" s="85"/>
      <c r="P815" s="86"/>
      <c r="Q815" s="99"/>
      <c r="R815" s="6"/>
    </row>
    <row r="816" spans="1:18" s="131" customFormat="1" ht="22.5" outlineLevel="1" x14ac:dyDescent="0.2">
      <c r="A816" s="49" t="s">
        <v>720</v>
      </c>
      <c r="B816" s="47">
        <v>100725</v>
      </c>
      <c r="C816" s="48" t="s">
        <v>805</v>
      </c>
      <c r="D816" s="49" t="s">
        <v>24</v>
      </c>
      <c r="E816" s="50">
        <f>1.2*0.6*17*2</f>
        <v>24.48</v>
      </c>
      <c r="F816" s="50">
        <v>16.12</v>
      </c>
      <c r="G816" s="51">
        <f t="shared" si="127"/>
        <v>20.309999999999999</v>
      </c>
      <c r="H816" s="51">
        <f t="shared" si="128"/>
        <v>497.18</v>
      </c>
      <c r="I816" s="218"/>
      <c r="J816" s="243"/>
      <c r="K816" s="83"/>
      <c r="L816" s="83"/>
      <c r="M816" s="85"/>
      <c r="N816" s="85"/>
      <c r="O816" s="85"/>
      <c r="P816" s="86"/>
      <c r="Q816" s="99"/>
      <c r="R816" s="6"/>
    </row>
    <row r="817" spans="1:18" s="131" customFormat="1" ht="14.25" outlineLevel="1" x14ac:dyDescent="0.2">
      <c r="A817" s="49" t="s">
        <v>721</v>
      </c>
      <c r="B817" s="47" t="s">
        <v>110</v>
      </c>
      <c r="C817" s="48" t="s">
        <v>111</v>
      </c>
      <c r="D817" s="49" t="s">
        <v>24</v>
      </c>
      <c r="E817" s="50">
        <v>16.8</v>
      </c>
      <c r="F817" s="50">
        <v>15.01</v>
      </c>
      <c r="G817" s="51">
        <f t="shared" si="127"/>
        <v>18.91</v>
      </c>
      <c r="H817" s="51">
        <f t="shared" si="128"/>
        <v>317.68</v>
      </c>
      <c r="I817" s="218"/>
      <c r="J817" s="243" t="e">
        <f>#REF!</f>
        <v>#REF!</v>
      </c>
      <c r="K817" s="83"/>
      <c r="L817" s="83"/>
      <c r="M817" s="85"/>
      <c r="N817" s="85"/>
      <c r="O817" s="85"/>
      <c r="P817" s="86"/>
      <c r="Q817" s="99"/>
      <c r="R817" s="6"/>
    </row>
    <row r="818" spans="1:18" s="131" customFormat="1" ht="14.25" outlineLevel="1" x14ac:dyDescent="0.2">
      <c r="A818" s="49" t="s">
        <v>722</v>
      </c>
      <c r="B818" s="47" t="s">
        <v>335</v>
      </c>
      <c r="C818" s="48" t="s">
        <v>114</v>
      </c>
      <c r="D818" s="49" t="s">
        <v>24</v>
      </c>
      <c r="E818" s="50">
        <f t="shared" si="126"/>
        <v>68.13</v>
      </c>
      <c r="F818" s="50">
        <v>15.01</v>
      </c>
      <c r="G818" s="51">
        <f t="shared" si="127"/>
        <v>18.91</v>
      </c>
      <c r="H818" s="51">
        <f t="shared" si="128"/>
        <v>1288.33</v>
      </c>
      <c r="I818" s="218"/>
      <c r="J818" s="243">
        <f>8*1.1*1*2+13*1.2*0.6*2+J794*2</f>
        <v>68.134999999999991</v>
      </c>
      <c r="K818" s="83"/>
      <c r="L818" s="83"/>
      <c r="M818" s="85"/>
      <c r="N818" s="85"/>
      <c r="O818" s="85"/>
      <c r="P818" s="86"/>
      <c r="Q818" s="99"/>
      <c r="R818" s="6"/>
    </row>
    <row r="819" spans="1:18" s="131" customFormat="1" ht="14.25" outlineLevel="1" x14ac:dyDescent="0.2">
      <c r="A819" s="49" t="s">
        <v>722</v>
      </c>
      <c r="B819" s="47" t="s">
        <v>454</v>
      </c>
      <c r="C819" s="48" t="s">
        <v>455</v>
      </c>
      <c r="D819" s="49" t="s">
        <v>24</v>
      </c>
      <c r="E819" s="50">
        <f>TRUNC(J819,2)</f>
        <v>311.02</v>
      </c>
      <c r="F819" s="50">
        <v>16.66</v>
      </c>
      <c r="G819" s="51">
        <f>TRUNC(F819*$J$13,2)</f>
        <v>20.99</v>
      </c>
      <c r="H819" s="51">
        <f>TRUNC(E819*G819,2)</f>
        <v>6528.3</v>
      </c>
      <c r="I819" s="220"/>
      <c r="J819" s="253">
        <f>J802</f>
        <v>311.02</v>
      </c>
      <c r="K819" s="83"/>
      <c r="L819" s="83"/>
      <c r="M819" s="85"/>
      <c r="N819" s="85"/>
      <c r="O819" s="85"/>
      <c r="P819" s="86"/>
      <c r="Q819" s="99"/>
      <c r="R819" s="6"/>
    </row>
    <row r="820" spans="1:18" s="131" customFormat="1" ht="15" outlineLevel="1" x14ac:dyDescent="0.2">
      <c r="A820" s="73" t="s">
        <v>388</v>
      </c>
      <c r="B820" s="66"/>
      <c r="C820" s="43" t="s">
        <v>118</v>
      </c>
      <c r="D820" s="41"/>
      <c r="E820" s="43"/>
      <c r="F820" s="43"/>
      <c r="G820" s="43"/>
      <c r="H820" s="41"/>
      <c r="I820" s="221">
        <f>SUM(H821:H863)</f>
        <v>50967.509999999987</v>
      </c>
      <c r="J820" s="244"/>
      <c r="K820" s="12"/>
      <c r="L820" s="12"/>
      <c r="M820" s="4"/>
      <c r="N820" s="4"/>
      <c r="O820" s="4"/>
      <c r="P820" s="5"/>
      <c r="Q820" s="99"/>
      <c r="R820" s="6"/>
    </row>
    <row r="821" spans="1:18" s="131" customFormat="1" ht="14.25" outlineLevel="1" x14ac:dyDescent="0.2">
      <c r="A821" s="49" t="s">
        <v>389</v>
      </c>
      <c r="B821" s="47">
        <v>96989</v>
      </c>
      <c r="C821" s="48" t="s">
        <v>456</v>
      </c>
      <c r="D821" s="49" t="s">
        <v>398</v>
      </c>
      <c r="E821" s="50">
        <f t="shared" ref="E821:E863" si="129">TRUNC(J821,2)</f>
        <v>2</v>
      </c>
      <c r="F821" s="50">
        <v>103.39</v>
      </c>
      <c r="G821" s="51">
        <f t="shared" ref="G821:G827" si="130">TRUNC(F821*$J$13,2)</f>
        <v>130.27000000000001</v>
      </c>
      <c r="H821" s="51">
        <f t="shared" ref="H821:H831" si="131">TRUNC(E821*G821,2)</f>
        <v>260.54000000000002</v>
      </c>
      <c r="I821" s="220"/>
      <c r="J821" s="253">
        <v>2</v>
      </c>
      <c r="K821" s="259"/>
      <c r="L821" s="95"/>
      <c r="M821" s="97"/>
      <c r="N821" s="97">
        <f>53*3</f>
        <v>159</v>
      </c>
      <c r="O821" s="97"/>
      <c r="P821" s="107"/>
      <c r="Q821" s="99"/>
      <c r="R821" s="6"/>
    </row>
    <row r="822" spans="1:18" s="131" customFormat="1" ht="14.25" outlineLevel="1" x14ac:dyDescent="0.2">
      <c r="A822" s="49" t="s">
        <v>723</v>
      </c>
      <c r="B822" s="378">
        <v>72315</v>
      </c>
      <c r="C822" s="48" t="s">
        <v>457</v>
      </c>
      <c r="D822" s="49" t="s">
        <v>398</v>
      </c>
      <c r="E822" s="50">
        <f t="shared" si="129"/>
        <v>12</v>
      </c>
      <c r="F822" s="50">
        <v>26.87</v>
      </c>
      <c r="G822" s="51">
        <f>TRUNC(F822*$J$13,2)</f>
        <v>33.85</v>
      </c>
      <c r="H822" s="51">
        <f>TRUNC(E822*G822,2)</f>
        <v>406.2</v>
      </c>
      <c r="I822" s="220"/>
      <c r="J822" s="253">
        <v>12</v>
      </c>
      <c r="K822" s="259"/>
      <c r="L822" s="95"/>
      <c r="M822" s="97"/>
      <c r="N822" s="97"/>
      <c r="O822" s="97"/>
      <c r="P822" s="107"/>
      <c r="Q822" s="99"/>
      <c r="R822" s="6"/>
    </row>
    <row r="823" spans="1:18" s="131" customFormat="1" ht="22.5" outlineLevel="1" x14ac:dyDescent="0.2">
      <c r="A823" s="49" t="s">
        <v>724</v>
      </c>
      <c r="B823" s="47">
        <v>98463</v>
      </c>
      <c r="C823" s="48" t="s">
        <v>458</v>
      </c>
      <c r="D823" s="49" t="s">
        <v>398</v>
      </c>
      <c r="E823" s="50">
        <f t="shared" si="129"/>
        <v>93</v>
      </c>
      <c r="F823" s="50">
        <v>19.27</v>
      </c>
      <c r="G823" s="51">
        <f>TRUNC(F823*$J$13,2)</f>
        <v>24.28</v>
      </c>
      <c r="H823" s="51">
        <f>TRUNC(E823*G823,2)</f>
        <v>2258.04</v>
      </c>
      <c r="I823" s="220"/>
      <c r="J823" s="253">
        <f>(16+16+16+7+7+7+24)</f>
        <v>93</v>
      </c>
      <c r="K823" s="259"/>
      <c r="L823" s="95"/>
      <c r="M823" s="97"/>
      <c r="N823" s="97"/>
      <c r="O823" s="97"/>
      <c r="P823" s="107"/>
      <c r="Q823" s="99"/>
      <c r="R823" s="6"/>
    </row>
    <row r="824" spans="1:18" s="131" customFormat="1" ht="22.5" outlineLevel="1" x14ac:dyDescent="0.2">
      <c r="A824" s="49" t="s">
        <v>725</v>
      </c>
      <c r="B824" s="47">
        <v>96973</v>
      </c>
      <c r="C824" s="48" t="s">
        <v>459</v>
      </c>
      <c r="D824" s="49" t="s">
        <v>56</v>
      </c>
      <c r="E824" s="50">
        <f t="shared" si="129"/>
        <v>149.30000000000001</v>
      </c>
      <c r="F824" s="50">
        <v>39.159999999999997</v>
      </c>
      <c r="G824" s="51">
        <f>TRUNC(F824*$J$13,2)</f>
        <v>49.34</v>
      </c>
      <c r="H824" s="51">
        <f>TRUNC(E824*G824,2)</f>
        <v>7366.46</v>
      </c>
      <c r="I824" s="220"/>
      <c r="J824" s="253">
        <f>(37+37+15.3+15.3+15.3+(4.9*6))</f>
        <v>149.29999999999998</v>
      </c>
      <c r="K824" s="259"/>
      <c r="L824" s="95"/>
      <c r="M824" s="97"/>
      <c r="N824" s="97"/>
      <c r="O824" s="97"/>
      <c r="P824" s="107"/>
      <c r="Q824" s="99"/>
      <c r="R824" s="6"/>
    </row>
    <row r="825" spans="1:18" s="131" customFormat="1" ht="22.5" outlineLevel="1" x14ac:dyDescent="0.2">
      <c r="A825" s="49" t="s">
        <v>726</v>
      </c>
      <c r="B825" s="47">
        <v>96974</v>
      </c>
      <c r="C825" s="48" t="s">
        <v>460</v>
      </c>
      <c r="D825" s="49" t="s">
        <v>56</v>
      </c>
      <c r="E825" s="50">
        <f t="shared" si="129"/>
        <v>120.1</v>
      </c>
      <c r="F825" s="50">
        <v>49.86</v>
      </c>
      <c r="G825" s="51">
        <f t="shared" si="130"/>
        <v>62.82</v>
      </c>
      <c r="H825" s="51">
        <f t="shared" si="131"/>
        <v>7544.68</v>
      </c>
      <c r="I825" s="220"/>
      <c r="J825" s="253">
        <f>(4.8*6)+15.3+37+37+2</f>
        <v>120.1</v>
      </c>
      <c r="K825" s="259"/>
      <c r="L825" s="95"/>
      <c r="M825" s="97"/>
      <c r="N825" s="100"/>
      <c r="O825" s="97"/>
      <c r="P825" s="107"/>
      <c r="Q825" s="99"/>
      <c r="R825" s="6"/>
    </row>
    <row r="826" spans="1:18" s="131" customFormat="1" ht="22.5" outlineLevel="1" x14ac:dyDescent="0.2">
      <c r="A826" s="49" t="s">
        <v>727</v>
      </c>
      <c r="B826" s="47">
        <v>96985</v>
      </c>
      <c r="C826" s="48" t="s">
        <v>461</v>
      </c>
      <c r="D826" s="49" t="s">
        <v>398</v>
      </c>
      <c r="E826" s="50">
        <f t="shared" si="129"/>
        <v>18</v>
      </c>
      <c r="F826" s="50">
        <v>44.95</v>
      </c>
      <c r="G826" s="51">
        <f t="shared" si="130"/>
        <v>56.63</v>
      </c>
      <c r="H826" s="51">
        <f t="shared" si="131"/>
        <v>1019.34</v>
      </c>
      <c r="I826" s="220"/>
      <c r="J826" s="253">
        <v>18</v>
      </c>
      <c r="K826" s="259"/>
      <c r="L826" s="95"/>
      <c r="M826" s="97"/>
      <c r="N826" s="100"/>
      <c r="O826" s="97"/>
      <c r="P826" s="107"/>
      <c r="Q826" s="99"/>
      <c r="R826" s="6"/>
    </row>
    <row r="827" spans="1:18" s="131" customFormat="1" ht="22.5" outlineLevel="1" x14ac:dyDescent="0.2">
      <c r="A827" s="49" t="s">
        <v>728</v>
      </c>
      <c r="B827" s="378">
        <v>72272</v>
      </c>
      <c r="C827" s="48" t="s">
        <v>462</v>
      </c>
      <c r="D827" s="49" t="s">
        <v>398</v>
      </c>
      <c r="E827" s="50">
        <f t="shared" si="129"/>
        <v>18</v>
      </c>
      <c r="F827" s="50">
        <v>13.06</v>
      </c>
      <c r="G827" s="51">
        <f t="shared" si="130"/>
        <v>16.45</v>
      </c>
      <c r="H827" s="51">
        <f t="shared" si="131"/>
        <v>296.10000000000002</v>
      </c>
      <c r="I827" s="220"/>
      <c r="J827" s="253">
        <v>18</v>
      </c>
      <c r="K827" s="259"/>
      <c r="L827" s="95"/>
      <c r="M827" s="97"/>
      <c r="N827" s="100"/>
      <c r="O827" s="97"/>
      <c r="P827" s="107"/>
      <c r="Q827" s="99"/>
      <c r="R827" s="6"/>
    </row>
    <row r="828" spans="1:18" s="131" customFormat="1" ht="22.5" outlineLevel="1" x14ac:dyDescent="0.2">
      <c r="A828" s="49" t="s">
        <v>729</v>
      </c>
      <c r="B828" s="47">
        <v>72263</v>
      </c>
      <c r="C828" s="48" t="s">
        <v>463</v>
      </c>
      <c r="D828" s="49" t="s">
        <v>398</v>
      </c>
      <c r="E828" s="50">
        <f t="shared" si="129"/>
        <v>8</v>
      </c>
      <c r="F828" s="50">
        <v>19.22</v>
      </c>
      <c r="G828" s="51">
        <f>TRUNC(F828*$J$13,2)</f>
        <v>24.21</v>
      </c>
      <c r="H828" s="51">
        <f>TRUNC(E828*G828,2)</f>
        <v>193.68</v>
      </c>
      <c r="I828" s="220"/>
      <c r="J828" s="253">
        <v>8</v>
      </c>
      <c r="K828" s="259"/>
      <c r="L828" s="95"/>
      <c r="M828" s="97"/>
      <c r="N828" s="100"/>
      <c r="O828" s="97"/>
      <c r="P828" s="107"/>
      <c r="Q828" s="99"/>
      <c r="R828" s="6"/>
    </row>
    <row r="829" spans="1:18" s="131" customFormat="1" ht="14.25" outlineLevel="1" x14ac:dyDescent="0.2">
      <c r="A829" s="49" t="s">
        <v>730</v>
      </c>
      <c r="B829" s="47">
        <v>83446</v>
      </c>
      <c r="C829" s="48" t="s">
        <v>464</v>
      </c>
      <c r="D829" s="49" t="s">
        <v>398</v>
      </c>
      <c r="E829" s="50">
        <f t="shared" si="129"/>
        <v>4</v>
      </c>
      <c r="F829" s="50">
        <v>162.57</v>
      </c>
      <c r="G829" s="51">
        <f>TRUNC(F829*$J$13,2)</f>
        <v>204.83</v>
      </c>
      <c r="H829" s="51">
        <f>TRUNC(E829*G829,2)</f>
        <v>819.32</v>
      </c>
      <c r="I829" s="220"/>
      <c r="J829" s="253">
        <v>4</v>
      </c>
      <c r="K829" s="259"/>
      <c r="L829" s="95"/>
      <c r="M829" s="97"/>
      <c r="N829" s="100"/>
      <c r="O829" s="97"/>
      <c r="P829" s="107"/>
      <c r="Q829" s="99"/>
      <c r="R829" s="6"/>
    </row>
    <row r="830" spans="1:18" s="131" customFormat="1" ht="22.5" outlineLevel="1" x14ac:dyDescent="0.2">
      <c r="A830" s="49" t="s">
        <v>731</v>
      </c>
      <c r="B830" s="47">
        <v>97902</v>
      </c>
      <c r="C830" s="48" t="s">
        <v>465</v>
      </c>
      <c r="D830" s="49" t="s">
        <v>398</v>
      </c>
      <c r="E830" s="50">
        <f t="shared" si="129"/>
        <v>2</v>
      </c>
      <c r="F830" s="50">
        <v>449.1</v>
      </c>
      <c r="G830" s="51">
        <f>TRUNC(F830*$J$13,2)</f>
        <v>565.86</v>
      </c>
      <c r="H830" s="51">
        <f>TRUNC(E830*G830,2)</f>
        <v>1131.72</v>
      </c>
      <c r="I830" s="220"/>
      <c r="J830" s="253">
        <v>2</v>
      </c>
      <c r="K830" s="259"/>
      <c r="L830" s="95"/>
      <c r="M830" s="97"/>
      <c r="N830" s="100"/>
      <c r="O830" s="97"/>
      <c r="P830" s="107"/>
      <c r="Q830" s="99"/>
      <c r="R830" s="6"/>
    </row>
    <row r="831" spans="1:18" s="131" customFormat="1" ht="22.5" outlineLevel="1" x14ac:dyDescent="0.2">
      <c r="A831" s="49" t="s">
        <v>732</v>
      </c>
      <c r="B831" s="47">
        <v>92986</v>
      </c>
      <c r="C831" s="48" t="s">
        <v>466</v>
      </c>
      <c r="D831" s="49" t="s">
        <v>56</v>
      </c>
      <c r="E831" s="50">
        <f t="shared" si="129"/>
        <v>165.2</v>
      </c>
      <c r="F831" s="50">
        <v>24.61</v>
      </c>
      <c r="G831" s="51">
        <f t="shared" ref="G831:G861" si="132">TRUNC(F831*$J$13,2)</f>
        <v>31</v>
      </c>
      <c r="H831" s="51">
        <f t="shared" si="131"/>
        <v>5121.2</v>
      </c>
      <c r="I831" s="220"/>
      <c r="J831" s="253">
        <f>(1.5+12.3+26+1.5)*4</f>
        <v>165.2</v>
      </c>
      <c r="K831" s="95"/>
      <c r="L831" s="95"/>
      <c r="M831" s="97"/>
      <c r="N831" s="97"/>
      <c r="O831" s="97"/>
      <c r="P831" s="107"/>
      <c r="Q831" s="99"/>
      <c r="R831" s="6"/>
    </row>
    <row r="832" spans="1:18" s="131" customFormat="1" ht="22.5" outlineLevel="1" x14ac:dyDescent="0.2">
      <c r="A832" s="49" t="s">
        <v>733</v>
      </c>
      <c r="B832" s="47">
        <v>91932</v>
      </c>
      <c r="C832" s="48" t="s">
        <v>120</v>
      </c>
      <c r="D832" s="49" t="s">
        <v>56</v>
      </c>
      <c r="E832" s="50">
        <f t="shared" si="129"/>
        <v>50.4</v>
      </c>
      <c r="F832" s="50">
        <v>9.9499999999999993</v>
      </c>
      <c r="G832" s="51">
        <f t="shared" si="132"/>
        <v>12.53</v>
      </c>
      <c r="H832" s="51">
        <f>TRUNC(E832*G832,2)</f>
        <v>631.51</v>
      </c>
      <c r="I832" s="220"/>
      <c r="J832" s="253">
        <f>(1.5+1.5+13.8)*3</f>
        <v>50.400000000000006</v>
      </c>
      <c r="K832" s="95"/>
      <c r="L832" s="95"/>
      <c r="M832" s="97"/>
      <c r="N832" s="97"/>
      <c r="O832" s="97"/>
      <c r="P832" s="107"/>
      <c r="Q832" s="99"/>
      <c r="R832" s="6"/>
    </row>
    <row r="833" spans="1:18" s="131" customFormat="1" ht="22.5" outlineLevel="1" x14ac:dyDescent="0.2">
      <c r="A833" s="49" t="s">
        <v>734</v>
      </c>
      <c r="B833" s="47">
        <v>91930</v>
      </c>
      <c r="C833" s="48" t="s">
        <v>122</v>
      </c>
      <c r="D833" s="49" t="s">
        <v>56</v>
      </c>
      <c r="E833" s="50">
        <f t="shared" si="129"/>
        <v>192.8</v>
      </c>
      <c r="F833" s="50">
        <v>6.06</v>
      </c>
      <c r="G833" s="51">
        <f t="shared" si="132"/>
        <v>7.63</v>
      </c>
      <c r="H833" s="51">
        <f>TRUNC(E833*G833,2)</f>
        <v>1471.06</v>
      </c>
      <c r="I833" s="220"/>
      <c r="J833" s="253">
        <f>((24+3+1.5+1)*6)+(15.8)</f>
        <v>192.8</v>
      </c>
      <c r="K833" s="95"/>
      <c r="L833" s="95"/>
      <c r="M833" s="97"/>
      <c r="N833" s="97"/>
      <c r="O833" s="97"/>
      <c r="P833" s="107"/>
      <c r="Q833" s="99"/>
      <c r="R833" s="6"/>
    </row>
    <row r="834" spans="1:18" s="131" customFormat="1" ht="22.5" outlineLevel="1" x14ac:dyDescent="0.2">
      <c r="A834" s="49" t="s">
        <v>735</v>
      </c>
      <c r="B834" s="47">
        <v>91928</v>
      </c>
      <c r="C834" s="48" t="s">
        <v>124</v>
      </c>
      <c r="D834" s="49" t="s">
        <v>56</v>
      </c>
      <c r="E834" s="50">
        <f t="shared" si="129"/>
        <v>126.68</v>
      </c>
      <c r="F834" s="50">
        <v>4.42</v>
      </c>
      <c r="G834" s="51">
        <f t="shared" si="132"/>
        <v>5.56</v>
      </c>
      <c r="H834" s="51">
        <f t="shared" ref="H834:H861" si="133">TRUNC(E834*G834,2)</f>
        <v>704.34</v>
      </c>
      <c r="I834" s="220"/>
      <c r="J834" s="253">
        <f>(17.79+13.88)*4</f>
        <v>126.68</v>
      </c>
      <c r="K834" s="260">
        <f>(17.79+13.88)</f>
        <v>31.67</v>
      </c>
      <c r="L834" s="96"/>
      <c r="M834" s="97"/>
      <c r="N834" s="97"/>
      <c r="O834" s="97"/>
      <c r="P834" s="107"/>
      <c r="Q834" s="99"/>
      <c r="R834" s="6"/>
    </row>
    <row r="835" spans="1:18" s="131" customFormat="1" ht="22.5" outlineLevel="1" x14ac:dyDescent="0.2">
      <c r="A835" s="49" t="s">
        <v>736</v>
      </c>
      <c r="B835" s="47">
        <v>91927</v>
      </c>
      <c r="C835" s="48" t="s">
        <v>126</v>
      </c>
      <c r="D835" s="49" t="s">
        <v>56</v>
      </c>
      <c r="E835" s="50">
        <f t="shared" si="129"/>
        <v>1020.18</v>
      </c>
      <c r="F835" s="50">
        <v>3.58</v>
      </c>
      <c r="G835" s="51">
        <f t="shared" si="132"/>
        <v>4.51</v>
      </c>
      <c r="H835" s="51">
        <f t="shared" si="133"/>
        <v>4601.01</v>
      </c>
      <c r="I835" s="220"/>
      <c r="J835" s="253">
        <f>3*(36.5+10.11+46.87+2.17+1.81+1.67+4.34+78.03+11.71+15.4+28.46+21.63+47.95+33.41)</f>
        <v>1020.1800000000002</v>
      </c>
      <c r="K835" s="260">
        <f>(36.5+10.11+46.87+2.17+1.81+1.67+4.34+78.03+11.71+15.4+28.46+21.63+47.95+33.41)</f>
        <v>340.06000000000006</v>
      </c>
      <c r="L835" s="96">
        <f>K834+K835</f>
        <v>371.73000000000008</v>
      </c>
      <c r="M835" s="97"/>
      <c r="N835" s="97"/>
      <c r="O835" s="97"/>
      <c r="P835" s="107"/>
      <c r="Q835" s="99"/>
      <c r="R835" s="6"/>
    </row>
    <row r="836" spans="1:18" s="131" customFormat="1" ht="22.5" outlineLevel="1" x14ac:dyDescent="0.2">
      <c r="A836" s="49" t="s">
        <v>737</v>
      </c>
      <c r="B836" s="47">
        <v>90447</v>
      </c>
      <c r="C836" s="48" t="s">
        <v>128</v>
      </c>
      <c r="D836" s="49" t="s">
        <v>56</v>
      </c>
      <c r="E836" s="50">
        <f t="shared" si="129"/>
        <v>106.5</v>
      </c>
      <c r="F836" s="50">
        <v>4.45</v>
      </c>
      <c r="G836" s="51">
        <f t="shared" si="132"/>
        <v>5.6</v>
      </c>
      <c r="H836" s="51">
        <f t="shared" si="133"/>
        <v>596.4</v>
      </c>
      <c r="I836" s="220"/>
      <c r="J836" s="253">
        <f>21+8.5+6+3+11+22+35.002</f>
        <v>106.50200000000001</v>
      </c>
      <c r="K836" s="96"/>
      <c r="L836" s="96"/>
      <c r="M836" s="97"/>
      <c r="N836" s="97"/>
      <c r="O836" s="97"/>
      <c r="P836" s="107"/>
      <c r="Q836" s="99"/>
      <c r="R836" s="6"/>
    </row>
    <row r="837" spans="1:18" s="131" customFormat="1" ht="22.5" outlineLevel="1" x14ac:dyDescent="0.2">
      <c r="A837" s="49" t="s">
        <v>738</v>
      </c>
      <c r="B837" s="47">
        <v>91854</v>
      </c>
      <c r="C837" s="48" t="s">
        <v>467</v>
      </c>
      <c r="D837" s="49" t="s">
        <v>56</v>
      </c>
      <c r="E837" s="50">
        <f t="shared" si="129"/>
        <v>371.73</v>
      </c>
      <c r="F837" s="50">
        <v>6.03</v>
      </c>
      <c r="G837" s="51">
        <f t="shared" si="132"/>
        <v>7.59</v>
      </c>
      <c r="H837" s="51">
        <f t="shared" si="133"/>
        <v>2821.43</v>
      </c>
      <c r="I837" s="220"/>
      <c r="J837" s="253">
        <f>K834+K835</f>
        <v>371.73000000000008</v>
      </c>
      <c r="K837" s="96"/>
      <c r="L837" s="96"/>
      <c r="M837" s="97"/>
      <c r="N837" s="97"/>
      <c r="O837" s="97"/>
      <c r="P837" s="107"/>
      <c r="Q837" s="99"/>
      <c r="R837" s="6"/>
    </row>
    <row r="838" spans="1:18" s="131" customFormat="1" ht="22.5" outlineLevel="1" x14ac:dyDescent="0.2">
      <c r="A838" s="49" t="s">
        <v>739</v>
      </c>
      <c r="B838" s="47">
        <v>91873</v>
      </c>
      <c r="C838" s="48" t="s">
        <v>468</v>
      </c>
      <c r="D838" s="49" t="s">
        <v>56</v>
      </c>
      <c r="E838" s="50">
        <f t="shared" si="129"/>
        <v>34.6</v>
      </c>
      <c r="F838" s="50">
        <v>12.48</v>
      </c>
      <c r="G838" s="51">
        <f t="shared" si="132"/>
        <v>15.72</v>
      </c>
      <c r="H838" s="51">
        <f t="shared" si="133"/>
        <v>543.91</v>
      </c>
      <c r="I838" s="220"/>
      <c r="J838" s="253">
        <f>((2.8)*6)+(12.8+5)</f>
        <v>34.599999999999994</v>
      </c>
      <c r="K838" s="96"/>
      <c r="L838" s="96"/>
      <c r="M838" s="97"/>
      <c r="N838" s="97"/>
      <c r="O838" s="110"/>
      <c r="P838" s="107"/>
      <c r="Q838" s="99"/>
      <c r="R838" s="6"/>
    </row>
    <row r="839" spans="1:18" s="131" customFormat="1" ht="22.5" outlineLevel="1" x14ac:dyDescent="0.2">
      <c r="A839" s="49" t="s">
        <v>740</v>
      </c>
      <c r="B839" s="47">
        <v>91836</v>
      </c>
      <c r="C839" s="48" t="s">
        <v>131</v>
      </c>
      <c r="D839" s="49" t="s">
        <v>56</v>
      </c>
      <c r="E839" s="50">
        <f t="shared" si="129"/>
        <v>52</v>
      </c>
      <c r="F839" s="50">
        <v>7.55</v>
      </c>
      <c r="G839" s="51">
        <f t="shared" si="132"/>
        <v>9.51</v>
      </c>
      <c r="H839" s="51">
        <f t="shared" si="133"/>
        <v>494.52</v>
      </c>
      <c r="I839" s="220"/>
      <c r="J839" s="253">
        <f>(24+2)*2</f>
        <v>52</v>
      </c>
      <c r="K839" s="96"/>
      <c r="L839" s="96"/>
      <c r="M839" s="97"/>
      <c r="N839" s="97"/>
      <c r="O839" s="110"/>
      <c r="P839" s="107"/>
      <c r="Q839" s="99"/>
      <c r="R839" s="6"/>
    </row>
    <row r="840" spans="1:18" s="131" customFormat="1" ht="22.5" outlineLevel="1" x14ac:dyDescent="0.2">
      <c r="A840" s="49" t="s">
        <v>741</v>
      </c>
      <c r="B840" s="47">
        <v>93009</v>
      </c>
      <c r="C840" s="48" t="s">
        <v>469</v>
      </c>
      <c r="D840" s="49" t="s">
        <v>56</v>
      </c>
      <c r="E840" s="50">
        <f t="shared" si="129"/>
        <v>55.3</v>
      </c>
      <c r="F840" s="50">
        <v>14.44</v>
      </c>
      <c r="G840" s="51">
        <f t="shared" si="132"/>
        <v>18.190000000000001</v>
      </c>
      <c r="H840" s="51">
        <f t="shared" si="133"/>
        <v>1005.9</v>
      </c>
      <c r="I840" s="220"/>
      <c r="J840" s="253">
        <f>(1.5+23.5+13.5)+(6*2.8)</f>
        <v>55.3</v>
      </c>
      <c r="K840" s="96"/>
      <c r="L840" s="96"/>
      <c r="M840" s="97"/>
      <c r="N840" s="97"/>
      <c r="O840" s="97"/>
      <c r="P840" s="107"/>
      <c r="Q840" s="99"/>
      <c r="R840" s="6"/>
    </row>
    <row r="841" spans="1:18" s="131" customFormat="1" ht="22.5" outlineLevel="1" x14ac:dyDescent="0.2">
      <c r="A841" s="49" t="s">
        <v>742</v>
      </c>
      <c r="B841" s="47">
        <v>92008</v>
      </c>
      <c r="C841" s="48" t="s">
        <v>339</v>
      </c>
      <c r="D841" s="49" t="s">
        <v>398</v>
      </c>
      <c r="E841" s="50">
        <f t="shared" si="129"/>
        <v>39</v>
      </c>
      <c r="F841" s="50">
        <v>27.23</v>
      </c>
      <c r="G841" s="51">
        <f t="shared" si="132"/>
        <v>34.299999999999997</v>
      </c>
      <c r="H841" s="51">
        <f t="shared" si="133"/>
        <v>1337.7</v>
      </c>
      <c r="I841" s="220"/>
      <c r="J841" s="253">
        <v>39</v>
      </c>
      <c r="K841" s="95"/>
      <c r="L841" s="95"/>
      <c r="M841" s="97"/>
      <c r="N841" s="97"/>
      <c r="O841" s="97"/>
      <c r="P841" s="107"/>
      <c r="Q841" s="99"/>
      <c r="R841" s="6"/>
    </row>
    <row r="842" spans="1:18" s="131" customFormat="1" ht="22.5" outlineLevel="1" x14ac:dyDescent="0.2">
      <c r="A842" s="49" t="s">
        <v>743</v>
      </c>
      <c r="B842" s="47">
        <v>91993</v>
      </c>
      <c r="C842" s="48" t="s">
        <v>470</v>
      </c>
      <c r="D842" s="49" t="s">
        <v>398</v>
      </c>
      <c r="E842" s="50">
        <f t="shared" si="129"/>
        <v>4</v>
      </c>
      <c r="F842" s="50">
        <v>26.81</v>
      </c>
      <c r="G842" s="51">
        <f t="shared" si="132"/>
        <v>33.78</v>
      </c>
      <c r="H842" s="51">
        <f t="shared" si="133"/>
        <v>135.12</v>
      </c>
      <c r="I842" s="220"/>
      <c r="J842" s="253">
        <v>4</v>
      </c>
      <c r="K842" s="95"/>
      <c r="L842" s="95"/>
      <c r="M842" s="97"/>
      <c r="N842" s="97"/>
      <c r="O842" s="97"/>
      <c r="P842" s="111"/>
      <c r="Q842" s="99"/>
      <c r="R842" s="6"/>
    </row>
    <row r="843" spans="1:18" s="131" customFormat="1" ht="22.5" outlineLevel="1" x14ac:dyDescent="0.2">
      <c r="A843" s="49" t="s">
        <v>744</v>
      </c>
      <c r="B843" s="47">
        <v>91953</v>
      </c>
      <c r="C843" s="48" t="s">
        <v>140</v>
      </c>
      <c r="D843" s="49" t="s">
        <v>398</v>
      </c>
      <c r="E843" s="50">
        <f t="shared" si="129"/>
        <v>4</v>
      </c>
      <c r="F843" s="50">
        <v>16.14</v>
      </c>
      <c r="G843" s="51">
        <f t="shared" si="132"/>
        <v>20.329999999999998</v>
      </c>
      <c r="H843" s="51">
        <f t="shared" si="133"/>
        <v>81.319999999999993</v>
      </c>
      <c r="I843" s="220"/>
      <c r="J843" s="253">
        <v>4</v>
      </c>
      <c r="K843" s="95"/>
      <c r="L843" s="95"/>
      <c r="M843" s="97"/>
      <c r="N843" s="97"/>
      <c r="O843" s="97"/>
      <c r="P843" s="111"/>
      <c r="Q843" s="99"/>
      <c r="R843" s="6"/>
    </row>
    <row r="844" spans="1:18" s="131" customFormat="1" ht="22.5" outlineLevel="1" x14ac:dyDescent="0.2">
      <c r="A844" s="49" t="s">
        <v>745</v>
      </c>
      <c r="B844" s="47">
        <v>91959</v>
      </c>
      <c r="C844" s="48" t="s">
        <v>141</v>
      </c>
      <c r="D844" s="49" t="s">
        <v>398</v>
      </c>
      <c r="E844" s="50">
        <f t="shared" si="129"/>
        <v>2</v>
      </c>
      <c r="F844" s="50">
        <v>25.5</v>
      </c>
      <c r="G844" s="51">
        <f t="shared" si="132"/>
        <v>32.130000000000003</v>
      </c>
      <c r="H844" s="51">
        <f t="shared" si="133"/>
        <v>64.260000000000005</v>
      </c>
      <c r="I844" s="220"/>
      <c r="J844" s="253">
        <v>2</v>
      </c>
      <c r="K844" s="95"/>
      <c r="L844" s="95"/>
      <c r="M844" s="97"/>
      <c r="N844" s="97"/>
      <c r="O844" s="97"/>
      <c r="P844" s="107"/>
      <c r="Q844" s="99"/>
      <c r="R844" s="6"/>
    </row>
    <row r="845" spans="1:18" s="131" customFormat="1" ht="22.5" outlineLevel="1" x14ac:dyDescent="0.2">
      <c r="A845" s="49" t="s">
        <v>746</v>
      </c>
      <c r="B845" s="47">
        <v>91967</v>
      </c>
      <c r="C845" s="48" t="s">
        <v>471</v>
      </c>
      <c r="D845" s="49" t="s">
        <v>398</v>
      </c>
      <c r="E845" s="50">
        <f t="shared" si="129"/>
        <v>6</v>
      </c>
      <c r="F845" s="50">
        <v>34.880000000000003</v>
      </c>
      <c r="G845" s="51">
        <f t="shared" si="132"/>
        <v>43.94</v>
      </c>
      <c r="H845" s="51">
        <f t="shared" si="133"/>
        <v>263.64</v>
      </c>
      <c r="I845" s="220"/>
      <c r="J845" s="253">
        <v>6</v>
      </c>
      <c r="K845" s="95"/>
      <c r="L845" s="95"/>
      <c r="M845" s="97"/>
      <c r="N845" s="97"/>
      <c r="O845" s="97"/>
      <c r="P845" s="107"/>
      <c r="Q845" s="99"/>
      <c r="R845" s="6"/>
    </row>
    <row r="846" spans="1:18" s="131" customFormat="1" ht="22.5" outlineLevel="1" x14ac:dyDescent="0.2">
      <c r="A846" s="49" t="s">
        <v>747</v>
      </c>
      <c r="B846" s="47">
        <v>97592</v>
      </c>
      <c r="C846" s="48" t="s">
        <v>472</v>
      </c>
      <c r="D846" s="49" t="s">
        <v>398</v>
      </c>
      <c r="E846" s="50">
        <f t="shared" si="129"/>
        <v>45</v>
      </c>
      <c r="F846" s="50">
        <v>30.26</v>
      </c>
      <c r="G846" s="51">
        <f t="shared" si="132"/>
        <v>38.119999999999997</v>
      </c>
      <c r="H846" s="51">
        <f t="shared" si="133"/>
        <v>1715.4</v>
      </c>
      <c r="I846" s="220"/>
      <c r="J846" s="253">
        <v>45</v>
      </c>
      <c r="K846" s="95"/>
      <c r="L846" s="95"/>
      <c r="M846" s="97"/>
      <c r="N846" s="97"/>
      <c r="O846" s="97"/>
      <c r="P846" s="107"/>
      <c r="Q846" s="99"/>
      <c r="R846" s="6"/>
    </row>
    <row r="847" spans="1:18" s="131" customFormat="1" ht="22.5" outlineLevel="1" x14ac:dyDescent="0.2">
      <c r="A847" s="49" t="s">
        <v>748</v>
      </c>
      <c r="B847" s="224" t="s">
        <v>650</v>
      </c>
      <c r="C847" s="261" t="s">
        <v>397</v>
      </c>
      <c r="D847" s="49" t="s">
        <v>398</v>
      </c>
      <c r="E847" s="50">
        <f t="shared" si="129"/>
        <v>21</v>
      </c>
      <c r="F847" s="50">
        <v>112.46</v>
      </c>
      <c r="G847" s="51">
        <f>TRUNC(F847*$J$13,2)</f>
        <v>141.69</v>
      </c>
      <c r="H847" s="51">
        <f>TRUNC(E847*G847,2)</f>
        <v>2975.49</v>
      </c>
      <c r="I847" s="220"/>
      <c r="J847" s="253">
        <f>20+1</f>
        <v>21</v>
      </c>
      <c r="K847" s="95"/>
      <c r="L847" s="95"/>
      <c r="M847" s="97"/>
      <c r="N847" s="97"/>
      <c r="O847" s="97"/>
      <c r="P847" s="107"/>
      <c r="Q847" s="99"/>
      <c r="R847" s="6"/>
    </row>
    <row r="848" spans="1:18" s="131" customFormat="1" ht="22.5" outlineLevel="1" x14ac:dyDescent="0.2">
      <c r="A848" s="49" t="s">
        <v>749</v>
      </c>
      <c r="B848" s="224" t="s">
        <v>396</v>
      </c>
      <c r="C848" s="261" t="s">
        <v>473</v>
      </c>
      <c r="D848" s="49" t="s">
        <v>398</v>
      </c>
      <c r="E848" s="50">
        <f t="shared" si="129"/>
        <v>4</v>
      </c>
      <c r="F848" s="50">
        <v>306.86</v>
      </c>
      <c r="G848" s="51">
        <f>TRUNC(F848*$J$13,2)</f>
        <v>386.64</v>
      </c>
      <c r="H848" s="51">
        <f>TRUNC(E848*G848,2)</f>
        <v>1546.56</v>
      </c>
      <c r="I848" s="220"/>
      <c r="J848" s="253">
        <v>4</v>
      </c>
      <c r="K848" s="95"/>
      <c r="L848" s="95"/>
      <c r="M848" s="97"/>
      <c r="N848" s="97"/>
      <c r="O848" s="97"/>
      <c r="P848" s="107"/>
      <c r="Q848" s="99"/>
      <c r="R848" s="6"/>
    </row>
    <row r="849" spans="1:18" s="131" customFormat="1" ht="22.5" outlineLevel="1" x14ac:dyDescent="0.2">
      <c r="A849" s="49" t="s">
        <v>750</v>
      </c>
      <c r="B849" s="47">
        <v>93673</v>
      </c>
      <c r="C849" s="261" t="s">
        <v>474</v>
      </c>
      <c r="D849" s="49" t="s">
        <v>398</v>
      </c>
      <c r="E849" s="50">
        <f t="shared" si="129"/>
        <v>2</v>
      </c>
      <c r="F849" s="50">
        <v>75.680000000000007</v>
      </c>
      <c r="G849" s="51">
        <f>TRUNC(F849*$J$13,2)</f>
        <v>95.35</v>
      </c>
      <c r="H849" s="51">
        <f>TRUNC(E849*G849,2)</f>
        <v>190.7</v>
      </c>
      <c r="I849" s="220"/>
      <c r="J849" s="253">
        <v>2</v>
      </c>
      <c r="K849" s="95"/>
      <c r="L849" s="95"/>
      <c r="M849" s="97"/>
      <c r="N849" s="97"/>
      <c r="O849" s="97"/>
      <c r="P849" s="107"/>
      <c r="Q849" s="99"/>
      <c r="R849" s="6"/>
    </row>
    <row r="850" spans="1:18" s="131" customFormat="1" ht="22.5" outlineLevel="1" x14ac:dyDescent="0.2">
      <c r="A850" s="49" t="s">
        <v>751</v>
      </c>
      <c r="B850" s="47" t="s">
        <v>348</v>
      </c>
      <c r="C850" s="48" t="s">
        <v>349</v>
      </c>
      <c r="D850" s="49" t="s">
        <v>398</v>
      </c>
      <c r="E850" s="50">
        <f t="shared" si="129"/>
        <v>2</v>
      </c>
      <c r="F850" s="50">
        <v>105.48</v>
      </c>
      <c r="G850" s="51">
        <f t="shared" si="132"/>
        <v>132.9</v>
      </c>
      <c r="H850" s="51">
        <f t="shared" si="133"/>
        <v>265.8</v>
      </c>
      <c r="I850" s="220"/>
      <c r="J850" s="253">
        <v>2</v>
      </c>
      <c r="K850" s="95"/>
      <c r="L850" s="95"/>
      <c r="M850" s="97"/>
      <c r="N850" s="97"/>
      <c r="O850" s="97"/>
      <c r="P850" s="107"/>
      <c r="Q850" s="99"/>
      <c r="R850" s="6"/>
    </row>
    <row r="851" spans="1:18" s="131" customFormat="1" ht="22.5" outlineLevel="1" x14ac:dyDescent="0.2">
      <c r="A851" s="49" t="s">
        <v>752</v>
      </c>
      <c r="B851" s="47">
        <v>93653</v>
      </c>
      <c r="C851" s="48" t="s">
        <v>142</v>
      </c>
      <c r="D851" s="49" t="s">
        <v>398</v>
      </c>
      <c r="E851" s="50">
        <f t="shared" si="129"/>
        <v>4</v>
      </c>
      <c r="F851" s="50">
        <v>9.3699999999999992</v>
      </c>
      <c r="G851" s="51">
        <f t="shared" si="132"/>
        <v>11.8</v>
      </c>
      <c r="H851" s="51">
        <f t="shared" si="133"/>
        <v>47.2</v>
      </c>
      <c r="I851" s="220"/>
      <c r="J851" s="253">
        <v>4</v>
      </c>
      <c r="K851" s="95"/>
      <c r="L851" s="95"/>
      <c r="M851" s="97"/>
      <c r="N851" s="97"/>
      <c r="O851" s="97"/>
      <c r="P851" s="107"/>
      <c r="Q851" s="99"/>
      <c r="R851" s="6"/>
    </row>
    <row r="852" spans="1:18" s="131" customFormat="1" ht="22.5" outlineLevel="1" x14ac:dyDescent="0.2">
      <c r="A852" s="49" t="s">
        <v>753</v>
      </c>
      <c r="B852" s="47">
        <v>93654</v>
      </c>
      <c r="C852" s="48" t="s">
        <v>475</v>
      </c>
      <c r="D852" s="49" t="s">
        <v>398</v>
      </c>
      <c r="E852" s="50">
        <f t="shared" si="129"/>
        <v>4</v>
      </c>
      <c r="F852" s="50">
        <v>9.7899999999999991</v>
      </c>
      <c r="G852" s="51">
        <f t="shared" si="132"/>
        <v>12.33</v>
      </c>
      <c r="H852" s="51">
        <f t="shared" si="133"/>
        <v>49.32</v>
      </c>
      <c r="I852" s="220"/>
      <c r="J852" s="253">
        <v>4</v>
      </c>
      <c r="K852" s="95"/>
      <c r="L852" s="95"/>
      <c r="M852" s="97"/>
      <c r="N852" s="97"/>
      <c r="O852" s="97"/>
      <c r="P852" s="107"/>
      <c r="Q852" s="99"/>
      <c r="R852" s="6"/>
    </row>
    <row r="853" spans="1:18" s="131" customFormat="1" ht="22.5" outlineLevel="1" x14ac:dyDescent="0.2">
      <c r="A853" s="49" t="s">
        <v>754</v>
      </c>
      <c r="B853" s="47">
        <v>93655</v>
      </c>
      <c r="C853" s="48" t="s">
        <v>143</v>
      </c>
      <c r="D853" s="49" t="s">
        <v>398</v>
      </c>
      <c r="E853" s="50">
        <f t="shared" si="129"/>
        <v>2</v>
      </c>
      <c r="F853" s="50">
        <v>10.59</v>
      </c>
      <c r="G853" s="51">
        <f t="shared" si="132"/>
        <v>13.34</v>
      </c>
      <c r="H853" s="51">
        <f t="shared" si="133"/>
        <v>26.68</v>
      </c>
      <c r="I853" s="220"/>
      <c r="J853" s="253">
        <v>2</v>
      </c>
      <c r="K853" s="95"/>
      <c r="L853" s="95"/>
      <c r="M853" s="97"/>
      <c r="N853" s="97"/>
      <c r="O853" s="97"/>
      <c r="P853" s="107"/>
      <c r="Q853" s="99"/>
      <c r="R853" s="6"/>
    </row>
    <row r="854" spans="1:18" s="131" customFormat="1" ht="22.5" outlineLevel="1" x14ac:dyDescent="0.2">
      <c r="A854" s="49" t="s">
        <v>755</v>
      </c>
      <c r="B854" s="47">
        <v>93662</v>
      </c>
      <c r="C854" s="48" t="s">
        <v>146</v>
      </c>
      <c r="D854" s="49" t="s">
        <v>398</v>
      </c>
      <c r="E854" s="50">
        <f t="shared" si="129"/>
        <v>2</v>
      </c>
      <c r="F854" s="50">
        <v>49.38</v>
      </c>
      <c r="G854" s="51">
        <f t="shared" si="132"/>
        <v>62.21</v>
      </c>
      <c r="H854" s="51">
        <f t="shared" si="133"/>
        <v>124.42</v>
      </c>
      <c r="I854" s="220"/>
      <c r="J854" s="253">
        <v>2</v>
      </c>
      <c r="K854" s="95"/>
      <c r="L854" s="95"/>
      <c r="M854" s="97"/>
      <c r="N854" s="97"/>
      <c r="O854" s="97"/>
      <c r="P854" s="107"/>
      <c r="Q854" s="99"/>
      <c r="R854" s="6"/>
    </row>
    <row r="855" spans="1:18" s="131" customFormat="1" ht="22.5" outlineLevel="1" x14ac:dyDescent="0.2">
      <c r="A855" s="49" t="s">
        <v>756</v>
      </c>
      <c r="B855" s="47">
        <v>93663</v>
      </c>
      <c r="C855" s="48" t="s">
        <v>476</v>
      </c>
      <c r="D855" s="49" t="s">
        <v>398</v>
      </c>
      <c r="E855" s="50">
        <f t="shared" si="129"/>
        <v>4</v>
      </c>
      <c r="F855" s="50">
        <v>49.38</v>
      </c>
      <c r="G855" s="51">
        <f t="shared" si="132"/>
        <v>62.21</v>
      </c>
      <c r="H855" s="51">
        <f t="shared" si="133"/>
        <v>248.84</v>
      </c>
      <c r="I855" s="220"/>
      <c r="J855" s="253">
        <v>4</v>
      </c>
      <c r="K855" s="95"/>
      <c r="L855" s="95"/>
      <c r="M855" s="97"/>
      <c r="N855" s="97"/>
      <c r="O855" s="97"/>
      <c r="P855" s="107"/>
      <c r="Q855" s="99"/>
      <c r="R855" s="6"/>
    </row>
    <row r="856" spans="1:18" s="131" customFormat="1" ht="22.5" outlineLevel="1" x14ac:dyDescent="0.2">
      <c r="A856" s="49" t="s">
        <v>757</v>
      </c>
      <c r="B856" s="47" t="s">
        <v>667</v>
      </c>
      <c r="C856" s="48" t="s">
        <v>477</v>
      </c>
      <c r="D856" s="49" t="s">
        <v>398</v>
      </c>
      <c r="E856" s="50">
        <f t="shared" si="129"/>
        <v>4</v>
      </c>
      <c r="F856" s="50">
        <v>80.11</v>
      </c>
      <c r="G856" s="51">
        <f t="shared" si="132"/>
        <v>100.93</v>
      </c>
      <c r="H856" s="51">
        <f t="shared" si="133"/>
        <v>403.72</v>
      </c>
      <c r="I856" s="220"/>
      <c r="J856" s="253">
        <v>4</v>
      </c>
      <c r="K856" s="95"/>
      <c r="L856" s="95"/>
      <c r="M856" s="97"/>
      <c r="N856" s="97"/>
      <c r="O856" s="97"/>
      <c r="P856" s="107"/>
      <c r="Q856" s="99"/>
      <c r="R856" s="6"/>
    </row>
    <row r="857" spans="1:18" s="131" customFormat="1" ht="14.25" outlineLevel="1" x14ac:dyDescent="0.2">
      <c r="A857" s="49" t="s">
        <v>758</v>
      </c>
      <c r="B857" s="47" t="s">
        <v>668</v>
      </c>
      <c r="C857" s="48" t="s">
        <v>478</v>
      </c>
      <c r="D857" s="49" t="s">
        <v>398</v>
      </c>
      <c r="E857" s="50">
        <f t="shared" si="129"/>
        <v>1</v>
      </c>
      <c r="F857" s="50">
        <v>392.31</v>
      </c>
      <c r="G857" s="51">
        <f t="shared" si="132"/>
        <v>494.31</v>
      </c>
      <c r="H857" s="51">
        <f t="shared" si="133"/>
        <v>494.31</v>
      </c>
      <c r="I857" s="220"/>
      <c r="J857" s="253">
        <v>1</v>
      </c>
      <c r="K857" s="95"/>
      <c r="L857" s="95"/>
      <c r="M857" s="97"/>
      <c r="N857" s="97"/>
      <c r="O857" s="97"/>
      <c r="P857" s="107"/>
      <c r="Q857" s="99"/>
      <c r="R857" s="6"/>
    </row>
    <row r="858" spans="1:18" s="131" customFormat="1" ht="22.5" outlineLevel="1" x14ac:dyDescent="0.25">
      <c r="A858" s="49" t="s">
        <v>759</v>
      </c>
      <c r="B858" s="47">
        <v>91944</v>
      </c>
      <c r="C858" s="48" t="s">
        <v>152</v>
      </c>
      <c r="D858" s="49" t="s">
        <v>398</v>
      </c>
      <c r="E858" s="50">
        <f t="shared" si="129"/>
        <v>9</v>
      </c>
      <c r="F858" s="50">
        <v>9.3000000000000007</v>
      </c>
      <c r="G858" s="51">
        <f t="shared" si="132"/>
        <v>11.71</v>
      </c>
      <c r="H858" s="51">
        <f t="shared" si="133"/>
        <v>105.39</v>
      </c>
      <c r="I858" s="252"/>
      <c r="J858" s="253">
        <v>9</v>
      </c>
      <c r="K858" s="95"/>
      <c r="L858" s="95"/>
      <c r="M858" s="97"/>
      <c r="N858" s="97"/>
      <c r="O858" s="97"/>
      <c r="P858" s="107"/>
      <c r="Q858" s="99"/>
      <c r="R858" s="6"/>
    </row>
    <row r="859" spans="1:18" s="131" customFormat="1" ht="33.75" outlineLevel="1" x14ac:dyDescent="0.25">
      <c r="A859" s="49" t="s">
        <v>760</v>
      </c>
      <c r="B859" s="47">
        <v>83463</v>
      </c>
      <c r="C859" s="48" t="s">
        <v>153</v>
      </c>
      <c r="D859" s="49" t="s">
        <v>398</v>
      </c>
      <c r="E859" s="50">
        <f>TRUNC(J859,2)</f>
        <v>1</v>
      </c>
      <c r="F859" s="50">
        <v>356.52</v>
      </c>
      <c r="G859" s="51">
        <f>TRUNC(F859*$J$13,2)</f>
        <v>449.21</v>
      </c>
      <c r="H859" s="51">
        <f>TRUNC(E859*G859,2)</f>
        <v>449.21</v>
      </c>
      <c r="I859" s="252"/>
      <c r="J859" s="253">
        <v>1</v>
      </c>
      <c r="K859" s="95"/>
      <c r="L859" s="95"/>
      <c r="M859" s="97"/>
      <c r="N859" s="97"/>
      <c r="O859" s="97"/>
      <c r="P859" s="107"/>
      <c r="Q859" s="99"/>
      <c r="R859" s="6"/>
    </row>
    <row r="860" spans="1:18" s="131" customFormat="1" ht="33.75" outlineLevel="1" x14ac:dyDescent="0.2">
      <c r="A860" s="49" t="s">
        <v>761</v>
      </c>
      <c r="B860" s="47" t="s">
        <v>479</v>
      </c>
      <c r="C860" s="48" t="s">
        <v>480</v>
      </c>
      <c r="D860" s="49" t="s">
        <v>398</v>
      </c>
      <c r="E860" s="50">
        <f t="shared" si="129"/>
        <v>1</v>
      </c>
      <c r="F860" s="50">
        <v>526.85</v>
      </c>
      <c r="G860" s="51">
        <f t="shared" si="132"/>
        <v>663.83</v>
      </c>
      <c r="H860" s="51">
        <f t="shared" si="133"/>
        <v>663.83</v>
      </c>
      <c r="I860" s="220"/>
      <c r="J860" s="253">
        <v>1</v>
      </c>
      <c r="K860" s="95"/>
      <c r="L860" s="95"/>
      <c r="M860" s="97"/>
      <c r="N860" s="97"/>
      <c r="O860" s="97"/>
      <c r="P860" s="107"/>
      <c r="Q860" s="99"/>
      <c r="R860" s="6"/>
    </row>
    <row r="861" spans="1:18" s="131" customFormat="1" ht="22.5" outlineLevel="1" x14ac:dyDescent="0.2">
      <c r="A861" s="49" t="s">
        <v>762</v>
      </c>
      <c r="B861" s="47">
        <v>91941</v>
      </c>
      <c r="C861" s="48" t="s">
        <v>151</v>
      </c>
      <c r="D861" s="49" t="s">
        <v>398</v>
      </c>
      <c r="E861" s="50">
        <f t="shared" si="129"/>
        <v>41</v>
      </c>
      <c r="F861" s="50">
        <v>6.8</v>
      </c>
      <c r="G861" s="51">
        <f t="shared" si="132"/>
        <v>8.56</v>
      </c>
      <c r="H861" s="51">
        <f t="shared" si="133"/>
        <v>350.96</v>
      </c>
      <c r="I861" s="220"/>
      <c r="J861" s="253">
        <v>41</v>
      </c>
      <c r="K861" s="95"/>
      <c r="L861" s="95"/>
      <c r="M861" s="97"/>
      <c r="N861" s="97"/>
      <c r="O861" s="97"/>
      <c r="P861" s="107"/>
      <c r="Q861" s="99"/>
      <c r="R861" s="6"/>
    </row>
    <row r="862" spans="1:18" s="131" customFormat="1" ht="22.5" outlineLevel="1" x14ac:dyDescent="0.2">
      <c r="A862" s="49" t="s">
        <v>763</v>
      </c>
      <c r="B862" s="47">
        <v>98111</v>
      </c>
      <c r="C862" s="48" t="s">
        <v>481</v>
      </c>
      <c r="D862" s="49" t="s">
        <v>398</v>
      </c>
      <c r="E862" s="50">
        <f t="shared" si="129"/>
        <v>4</v>
      </c>
      <c r="F862" s="50">
        <v>19.899999999999999</v>
      </c>
      <c r="G862" s="51">
        <f>TRUNC(F862*$J$13,2)</f>
        <v>25.07</v>
      </c>
      <c r="H862" s="51">
        <f>TRUNC(E862*G862,2)</f>
        <v>100.28</v>
      </c>
      <c r="I862" s="220"/>
      <c r="J862" s="253">
        <v>4</v>
      </c>
      <c r="K862" s="95"/>
      <c r="L862" s="95"/>
      <c r="M862" s="97"/>
      <c r="N862" s="97"/>
      <c r="O862" s="97"/>
      <c r="P862" s="107"/>
      <c r="Q862" s="99"/>
      <c r="R862" s="6"/>
    </row>
    <row r="863" spans="1:18" s="131" customFormat="1" ht="22.5" outlineLevel="1" x14ac:dyDescent="0.2">
      <c r="A863" s="49" t="s">
        <v>764</v>
      </c>
      <c r="B863" s="47">
        <v>83399</v>
      </c>
      <c r="C863" s="48" t="s">
        <v>482</v>
      </c>
      <c r="D863" s="49" t="s">
        <v>398</v>
      </c>
      <c r="E863" s="50">
        <f t="shared" si="129"/>
        <v>1</v>
      </c>
      <c r="F863" s="50">
        <v>31.75</v>
      </c>
      <c r="G863" s="51">
        <f>TRUNC(F863*$J$13,2)</f>
        <v>40</v>
      </c>
      <c r="H863" s="51">
        <f>TRUNC(E863*G863,2)</f>
        <v>40</v>
      </c>
      <c r="I863" s="220"/>
      <c r="J863" s="253">
        <v>1</v>
      </c>
      <c r="K863" s="95"/>
      <c r="L863" s="95"/>
      <c r="M863" s="97"/>
      <c r="N863" s="97"/>
      <c r="O863" s="97"/>
      <c r="P863" s="107"/>
      <c r="Q863" s="99"/>
      <c r="R863" s="6"/>
    </row>
    <row r="864" spans="1:18" s="131" customFormat="1" ht="15" outlineLevel="1" x14ac:dyDescent="0.2">
      <c r="A864" s="73" t="s">
        <v>765</v>
      </c>
      <c r="B864" s="66"/>
      <c r="C864" s="43" t="s">
        <v>162</v>
      </c>
      <c r="D864" s="41"/>
      <c r="E864" s="43"/>
      <c r="F864" s="43"/>
      <c r="G864" s="43"/>
      <c r="H864" s="41"/>
      <c r="I864" s="221">
        <f>SUM(H865:H876)</f>
        <v>7126.8399999999992</v>
      </c>
      <c r="J864" s="241"/>
      <c r="K864" s="25"/>
      <c r="L864" s="25"/>
      <c r="M864" s="26"/>
      <c r="N864" s="26"/>
      <c r="O864" s="26"/>
      <c r="P864" s="115"/>
      <c r="Q864" s="99"/>
      <c r="R864" s="6"/>
    </row>
    <row r="865" spans="1:18" s="131" customFormat="1" ht="22.5" outlineLevel="1" x14ac:dyDescent="0.2">
      <c r="A865" s="49" t="s">
        <v>766</v>
      </c>
      <c r="B865" s="47">
        <v>91944</v>
      </c>
      <c r="C865" s="48" t="s">
        <v>152</v>
      </c>
      <c r="D865" s="49" t="s">
        <v>45</v>
      </c>
      <c r="E865" s="50">
        <f>TRUNC(J865,2)</f>
        <v>2</v>
      </c>
      <c r="F865" s="50">
        <v>9.3000000000000007</v>
      </c>
      <c r="G865" s="51">
        <f>TRUNC(F865*$J$13,2)</f>
        <v>11.71</v>
      </c>
      <c r="H865" s="51">
        <f>TRUNC(E865*G865,2)</f>
        <v>23.42</v>
      </c>
      <c r="I865" s="220"/>
      <c r="J865" s="253">
        <v>2</v>
      </c>
      <c r="K865" s="95"/>
      <c r="L865" s="95"/>
      <c r="M865" s="98"/>
      <c r="N865" s="98"/>
      <c r="O865" s="98"/>
      <c r="P865" s="117"/>
      <c r="Q865" s="99"/>
      <c r="R865" s="6"/>
    </row>
    <row r="866" spans="1:18" s="131" customFormat="1" ht="22.5" outlineLevel="1" x14ac:dyDescent="0.2">
      <c r="A866" s="49" t="s">
        <v>767</v>
      </c>
      <c r="B866" s="47">
        <v>90447</v>
      </c>
      <c r="C866" s="48" t="s">
        <v>128</v>
      </c>
      <c r="D866" s="49" t="s">
        <v>56</v>
      </c>
      <c r="E866" s="50">
        <f>TRUNC(J866,2)</f>
        <v>41</v>
      </c>
      <c r="F866" s="50">
        <v>4.45</v>
      </c>
      <c r="G866" s="51">
        <f t="shared" ref="G866:G876" si="134">TRUNC(F866*$J$13,2)</f>
        <v>5.6</v>
      </c>
      <c r="H866" s="51">
        <f t="shared" ref="H866:H876" si="135">TRUNC(E866*G866,2)</f>
        <v>229.6</v>
      </c>
      <c r="I866" s="220"/>
      <c r="J866" s="253">
        <v>41</v>
      </c>
      <c r="K866" s="95"/>
      <c r="L866" s="95"/>
      <c r="M866" s="98"/>
      <c r="N866" s="98"/>
      <c r="O866" s="98"/>
      <c r="P866" s="117"/>
      <c r="Q866" s="99"/>
      <c r="R866" s="6"/>
    </row>
    <row r="867" spans="1:18" s="131" customFormat="1" ht="22.5" outlineLevel="1" x14ac:dyDescent="0.2">
      <c r="A867" s="49" t="s">
        <v>768</v>
      </c>
      <c r="B867" s="47">
        <v>91836</v>
      </c>
      <c r="C867" s="48" t="s">
        <v>131</v>
      </c>
      <c r="D867" s="49" t="s">
        <v>56</v>
      </c>
      <c r="E867" s="50">
        <v>85</v>
      </c>
      <c r="F867" s="50">
        <v>7.55</v>
      </c>
      <c r="G867" s="51">
        <f t="shared" si="134"/>
        <v>9.51</v>
      </c>
      <c r="H867" s="51">
        <f t="shared" si="135"/>
        <v>808.35</v>
      </c>
      <c r="I867" s="220"/>
      <c r="J867" s="253">
        <f>(1.5+2.5+2.5+4+4+1.5+15.5+2)*2</f>
        <v>67</v>
      </c>
      <c r="K867" s="95"/>
      <c r="L867" s="95"/>
      <c r="M867" s="97"/>
      <c r="N867" s="97"/>
      <c r="O867" s="97"/>
      <c r="P867" s="107"/>
      <c r="Q867" s="99"/>
      <c r="R867" s="6"/>
    </row>
    <row r="868" spans="1:18" s="131" customFormat="1" ht="22.5" outlineLevel="1" x14ac:dyDescent="0.2">
      <c r="A868" s="49" t="s">
        <v>769</v>
      </c>
      <c r="B868" s="47">
        <v>91941</v>
      </c>
      <c r="C868" s="48" t="s">
        <v>151</v>
      </c>
      <c r="D868" s="49" t="s">
        <v>45</v>
      </c>
      <c r="E868" s="50">
        <f>TRUNC(J868,2)</f>
        <v>16</v>
      </c>
      <c r="F868" s="50">
        <v>6.8</v>
      </c>
      <c r="G868" s="51">
        <f t="shared" si="134"/>
        <v>8.56</v>
      </c>
      <c r="H868" s="51">
        <f t="shared" si="135"/>
        <v>136.96</v>
      </c>
      <c r="I868" s="220"/>
      <c r="J868" s="253">
        <v>16</v>
      </c>
      <c r="K868" s="95"/>
      <c r="L868" s="95"/>
      <c r="M868" s="97"/>
      <c r="N868" s="97"/>
      <c r="O868" s="97"/>
      <c r="P868" s="107"/>
      <c r="Q868" s="99"/>
      <c r="R868" s="6"/>
    </row>
    <row r="869" spans="1:18" s="131" customFormat="1" ht="22.5" outlineLevel="1" x14ac:dyDescent="0.2">
      <c r="A869" s="49" t="s">
        <v>770</v>
      </c>
      <c r="B869" s="119">
        <v>98294</v>
      </c>
      <c r="C869" s="105" t="s">
        <v>171</v>
      </c>
      <c r="D869" s="49" t="s">
        <v>56</v>
      </c>
      <c r="E869" s="50">
        <f t="shared" ref="E869:E876" si="136">TRUNC(J869,2)</f>
        <v>310.5</v>
      </c>
      <c r="F869" s="50">
        <v>2.52</v>
      </c>
      <c r="G869" s="51">
        <f t="shared" si="134"/>
        <v>3.17</v>
      </c>
      <c r="H869" s="51">
        <f t="shared" si="135"/>
        <v>984.28</v>
      </c>
      <c r="I869" s="220"/>
      <c r="J869" s="253">
        <v>310.5</v>
      </c>
      <c r="K869" s="95"/>
      <c r="L869" s="95"/>
      <c r="M869" s="97"/>
      <c r="N869" s="97"/>
      <c r="O869" s="97"/>
      <c r="P869" s="107"/>
      <c r="Q869" s="99"/>
      <c r="R869" s="6"/>
    </row>
    <row r="870" spans="1:18" s="131" customFormat="1" ht="22.5" outlineLevel="1" x14ac:dyDescent="0.2">
      <c r="A870" s="49" t="s">
        <v>771</v>
      </c>
      <c r="B870" s="119">
        <v>98296</v>
      </c>
      <c r="C870" s="105" t="s">
        <v>173</v>
      </c>
      <c r="D870" s="49" t="s">
        <v>56</v>
      </c>
      <c r="E870" s="50">
        <f t="shared" si="136"/>
        <v>310.5</v>
      </c>
      <c r="F870" s="50">
        <v>1.65</v>
      </c>
      <c r="G870" s="51">
        <f t="shared" si="134"/>
        <v>2.0699999999999998</v>
      </c>
      <c r="H870" s="51">
        <f t="shared" si="135"/>
        <v>642.73</v>
      </c>
      <c r="I870" s="220"/>
      <c r="J870" s="253">
        <v>310.5</v>
      </c>
      <c r="K870" s="95"/>
      <c r="L870" s="95"/>
      <c r="M870" s="98"/>
      <c r="N870" s="98"/>
      <c r="O870" s="98"/>
      <c r="P870" s="117"/>
      <c r="Q870" s="99"/>
      <c r="R870" s="6"/>
    </row>
    <row r="871" spans="1:18" s="131" customFormat="1" ht="14.25" outlineLevel="1" x14ac:dyDescent="0.2">
      <c r="A871" s="49" t="s">
        <v>772</v>
      </c>
      <c r="B871" s="47">
        <v>98302</v>
      </c>
      <c r="C871" s="101" t="s">
        <v>175</v>
      </c>
      <c r="D871" s="49" t="s">
        <v>45</v>
      </c>
      <c r="E871" s="50">
        <f t="shared" si="136"/>
        <v>2</v>
      </c>
      <c r="F871" s="50">
        <v>497.66</v>
      </c>
      <c r="G871" s="51">
        <f t="shared" si="134"/>
        <v>627.04999999999995</v>
      </c>
      <c r="H871" s="51">
        <f t="shared" si="135"/>
        <v>1254.0999999999999</v>
      </c>
      <c r="I871" s="220"/>
      <c r="J871" s="253">
        <v>2</v>
      </c>
      <c r="K871" s="95"/>
      <c r="L871" s="95"/>
      <c r="M871" s="98"/>
      <c r="N871" s="98"/>
      <c r="O871" s="98"/>
      <c r="P871" s="117"/>
      <c r="Q871" s="99"/>
      <c r="R871" s="6"/>
    </row>
    <row r="872" spans="1:18" s="131" customFormat="1" ht="14.25" outlineLevel="1" x14ac:dyDescent="0.2">
      <c r="A872" s="49" t="s">
        <v>773</v>
      </c>
      <c r="B872" s="47" t="s">
        <v>653</v>
      </c>
      <c r="C872" s="101" t="s">
        <v>407</v>
      </c>
      <c r="D872" s="49" t="s">
        <v>45</v>
      </c>
      <c r="E872" s="50">
        <f t="shared" si="136"/>
        <v>16</v>
      </c>
      <c r="F872" s="50">
        <v>3.65</v>
      </c>
      <c r="G872" s="51">
        <f t="shared" si="134"/>
        <v>4.59</v>
      </c>
      <c r="H872" s="51">
        <f t="shared" si="135"/>
        <v>73.44</v>
      </c>
      <c r="I872" s="220"/>
      <c r="J872" s="253">
        <v>16</v>
      </c>
      <c r="K872" s="95"/>
      <c r="L872" s="95"/>
      <c r="M872" s="98"/>
      <c r="N872" s="98"/>
      <c r="O872" s="98"/>
      <c r="P872" s="117"/>
      <c r="Q872" s="99"/>
      <c r="R872" s="6"/>
    </row>
    <row r="873" spans="1:18" s="131" customFormat="1" ht="33.75" outlineLevel="1" x14ac:dyDescent="0.2">
      <c r="A873" s="49" t="s">
        <v>774</v>
      </c>
      <c r="B873" s="47" t="s">
        <v>179</v>
      </c>
      <c r="C873" s="101" t="s">
        <v>180</v>
      </c>
      <c r="D873" s="49" t="s">
        <v>45</v>
      </c>
      <c r="E873" s="50">
        <f t="shared" si="136"/>
        <v>1</v>
      </c>
      <c r="F873" s="50">
        <v>1489.4</v>
      </c>
      <c r="G873" s="51">
        <f t="shared" si="134"/>
        <v>1876.64</v>
      </c>
      <c r="H873" s="51">
        <f t="shared" si="135"/>
        <v>1876.64</v>
      </c>
      <c r="I873" s="220"/>
      <c r="J873" s="253">
        <v>1</v>
      </c>
      <c r="K873" s="95"/>
      <c r="L873" s="95"/>
      <c r="M873" s="98"/>
      <c r="N873" s="98"/>
      <c r="O873" s="98"/>
      <c r="P873" s="117"/>
      <c r="Q873" s="99"/>
      <c r="R873" s="6"/>
    </row>
    <row r="874" spans="1:18" s="131" customFormat="1" ht="14.25" outlineLevel="1" x14ac:dyDescent="0.2">
      <c r="A874" s="49" t="s">
        <v>775</v>
      </c>
      <c r="B874" s="47">
        <v>98307</v>
      </c>
      <c r="C874" s="48" t="s">
        <v>183</v>
      </c>
      <c r="D874" s="49" t="s">
        <v>45</v>
      </c>
      <c r="E874" s="50">
        <f t="shared" si="136"/>
        <v>18</v>
      </c>
      <c r="F874" s="50">
        <v>27.38</v>
      </c>
      <c r="G874" s="51">
        <f t="shared" si="134"/>
        <v>34.49</v>
      </c>
      <c r="H874" s="51">
        <f t="shared" si="135"/>
        <v>620.82000000000005</v>
      </c>
      <c r="I874" s="230"/>
      <c r="J874" s="243">
        <v>18</v>
      </c>
      <c r="K874" s="95"/>
      <c r="L874" s="95"/>
      <c r="M874" s="98"/>
      <c r="N874" s="98"/>
      <c r="O874" s="98"/>
      <c r="P874" s="117"/>
      <c r="Q874" s="99"/>
      <c r="R874" s="6"/>
    </row>
    <row r="875" spans="1:18" s="131" customFormat="1" ht="22.5" outlineLevel="1" x14ac:dyDescent="0.2">
      <c r="A875" s="49" t="s">
        <v>776</v>
      </c>
      <c r="B875" s="47">
        <v>100556</v>
      </c>
      <c r="C875" s="48" t="s">
        <v>483</v>
      </c>
      <c r="D875" s="49" t="s">
        <v>45</v>
      </c>
      <c r="E875" s="50">
        <f t="shared" si="136"/>
        <v>5</v>
      </c>
      <c r="F875" s="50">
        <v>27.38</v>
      </c>
      <c r="G875" s="51">
        <f>TRUNC(F875*$J$13,2)</f>
        <v>34.49</v>
      </c>
      <c r="H875" s="51">
        <f>TRUNC(E875*G875,2)</f>
        <v>172.45</v>
      </c>
      <c r="I875" s="230"/>
      <c r="J875" s="243">
        <v>5</v>
      </c>
      <c r="K875" s="95"/>
      <c r="L875" s="95"/>
      <c r="M875" s="98"/>
      <c r="N875" s="98"/>
      <c r="O875" s="98"/>
      <c r="P875" s="117"/>
      <c r="Q875" s="99"/>
      <c r="R875" s="6"/>
    </row>
    <row r="876" spans="1:18" s="131" customFormat="1" ht="22.5" outlineLevel="1" x14ac:dyDescent="0.2">
      <c r="A876" s="49" t="s">
        <v>777</v>
      </c>
      <c r="B876" s="47">
        <v>100560</v>
      </c>
      <c r="C876" s="48" t="s">
        <v>185</v>
      </c>
      <c r="D876" s="49" t="s">
        <v>45</v>
      </c>
      <c r="E876" s="50">
        <f t="shared" si="136"/>
        <v>3</v>
      </c>
      <c r="F876" s="50">
        <v>80.44</v>
      </c>
      <c r="G876" s="51">
        <f t="shared" si="134"/>
        <v>101.35</v>
      </c>
      <c r="H876" s="51">
        <f t="shared" si="135"/>
        <v>304.05</v>
      </c>
      <c r="I876" s="220"/>
      <c r="J876" s="253">
        <v>3</v>
      </c>
      <c r="K876" s="95"/>
      <c r="L876" s="95"/>
      <c r="M876" s="98"/>
      <c r="N876" s="98"/>
      <c r="O876" s="98"/>
      <c r="P876" s="117"/>
      <c r="Q876" s="99"/>
      <c r="R876" s="6"/>
    </row>
    <row r="877" spans="1:18" s="131" customFormat="1" ht="15" outlineLevel="1" x14ac:dyDescent="0.2">
      <c r="A877" s="73" t="s">
        <v>709</v>
      </c>
      <c r="B877" s="66"/>
      <c r="C877" s="262" t="s">
        <v>188</v>
      </c>
      <c r="D877" s="41"/>
      <c r="E877" s="125"/>
      <c r="F877" s="43"/>
      <c r="G877" s="43"/>
      <c r="H877" s="41"/>
      <c r="I877" s="221">
        <f>SUM(H879:H889)</f>
        <v>6996.6599999999989</v>
      </c>
      <c r="J877" s="244"/>
      <c r="K877" s="12"/>
      <c r="L877" s="12"/>
      <c r="M877" s="4"/>
      <c r="N877" s="4"/>
      <c r="O877" s="4"/>
      <c r="P877" s="5"/>
      <c r="Q877" s="99"/>
      <c r="R877" s="6"/>
    </row>
    <row r="878" spans="1:18" s="131" customFormat="1" ht="14.25" outlineLevel="1" x14ac:dyDescent="0.2">
      <c r="A878" s="49" t="s">
        <v>778</v>
      </c>
      <c r="B878" s="47"/>
      <c r="C878" s="126" t="s">
        <v>190</v>
      </c>
      <c r="D878" s="49"/>
      <c r="E878" s="50"/>
      <c r="F878" s="78"/>
      <c r="G878" s="78"/>
      <c r="H878" s="127"/>
      <c r="I878" s="263"/>
      <c r="J878" s="244"/>
      <c r="K878" s="12"/>
      <c r="L878" s="12"/>
      <c r="M878" s="4"/>
      <c r="N878" s="4"/>
      <c r="O878" s="4"/>
      <c r="P878" s="5"/>
      <c r="Q878" s="99"/>
      <c r="R878" s="6"/>
    </row>
    <row r="879" spans="1:18" s="131" customFormat="1" ht="22.5" outlineLevel="1" x14ac:dyDescent="0.2">
      <c r="A879" s="49" t="s">
        <v>779</v>
      </c>
      <c r="B879" s="47">
        <v>90447</v>
      </c>
      <c r="C879" s="48" t="s">
        <v>191</v>
      </c>
      <c r="D879" s="49" t="s">
        <v>56</v>
      </c>
      <c r="E879" s="50">
        <v>8</v>
      </c>
      <c r="F879" s="50">
        <v>4.45</v>
      </c>
      <c r="G879" s="51">
        <f>TRUNC(F879*$J$13,2)</f>
        <v>5.6</v>
      </c>
      <c r="H879" s="51">
        <f>TRUNC(E879*G879,2)</f>
        <v>44.8</v>
      </c>
      <c r="I879" s="264"/>
      <c r="J879" s="253">
        <v>4</v>
      </c>
      <c r="K879" s="96"/>
      <c r="L879" s="96"/>
      <c r="M879" s="97"/>
      <c r="N879" s="97"/>
      <c r="O879" s="97"/>
      <c r="P879" s="107"/>
      <c r="Q879" s="99"/>
      <c r="R879" s="6"/>
    </row>
    <row r="880" spans="1:18" s="131" customFormat="1" ht="22.5" outlineLevel="1" x14ac:dyDescent="0.2">
      <c r="A880" s="49" t="s">
        <v>780</v>
      </c>
      <c r="B880" s="47">
        <v>86872</v>
      </c>
      <c r="C880" s="48" t="s">
        <v>484</v>
      </c>
      <c r="D880" s="49" t="s">
        <v>45</v>
      </c>
      <c r="E880" s="50">
        <f t="shared" ref="E880:E884" si="137">TRUNC(J880,2)</f>
        <v>2</v>
      </c>
      <c r="F880" s="50">
        <v>592.52</v>
      </c>
      <c r="G880" s="51">
        <f t="shared" ref="G880:G889" si="138">TRUNC(F880*$J$13,2)</f>
        <v>746.57</v>
      </c>
      <c r="H880" s="51">
        <f t="shared" ref="H880:H889" si="139">TRUNC(E880*G880,2)</f>
        <v>1493.14</v>
      </c>
      <c r="I880" s="264"/>
      <c r="J880" s="253">
        <v>2</v>
      </c>
      <c r="K880" s="96"/>
      <c r="L880" s="96"/>
      <c r="M880" s="110"/>
      <c r="N880" s="110"/>
      <c r="O880" s="110"/>
      <c r="P880" s="111"/>
      <c r="Q880" s="99"/>
      <c r="R880" s="6"/>
    </row>
    <row r="881" spans="1:18" s="131" customFormat="1" ht="22.5" outlineLevel="1" x14ac:dyDescent="0.2">
      <c r="A881" s="49" t="s">
        <v>781</v>
      </c>
      <c r="B881" s="47">
        <v>86914</v>
      </c>
      <c r="C881" s="48" t="s">
        <v>485</v>
      </c>
      <c r="D881" s="49" t="s">
        <v>45</v>
      </c>
      <c r="E881" s="50">
        <f t="shared" si="137"/>
        <v>2</v>
      </c>
      <c r="F881" s="50">
        <v>38.54</v>
      </c>
      <c r="G881" s="51">
        <f t="shared" si="138"/>
        <v>48.56</v>
      </c>
      <c r="H881" s="51">
        <f t="shared" si="139"/>
        <v>97.12</v>
      </c>
      <c r="I881" s="264"/>
      <c r="J881" s="253">
        <v>2</v>
      </c>
      <c r="K881" s="96"/>
      <c r="L881" s="96"/>
      <c r="M881" s="110"/>
      <c r="N881" s="110"/>
      <c r="O881" s="110"/>
      <c r="P881" s="111"/>
      <c r="Q881" s="99"/>
      <c r="R881" s="6"/>
    </row>
    <row r="882" spans="1:18" s="131" customFormat="1" ht="33.75" outlineLevel="1" x14ac:dyDescent="0.2">
      <c r="A882" s="49" t="s">
        <v>782</v>
      </c>
      <c r="B882" s="47">
        <v>94497</v>
      </c>
      <c r="C882" s="48" t="s">
        <v>486</v>
      </c>
      <c r="D882" s="49" t="s">
        <v>45</v>
      </c>
      <c r="E882" s="50">
        <f t="shared" si="137"/>
        <v>1</v>
      </c>
      <c r="F882" s="50">
        <v>79.81</v>
      </c>
      <c r="G882" s="51">
        <f t="shared" si="138"/>
        <v>100.56</v>
      </c>
      <c r="H882" s="51">
        <f t="shared" si="139"/>
        <v>100.56</v>
      </c>
      <c r="I882" s="264"/>
      <c r="J882" s="253">
        <v>1</v>
      </c>
      <c r="K882" s="95"/>
      <c r="L882" s="95"/>
      <c r="M882" s="97"/>
      <c r="N882" s="97"/>
      <c r="O882" s="97"/>
      <c r="P882" s="107"/>
      <c r="Q882" s="99"/>
      <c r="R882" s="6"/>
    </row>
    <row r="883" spans="1:18" s="131" customFormat="1" ht="22.5" outlineLevel="1" x14ac:dyDescent="0.2">
      <c r="A883" s="49" t="s">
        <v>783</v>
      </c>
      <c r="B883" s="47">
        <v>89449</v>
      </c>
      <c r="C883" s="48" t="s">
        <v>487</v>
      </c>
      <c r="D883" s="49" t="s">
        <v>56</v>
      </c>
      <c r="E883" s="50">
        <f t="shared" si="137"/>
        <v>55</v>
      </c>
      <c r="F883" s="50">
        <v>12.12</v>
      </c>
      <c r="G883" s="51">
        <f t="shared" si="138"/>
        <v>15.27</v>
      </c>
      <c r="H883" s="51">
        <f t="shared" si="139"/>
        <v>839.85</v>
      </c>
      <c r="I883" s="264"/>
      <c r="J883" s="253">
        <v>55</v>
      </c>
      <c r="K883" s="95"/>
      <c r="L883" s="95"/>
      <c r="M883" s="97"/>
      <c r="N883" s="97"/>
      <c r="O883" s="97"/>
      <c r="P883" s="107"/>
      <c r="Q883" s="99"/>
      <c r="R883" s="6"/>
    </row>
    <row r="884" spans="1:18" s="131" customFormat="1" ht="22.5" outlineLevel="1" x14ac:dyDescent="0.2">
      <c r="A884" s="49" t="s">
        <v>784</v>
      </c>
      <c r="B884" s="47">
        <v>89402</v>
      </c>
      <c r="C884" s="48" t="s">
        <v>488</v>
      </c>
      <c r="D884" s="49" t="s">
        <v>56</v>
      </c>
      <c r="E884" s="50">
        <f t="shared" si="137"/>
        <v>6</v>
      </c>
      <c r="F884" s="50">
        <v>6.63</v>
      </c>
      <c r="G884" s="51">
        <f t="shared" si="138"/>
        <v>8.35</v>
      </c>
      <c r="H884" s="51">
        <f t="shared" si="139"/>
        <v>50.1</v>
      </c>
      <c r="I884" s="264"/>
      <c r="J884" s="253">
        <v>6</v>
      </c>
      <c r="K884" s="95"/>
      <c r="L884" s="95"/>
      <c r="M884" s="97"/>
      <c r="N884" s="97"/>
      <c r="O884" s="97"/>
      <c r="P884" s="107"/>
      <c r="Q884" s="99"/>
      <c r="R884" s="6"/>
    </row>
    <row r="885" spans="1:18" s="131" customFormat="1" ht="14.25" outlineLevel="1" x14ac:dyDescent="0.2">
      <c r="A885" s="46" t="s">
        <v>785</v>
      </c>
      <c r="B885" s="47"/>
      <c r="C885" s="132" t="s">
        <v>202</v>
      </c>
      <c r="D885" s="49"/>
      <c r="E885" s="50"/>
      <c r="F885" s="50"/>
      <c r="G885" s="51"/>
      <c r="H885" s="51"/>
      <c r="I885" s="264"/>
      <c r="J885" s="253"/>
      <c r="K885" s="95"/>
      <c r="L885" s="95"/>
      <c r="M885" s="97"/>
      <c r="N885" s="97"/>
      <c r="O885" s="97"/>
      <c r="P885" s="107"/>
      <c r="Q885" s="99"/>
      <c r="R885" s="6"/>
    </row>
    <row r="886" spans="1:18" s="131" customFormat="1" ht="22.5" outlineLevel="1" x14ac:dyDescent="0.2">
      <c r="A886" s="49" t="s">
        <v>786</v>
      </c>
      <c r="B886" s="47">
        <v>98105</v>
      </c>
      <c r="C886" s="48" t="s">
        <v>489</v>
      </c>
      <c r="D886" s="49" t="s">
        <v>45</v>
      </c>
      <c r="E886" s="50">
        <f>TRUNC(J886,2)</f>
        <v>4</v>
      </c>
      <c r="F886" s="50">
        <v>526.69000000000005</v>
      </c>
      <c r="G886" s="51">
        <f t="shared" si="138"/>
        <v>663.62</v>
      </c>
      <c r="H886" s="51">
        <f t="shared" si="139"/>
        <v>2654.48</v>
      </c>
      <c r="I886" s="264"/>
      <c r="J886" s="253">
        <v>4</v>
      </c>
      <c r="K886" s="95"/>
      <c r="L886" s="95"/>
      <c r="M886" s="97"/>
      <c r="N886" s="97"/>
      <c r="O886" s="97"/>
      <c r="P886" s="107"/>
      <c r="Q886" s="99"/>
      <c r="R886" s="6"/>
    </row>
    <row r="887" spans="1:18" s="131" customFormat="1" ht="22.5" outlineLevel="1" x14ac:dyDescent="0.2">
      <c r="A887" s="49" t="s">
        <v>787</v>
      </c>
      <c r="B887" s="47">
        <v>89714</v>
      </c>
      <c r="C887" s="48" t="s">
        <v>654</v>
      </c>
      <c r="D887" s="49" t="s">
        <v>56</v>
      </c>
      <c r="E887" s="50">
        <f>TRUNC(J887,2)</f>
        <v>25</v>
      </c>
      <c r="F887" s="50">
        <v>42.17</v>
      </c>
      <c r="G887" s="51">
        <f t="shared" si="138"/>
        <v>53.13</v>
      </c>
      <c r="H887" s="51">
        <f t="shared" si="139"/>
        <v>1328.25</v>
      </c>
      <c r="I887" s="264"/>
      <c r="J887" s="253">
        <v>25</v>
      </c>
      <c r="K887" s="95"/>
      <c r="L887" s="95"/>
      <c r="M887" s="97"/>
      <c r="N887" s="97"/>
      <c r="O887" s="265"/>
      <c r="P887" s="107"/>
      <c r="Q887" s="99"/>
      <c r="R887" s="6"/>
    </row>
    <row r="888" spans="1:18" s="131" customFormat="1" ht="22.5" outlineLevel="1" x14ac:dyDescent="0.2">
      <c r="A888" s="49" t="s">
        <v>788</v>
      </c>
      <c r="B888" s="47">
        <v>89712</v>
      </c>
      <c r="C888" s="48" t="s">
        <v>490</v>
      </c>
      <c r="D888" s="49" t="s">
        <v>56</v>
      </c>
      <c r="E888" s="50">
        <f>TRUNC(J888,2)</f>
        <v>12</v>
      </c>
      <c r="F888" s="50">
        <v>21.1</v>
      </c>
      <c r="G888" s="51">
        <f t="shared" si="138"/>
        <v>26.58</v>
      </c>
      <c r="H888" s="51">
        <f t="shared" si="139"/>
        <v>318.95999999999998</v>
      </c>
      <c r="I888" s="264"/>
      <c r="J888" s="253">
        <v>12</v>
      </c>
      <c r="K888" s="95"/>
      <c r="L888" s="95"/>
      <c r="M888" s="97"/>
      <c r="N888" s="97"/>
      <c r="O888" s="266"/>
      <c r="P888" s="107"/>
      <c r="Q888" s="99"/>
      <c r="R888" s="6"/>
    </row>
    <row r="889" spans="1:18" s="131" customFormat="1" ht="33.75" outlineLevel="1" x14ac:dyDescent="0.2">
      <c r="A889" s="49" t="s">
        <v>789</v>
      </c>
      <c r="B889" s="47">
        <v>89733</v>
      </c>
      <c r="C889" s="48" t="s">
        <v>491</v>
      </c>
      <c r="D889" s="49" t="s">
        <v>45</v>
      </c>
      <c r="E889" s="50">
        <f>TRUNC(J889,2)</f>
        <v>4</v>
      </c>
      <c r="F889" s="50">
        <v>13.77</v>
      </c>
      <c r="G889" s="51">
        <f t="shared" si="138"/>
        <v>17.350000000000001</v>
      </c>
      <c r="H889" s="51">
        <f t="shared" si="139"/>
        <v>69.400000000000006</v>
      </c>
      <c r="I889" s="264"/>
      <c r="J889" s="253">
        <v>4</v>
      </c>
      <c r="K889" s="95"/>
      <c r="L889" s="95"/>
      <c r="M889" s="97"/>
      <c r="N889" s="97"/>
      <c r="O889" s="97"/>
      <c r="P889" s="107"/>
      <c r="Q889" s="99"/>
      <c r="R889" s="6"/>
    </row>
    <row r="890" spans="1:18" s="131" customFormat="1" outlineLevel="1" x14ac:dyDescent="0.2">
      <c r="A890" s="73" t="s">
        <v>790</v>
      </c>
      <c r="B890" s="125"/>
      <c r="C890" s="43" t="s">
        <v>213</v>
      </c>
      <c r="D890" s="41"/>
      <c r="E890" s="43"/>
      <c r="F890" s="43"/>
      <c r="G890" s="43"/>
      <c r="H890" s="41"/>
      <c r="I890" s="135">
        <f>SUM(H891:H891)</f>
        <v>10768.5</v>
      </c>
      <c r="J890" s="253"/>
      <c r="K890" s="95"/>
      <c r="L890" s="95"/>
      <c r="M890" s="97"/>
      <c r="N890" s="97"/>
      <c r="O890" s="97"/>
      <c r="P890" s="107"/>
      <c r="Q890" s="99"/>
      <c r="R890" s="6"/>
    </row>
    <row r="891" spans="1:18" s="131" customFormat="1" ht="22.5" outlineLevel="1" x14ac:dyDescent="0.2">
      <c r="A891" s="49" t="s">
        <v>791</v>
      </c>
      <c r="B891" s="47">
        <v>96114</v>
      </c>
      <c r="C891" s="101" t="s">
        <v>640</v>
      </c>
      <c r="D891" s="49" t="s">
        <v>24</v>
      </c>
      <c r="E891" s="50">
        <v>150</v>
      </c>
      <c r="F891" s="50">
        <v>56.98</v>
      </c>
      <c r="G891" s="51">
        <f>TRUNC(F891*$J$13,2)</f>
        <v>71.790000000000006</v>
      </c>
      <c r="H891" s="51">
        <f>TRUNC(E891*G891,2)</f>
        <v>10768.5</v>
      </c>
      <c r="I891" s="134"/>
      <c r="J891" s="253"/>
      <c r="K891" s="95"/>
      <c r="L891" s="95"/>
      <c r="M891" s="97"/>
      <c r="N891" s="97"/>
      <c r="O891" s="97"/>
      <c r="P891" s="107"/>
      <c r="Q891" s="99"/>
      <c r="R891" s="6"/>
    </row>
    <row r="892" spans="1:18" s="131" customFormat="1" ht="14.25" x14ac:dyDescent="0.2">
      <c r="A892" s="70"/>
      <c r="B892" s="267"/>
      <c r="C892" s="268"/>
      <c r="D892" s="70"/>
      <c r="E892" s="269"/>
      <c r="F892" s="269"/>
      <c r="G892" s="51"/>
      <c r="H892" s="269"/>
      <c r="I892" s="264"/>
      <c r="J892" s="253"/>
      <c r="K892" s="95"/>
      <c r="L892" s="95"/>
      <c r="M892" s="97"/>
      <c r="N892" s="97"/>
      <c r="O892" s="97"/>
      <c r="P892" s="107"/>
      <c r="Q892" s="99"/>
      <c r="R892" s="6"/>
    </row>
    <row r="893" spans="1:18" s="131" customFormat="1" ht="15.75" x14ac:dyDescent="0.2">
      <c r="A893" s="164" t="s">
        <v>637</v>
      </c>
      <c r="B893" s="165"/>
      <c r="C893" s="166"/>
      <c r="D893" s="41"/>
      <c r="E893" s="166"/>
      <c r="F893" s="166"/>
      <c r="G893" s="37" t="s">
        <v>19</v>
      </c>
      <c r="H893" s="166"/>
      <c r="I893" s="145">
        <f>SUM(I894)</f>
        <v>24823.06</v>
      </c>
      <c r="J893" s="58"/>
      <c r="K893" s="32"/>
      <c r="L893" s="12"/>
      <c r="M893" s="97"/>
      <c r="N893" s="160"/>
      <c r="O893" s="97"/>
      <c r="P893" s="107"/>
      <c r="Q893" s="99"/>
      <c r="R893" s="6"/>
    </row>
    <row r="894" spans="1:18" s="131" customFormat="1" outlineLevel="1" x14ac:dyDescent="0.2">
      <c r="A894" s="73">
        <v>16</v>
      </c>
      <c r="B894" s="73"/>
      <c r="C894" s="43" t="s">
        <v>637</v>
      </c>
      <c r="D894" s="41"/>
      <c r="E894" s="43"/>
      <c r="F894" s="43"/>
      <c r="G894" s="43"/>
      <c r="H894" s="41"/>
      <c r="I894" s="193">
        <f>SUM(H895:H897)</f>
        <v>24823.06</v>
      </c>
      <c r="J894" s="241"/>
      <c r="K894" s="32"/>
      <c r="L894" s="242" t="s">
        <v>410</v>
      </c>
      <c r="M894" s="4"/>
      <c r="N894" s="4">
        <f>5*2.5</f>
        <v>12.5</v>
      </c>
      <c r="O894" s="4"/>
      <c r="P894" s="5"/>
      <c r="Q894" s="99"/>
      <c r="R894" s="6"/>
    </row>
    <row r="895" spans="1:18" s="131" customFormat="1" outlineLevel="1" x14ac:dyDescent="0.2">
      <c r="A895" s="49" t="s">
        <v>792</v>
      </c>
      <c r="B895" s="47">
        <v>99802</v>
      </c>
      <c r="C895" s="101" t="s">
        <v>638</v>
      </c>
      <c r="D895" s="49" t="s">
        <v>24</v>
      </c>
      <c r="E895" s="50">
        <v>125</v>
      </c>
      <c r="F895" s="49">
        <v>0.35</v>
      </c>
      <c r="G895" s="138">
        <f>TRUNC(F895*$J$13,2)</f>
        <v>0.44</v>
      </c>
      <c r="H895" s="138">
        <f>TRUNC(E895*G895,2)</f>
        <v>55</v>
      </c>
      <c r="I895" s="134"/>
      <c r="J895" s="270">
        <f>2.5*1.25</f>
        <v>3.125</v>
      </c>
      <c r="K895" s="83"/>
      <c r="L895" s="83"/>
      <c r="M895" s="85"/>
      <c r="N895" s="85"/>
      <c r="O895" s="85"/>
      <c r="P895" s="86"/>
      <c r="Q895" s="99"/>
      <c r="R895" s="6"/>
    </row>
    <row r="896" spans="1:18" s="131" customFormat="1" outlineLevel="1" x14ac:dyDescent="0.2">
      <c r="A896" s="49" t="s">
        <v>793</v>
      </c>
      <c r="B896" s="47">
        <v>99808</v>
      </c>
      <c r="C896" s="101" t="s">
        <v>639</v>
      </c>
      <c r="D896" s="49" t="s">
        <v>24</v>
      </c>
      <c r="E896" s="50">
        <v>250</v>
      </c>
      <c r="F896" s="49">
        <v>2.41</v>
      </c>
      <c r="G896" s="138">
        <f t="shared" ref="G896" si="140">TRUNC(F896*$J$13,2)</f>
        <v>3.03</v>
      </c>
      <c r="H896" s="138">
        <f t="shared" ref="H896" si="141">TRUNC(E896*G896,2)</f>
        <v>757.5</v>
      </c>
      <c r="I896" s="163"/>
      <c r="J896" s="270"/>
      <c r="K896" s="83"/>
      <c r="L896" s="83"/>
      <c r="M896" s="85"/>
      <c r="N896" s="85"/>
      <c r="O896" s="85"/>
      <c r="P896" s="86"/>
      <c r="Q896" s="99"/>
      <c r="R896" s="6"/>
    </row>
    <row r="897" spans="1:18" s="131" customFormat="1" outlineLevel="1" x14ac:dyDescent="0.2">
      <c r="A897" s="49" t="s">
        <v>794</v>
      </c>
      <c r="B897" s="47" t="s">
        <v>647</v>
      </c>
      <c r="C897" s="101" t="s">
        <v>648</v>
      </c>
      <c r="D897" s="49" t="s">
        <v>45</v>
      </c>
      <c r="E897" s="50">
        <v>48</v>
      </c>
      <c r="F897" s="49">
        <f>COMPOSIÇÃO!G69</f>
        <v>397</v>
      </c>
      <c r="G897" s="138">
        <f>TRUNC(F897*$J$13,2)</f>
        <v>500.22</v>
      </c>
      <c r="H897" s="138">
        <f>TRUNC(E897*G897,2)</f>
        <v>24010.560000000001</v>
      </c>
      <c r="I897" s="163"/>
      <c r="J897" s="270"/>
      <c r="K897" s="83"/>
      <c r="L897" s="83"/>
      <c r="M897" s="85"/>
      <c r="N897" s="85"/>
      <c r="O897" s="85"/>
      <c r="P897" s="86"/>
      <c r="Q897" s="99"/>
      <c r="R897" s="6"/>
    </row>
    <row r="898" spans="1:18" s="131" customFormat="1" x14ac:dyDescent="0.2">
      <c r="A898" s="49"/>
      <c r="B898" s="47"/>
      <c r="C898" s="48"/>
      <c r="D898" s="49"/>
      <c r="E898" s="50"/>
      <c r="F898" s="50"/>
      <c r="G898" s="51"/>
      <c r="H898" s="51"/>
      <c r="I898" s="271"/>
      <c r="J898" s="74"/>
      <c r="K898" s="12"/>
      <c r="L898" s="12"/>
      <c r="M898" s="97"/>
      <c r="N898" s="160"/>
      <c r="O898" s="97"/>
      <c r="P898" s="107"/>
      <c r="Q898" s="99"/>
      <c r="R898" s="6"/>
    </row>
    <row r="899" spans="1:18" s="131" customFormat="1" ht="27.75" customHeight="1" x14ac:dyDescent="0.2">
      <c r="A899" s="272"/>
      <c r="B899" s="273"/>
      <c r="C899" s="272" t="s">
        <v>492</v>
      </c>
      <c r="D899" s="43"/>
      <c r="E899" s="43"/>
      <c r="F899" s="43"/>
      <c r="G899" s="43"/>
      <c r="H899" s="43"/>
      <c r="I899" s="376">
        <f>SUM(I17:I898)/2</f>
        <v>2033163.95</v>
      </c>
      <c r="J899" s="74">
        <f>1700*0.05</f>
        <v>85</v>
      </c>
      <c r="K899" s="178"/>
      <c r="L899" s="12"/>
      <c r="M899" s="97"/>
      <c r="N899" s="160"/>
      <c r="O899" s="97"/>
      <c r="P899" s="107"/>
      <c r="Q899" s="99"/>
      <c r="R899" s="6"/>
    </row>
    <row r="900" spans="1:18" s="65" customFormat="1" x14ac:dyDescent="0.2">
      <c r="A900" s="274"/>
      <c r="B900" s="275"/>
      <c r="C900" s="276"/>
      <c r="D900" s="274"/>
      <c r="E900" s="274"/>
      <c r="F900" s="274"/>
      <c r="G900" s="274"/>
      <c r="H900" s="274"/>
      <c r="I900" s="277"/>
      <c r="J900" s="24"/>
      <c r="K900" s="60"/>
      <c r="L900" s="60"/>
      <c r="M900" s="61"/>
      <c r="N900" s="146"/>
      <c r="O900" s="61"/>
      <c r="P900" s="63"/>
      <c r="Q900" s="61"/>
      <c r="R900" s="64"/>
    </row>
    <row r="901" spans="1:18" s="65" customFormat="1" ht="15.75" x14ac:dyDescent="0.2">
      <c r="A901" s="439" t="s">
        <v>859</v>
      </c>
      <c r="B901" s="439"/>
      <c r="C901" s="439"/>
      <c r="D901" s="439"/>
      <c r="E901" s="439"/>
      <c r="F901" s="439"/>
      <c r="G901" s="439"/>
      <c r="H901" s="439"/>
      <c r="I901" s="439"/>
      <c r="J901" s="24">
        <f>0.05*1845698</f>
        <v>92284.900000000009</v>
      </c>
      <c r="K901" s="60"/>
      <c r="L901" s="60"/>
      <c r="M901" s="61"/>
      <c r="N901" s="146"/>
      <c r="O901" s="61"/>
      <c r="P901" s="63"/>
      <c r="Q901" s="61"/>
      <c r="R901" s="64"/>
    </row>
    <row r="902" spans="1:18" s="65" customFormat="1" x14ac:dyDescent="0.2">
      <c r="A902" s="274"/>
      <c r="B902" s="275"/>
      <c r="C902" s="276"/>
      <c r="D902" s="274"/>
      <c r="E902" s="274"/>
      <c r="F902" s="274"/>
      <c r="G902" s="274"/>
      <c r="H902" s="274"/>
      <c r="I902" s="277"/>
      <c r="J902" s="24"/>
      <c r="K902" s="60"/>
      <c r="L902" s="60"/>
      <c r="M902" s="61"/>
      <c r="N902" s="146"/>
      <c r="O902" s="61"/>
      <c r="P902" s="63"/>
      <c r="Q902" s="61"/>
      <c r="R902" s="64"/>
    </row>
    <row r="903" spans="1:18" s="65" customFormat="1" x14ac:dyDescent="0.2">
      <c r="A903" s="274"/>
      <c r="B903" s="275"/>
      <c r="C903" s="276"/>
      <c r="D903" s="274"/>
      <c r="E903" s="274"/>
      <c r="F903" s="274"/>
      <c r="G903" s="274"/>
      <c r="H903" s="274"/>
      <c r="I903" s="277"/>
      <c r="J903" s="24"/>
      <c r="K903" s="60"/>
      <c r="L903" s="60"/>
      <c r="M903" s="61"/>
      <c r="N903" s="146"/>
      <c r="O903" s="61"/>
      <c r="P903" s="63"/>
      <c r="Q903" s="61"/>
      <c r="R903" s="64"/>
    </row>
    <row r="904" spans="1:18" s="65" customFormat="1" x14ac:dyDescent="0.2">
      <c r="A904" s="274"/>
      <c r="B904" s="275"/>
      <c r="C904" s="276"/>
      <c r="D904" s="274"/>
      <c r="E904" s="274"/>
      <c r="F904" s="274"/>
      <c r="G904" s="274"/>
      <c r="H904" s="274"/>
      <c r="I904" s="277"/>
      <c r="J904" s="24">
        <f>I899-I893</f>
        <v>2008340.89</v>
      </c>
      <c r="K904" s="60"/>
      <c r="L904" s="60"/>
      <c r="M904" s="61"/>
      <c r="N904" s="146"/>
      <c r="O904" s="61"/>
      <c r="P904" s="63"/>
      <c r="Q904" s="61"/>
      <c r="R904" s="64"/>
    </row>
    <row r="905" spans="1:18" s="65" customFormat="1" x14ac:dyDescent="0.2">
      <c r="A905" s="274"/>
      <c r="B905" s="275"/>
      <c r="C905" s="276"/>
      <c r="D905" s="274"/>
      <c r="E905" s="274"/>
      <c r="F905" s="274"/>
      <c r="G905" s="274"/>
      <c r="H905" s="274"/>
      <c r="I905" s="277"/>
      <c r="J905" s="24">
        <f>0.05*J904</f>
        <v>100417.0445</v>
      </c>
      <c r="K905" s="60"/>
      <c r="L905" s="60"/>
      <c r="M905" s="61"/>
      <c r="N905" s="146"/>
      <c r="O905" s="61"/>
      <c r="P905" s="63"/>
      <c r="Q905" s="61"/>
      <c r="R905" s="64"/>
    </row>
    <row r="906" spans="1:18" s="65" customFormat="1" x14ac:dyDescent="0.2">
      <c r="A906" s="274"/>
      <c r="B906" s="275"/>
      <c r="C906" s="276"/>
      <c r="D906" s="274"/>
      <c r="E906" s="274"/>
      <c r="F906" s="274"/>
      <c r="G906" s="274"/>
      <c r="H906" s="274"/>
      <c r="I906" s="277"/>
      <c r="J906" s="24"/>
      <c r="K906" s="60">
        <f>J904+J905</f>
        <v>2108757.9345</v>
      </c>
      <c r="L906" s="60"/>
      <c r="M906" s="61"/>
      <c r="N906" s="146"/>
      <c r="O906" s="61"/>
      <c r="P906" s="63"/>
      <c r="Q906" s="61"/>
      <c r="R906" s="64"/>
    </row>
    <row r="907" spans="1:18" s="65" customFormat="1" x14ac:dyDescent="0.2">
      <c r="A907" s="274"/>
      <c r="B907" s="275"/>
      <c r="C907" s="276"/>
      <c r="D907" s="274"/>
      <c r="E907" s="274"/>
      <c r="F907" s="274"/>
      <c r="G907" s="274"/>
      <c r="H907" s="274"/>
      <c r="I907" s="277"/>
      <c r="J907" s="24"/>
      <c r="K907" s="60"/>
      <c r="L907" s="60"/>
      <c r="M907" s="61"/>
      <c r="N907" s="146"/>
      <c r="O907" s="61"/>
      <c r="P907" s="63"/>
      <c r="Q907" s="61"/>
      <c r="R907" s="64"/>
    </row>
    <row r="908" spans="1:18" s="65" customFormat="1" x14ac:dyDescent="0.2">
      <c r="A908" s="274"/>
      <c r="B908" s="275"/>
      <c r="C908" s="276"/>
      <c r="D908" s="274"/>
      <c r="E908" s="274"/>
      <c r="F908" s="274"/>
      <c r="G908" s="274"/>
      <c r="H908" s="274"/>
      <c r="I908" s="277"/>
      <c r="J908" s="24"/>
      <c r="K908" s="60"/>
      <c r="L908" s="60"/>
      <c r="M908" s="61"/>
      <c r="N908" s="146"/>
      <c r="O908" s="61"/>
      <c r="P908" s="63"/>
      <c r="Q908" s="61"/>
      <c r="R908" s="64"/>
    </row>
    <row r="909" spans="1:18" s="65" customFormat="1" x14ac:dyDescent="0.2">
      <c r="A909" s="274"/>
      <c r="B909" s="275"/>
      <c r="C909" s="276"/>
      <c r="D909" s="274"/>
      <c r="E909" s="274"/>
      <c r="F909" s="274"/>
      <c r="G909" s="274"/>
      <c r="H909" s="274"/>
      <c r="I909" s="277"/>
      <c r="J909" s="24"/>
      <c r="K909" s="60"/>
      <c r="L909" s="60"/>
      <c r="M909" s="61"/>
      <c r="N909" s="146"/>
      <c r="O909" s="61"/>
      <c r="P909" s="63"/>
      <c r="Q909" s="61"/>
      <c r="R909" s="64"/>
    </row>
    <row r="910" spans="1:18" s="65" customFormat="1" x14ac:dyDescent="0.2">
      <c r="A910" s="274"/>
      <c r="B910" s="275"/>
      <c r="C910" s="276"/>
      <c r="D910" s="274"/>
      <c r="E910" s="274"/>
      <c r="F910" s="274"/>
      <c r="G910" s="274"/>
      <c r="H910" s="274"/>
      <c r="I910" s="277"/>
      <c r="J910" s="24"/>
      <c r="K910" s="60"/>
      <c r="L910" s="60"/>
      <c r="M910" s="61"/>
      <c r="N910" s="146"/>
      <c r="O910" s="61"/>
      <c r="P910" s="63"/>
      <c r="Q910" s="61"/>
      <c r="R910" s="64"/>
    </row>
    <row r="911" spans="1:18" s="65" customFormat="1" x14ac:dyDescent="0.2">
      <c r="A911" s="274"/>
      <c r="B911" s="275"/>
      <c r="C911" s="276"/>
      <c r="D911" s="274"/>
      <c r="E911" s="274"/>
      <c r="F911" s="274"/>
      <c r="G911" s="274"/>
      <c r="H911" s="274"/>
      <c r="I911" s="277"/>
      <c r="J911" s="24"/>
      <c r="K911" s="60"/>
      <c r="L911" s="60"/>
      <c r="M911" s="61"/>
      <c r="N911" s="146"/>
      <c r="O911" s="61"/>
      <c r="P911" s="63"/>
      <c r="Q911" s="61"/>
      <c r="R911" s="64"/>
    </row>
    <row r="912" spans="1:18" s="65" customFormat="1" x14ac:dyDescent="0.2">
      <c r="A912" s="274"/>
      <c r="B912" s="275"/>
      <c r="C912" s="276"/>
      <c r="D912" s="274"/>
      <c r="E912" s="274"/>
      <c r="F912" s="274"/>
      <c r="G912" s="274"/>
      <c r="H912" s="274"/>
      <c r="I912" s="277"/>
      <c r="J912" s="24"/>
      <c r="K912" s="60"/>
      <c r="L912" s="60"/>
      <c r="M912" s="61"/>
      <c r="N912" s="146"/>
      <c r="O912" s="61"/>
      <c r="P912" s="63"/>
      <c r="Q912" s="61"/>
      <c r="R912" s="64"/>
    </row>
    <row r="913" spans="1:18" s="65" customFormat="1" x14ac:dyDescent="0.2">
      <c r="A913" s="274"/>
      <c r="B913" s="275"/>
      <c r="C913" s="276"/>
      <c r="D913" s="274"/>
      <c r="E913" s="274"/>
      <c r="F913" s="274"/>
      <c r="G913" s="274"/>
      <c r="H913" s="274"/>
      <c r="I913" s="277"/>
      <c r="J913" s="24"/>
      <c r="K913" s="60"/>
      <c r="L913" s="60"/>
      <c r="M913" s="61"/>
      <c r="N913" s="146"/>
      <c r="O913" s="61"/>
      <c r="P913" s="63"/>
      <c r="Q913" s="61"/>
      <c r="R913" s="64"/>
    </row>
    <row r="914" spans="1:18" s="65" customFormat="1" x14ac:dyDescent="0.2">
      <c r="A914" s="274"/>
      <c r="B914" s="275"/>
      <c r="C914" s="276"/>
      <c r="D914" s="274"/>
      <c r="E914" s="274"/>
      <c r="F914" s="274"/>
      <c r="G914" s="274"/>
      <c r="H914" s="274"/>
      <c r="I914" s="277"/>
      <c r="J914" s="24"/>
      <c r="K914" s="60"/>
      <c r="L914" s="60"/>
      <c r="M914" s="61"/>
      <c r="N914" s="146"/>
      <c r="O914" s="61"/>
      <c r="P914" s="63"/>
      <c r="Q914" s="61"/>
      <c r="R914" s="64"/>
    </row>
    <row r="915" spans="1:18" s="65" customFormat="1" x14ac:dyDescent="0.2">
      <c r="A915" s="274"/>
      <c r="B915" s="275"/>
      <c r="C915" s="276"/>
      <c r="D915" s="274"/>
      <c r="E915" s="274"/>
      <c r="F915" s="274"/>
      <c r="G915" s="274"/>
      <c r="H915" s="274"/>
      <c r="I915" s="277"/>
      <c r="J915" s="24"/>
      <c r="K915" s="60"/>
      <c r="L915" s="60"/>
      <c r="M915" s="61"/>
      <c r="N915" s="146"/>
      <c r="O915" s="61"/>
      <c r="P915" s="63"/>
      <c r="Q915" s="61"/>
      <c r="R915" s="64"/>
    </row>
    <row r="916" spans="1:18" s="65" customFormat="1" x14ac:dyDescent="0.2">
      <c r="A916" s="274"/>
      <c r="B916" s="275"/>
      <c r="C916" s="276"/>
      <c r="D916" s="274"/>
      <c r="E916" s="274"/>
      <c r="F916" s="274"/>
      <c r="G916" s="274"/>
      <c r="H916" s="274"/>
      <c r="I916" s="277"/>
      <c r="J916" s="24"/>
      <c r="K916" s="60"/>
      <c r="L916" s="60"/>
      <c r="M916" s="61"/>
      <c r="N916" s="146"/>
      <c r="O916" s="61"/>
      <c r="P916" s="63"/>
      <c r="Q916" s="61"/>
      <c r="R916" s="64"/>
    </row>
    <row r="917" spans="1:18" s="65" customFormat="1" x14ac:dyDescent="0.2">
      <c r="A917" s="274"/>
      <c r="B917" s="275"/>
      <c r="C917" s="276"/>
      <c r="D917" s="274"/>
      <c r="E917" s="274"/>
      <c r="F917" s="274"/>
      <c r="G917" s="274"/>
      <c r="H917" s="274"/>
      <c r="I917" s="277"/>
      <c r="J917" s="24"/>
      <c r="K917" s="60"/>
      <c r="L917" s="60"/>
      <c r="M917" s="61"/>
      <c r="N917" s="146"/>
      <c r="O917" s="61"/>
      <c r="P917" s="63"/>
      <c r="Q917" s="61"/>
      <c r="R917" s="64"/>
    </row>
    <row r="918" spans="1:18" s="65" customFormat="1" x14ac:dyDescent="0.2">
      <c r="A918" s="274"/>
      <c r="B918" s="275"/>
      <c r="C918" s="276"/>
      <c r="D918" s="274"/>
      <c r="E918" s="274"/>
      <c r="F918" s="274"/>
      <c r="G918" s="274"/>
      <c r="H918" s="274"/>
      <c r="I918" s="277"/>
      <c r="J918" s="24"/>
      <c r="K918" s="60"/>
      <c r="L918" s="60"/>
      <c r="M918" s="61"/>
      <c r="N918" s="146"/>
      <c r="O918" s="61"/>
      <c r="P918" s="63"/>
      <c r="Q918" s="61"/>
      <c r="R918" s="64"/>
    </row>
    <row r="919" spans="1:18" s="65" customFormat="1" x14ac:dyDescent="0.2">
      <c r="A919" s="274"/>
      <c r="B919" s="275"/>
      <c r="C919" s="276"/>
      <c r="D919" s="274"/>
      <c r="E919" s="274"/>
      <c r="F919" s="274"/>
      <c r="G919" s="274"/>
      <c r="H919" s="274"/>
      <c r="I919" s="277"/>
      <c r="J919" s="24"/>
      <c r="K919" s="60"/>
      <c r="L919" s="60"/>
      <c r="M919" s="61"/>
      <c r="N919" s="146"/>
      <c r="O919" s="61"/>
      <c r="P919" s="63"/>
      <c r="Q919" s="61"/>
      <c r="R919" s="64"/>
    </row>
    <row r="920" spans="1:18" s="65" customFormat="1" x14ac:dyDescent="0.2">
      <c r="A920" s="274"/>
      <c r="B920" s="275"/>
      <c r="C920" s="276"/>
      <c r="D920" s="274"/>
      <c r="E920" s="274"/>
      <c r="F920" s="274"/>
      <c r="G920" s="274"/>
      <c r="H920" s="274"/>
      <c r="I920" s="277"/>
      <c r="J920" s="24"/>
      <c r="K920" s="60"/>
      <c r="L920" s="60"/>
      <c r="M920" s="61"/>
      <c r="N920" s="146"/>
      <c r="O920" s="61"/>
      <c r="P920" s="63"/>
      <c r="Q920" s="61"/>
      <c r="R920" s="64"/>
    </row>
    <row r="921" spans="1:18" s="65" customFormat="1" x14ac:dyDescent="0.2">
      <c r="A921" s="274"/>
      <c r="B921" s="275"/>
      <c r="C921" s="276"/>
      <c r="D921" s="274"/>
      <c r="E921" s="274"/>
      <c r="F921" s="274"/>
      <c r="G921" s="274"/>
      <c r="H921" s="274"/>
      <c r="I921" s="277"/>
      <c r="J921" s="24"/>
      <c r="K921" s="60"/>
      <c r="L921" s="60"/>
      <c r="M921" s="61"/>
      <c r="N921" s="146"/>
      <c r="O921" s="61"/>
      <c r="P921" s="63"/>
      <c r="Q921" s="61"/>
      <c r="R921" s="64"/>
    </row>
    <row r="922" spans="1:18" s="65" customFormat="1" x14ac:dyDescent="0.2">
      <c r="A922" s="274"/>
      <c r="B922" s="275"/>
      <c r="C922" s="276"/>
      <c r="D922" s="274"/>
      <c r="E922" s="274"/>
      <c r="F922" s="274"/>
      <c r="G922" s="274"/>
      <c r="H922" s="274"/>
      <c r="I922" s="277"/>
      <c r="J922" s="24"/>
      <c r="K922" s="60"/>
      <c r="L922" s="60"/>
      <c r="M922" s="61"/>
      <c r="N922" s="146"/>
      <c r="O922" s="61"/>
      <c r="P922" s="63"/>
      <c r="Q922" s="61"/>
      <c r="R922" s="64"/>
    </row>
    <row r="923" spans="1:18" s="65" customFormat="1" x14ac:dyDescent="0.2">
      <c r="A923" s="274"/>
      <c r="B923" s="275"/>
      <c r="C923" s="276"/>
      <c r="D923" s="274"/>
      <c r="E923" s="274"/>
      <c r="F923" s="274"/>
      <c r="G923" s="274"/>
      <c r="H923" s="274"/>
      <c r="I923" s="277"/>
      <c r="J923" s="24"/>
      <c r="K923" s="60"/>
      <c r="L923" s="60"/>
      <c r="M923" s="61"/>
      <c r="N923" s="146"/>
      <c r="O923" s="61"/>
      <c r="P923" s="63"/>
      <c r="Q923" s="61"/>
      <c r="R923" s="64"/>
    </row>
    <row r="924" spans="1:18" s="65" customFormat="1" x14ac:dyDescent="0.2">
      <c r="A924" s="274"/>
      <c r="B924" s="275"/>
      <c r="C924" s="276"/>
      <c r="D924" s="274"/>
      <c r="E924" s="274"/>
      <c r="F924" s="274"/>
      <c r="G924" s="274"/>
      <c r="H924" s="274"/>
      <c r="I924" s="277"/>
      <c r="J924" s="24"/>
      <c r="K924" s="60"/>
      <c r="L924" s="60"/>
      <c r="M924" s="61"/>
      <c r="N924" s="146"/>
      <c r="O924" s="61"/>
      <c r="P924" s="63"/>
      <c r="Q924" s="61"/>
      <c r="R924" s="64"/>
    </row>
    <row r="925" spans="1:18" s="65" customFormat="1" x14ac:dyDescent="0.2">
      <c r="A925" s="274"/>
      <c r="B925" s="275"/>
      <c r="C925" s="276"/>
      <c r="D925" s="274"/>
      <c r="E925" s="274"/>
      <c r="F925" s="274"/>
      <c r="G925" s="274"/>
      <c r="H925" s="274"/>
      <c r="I925" s="277"/>
      <c r="J925" s="24"/>
      <c r="K925" s="60"/>
      <c r="L925" s="60"/>
      <c r="M925" s="61"/>
      <c r="N925" s="146"/>
      <c r="O925" s="61"/>
      <c r="P925" s="63"/>
      <c r="Q925" s="61"/>
      <c r="R925" s="64"/>
    </row>
    <row r="926" spans="1:18" s="65" customFormat="1" x14ac:dyDescent="0.2">
      <c r="A926" s="274"/>
      <c r="B926" s="275"/>
      <c r="C926" s="276"/>
      <c r="D926" s="274"/>
      <c r="E926" s="274"/>
      <c r="F926" s="274"/>
      <c r="G926" s="274"/>
      <c r="H926" s="274"/>
      <c r="I926" s="277"/>
      <c r="J926" s="24"/>
      <c r="K926" s="60"/>
      <c r="L926" s="60"/>
      <c r="M926" s="61"/>
      <c r="N926" s="146"/>
      <c r="O926" s="61"/>
      <c r="P926" s="63"/>
      <c r="Q926" s="61"/>
      <c r="R926" s="64"/>
    </row>
    <row r="927" spans="1:18" s="65" customFormat="1" x14ac:dyDescent="0.2">
      <c r="A927" s="274"/>
      <c r="B927" s="275"/>
      <c r="C927" s="276"/>
      <c r="D927" s="274"/>
      <c r="E927" s="274"/>
      <c r="F927" s="274"/>
      <c r="G927" s="274"/>
      <c r="H927" s="274"/>
      <c r="I927" s="277"/>
      <c r="J927" s="24"/>
      <c r="K927" s="60"/>
      <c r="L927" s="60"/>
      <c r="M927" s="61"/>
      <c r="N927" s="146"/>
      <c r="O927" s="61"/>
      <c r="P927" s="63"/>
      <c r="Q927" s="61"/>
      <c r="R927" s="64"/>
    </row>
    <row r="928" spans="1:18" s="65" customFormat="1" x14ac:dyDescent="0.2">
      <c r="A928" s="274"/>
      <c r="B928" s="275"/>
      <c r="C928" s="276"/>
      <c r="D928" s="274"/>
      <c r="E928" s="274"/>
      <c r="F928" s="274"/>
      <c r="G928" s="274"/>
      <c r="H928" s="274"/>
      <c r="I928" s="277"/>
      <c r="J928" s="24"/>
      <c r="K928" s="60"/>
      <c r="L928" s="60"/>
      <c r="M928" s="61"/>
      <c r="N928" s="146"/>
      <c r="O928" s="61"/>
      <c r="P928" s="63"/>
      <c r="Q928" s="61"/>
      <c r="R928" s="64"/>
    </row>
    <row r="929" spans="1:18" s="65" customFormat="1" x14ac:dyDescent="0.2">
      <c r="A929" s="274"/>
      <c r="B929" s="275"/>
      <c r="C929" s="276"/>
      <c r="D929" s="274"/>
      <c r="E929" s="274"/>
      <c r="F929" s="274"/>
      <c r="G929" s="274"/>
      <c r="H929" s="274"/>
      <c r="I929" s="277"/>
      <c r="J929" s="24"/>
      <c r="K929" s="60"/>
      <c r="L929" s="60"/>
      <c r="M929" s="61"/>
      <c r="N929" s="146"/>
      <c r="O929" s="61"/>
      <c r="P929" s="63"/>
      <c r="Q929" s="61"/>
      <c r="R929" s="64"/>
    </row>
    <row r="930" spans="1:18" s="65" customFormat="1" x14ac:dyDescent="0.2">
      <c r="A930" s="274"/>
      <c r="B930" s="275"/>
      <c r="C930" s="276"/>
      <c r="D930" s="274"/>
      <c r="E930" s="274"/>
      <c r="F930" s="274"/>
      <c r="G930" s="274"/>
      <c r="H930" s="274"/>
      <c r="I930" s="277"/>
      <c r="J930" s="24"/>
      <c r="K930" s="60"/>
      <c r="L930" s="60"/>
      <c r="M930" s="61"/>
      <c r="N930" s="146"/>
      <c r="O930" s="61"/>
      <c r="P930" s="63"/>
      <c r="Q930" s="61"/>
      <c r="R930" s="64"/>
    </row>
    <row r="931" spans="1:18" s="65" customFormat="1" x14ac:dyDescent="0.2">
      <c r="A931" s="274"/>
      <c r="B931" s="275"/>
      <c r="C931" s="276"/>
      <c r="D931" s="274"/>
      <c r="E931" s="274"/>
      <c r="F931" s="274"/>
      <c r="G931" s="274"/>
      <c r="H931" s="274"/>
      <c r="I931" s="277"/>
      <c r="J931" s="24"/>
      <c r="K931" s="60"/>
      <c r="L931" s="60"/>
      <c r="M931" s="61"/>
      <c r="N931" s="146"/>
      <c r="O931" s="61"/>
      <c r="P931" s="63"/>
      <c r="Q931" s="61"/>
      <c r="R931" s="64"/>
    </row>
    <row r="932" spans="1:18" s="65" customFormat="1" x14ac:dyDescent="0.2">
      <c r="A932" s="274"/>
      <c r="B932" s="275"/>
      <c r="C932" s="276"/>
      <c r="D932" s="274"/>
      <c r="E932" s="274"/>
      <c r="F932" s="274"/>
      <c r="G932" s="274"/>
      <c r="H932" s="274"/>
      <c r="I932" s="277"/>
      <c r="J932" s="24"/>
      <c r="K932" s="60"/>
      <c r="L932" s="60"/>
      <c r="M932" s="61"/>
      <c r="N932" s="146"/>
      <c r="O932" s="61"/>
      <c r="P932" s="63"/>
      <c r="Q932" s="61"/>
      <c r="R932" s="64"/>
    </row>
    <row r="933" spans="1:18" s="65" customFormat="1" x14ac:dyDescent="0.2">
      <c r="A933" s="274"/>
      <c r="B933" s="275"/>
      <c r="C933" s="276"/>
      <c r="D933" s="274"/>
      <c r="E933" s="274"/>
      <c r="F933" s="274"/>
      <c r="G933" s="274"/>
      <c r="H933" s="274"/>
      <c r="I933" s="277"/>
      <c r="J933" s="24"/>
      <c r="K933" s="60"/>
      <c r="L933" s="60"/>
      <c r="M933" s="61"/>
      <c r="N933" s="146"/>
      <c r="O933" s="61"/>
      <c r="P933" s="63"/>
      <c r="Q933" s="61"/>
      <c r="R933" s="64"/>
    </row>
    <row r="934" spans="1:18" s="65" customFormat="1" x14ac:dyDescent="0.2">
      <c r="A934" s="274"/>
      <c r="B934" s="275"/>
      <c r="C934" s="276"/>
      <c r="D934" s="274"/>
      <c r="E934" s="274"/>
      <c r="F934" s="274"/>
      <c r="G934" s="274"/>
      <c r="H934" s="274"/>
      <c r="I934" s="277"/>
      <c r="J934" s="24"/>
      <c r="K934" s="60"/>
      <c r="L934" s="60"/>
      <c r="M934" s="61"/>
      <c r="N934" s="146"/>
      <c r="O934" s="61"/>
      <c r="P934" s="63"/>
      <c r="Q934" s="61"/>
      <c r="R934" s="64"/>
    </row>
    <row r="935" spans="1:18" s="65" customFormat="1" x14ac:dyDescent="0.2">
      <c r="A935" s="274"/>
      <c r="B935" s="275"/>
      <c r="C935" s="276"/>
      <c r="D935" s="274"/>
      <c r="E935" s="274"/>
      <c r="F935" s="274"/>
      <c r="G935" s="274"/>
      <c r="H935" s="274"/>
      <c r="I935" s="277"/>
      <c r="J935" s="24"/>
      <c r="K935" s="60"/>
      <c r="L935" s="60"/>
      <c r="M935" s="61"/>
      <c r="N935" s="146"/>
      <c r="O935" s="61"/>
      <c r="P935" s="63"/>
      <c r="Q935" s="61"/>
      <c r="R935" s="64"/>
    </row>
    <row r="936" spans="1:18" s="65" customFormat="1" x14ac:dyDescent="0.2">
      <c r="A936" s="274"/>
      <c r="B936" s="275"/>
      <c r="C936" s="276"/>
      <c r="D936" s="274"/>
      <c r="E936" s="274"/>
      <c r="F936" s="274"/>
      <c r="G936" s="274"/>
      <c r="H936" s="274"/>
      <c r="I936" s="277"/>
      <c r="J936" s="24"/>
      <c r="K936" s="60"/>
      <c r="L936" s="60"/>
      <c r="M936" s="61"/>
      <c r="N936" s="146"/>
      <c r="O936" s="61"/>
      <c r="P936" s="63"/>
      <c r="Q936" s="61"/>
      <c r="R936" s="64"/>
    </row>
    <row r="937" spans="1:18" s="65" customFormat="1" x14ac:dyDescent="0.2">
      <c r="A937" s="274"/>
      <c r="B937" s="275"/>
      <c r="C937" s="276"/>
      <c r="D937" s="274"/>
      <c r="E937" s="274"/>
      <c r="F937" s="274"/>
      <c r="G937" s="274"/>
      <c r="H937" s="274"/>
      <c r="I937" s="277"/>
      <c r="J937" s="24"/>
      <c r="K937" s="60"/>
      <c r="L937" s="60"/>
      <c r="M937" s="61"/>
      <c r="N937" s="146"/>
      <c r="O937" s="61"/>
      <c r="P937" s="63"/>
      <c r="Q937" s="61"/>
      <c r="R937" s="64"/>
    </row>
    <row r="938" spans="1:18" s="65" customFormat="1" x14ac:dyDescent="0.2">
      <c r="A938" s="274"/>
      <c r="B938" s="275"/>
      <c r="C938" s="276"/>
      <c r="D938" s="274"/>
      <c r="E938" s="274"/>
      <c r="F938" s="274"/>
      <c r="G938" s="274"/>
      <c r="H938" s="274"/>
      <c r="I938" s="277"/>
      <c r="J938" s="24"/>
      <c r="K938" s="60"/>
      <c r="L938" s="60"/>
      <c r="M938" s="61"/>
      <c r="N938" s="146"/>
      <c r="O938" s="61"/>
      <c r="P938" s="63"/>
      <c r="Q938" s="61"/>
      <c r="R938" s="64"/>
    </row>
    <row r="939" spans="1:18" s="65" customFormat="1" x14ac:dyDescent="0.2">
      <c r="A939" s="274"/>
      <c r="B939" s="275"/>
      <c r="C939" s="276"/>
      <c r="D939" s="274"/>
      <c r="E939" s="274"/>
      <c r="F939" s="274"/>
      <c r="G939" s="274"/>
      <c r="H939" s="274"/>
      <c r="I939" s="277"/>
      <c r="J939" s="24"/>
      <c r="K939" s="60"/>
      <c r="L939" s="60"/>
      <c r="M939" s="61"/>
      <c r="N939" s="146"/>
      <c r="O939" s="61"/>
      <c r="P939" s="63"/>
      <c r="Q939" s="61"/>
      <c r="R939" s="64"/>
    </row>
    <row r="940" spans="1:18" s="65" customFormat="1" x14ac:dyDescent="0.2">
      <c r="A940" s="274"/>
      <c r="B940" s="275"/>
      <c r="C940" s="276"/>
      <c r="D940" s="274"/>
      <c r="E940" s="274"/>
      <c r="F940" s="274"/>
      <c r="G940" s="274"/>
      <c r="H940" s="274"/>
      <c r="I940" s="277"/>
      <c r="J940" s="24"/>
      <c r="K940" s="60"/>
      <c r="L940" s="60"/>
      <c r="M940" s="61"/>
      <c r="N940" s="146"/>
      <c r="O940" s="61"/>
      <c r="P940" s="63"/>
      <c r="Q940" s="61"/>
      <c r="R940" s="64"/>
    </row>
    <row r="941" spans="1:18" s="65" customFormat="1" x14ac:dyDescent="0.2">
      <c r="A941" s="274"/>
      <c r="B941" s="275"/>
      <c r="C941" s="276"/>
      <c r="D941" s="274"/>
      <c r="E941" s="274"/>
      <c r="F941" s="274"/>
      <c r="G941" s="274"/>
      <c r="H941" s="274"/>
      <c r="I941" s="277"/>
      <c r="J941" s="24"/>
      <c r="K941" s="60"/>
      <c r="L941" s="60"/>
      <c r="M941" s="61"/>
      <c r="N941" s="146"/>
      <c r="O941" s="61"/>
      <c r="P941" s="63"/>
      <c r="Q941" s="61"/>
      <c r="R941" s="64"/>
    </row>
    <row r="942" spans="1:18" s="65" customFormat="1" x14ac:dyDescent="0.2">
      <c r="A942" s="274"/>
      <c r="B942" s="275"/>
      <c r="C942" s="276"/>
      <c r="D942" s="274"/>
      <c r="E942" s="274"/>
      <c r="F942" s="274"/>
      <c r="G942" s="274"/>
      <c r="H942" s="274"/>
      <c r="I942" s="277"/>
      <c r="J942" s="24"/>
      <c r="K942" s="60"/>
      <c r="L942" s="60"/>
      <c r="M942" s="61"/>
      <c r="N942" s="146"/>
      <c r="O942" s="61"/>
      <c r="P942" s="63"/>
      <c r="Q942" s="61"/>
      <c r="R942" s="64"/>
    </row>
    <row r="943" spans="1:18" s="65" customFormat="1" x14ac:dyDescent="0.2">
      <c r="A943" s="274"/>
      <c r="B943" s="275"/>
      <c r="C943" s="276"/>
      <c r="D943" s="274"/>
      <c r="E943" s="274"/>
      <c r="F943" s="274"/>
      <c r="G943" s="274"/>
      <c r="H943" s="274"/>
      <c r="I943" s="277"/>
      <c r="J943" s="24"/>
      <c r="K943" s="60"/>
      <c r="L943" s="60"/>
      <c r="M943" s="61"/>
      <c r="N943" s="146"/>
      <c r="O943" s="61"/>
      <c r="P943" s="63"/>
      <c r="Q943" s="61"/>
      <c r="R943" s="64"/>
    </row>
    <row r="944" spans="1:18" s="65" customFormat="1" x14ac:dyDescent="0.2">
      <c r="A944" s="274"/>
      <c r="B944" s="275"/>
      <c r="C944" s="276"/>
      <c r="D944" s="274"/>
      <c r="E944" s="274"/>
      <c r="F944" s="274"/>
      <c r="G944" s="274"/>
      <c r="H944" s="274"/>
      <c r="I944" s="277"/>
      <c r="J944" s="24"/>
      <c r="K944" s="60"/>
      <c r="L944" s="60"/>
      <c r="M944" s="61"/>
      <c r="N944" s="146"/>
      <c r="O944" s="61"/>
      <c r="P944" s="63"/>
      <c r="Q944" s="61"/>
      <c r="R944" s="64"/>
    </row>
    <row r="945" spans="1:18" s="65" customFormat="1" x14ac:dyDescent="0.2">
      <c r="A945" s="274"/>
      <c r="B945" s="275"/>
      <c r="C945" s="276"/>
      <c r="D945" s="274"/>
      <c r="E945" s="274"/>
      <c r="F945" s="274"/>
      <c r="G945" s="274"/>
      <c r="H945" s="274"/>
      <c r="I945" s="277"/>
      <c r="J945" s="24"/>
      <c r="K945" s="60"/>
      <c r="L945" s="60"/>
      <c r="M945" s="61"/>
      <c r="N945" s="146"/>
      <c r="O945" s="61"/>
      <c r="P945" s="63"/>
      <c r="Q945" s="61"/>
      <c r="R945" s="64"/>
    </row>
    <row r="946" spans="1:18" s="65" customFormat="1" x14ac:dyDescent="0.2">
      <c r="A946" s="274"/>
      <c r="B946" s="275"/>
      <c r="C946" s="276"/>
      <c r="D946" s="274"/>
      <c r="E946" s="274"/>
      <c r="F946" s="274"/>
      <c r="G946" s="274"/>
      <c r="H946" s="274"/>
      <c r="I946" s="277"/>
      <c r="J946" s="24"/>
      <c r="K946" s="60"/>
      <c r="L946" s="60"/>
      <c r="M946" s="61"/>
      <c r="N946" s="146"/>
      <c r="O946" s="61"/>
      <c r="P946" s="63"/>
      <c r="Q946" s="61"/>
      <c r="R946" s="64"/>
    </row>
    <row r="947" spans="1:18" s="65" customFormat="1" x14ac:dyDescent="0.2">
      <c r="A947" s="274"/>
      <c r="B947" s="275"/>
      <c r="C947" s="276"/>
      <c r="D947" s="274"/>
      <c r="E947" s="274"/>
      <c r="F947" s="274"/>
      <c r="G947" s="274"/>
      <c r="H947" s="274"/>
      <c r="I947" s="277"/>
      <c r="J947" s="24"/>
      <c r="K947" s="60"/>
      <c r="L947" s="60"/>
      <c r="M947" s="61"/>
      <c r="N947" s="146"/>
      <c r="O947" s="61"/>
      <c r="P947" s="63"/>
      <c r="Q947" s="61"/>
      <c r="R947" s="64"/>
    </row>
    <row r="948" spans="1:18" s="65" customFormat="1" x14ac:dyDescent="0.2">
      <c r="A948" s="274"/>
      <c r="B948" s="275"/>
      <c r="C948" s="276"/>
      <c r="D948" s="274"/>
      <c r="E948" s="274"/>
      <c r="F948" s="274"/>
      <c r="G948" s="274"/>
      <c r="H948" s="274"/>
      <c r="I948" s="277"/>
      <c r="J948" s="24"/>
      <c r="K948" s="60"/>
      <c r="L948" s="60"/>
      <c r="M948" s="61"/>
      <c r="N948" s="146"/>
      <c r="O948" s="61"/>
      <c r="P948" s="63"/>
      <c r="Q948" s="61"/>
      <c r="R948" s="64"/>
    </row>
    <row r="949" spans="1:18" s="65" customFormat="1" x14ac:dyDescent="0.2">
      <c r="A949" s="274"/>
      <c r="B949" s="275"/>
      <c r="C949" s="276"/>
      <c r="D949" s="274"/>
      <c r="E949" s="274"/>
      <c r="F949" s="274"/>
      <c r="G949" s="274"/>
      <c r="H949" s="274"/>
      <c r="I949" s="277"/>
      <c r="J949" s="24"/>
      <c r="K949" s="60"/>
      <c r="L949" s="60"/>
      <c r="M949" s="61"/>
      <c r="N949" s="146"/>
      <c r="O949" s="61"/>
      <c r="P949" s="63"/>
      <c r="Q949" s="61"/>
      <c r="R949" s="64"/>
    </row>
    <row r="950" spans="1:18" s="65" customFormat="1" x14ac:dyDescent="0.2">
      <c r="A950" s="274"/>
      <c r="B950" s="275"/>
      <c r="C950" s="276"/>
      <c r="D950" s="274"/>
      <c r="E950" s="274"/>
      <c r="F950" s="274"/>
      <c r="G950" s="274"/>
      <c r="H950" s="274"/>
      <c r="I950" s="277"/>
      <c r="J950" s="24"/>
      <c r="K950" s="60"/>
      <c r="L950" s="60"/>
      <c r="M950" s="61"/>
      <c r="N950" s="146"/>
      <c r="O950" s="61"/>
      <c r="P950" s="63"/>
      <c r="Q950" s="61"/>
      <c r="R950" s="64"/>
    </row>
    <row r="951" spans="1:18" s="65" customFormat="1" x14ac:dyDescent="0.2">
      <c r="A951" s="274"/>
      <c r="B951" s="275"/>
      <c r="C951" s="276"/>
      <c r="D951" s="274"/>
      <c r="E951" s="274"/>
      <c r="F951" s="274"/>
      <c r="G951" s="274"/>
      <c r="H951" s="274"/>
      <c r="I951" s="277"/>
      <c r="J951" s="24"/>
      <c r="K951" s="60"/>
      <c r="L951" s="60"/>
      <c r="M951" s="61"/>
      <c r="N951" s="146"/>
      <c r="O951" s="61"/>
      <c r="P951" s="63"/>
      <c r="Q951" s="61"/>
      <c r="R951" s="64"/>
    </row>
    <row r="952" spans="1:18" s="65" customFormat="1" x14ac:dyDescent="0.2">
      <c r="A952" s="274"/>
      <c r="B952" s="275"/>
      <c r="C952" s="276"/>
      <c r="D952" s="274"/>
      <c r="E952" s="274"/>
      <c r="F952" s="274"/>
      <c r="G952" s="274"/>
      <c r="H952" s="274"/>
      <c r="I952" s="277"/>
      <c r="J952" s="24"/>
      <c r="K952" s="60"/>
      <c r="L952" s="60"/>
      <c r="M952" s="61"/>
      <c r="N952" s="146"/>
      <c r="O952" s="61"/>
      <c r="P952" s="63"/>
      <c r="Q952" s="61"/>
      <c r="R952" s="64"/>
    </row>
    <row r="953" spans="1:18" s="65" customFormat="1" x14ac:dyDescent="0.2">
      <c r="A953" s="274"/>
      <c r="B953" s="275"/>
      <c r="C953" s="276"/>
      <c r="D953" s="274"/>
      <c r="E953" s="274"/>
      <c r="F953" s="274"/>
      <c r="G953" s="274"/>
      <c r="H953" s="274"/>
      <c r="I953" s="277"/>
      <c r="J953" s="24"/>
      <c r="K953" s="60"/>
      <c r="L953" s="60"/>
      <c r="M953" s="61"/>
      <c r="N953" s="146"/>
      <c r="O953" s="61"/>
      <c r="P953" s="63"/>
      <c r="Q953" s="61"/>
      <c r="R953" s="64"/>
    </row>
    <row r="954" spans="1:18" s="65" customFormat="1" x14ac:dyDescent="0.2">
      <c r="A954" s="274"/>
      <c r="B954" s="275"/>
      <c r="C954" s="276"/>
      <c r="D954" s="274"/>
      <c r="E954" s="274"/>
      <c r="F954" s="274"/>
      <c r="G954" s="274"/>
      <c r="H954" s="274"/>
      <c r="I954" s="277"/>
      <c r="J954" s="24"/>
      <c r="K954" s="60"/>
      <c r="L954" s="60"/>
      <c r="M954" s="61"/>
      <c r="N954" s="146"/>
      <c r="O954" s="61"/>
      <c r="P954" s="63"/>
      <c r="Q954" s="61"/>
      <c r="R954" s="64"/>
    </row>
    <row r="955" spans="1:18" s="65" customFormat="1" x14ac:dyDescent="0.2">
      <c r="A955" s="274"/>
      <c r="B955" s="275"/>
      <c r="C955" s="276"/>
      <c r="D955" s="274"/>
      <c r="E955" s="274"/>
      <c r="F955" s="274"/>
      <c r="G955" s="274"/>
      <c r="H955" s="274"/>
      <c r="I955" s="277"/>
      <c r="J955" s="24"/>
      <c r="K955" s="60"/>
      <c r="L955" s="60"/>
      <c r="M955" s="61"/>
      <c r="N955" s="146"/>
      <c r="O955" s="61"/>
      <c r="P955" s="63"/>
      <c r="Q955" s="61"/>
      <c r="R955" s="64"/>
    </row>
    <row r="956" spans="1:18" s="65" customFormat="1" x14ac:dyDescent="0.2">
      <c r="A956" s="274"/>
      <c r="B956" s="275"/>
      <c r="C956" s="276"/>
      <c r="D956" s="274"/>
      <c r="E956" s="274"/>
      <c r="F956" s="274"/>
      <c r="G956" s="274"/>
      <c r="H956" s="274"/>
      <c r="I956" s="277"/>
      <c r="J956" s="24"/>
      <c r="K956" s="60"/>
      <c r="L956" s="60"/>
      <c r="M956" s="61"/>
      <c r="N956" s="146"/>
      <c r="O956" s="61"/>
      <c r="P956" s="63"/>
      <c r="Q956" s="61"/>
      <c r="R956" s="64"/>
    </row>
    <row r="957" spans="1:18" s="65" customFormat="1" x14ac:dyDescent="0.2">
      <c r="A957" s="274"/>
      <c r="B957" s="275"/>
      <c r="C957" s="276"/>
      <c r="D957" s="274"/>
      <c r="E957" s="274"/>
      <c r="F957" s="274"/>
      <c r="G957" s="274"/>
      <c r="H957" s="274"/>
      <c r="I957" s="277"/>
      <c r="J957" s="24"/>
      <c r="K957" s="60"/>
      <c r="L957" s="60"/>
      <c r="M957" s="61"/>
      <c r="N957" s="146"/>
      <c r="O957" s="61"/>
      <c r="P957" s="63"/>
      <c r="Q957" s="61"/>
      <c r="R957" s="64"/>
    </row>
    <row r="958" spans="1:18" s="65" customFormat="1" x14ac:dyDescent="0.2">
      <c r="A958" s="274"/>
      <c r="B958" s="275"/>
      <c r="C958" s="276"/>
      <c r="D958" s="274"/>
      <c r="E958" s="274"/>
      <c r="F958" s="274"/>
      <c r="G958" s="274"/>
      <c r="H958" s="274"/>
      <c r="I958" s="277"/>
      <c r="J958" s="24"/>
      <c r="K958" s="60"/>
      <c r="L958" s="60"/>
      <c r="M958" s="61"/>
      <c r="N958" s="146"/>
      <c r="O958" s="61"/>
      <c r="P958" s="63"/>
      <c r="Q958" s="61"/>
      <c r="R958" s="64"/>
    </row>
    <row r="959" spans="1:18" s="65" customFormat="1" x14ac:dyDescent="0.2">
      <c r="A959" s="274"/>
      <c r="B959" s="275"/>
      <c r="C959" s="276"/>
      <c r="D959" s="274"/>
      <c r="E959" s="274"/>
      <c r="F959" s="274"/>
      <c r="G959" s="274"/>
      <c r="H959" s="274"/>
      <c r="I959" s="277"/>
      <c r="J959" s="24"/>
      <c r="K959" s="60"/>
      <c r="L959" s="60"/>
      <c r="M959" s="61"/>
      <c r="N959" s="146"/>
      <c r="O959" s="61"/>
      <c r="P959" s="63"/>
      <c r="Q959" s="61"/>
      <c r="R959" s="64"/>
    </row>
    <row r="960" spans="1:18" s="65" customFormat="1" x14ac:dyDescent="0.2">
      <c r="A960" s="274"/>
      <c r="B960" s="275"/>
      <c r="C960" s="276"/>
      <c r="D960" s="274"/>
      <c r="E960" s="274"/>
      <c r="F960" s="274"/>
      <c r="G960" s="274"/>
      <c r="H960" s="274"/>
      <c r="I960" s="277"/>
      <c r="J960" s="24"/>
      <c r="K960" s="60"/>
      <c r="L960" s="60"/>
      <c r="M960" s="61"/>
      <c r="N960" s="146"/>
      <c r="O960" s="61"/>
      <c r="P960" s="63"/>
      <c r="Q960" s="61"/>
      <c r="R960" s="64"/>
    </row>
    <row r="961" spans="1:18" s="65" customFormat="1" x14ac:dyDescent="0.2">
      <c r="A961" s="274"/>
      <c r="B961" s="275"/>
      <c r="C961" s="276"/>
      <c r="D961" s="274"/>
      <c r="E961" s="274"/>
      <c r="F961" s="274"/>
      <c r="G961" s="274"/>
      <c r="H961" s="274"/>
      <c r="I961" s="277"/>
      <c r="J961" s="24"/>
      <c r="K961" s="60"/>
      <c r="L961" s="60"/>
      <c r="M961" s="61"/>
      <c r="N961" s="146"/>
      <c r="O961" s="61"/>
      <c r="P961" s="63"/>
      <c r="Q961" s="61"/>
      <c r="R961" s="64"/>
    </row>
    <row r="962" spans="1:18" s="65" customFormat="1" x14ac:dyDescent="0.2">
      <c r="A962" s="274"/>
      <c r="B962" s="275"/>
      <c r="C962" s="276"/>
      <c r="D962" s="274"/>
      <c r="E962" s="274"/>
      <c r="F962" s="274"/>
      <c r="G962" s="274"/>
      <c r="H962" s="274"/>
      <c r="I962" s="277"/>
      <c r="J962" s="24"/>
      <c r="K962" s="60"/>
      <c r="L962" s="60"/>
      <c r="M962" s="61"/>
      <c r="N962" s="146"/>
      <c r="O962" s="61"/>
      <c r="P962" s="63"/>
      <c r="Q962" s="61"/>
      <c r="R962" s="64"/>
    </row>
    <row r="963" spans="1:18" s="65" customFormat="1" x14ac:dyDescent="0.2">
      <c r="A963" s="274"/>
      <c r="B963" s="275"/>
      <c r="C963" s="276"/>
      <c r="D963" s="274"/>
      <c r="E963" s="274"/>
      <c r="F963" s="274"/>
      <c r="G963" s="274"/>
      <c r="H963" s="274"/>
      <c r="I963" s="277"/>
      <c r="J963" s="24"/>
      <c r="K963" s="60"/>
      <c r="L963" s="60"/>
      <c r="M963" s="61"/>
      <c r="N963" s="146"/>
      <c r="O963" s="61"/>
      <c r="P963" s="63"/>
      <c r="Q963" s="61"/>
      <c r="R963" s="64"/>
    </row>
    <row r="964" spans="1:18" s="65" customFormat="1" x14ac:dyDescent="0.2">
      <c r="A964" s="274"/>
      <c r="B964" s="275"/>
      <c r="C964" s="276"/>
      <c r="D964" s="274"/>
      <c r="E964" s="274"/>
      <c r="F964" s="274"/>
      <c r="G964" s="274"/>
      <c r="H964" s="274"/>
      <c r="I964" s="277"/>
      <c r="J964" s="24"/>
      <c r="K964" s="60"/>
      <c r="L964" s="60"/>
      <c r="M964" s="61"/>
      <c r="N964" s="146"/>
      <c r="O964" s="61"/>
      <c r="P964" s="63"/>
      <c r="Q964" s="61"/>
      <c r="R964" s="64"/>
    </row>
    <row r="965" spans="1:18" s="65" customFormat="1" x14ac:dyDescent="0.2">
      <c r="A965" s="274"/>
      <c r="B965" s="275"/>
      <c r="C965" s="276"/>
      <c r="D965" s="274"/>
      <c r="E965" s="274"/>
      <c r="F965" s="274"/>
      <c r="G965" s="274"/>
      <c r="H965" s="274"/>
      <c r="I965" s="277"/>
      <c r="J965" s="24"/>
      <c r="K965" s="60"/>
      <c r="L965" s="60"/>
      <c r="M965" s="61"/>
      <c r="N965" s="146"/>
      <c r="O965" s="61"/>
      <c r="P965" s="63"/>
      <c r="Q965" s="61"/>
      <c r="R965" s="64"/>
    </row>
    <row r="966" spans="1:18" s="65" customFormat="1" x14ac:dyDescent="0.2">
      <c r="A966" s="274"/>
      <c r="B966" s="275"/>
      <c r="C966" s="276"/>
      <c r="D966" s="274"/>
      <c r="E966" s="274"/>
      <c r="F966" s="274"/>
      <c r="G966" s="274"/>
      <c r="H966" s="274"/>
      <c r="I966" s="277"/>
      <c r="J966" s="24"/>
      <c r="K966" s="60"/>
      <c r="L966" s="60"/>
      <c r="M966" s="61"/>
      <c r="N966" s="146"/>
      <c r="O966" s="61"/>
      <c r="P966" s="63"/>
      <c r="Q966" s="61"/>
      <c r="R966" s="64"/>
    </row>
    <row r="967" spans="1:18" s="65" customFormat="1" x14ac:dyDescent="0.2">
      <c r="A967" s="274"/>
      <c r="B967" s="275"/>
      <c r="C967" s="276"/>
      <c r="D967" s="274"/>
      <c r="E967" s="274"/>
      <c r="F967" s="274"/>
      <c r="G967" s="274"/>
      <c r="H967" s="274"/>
      <c r="I967" s="277"/>
      <c r="J967" s="24"/>
      <c r="K967" s="60"/>
      <c r="L967" s="60"/>
      <c r="M967" s="61"/>
      <c r="N967" s="146"/>
      <c r="O967" s="61"/>
      <c r="P967" s="63"/>
      <c r="Q967" s="61"/>
      <c r="R967" s="64"/>
    </row>
    <row r="968" spans="1:18" s="65" customFormat="1" x14ac:dyDescent="0.2">
      <c r="A968" s="274"/>
      <c r="B968" s="275"/>
      <c r="C968" s="276"/>
      <c r="D968" s="274"/>
      <c r="E968" s="274"/>
      <c r="F968" s="274"/>
      <c r="G968" s="274"/>
      <c r="H968" s="274"/>
      <c r="I968" s="277"/>
      <c r="J968" s="24"/>
      <c r="K968" s="60"/>
      <c r="L968" s="60"/>
      <c r="M968" s="61"/>
      <c r="N968" s="146"/>
      <c r="O968" s="61"/>
      <c r="P968" s="63"/>
      <c r="Q968" s="61"/>
      <c r="R968" s="64"/>
    </row>
    <row r="969" spans="1:18" s="65" customFormat="1" x14ac:dyDescent="0.2">
      <c r="A969" s="274"/>
      <c r="B969" s="275"/>
      <c r="C969" s="276"/>
      <c r="D969" s="274"/>
      <c r="E969" s="274"/>
      <c r="F969" s="274"/>
      <c r="G969" s="274"/>
      <c r="H969" s="274"/>
      <c r="I969" s="277"/>
      <c r="J969" s="24"/>
      <c r="K969" s="60"/>
      <c r="L969" s="60"/>
      <c r="M969" s="61"/>
      <c r="N969" s="146"/>
      <c r="O969" s="61"/>
      <c r="P969" s="63"/>
      <c r="Q969" s="61"/>
      <c r="R969" s="64"/>
    </row>
    <row r="970" spans="1:18" s="65" customFormat="1" x14ac:dyDescent="0.2">
      <c r="A970" s="274"/>
      <c r="B970" s="275"/>
      <c r="C970" s="276"/>
      <c r="D970" s="274"/>
      <c r="E970" s="274"/>
      <c r="F970" s="274"/>
      <c r="G970" s="274"/>
      <c r="H970" s="274"/>
      <c r="I970" s="277"/>
      <c r="J970" s="24"/>
      <c r="K970" s="60"/>
      <c r="L970" s="60"/>
      <c r="M970" s="61"/>
      <c r="N970" s="146"/>
      <c r="O970" s="61"/>
      <c r="P970" s="63"/>
      <c r="Q970" s="61"/>
      <c r="R970" s="64"/>
    </row>
    <row r="971" spans="1:18" s="65" customFormat="1" x14ac:dyDescent="0.2">
      <c r="A971" s="274"/>
      <c r="B971" s="275"/>
      <c r="C971" s="276"/>
      <c r="D971" s="274"/>
      <c r="E971" s="274"/>
      <c r="F971" s="274"/>
      <c r="G971" s="274"/>
      <c r="H971" s="274"/>
      <c r="I971" s="277"/>
      <c r="J971" s="24"/>
      <c r="K971" s="60"/>
      <c r="L971" s="60"/>
      <c r="M971" s="61"/>
      <c r="N971" s="146"/>
      <c r="O971" s="61"/>
      <c r="P971" s="63"/>
      <c r="Q971" s="61"/>
      <c r="R971" s="64"/>
    </row>
    <row r="972" spans="1:18" s="65" customFormat="1" x14ac:dyDescent="0.2">
      <c r="A972" s="274"/>
      <c r="B972" s="275"/>
      <c r="C972" s="276"/>
      <c r="D972" s="274"/>
      <c r="E972" s="274"/>
      <c r="F972" s="274"/>
      <c r="G972" s="274"/>
      <c r="H972" s="274"/>
      <c r="I972" s="277"/>
      <c r="J972" s="24"/>
      <c r="K972" s="60"/>
      <c r="L972" s="60"/>
      <c r="M972" s="61"/>
      <c r="N972" s="146"/>
      <c r="O972" s="61"/>
      <c r="P972" s="63"/>
      <c r="Q972" s="61"/>
      <c r="R972" s="64"/>
    </row>
    <row r="973" spans="1:18" s="65" customFormat="1" x14ac:dyDescent="0.2">
      <c r="A973" s="274"/>
      <c r="B973" s="275"/>
      <c r="C973" s="276"/>
      <c r="D973" s="274"/>
      <c r="E973" s="274"/>
      <c r="F973" s="274"/>
      <c r="G973" s="274"/>
      <c r="H973" s="274"/>
      <c r="I973" s="277"/>
      <c r="J973" s="24"/>
      <c r="K973" s="60"/>
      <c r="L973" s="60"/>
      <c r="M973" s="61"/>
      <c r="N973" s="146"/>
      <c r="O973" s="61"/>
      <c r="P973" s="63"/>
      <c r="Q973" s="61"/>
      <c r="R973" s="64"/>
    </row>
    <row r="974" spans="1:18" s="65" customFormat="1" x14ac:dyDescent="0.2">
      <c r="A974" s="274"/>
      <c r="B974" s="275"/>
      <c r="C974" s="276"/>
      <c r="D974" s="274"/>
      <c r="E974" s="274"/>
      <c r="F974" s="274"/>
      <c r="G974" s="274"/>
      <c r="H974" s="274"/>
      <c r="I974" s="277"/>
      <c r="J974" s="24"/>
      <c r="K974" s="60"/>
      <c r="L974" s="60"/>
      <c r="M974" s="61"/>
      <c r="N974" s="146"/>
      <c r="O974" s="61"/>
      <c r="P974" s="63"/>
      <c r="Q974" s="61"/>
      <c r="R974" s="64"/>
    </row>
    <row r="975" spans="1:18" s="65" customFormat="1" x14ac:dyDescent="0.2">
      <c r="A975" s="274"/>
      <c r="B975" s="275"/>
      <c r="C975" s="276"/>
      <c r="D975" s="274"/>
      <c r="E975" s="274"/>
      <c r="F975" s="274"/>
      <c r="G975" s="274"/>
      <c r="H975" s="274"/>
      <c r="I975" s="277"/>
      <c r="J975" s="24"/>
      <c r="K975" s="60"/>
      <c r="L975" s="60"/>
      <c r="M975" s="61"/>
      <c r="N975" s="146"/>
      <c r="O975" s="61"/>
      <c r="P975" s="63"/>
      <c r="Q975" s="61"/>
      <c r="R975" s="64"/>
    </row>
    <row r="976" spans="1:18" s="65" customFormat="1" x14ac:dyDescent="0.2">
      <c r="A976" s="274"/>
      <c r="B976" s="275"/>
      <c r="C976" s="276"/>
      <c r="D976" s="274"/>
      <c r="E976" s="274"/>
      <c r="F976" s="274"/>
      <c r="G976" s="274"/>
      <c r="H976" s="274"/>
      <c r="I976" s="277"/>
      <c r="J976" s="24"/>
      <c r="K976" s="60"/>
      <c r="L976" s="60"/>
      <c r="M976" s="61"/>
      <c r="N976" s="146"/>
      <c r="O976" s="61"/>
      <c r="P976" s="63"/>
      <c r="Q976" s="61"/>
      <c r="R976" s="64"/>
    </row>
    <row r="977" spans="1:18" s="65" customFormat="1" x14ac:dyDescent="0.2">
      <c r="A977" s="274"/>
      <c r="B977" s="275"/>
      <c r="C977" s="276"/>
      <c r="D977" s="274"/>
      <c r="E977" s="274"/>
      <c r="F977" s="274"/>
      <c r="G977" s="274"/>
      <c r="H977" s="274"/>
      <c r="I977" s="277"/>
      <c r="J977" s="24"/>
      <c r="K977" s="60"/>
      <c r="L977" s="60"/>
      <c r="M977" s="61"/>
      <c r="N977" s="146"/>
      <c r="O977" s="61"/>
      <c r="P977" s="63"/>
      <c r="Q977" s="61"/>
      <c r="R977" s="64"/>
    </row>
    <row r="978" spans="1:18" s="65" customFormat="1" x14ac:dyDescent="0.2">
      <c r="A978" s="274"/>
      <c r="B978" s="275"/>
      <c r="C978" s="276"/>
      <c r="D978" s="274"/>
      <c r="E978" s="274"/>
      <c r="F978" s="274"/>
      <c r="G978" s="274"/>
      <c r="H978" s="274"/>
      <c r="I978" s="277"/>
      <c r="J978" s="24"/>
      <c r="K978" s="60"/>
      <c r="L978" s="60"/>
      <c r="M978" s="61"/>
      <c r="N978" s="146"/>
      <c r="O978" s="61"/>
      <c r="P978" s="63"/>
      <c r="Q978" s="61"/>
      <c r="R978" s="64"/>
    </row>
    <row r="979" spans="1:18" s="65" customFormat="1" x14ac:dyDescent="0.2">
      <c r="A979" s="274"/>
      <c r="B979" s="275"/>
      <c r="C979" s="276"/>
      <c r="D979" s="274"/>
      <c r="E979" s="274"/>
      <c r="F979" s="274"/>
      <c r="G979" s="274"/>
      <c r="H979" s="274"/>
      <c r="I979" s="277"/>
      <c r="J979" s="24"/>
      <c r="K979" s="60"/>
      <c r="L979" s="60"/>
      <c r="M979" s="61"/>
      <c r="N979" s="146"/>
      <c r="O979" s="61"/>
      <c r="P979" s="63"/>
      <c r="Q979" s="61"/>
      <c r="R979" s="64"/>
    </row>
    <row r="980" spans="1:18" s="65" customFormat="1" x14ac:dyDescent="0.2">
      <c r="A980" s="274"/>
      <c r="B980" s="275"/>
      <c r="C980" s="276"/>
      <c r="D980" s="274"/>
      <c r="E980" s="274"/>
      <c r="F980" s="274"/>
      <c r="G980" s="274"/>
      <c r="H980" s="274"/>
      <c r="I980" s="277"/>
      <c r="J980" s="24"/>
      <c r="K980" s="60"/>
      <c r="L980" s="60"/>
      <c r="M980" s="61"/>
      <c r="N980" s="146"/>
      <c r="O980" s="61"/>
      <c r="P980" s="63"/>
      <c r="Q980" s="61"/>
      <c r="R980" s="64"/>
    </row>
    <row r="981" spans="1:18" s="65" customFormat="1" x14ac:dyDescent="0.2">
      <c r="A981" s="274"/>
      <c r="B981" s="275"/>
      <c r="C981" s="276"/>
      <c r="D981" s="274"/>
      <c r="E981" s="274"/>
      <c r="F981" s="274"/>
      <c r="G981" s="274"/>
      <c r="H981" s="274"/>
      <c r="I981" s="277"/>
      <c r="J981" s="24"/>
      <c r="K981" s="60"/>
      <c r="L981" s="60"/>
      <c r="M981" s="61"/>
      <c r="N981" s="146"/>
      <c r="O981" s="61"/>
      <c r="P981" s="63"/>
      <c r="Q981" s="61"/>
      <c r="R981" s="64"/>
    </row>
    <row r="982" spans="1:18" s="65" customFormat="1" x14ac:dyDescent="0.2">
      <c r="A982" s="274"/>
      <c r="B982" s="275"/>
      <c r="C982" s="276"/>
      <c r="D982" s="274"/>
      <c r="E982" s="274"/>
      <c r="F982" s="274"/>
      <c r="G982" s="274"/>
      <c r="H982" s="274"/>
      <c r="I982" s="277"/>
      <c r="J982" s="24"/>
      <c r="K982" s="60"/>
      <c r="L982" s="60"/>
      <c r="M982" s="61"/>
      <c r="N982" s="146"/>
      <c r="O982" s="61"/>
      <c r="P982" s="63"/>
      <c r="Q982" s="61"/>
      <c r="R982" s="64"/>
    </row>
    <row r="983" spans="1:18" s="65" customFormat="1" x14ac:dyDescent="0.2">
      <c r="A983" s="274"/>
      <c r="B983" s="275"/>
      <c r="C983" s="276"/>
      <c r="D983" s="274"/>
      <c r="E983" s="274"/>
      <c r="F983" s="274"/>
      <c r="G983" s="274"/>
      <c r="H983" s="274"/>
      <c r="I983" s="277"/>
      <c r="J983" s="24"/>
      <c r="K983" s="60"/>
      <c r="L983" s="60"/>
      <c r="M983" s="61"/>
      <c r="N983" s="146"/>
      <c r="O983" s="61"/>
      <c r="P983" s="63"/>
      <c r="Q983" s="61"/>
      <c r="R983" s="64"/>
    </row>
    <row r="984" spans="1:18" s="65" customFormat="1" x14ac:dyDescent="0.2">
      <c r="A984" s="274"/>
      <c r="B984" s="275"/>
      <c r="C984" s="276"/>
      <c r="D984" s="274"/>
      <c r="E984" s="274"/>
      <c r="F984" s="274"/>
      <c r="G984" s="274"/>
      <c r="H984" s="274"/>
      <c r="I984" s="277"/>
      <c r="J984" s="24"/>
      <c r="K984" s="60"/>
      <c r="L984" s="60"/>
      <c r="M984" s="61"/>
      <c r="N984" s="146"/>
      <c r="O984" s="61"/>
      <c r="P984" s="63"/>
      <c r="Q984" s="61"/>
      <c r="R984" s="64"/>
    </row>
    <row r="985" spans="1:18" s="65" customFormat="1" x14ac:dyDescent="0.2">
      <c r="A985" s="274"/>
      <c r="B985" s="275"/>
      <c r="C985" s="276"/>
      <c r="D985" s="274"/>
      <c r="E985" s="274"/>
      <c r="F985" s="274"/>
      <c r="G985" s="274"/>
      <c r="H985" s="274"/>
      <c r="I985" s="277"/>
      <c r="J985" s="24"/>
      <c r="K985" s="60"/>
      <c r="L985" s="60"/>
      <c r="M985" s="61"/>
      <c r="N985" s="146"/>
      <c r="O985" s="61"/>
      <c r="P985" s="63"/>
      <c r="Q985" s="61"/>
      <c r="R985" s="64"/>
    </row>
    <row r="986" spans="1:18" s="65" customFormat="1" x14ac:dyDescent="0.2">
      <c r="A986" s="274"/>
      <c r="B986" s="275"/>
      <c r="C986" s="276"/>
      <c r="D986" s="274"/>
      <c r="E986" s="274"/>
      <c r="F986" s="274"/>
      <c r="G986" s="274"/>
      <c r="H986" s="274"/>
      <c r="I986" s="277"/>
      <c r="J986" s="24"/>
      <c r="K986" s="60"/>
      <c r="L986" s="60"/>
      <c r="M986" s="61"/>
      <c r="N986" s="146"/>
      <c r="O986" s="61"/>
      <c r="P986" s="63"/>
      <c r="Q986" s="61"/>
      <c r="R986" s="64"/>
    </row>
    <row r="987" spans="1:18" s="65" customFormat="1" x14ac:dyDescent="0.2">
      <c r="A987" s="274"/>
      <c r="B987" s="275"/>
      <c r="C987" s="276"/>
      <c r="D987" s="274"/>
      <c r="E987" s="274"/>
      <c r="F987" s="274"/>
      <c r="G987" s="274"/>
      <c r="H987" s="274"/>
      <c r="I987" s="277"/>
      <c r="J987" s="24"/>
      <c r="K987" s="60"/>
      <c r="L987" s="60"/>
      <c r="M987" s="61"/>
      <c r="N987" s="146"/>
      <c r="O987" s="61"/>
      <c r="P987" s="63"/>
      <c r="Q987" s="61"/>
      <c r="R987" s="64"/>
    </row>
    <row r="988" spans="1:18" s="65" customFormat="1" x14ac:dyDescent="0.2">
      <c r="A988" s="274"/>
      <c r="B988" s="275"/>
      <c r="C988" s="276"/>
      <c r="D988" s="274"/>
      <c r="E988" s="274"/>
      <c r="F988" s="274"/>
      <c r="G988" s="274"/>
      <c r="H988" s="274"/>
      <c r="I988" s="277"/>
      <c r="J988" s="24"/>
      <c r="K988" s="60"/>
      <c r="L988" s="60"/>
      <c r="M988" s="61"/>
      <c r="N988" s="146"/>
      <c r="O988" s="61"/>
      <c r="P988" s="63"/>
      <c r="Q988" s="61"/>
      <c r="R988" s="64"/>
    </row>
    <row r="989" spans="1:18" s="65" customFormat="1" x14ac:dyDescent="0.2">
      <c r="A989" s="274"/>
      <c r="B989" s="275"/>
      <c r="C989" s="276"/>
      <c r="D989" s="274"/>
      <c r="E989" s="274"/>
      <c r="F989" s="274"/>
      <c r="G989" s="274"/>
      <c r="H989" s="274"/>
      <c r="I989" s="277"/>
      <c r="J989" s="24"/>
      <c r="K989" s="60"/>
      <c r="L989" s="60"/>
      <c r="M989" s="61"/>
      <c r="N989" s="146"/>
      <c r="O989" s="61"/>
      <c r="P989" s="63"/>
      <c r="Q989" s="61"/>
      <c r="R989" s="64"/>
    </row>
    <row r="990" spans="1:18" s="65" customFormat="1" x14ac:dyDescent="0.2">
      <c r="A990" s="274"/>
      <c r="B990" s="275"/>
      <c r="C990" s="276"/>
      <c r="D990" s="274"/>
      <c r="E990" s="274"/>
      <c r="F990" s="274"/>
      <c r="G990" s="274"/>
      <c r="H990" s="274"/>
      <c r="I990" s="277"/>
      <c r="J990" s="24"/>
      <c r="K990" s="60"/>
      <c r="L990" s="60"/>
      <c r="M990" s="61"/>
      <c r="N990" s="146"/>
      <c r="O990" s="61"/>
      <c r="P990" s="63"/>
      <c r="Q990" s="61"/>
      <c r="R990" s="64"/>
    </row>
    <row r="991" spans="1:18" s="65" customFormat="1" x14ac:dyDescent="0.2">
      <c r="A991" s="274"/>
      <c r="B991" s="275"/>
      <c r="C991" s="276"/>
      <c r="D991" s="274"/>
      <c r="E991" s="274"/>
      <c r="F991" s="274"/>
      <c r="G991" s="274"/>
      <c r="H991" s="274"/>
      <c r="I991" s="277"/>
      <c r="J991" s="24"/>
      <c r="K991" s="60"/>
      <c r="L991" s="60"/>
      <c r="M991" s="61"/>
      <c r="N991" s="146"/>
      <c r="O991" s="61"/>
      <c r="P991" s="63"/>
      <c r="Q991" s="61"/>
      <c r="R991" s="64"/>
    </row>
    <row r="992" spans="1:18" s="65" customFormat="1" x14ac:dyDescent="0.2">
      <c r="A992" s="274"/>
      <c r="B992" s="275"/>
      <c r="C992" s="276"/>
      <c r="D992" s="274"/>
      <c r="E992" s="274"/>
      <c r="F992" s="274"/>
      <c r="G992" s="274"/>
      <c r="H992" s="274"/>
      <c r="I992" s="277"/>
      <c r="J992" s="24"/>
      <c r="K992" s="60"/>
      <c r="L992" s="60"/>
      <c r="M992" s="61"/>
      <c r="N992" s="146"/>
      <c r="O992" s="61"/>
      <c r="P992" s="63"/>
      <c r="Q992" s="61"/>
      <c r="R992" s="64"/>
    </row>
    <row r="993" spans="1:18" s="65" customFormat="1" x14ac:dyDescent="0.2">
      <c r="A993" s="274"/>
      <c r="B993" s="275"/>
      <c r="C993" s="276"/>
      <c r="D993" s="274"/>
      <c r="E993" s="274"/>
      <c r="F993" s="274"/>
      <c r="G993" s="274"/>
      <c r="H993" s="274"/>
      <c r="I993" s="277"/>
      <c r="J993" s="24"/>
      <c r="K993" s="60"/>
      <c r="L993" s="60"/>
      <c r="M993" s="61"/>
      <c r="N993" s="146"/>
      <c r="O993" s="61"/>
      <c r="P993" s="63"/>
      <c r="Q993" s="61"/>
      <c r="R993" s="64"/>
    </row>
    <row r="994" spans="1:18" s="65" customFormat="1" x14ac:dyDescent="0.2">
      <c r="A994" s="274"/>
      <c r="B994" s="275"/>
      <c r="C994" s="276"/>
      <c r="D994" s="274"/>
      <c r="E994" s="274"/>
      <c r="F994" s="274"/>
      <c r="G994" s="274"/>
      <c r="H994" s="274"/>
      <c r="I994" s="277"/>
      <c r="J994" s="24"/>
      <c r="K994" s="60"/>
      <c r="L994" s="60"/>
      <c r="M994" s="61"/>
      <c r="N994" s="146"/>
      <c r="O994" s="61"/>
      <c r="P994" s="63"/>
      <c r="Q994" s="61"/>
      <c r="R994" s="64"/>
    </row>
    <row r="995" spans="1:18" s="65" customFormat="1" x14ac:dyDescent="0.2">
      <c r="A995" s="274"/>
      <c r="B995" s="275"/>
      <c r="C995" s="276"/>
      <c r="D995" s="274"/>
      <c r="E995" s="274"/>
      <c r="F995" s="274"/>
      <c r="G995" s="274"/>
      <c r="H995" s="274"/>
      <c r="I995" s="277"/>
      <c r="J995" s="24"/>
      <c r="K995" s="60"/>
      <c r="L995" s="60"/>
      <c r="M995" s="61"/>
      <c r="N995" s="146"/>
      <c r="O995" s="61"/>
      <c r="P995" s="63"/>
      <c r="Q995" s="61"/>
      <c r="R995" s="64"/>
    </row>
    <row r="996" spans="1:18" s="65" customFormat="1" x14ac:dyDescent="0.2">
      <c r="A996" s="274"/>
      <c r="B996" s="275"/>
      <c r="C996" s="276"/>
      <c r="D996" s="274"/>
      <c r="E996" s="274"/>
      <c r="F996" s="274"/>
      <c r="G996" s="274"/>
      <c r="H996" s="274"/>
      <c r="I996" s="277"/>
      <c r="J996" s="24"/>
      <c r="K996" s="60"/>
      <c r="L996" s="60"/>
      <c r="M996" s="61"/>
      <c r="N996" s="146"/>
      <c r="O996" s="61"/>
      <c r="P996" s="63"/>
      <c r="Q996" s="61"/>
      <c r="R996" s="64"/>
    </row>
    <row r="997" spans="1:18" s="65" customFormat="1" x14ac:dyDescent="0.2">
      <c r="A997" s="274"/>
      <c r="B997" s="275"/>
      <c r="C997" s="276"/>
      <c r="D997" s="274"/>
      <c r="E997" s="274"/>
      <c r="F997" s="274"/>
      <c r="G997" s="274"/>
      <c r="H997" s="274"/>
      <c r="I997" s="277"/>
      <c r="J997" s="24"/>
      <c r="K997" s="60"/>
      <c r="L997" s="60"/>
      <c r="M997" s="61"/>
      <c r="N997" s="146"/>
      <c r="O997" s="61"/>
      <c r="P997" s="63"/>
      <c r="Q997" s="61"/>
      <c r="R997" s="64"/>
    </row>
    <row r="998" spans="1:18" s="65" customFormat="1" x14ac:dyDescent="0.2">
      <c r="A998" s="274"/>
      <c r="B998" s="275"/>
      <c r="C998" s="276"/>
      <c r="D998" s="274"/>
      <c r="E998" s="274"/>
      <c r="F998" s="274"/>
      <c r="G998" s="274"/>
      <c r="H998" s="274"/>
      <c r="I998" s="277"/>
      <c r="J998" s="24"/>
      <c r="K998" s="60"/>
      <c r="L998" s="60"/>
      <c r="M998" s="61"/>
      <c r="N998" s="146"/>
      <c r="O998" s="61"/>
      <c r="P998" s="63"/>
      <c r="Q998" s="61"/>
      <c r="R998" s="64"/>
    </row>
    <row r="999" spans="1:18" s="65" customFormat="1" x14ac:dyDescent="0.2">
      <c r="A999" s="274"/>
      <c r="B999" s="275"/>
      <c r="C999" s="276"/>
      <c r="D999" s="274"/>
      <c r="E999" s="274"/>
      <c r="F999" s="274"/>
      <c r="G999" s="274"/>
      <c r="H999" s="274"/>
      <c r="I999" s="277"/>
      <c r="J999" s="24"/>
      <c r="K999" s="60"/>
      <c r="L999" s="60"/>
      <c r="M999" s="61"/>
      <c r="N999" s="146"/>
      <c r="O999" s="61"/>
      <c r="P999" s="63"/>
      <c r="Q999" s="61"/>
      <c r="R999" s="64"/>
    </row>
    <row r="1000" spans="1:18" s="65" customFormat="1" x14ac:dyDescent="0.2">
      <c r="A1000" s="274"/>
      <c r="B1000" s="275"/>
      <c r="C1000" s="276"/>
      <c r="D1000" s="274"/>
      <c r="E1000" s="274"/>
      <c r="F1000" s="274"/>
      <c r="G1000" s="274"/>
      <c r="H1000" s="274"/>
      <c r="I1000" s="277"/>
      <c r="J1000" s="24"/>
      <c r="K1000" s="60"/>
      <c r="L1000" s="60"/>
      <c r="M1000" s="61"/>
      <c r="N1000" s="146"/>
      <c r="O1000" s="61"/>
      <c r="P1000" s="63"/>
      <c r="Q1000" s="61"/>
      <c r="R1000" s="64"/>
    </row>
    <row r="1001" spans="1:18" s="65" customFormat="1" x14ac:dyDescent="0.2">
      <c r="A1001" s="274"/>
      <c r="B1001" s="275"/>
      <c r="C1001" s="276"/>
      <c r="D1001" s="274"/>
      <c r="E1001" s="274"/>
      <c r="F1001" s="274"/>
      <c r="G1001" s="274"/>
      <c r="H1001" s="274"/>
      <c r="I1001" s="277"/>
      <c r="J1001" s="24"/>
      <c r="K1001" s="60"/>
      <c r="L1001" s="60"/>
      <c r="M1001" s="61"/>
      <c r="N1001" s="146"/>
      <c r="O1001" s="61"/>
      <c r="P1001" s="63"/>
      <c r="Q1001" s="61"/>
      <c r="R1001" s="64"/>
    </row>
    <row r="1002" spans="1:18" s="65" customFormat="1" x14ac:dyDescent="0.2">
      <c r="A1002" s="274"/>
      <c r="B1002" s="275"/>
      <c r="C1002" s="276"/>
      <c r="D1002" s="274"/>
      <c r="E1002" s="274"/>
      <c r="F1002" s="274"/>
      <c r="G1002" s="274"/>
      <c r="H1002" s="274"/>
      <c r="I1002" s="277"/>
      <c r="J1002" s="24"/>
      <c r="K1002" s="60"/>
      <c r="L1002" s="60"/>
      <c r="M1002" s="61"/>
      <c r="N1002" s="146"/>
      <c r="O1002" s="61"/>
      <c r="P1002" s="63"/>
      <c r="Q1002" s="61"/>
      <c r="R1002" s="64"/>
    </row>
    <row r="1003" spans="1:18" s="65" customFormat="1" x14ac:dyDescent="0.2">
      <c r="A1003" s="274"/>
      <c r="B1003" s="275"/>
      <c r="C1003" s="276"/>
      <c r="D1003" s="274"/>
      <c r="E1003" s="274"/>
      <c r="F1003" s="274"/>
      <c r="G1003" s="274"/>
      <c r="H1003" s="274"/>
      <c r="I1003" s="277"/>
      <c r="J1003" s="24"/>
      <c r="K1003" s="60"/>
      <c r="L1003" s="60"/>
      <c r="M1003" s="61"/>
      <c r="N1003" s="146"/>
      <c r="O1003" s="61"/>
      <c r="P1003" s="63"/>
      <c r="Q1003" s="61"/>
      <c r="R1003" s="64"/>
    </row>
    <row r="1004" spans="1:18" s="65" customFormat="1" x14ac:dyDescent="0.2">
      <c r="A1004" s="274"/>
      <c r="B1004" s="275"/>
      <c r="C1004" s="276"/>
      <c r="D1004" s="274"/>
      <c r="E1004" s="274"/>
      <c r="F1004" s="274"/>
      <c r="G1004" s="274"/>
      <c r="H1004" s="274"/>
      <c r="I1004" s="277"/>
      <c r="J1004" s="24"/>
      <c r="K1004" s="60"/>
      <c r="L1004" s="60"/>
      <c r="M1004" s="61"/>
      <c r="N1004" s="146"/>
      <c r="O1004" s="61"/>
      <c r="P1004" s="63"/>
      <c r="Q1004" s="61"/>
      <c r="R1004" s="64"/>
    </row>
    <row r="1005" spans="1:18" s="65" customFormat="1" x14ac:dyDescent="0.2">
      <c r="A1005" s="274"/>
      <c r="B1005" s="275"/>
      <c r="C1005" s="276"/>
      <c r="D1005" s="274"/>
      <c r="E1005" s="274"/>
      <c r="F1005" s="274"/>
      <c r="G1005" s="274"/>
      <c r="H1005" s="274"/>
      <c r="I1005" s="277"/>
      <c r="J1005" s="24"/>
      <c r="K1005" s="60"/>
      <c r="L1005" s="60"/>
      <c r="M1005" s="61"/>
      <c r="N1005" s="146"/>
      <c r="O1005" s="61"/>
      <c r="P1005" s="63"/>
      <c r="Q1005" s="61"/>
      <c r="R1005" s="64"/>
    </row>
    <row r="1006" spans="1:18" s="65" customFormat="1" x14ac:dyDescent="0.2">
      <c r="A1006" s="274"/>
      <c r="B1006" s="275"/>
      <c r="C1006" s="276"/>
      <c r="D1006" s="274"/>
      <c r="E1006" s="274"/>
      <c r="F1006" s="274"/>
      <c r="G1006" s="274"/>
      <c r="H1006" s="274"/>
      <c r="I1006" s="277"/>
      <c r="J1006" s="24"/>
      <c r="K1006" s="60"/>
      <c r="L1006" s="60"/>
      <c r="M1006" s="61"/>
      <c r="N1006" s="146"/>
      <c r="O1006" s="61"/>
      <c r="P1006" s="63"/>
      <c r="Q1006" s="61"/>
      <c r="R1006" s="64"/>
    </row>
    <row r="1007" spans="1:18" s="65" customFormat="1" x14ac:dyDescent="0.2">
      <c r="A1007" s="274"/>
      <c r="B1007" s="275"/>
      <c r="C1007" s="276"/>
      <c r="D1007" s="274"/>
      <c r="E1007" s="274"/>
      <c r="F1007" s="274"/>
      <c r="G1007" s="274"/>
      <c r="H1007" s="274"/>
      <c r="I1007" s="277"/>
      <c r="J1007" s="24"/>
      <c r="K1007" s="60"/>
      <c r="L1007" s="60"/>
      <c r="M1007" s="61"/>
      <c r="N1007" s="146"/>
      <c r="O1007" s="61"/>
      <c r="P1007" s="63"/>
      <c r="Q1007" s="61"/>
      <c r="R1007" s="64"/>
    </row>
    <row r="1008" spans="1:18" s="65" customFormat="1" x14ac:dyDescent="0.2">
      <c r="A1008" s="274"/>
      <c r="B1008" s="275"/>
      <c r="C1008" s="276"/>
      <c r="D1008" s="274"/>
      <c r="E1008" s="274"/>
      <c r="F1008" s="274"/>
      <c r="G1008" s="274"/>
      <c r="H1008" s="274"/>
      <c r="I1008" s="277"/>
      <c r="J1008" s="24"/>
      <c r="K1008" s="60"/>
      <c r="L1008" s="60"/>
      <c r="M1008" s="61"/>
      <c r="N1008" s="146"/>
      <c r="O1008" s="61"/>
      <c r="P1008" s="63"/>
      <c r="Q1008" s="61"/>
      <c r="R1008" s="64"/>
    </row>
    <row r="1009" spans="1:18" s="65" customFormat="1" x14ac:dyDescent="0.2">
      <c r="A1009" s="274"/>
      <c r="B1009" s="275"/>
      <c r="C1009" s="276"/>
      <c r="D1009" s="274"/>
      <c r="E1009" s="274"/>
      <c r="F1009" s="274"/>
      <c r="G1009" s="274"/>
      <c r="H1009" s="274"/>
      <c r="I1009" s="277"/>
      <c r="J1009" s="24"/>
      <c r="K1009" s="60"/>
      <c r="L1009" s="60"/>
      <c r="M1009" s="61"/>
      <c r="N1009" s="146"/>
      <c r="O1009" s="61"/>
      <c r="P1009" s="63"/>
      <c r="Q1009" s="61"/>
      <c r="R1009" s="64"/>
    </row>
    <row r="1010" spans="1:18" s="65" customFormat="1" x14ac:dyDescent="0.2">
      <c r="A1010" s="274"/>
      <c r="B1010" s="275"/>
      <c r="C1010" s="276"/>
      <c r="D1010" s="274"/>
      <c r="E1010" s="274"/>
      <c r="F1010" s="274"/>
      <c r="G1010" s="274"/>
      <c r="H1010" s="274"/>
      <c r="I1010" s="277"/>
      <c r="J1010" s="24"/>
      <c r="K1010" s="60"/>
      <c r="L1010" s="60"/>
      <c r="M1010" s="61"/>
      <c r="N1010" s="146"/>
      <c r="O1010" s="61"/>
      <c r="P1010" s="63"/>
      <c r="Q1010" s="61"/>
      <c r="R1010" s="64"/>
    </row>
    <row r="1011" spans="1:18" s="65" customFormat="1" x14ac:dyDescent="0.2">
      <c r="A1011" s="274"/>
      <c r="B1011" s="275"/>
      <c r="C1011" s="276"/>
      <c r="D1011" s="274"/>
      <c r="E1011" s="274"/>
      <c r="F1011" s="274"/>
      <c r="G1011" s="274"/>
      <c r="H1011" s="274"/>
      <c r="I1011" s="277"/>
      <c r="J1011" s="24"/>
      <c r="K1011" s="60"/>
      <c r="L1011" s="60"/>
      <c r="M1011" s="61"/>
      <c r="N1011" s="146"/>
      <c r="O1011" s="61"/>
      <c r="P1011" s="63"/>
      <c r="Q1011" s="61"/>
      <c r="R1011" s="64"/>
    </row>
    <row r="1012" spans="1:18" s="65" customFormat="1" x14ac:dyDescent="0.2">
      <c r="A1012" s="274"/>
      <c r="B1012" s="275"/>
      <c r="C1012" s="276"/>
      <c r="D1012" s="274"/>
      <c r="E1012" s="274"/>
      <c r="F1012" s="274"/>
      <c r="G1012" s="274"/>
      <c r="H1012" s="274"/>
      <c r="I1012" s="277"/>
      <c r="J1012" s="24"/>
      <c r="K1012" s="60"/>
      <c r="L1012" s="60"/>
      <c r="M1012" s="61"/>
      <c r="N1012" s="146"/>
      <c r="O1012" s="61"/>
      <c r="P1012" s="63"/>
      <c r="Q1012" s="61"/>
      <c r="R1012" s="64"/>
    </row>
    <row r="1013" spans="1:18" s="65" customFormat="1" x14ac:dyDescent="0.2">
      <c r="A1013" s="274"/>
      <c r="B1013" s="275"/>
      <c r="C1013" s="276"/>
      <c r="D1013" s="274"/>
      <c r="E1013" s="274"/>
      <c r="F1013" s="274"/>
      <c r="G1013" s="274"/>
      <c r="H1013" s="274"/>
      <c r="I1013" s="277"/>
      <c r="J1013" s="24"/>
      <c r="K1013" s="60"/>
      <c r="L1013" s="60"/>
      <c r="M1013" s="61"/>
      <c r="N1013" s="146"/>
      <c r="O1013" s="61"/>
      <c r="P1013" s="63"/>
      <c r="Q1013" s="61"/>
      <c r="R1013" s="64"/>
    </row>
    <row r="1014" spans="1:18" s="65" customFormat="1" x14ac:dyDescent="0.2">
      <c r="A1014" s="274"/>
      <c r="B1014" s="275"/>
      <c r="C1014" s="276"/>
      <c r="D1014" s="274"/>
      <c r="E1014" s="274"/>
      <c r="F1014" s="274"/>
      <c r="G1014" s="274"/>
      <c r="H1014" s="274"/>
      <c r="I1014" s="277"/>
      <c r="J1014" s="24"/>
      <c r="K1014" s="60"/>
      <c r="L1014" s="60"/>
      <c r="M1014" s="61"/>
      <c r="N1014" s="146"/>
      <c r="O1014" s="61"/>
      <c r="P1014" s="63"/>
      <c r="Q1014" s="61"/>
      <c r="R1014" s="64"/>
    </row>
    <row r="1015" spans="1:18" s="65" customFormat="1" x14ac:dyDescent="0.2">
      <c r="A1015" s="274"/>
      <c r="B1015" s="275"/>
      <c r="C1015" s="276"/>
      <c r="D1015" s="274"/>
      <c r="E1015" s="274"/>
      <c r="F1015" s="274"/>
      <c r="G1015" s="274"/>
      <c r="H1015" s="274"/>
      <c r="I1015" s="277"/>
      <c r="J1015" s="24"/>
      <c r="K1015" s="60"/>
      <c r="L1015" s="60"/>
      <c r="M1015" s="61"/>
      <c r="N1015" s="146"/>
      <c r="O1015" s="61"/>
      <c r="P1015" s="63"/>
      <c r="Q1015" s="61"/>
      <c r="R1015" s="64"/>
    </row>
    <row r="1016" spans="1:18" s="65" customFormat="1" x14ac:dyDescent="0.2">
      <c r="A1016" s="274"/>
      <c r="B1016" s="275"/>
      <c r="C1016" s="276"/>
      <c r="D1016" s="274"/>
      <c r="E1016" s="274"/>
      <c r="F1016" s="274"/>
      <c r="G1016" s="274"/>
      <c r="H1016" s="274"/>
      <c r="I1016" s="277"/>
      <c r="J1016" s="24"/>
      <c r="K1016" s="60"/>
      <c r="L1016" s="60"/>
      <c r="M1016" s="61"/>
      <c r="N1016" s="146"/>
      <c r="O1016" s="61"/>
      <c r="P1016" s="63"/>
      <c r="Q1016" s="61"/>
      <c r="R1016" s="64"/>
    </row>
    <row r="1017" spans="1:18" s="65" customFormat="1" x14ac:dyDescent="0.2">
      <c r="A1017" s="274"/>
      <c r="B1017" s="275"/>
      <c r="C1017" s="276"/>
      <c r="D1017" s="274"/>
      <c r="E1017" s="274"/>
      <c r="F1017" s="274"/>
      <c r="G1017" s="274"/>
      <c r="H1017" s="274"/>
      <c r="I1017" s="277"/>
      <c r="J1017" s="24"/>
      <c r="K1017" s="60"/>
      <c r="L1017" s="60"/>
      <c r="M1017" s="61"/>
      <c r="N1017" s="146"/>
      <c r="O1017" s="61"/>
      <c r="P1017" s="63"/>
      <c r="Q1017" s="61"/>
      <c r="R1017" s="64"/>
    </row>
    <row r="1018" spans="1:18" s="65" customFormat="1" x14ac:dyDescent="0.2">
      <c r="A1018" s="274"/>
      <c r="B1018" s="275"/>
      <c r="C1018" s="276"/>
      <c r="D1018" s="274"/>
      <c r="E1018" s="274"/>
      <c r="F1018" s="274"/>
      <c r="G1018" s="274"/>
      <c r="H1018" s="274"/>
      <c r="I1018" s="277"/>
      <c r="J1018" s="24"/>
      <c r="K1018" s="60"/>
      <c r="L1018" s="60"/>
      <c r="M1018" s="61"/>
      <c r="N1018" s="146"/>
      <c r="O1018" s="61"/>
      <c r="P1018" s="63"/>
      <c r="Q1018" s="61"/>
      <c r="R1018" s="64"/>
    </row>
    <row r="1019" spans="1:18" s="65" customFormat="1" x14ac:dyDescent="0.2">
      <c r="A1019" s="274"/>
      <c r="B1019" s="275"/>
      <c r="C1019" s="276"/>
      <c r="D1019" s="274"/>
      <c r="E1019" s="274"/>
      <c r="F1019" s="274"/>
      <c r="G1019" s="274"/>
      <c r="H1019" s="274"/>
      <c r="I1019" s="277"/>
      <c r="J1019" s="24"/>
      <c r="K1019" s="60"/>
      <c r="L1019" s="60"/>
      <c r="M1019" s="61"/>
      <c r="N1019" s="146"/>
      <c r="O1019" s="61"/>
      <c r="P1019" s="63"/>
      <c r="Q1019" s="61"/>
      <c r="R1019" s="64"/>
    </row>
    <row r="1020" spans="1:18" s="65" customFormat="1" x14ac:dyDescent="0.2">
      <c r="A1020" s="274"/>
      <c r="B1020" s="275"/>
      <c r="C1020" s="276"/>
      <c r="D1020" s="274"/>
      <c r="E1020" s="274"/>
      <c r="F1020" s="274"/>
      <c r="G1020" s="274"/>
      <c r="H1020" s="274"/>
      <c r="I1020" s="277"/>
      <c r="J1020" s="24"/>
      <c r="K1020" s="60"/>
      <c r="L1020" s="60"/>
      <c r="M1020" s="61"/>
      <c r="N1020" s="146"/>
      <c r="O1020" s="61"/>
      <c r="P1020" s="63"/>
      <c r="Q1020" s="61"/>
      <c r="R1020" s="64"/>
    </row>
    <row r="1021" spans="1:18" s="65" customFormat="1" x14ac:dyDescent="0.2">
      <c r="A1021" s="274"/>
      <c r="B1021" s="275"/>
      <c r="C1021" s="276"/>
      <c r="D1021" s="274"/>
      <c r="E1021" s="274"/>
      <c r="F1021" s="274"/>
      <c r="G1021" s="274"/>
      <c r="H1021" s="274"/>
      <c r="I1021" s="277"/>
      <c r="J1021" s="24"/>
      <c r="K1021" s="60"/>
      <c r="L1021" s="60"/>
      <c r="M1021" s="61"/>
      <c r="N1021" s="146"/>
      <c r="O1021" s="61"/>
      <c r="P1021" s="63"/>
      <c r="Q1021" s="61"/>
      <c r="R1021" s="64"/>
    </row>
    <row r="1022" spans="1:18" s="65" customFormat="1" x14ac:dyDescent="0.2">
      <c r="A1022" s="274"/>
      <c r="B1022" s="275"/>
      <c r="C1022" s="276"/>
      <c r="D1022" s="274"/>
      <c r="E1022" s="274"/>
      <c r="F1022" s="274"/>
      <c r="G1022" s="274"/>
      <c r="H1022" s="274"/>
      <c r="I1022" s="277"/>
      <c r="J1022" s="24"/>
      <c r="K1022" s="60"/>
      <c r="L1022" s="60"/>
      <c r="M1022" s="61"/>
      <c r="N1022" s="146"/>
      <c r="O1022" s="61"/>
      <c r="P1022" s="63"/>
      <c r="Q1022" s="61"/>
      <c r="R1022" s="64"/>
    </row>
    <row r="1023" spans="1:18" s="65" customFormat="1" x14ac:dyDescent="0.2">
      <c r="A1023" s="274"/>
      <c r="B1023" s="275"/>
      <c r="C1023" s="276"/>
      <c r="D1023" s="274"/>
      <c r="E1023" s="274"/>
      <c r="F1023" s="274"/>
      <c r="G1023" s="274"/>
      <c r="H1023" s="274"/>
      <c r="I1023" s="277"/>
      <c r="J1023" s="24"/>
      <c r="K1023" s="60"/>
      <c r="L1023" s="60"/>
      <c r="M1023" s="61"/>
      <c r="N1023" s="146"/>
      <c r="O1023" s="61"/>
      <c r="P1023" s="63"/>
      <c r="Q1023" s="61"/>
      <c r="R1023" s="64"/>
    </row>
    <row r="1024" spans="1:18" s="65" customFormat="1" x14ac:dyDescent="0.2">
      <c r="A1024" s="274"/>
      <c r="B1024" s="275"/>
      <c r="C1024" s="276"/>
      <c r="D1024" s="274"/>
      <c r="E1024" s="274"/>
      <c r="F1024" s="274"/>
      <c r="G1024" s="274"/>
      <c r="H1024" s="274"/>
      <c r="I1024" s="277"/>
      <c r="J1024" s="24"/>
      <c r="K1024" s="60"/>
      <c r="L1024" s="60"/>
      <c r="M1024" s="61"/>
      <c r="N1024" s="146"/>
      <c r="O1024" s="61"/>
      <c r="P1024" s="63"/>
      <c r="Q1024" s="61"/>
      <c r="R1024" s="64"/>
    </row>
    <row r="1025" spans="1:18" s="65" customFormat="1" x14ac:dyDescent="0.2">
      <c r="A1025" s="274"/>
      <c r="B1025" s="275"/>
      <c r="C1025" s="276"/>
      <c r="D1025" s="274"/>
      <c r="E1025" s="274"/>
      <c r="F1025" s="274"/>
      <c r="G1025" s="274"/>
      <c r="H1025" s="274"/>
      <c r="I1025" s="277"/>
      <c r="J1025" s="24"/>
      <c r="K1025" s="60"/>
      <c r="L1025" s="60"/>
      <c r="M1025" s="61"/>
      <c r="N1025" s="146"/>
      <c r="O1025" s="61"/>
      <c r="P1025" s="63"/>
      <c r="Q1025" s="61"/>
      <c r="R1025" s="64"/>
    </row>
    <row r="1026" spans="1:18" s="65" customFormat="1" x14ac:dyDescent="0.2">
      <c r="A1026" s="274"/>
      <c r="B1026" s="275"/>
      <c r="C1026" s="276"/>
      <c r="D1026" s="274"/>
      <c r="E1026" s="274"/>
      <c r="F1026" s="274"/>
      <c r="G1026" s="274"/>
      <c r="H1026" s="274"/>
      <c r="I1026" s="277"/>
      <c r="J1026" s="24"/>
      <c r="K1026" s="60"/>
      <c r="L1026" s="60"/>
      <c r="M1026" s="61"/>
      <c r="N1026" s="146"/>
      <c r="O1026" s="61"/>
      <c r="P1026" s="63"/>
      <c r="Q1026" s="61"/>
      <c r="R1026" s="64"/>
    </row>
    <row r="1027" spans="1:18" s="65" customFormat="1" x14ac:dyDescent="0.2">
      <c r="A1027" s="274"/>
      <c r="B1027" s="275"/>
      <c r="C1027" s="276"/>
      <c r="D1027" s="274"/>
      <c r="E1027" s="274"/>
      <c r="F1027" s="274"/>
      <c r="G1027" s="274"/>
      <c r="H1027" s="274"/>
      <c r="I1027" s="277"/>
      <c r="J1027" s="24"/>
      <c r="K1027" s="60"/>
      <c r="L1027" s="60"/>
      <c r="M1027" s="61"/>
      <c r="N1027" s="146"/>
      <c r="O1027" s="61"/>
      <c r="P1027" s="63"/>
      <c r="Q1027" s="61"/>
      <c r="R1027" s="64"/>
    </row>
    <row r="1028" spans="1:18" s="65" customFormat="1" x14ac:dyDescent="0.2">
      <c r="A1028" s="274"/>
      <c r="B1028" s="275"/>
      <c r="C1028" s="276"/>
      <c r="D1028" s="274"/>
      <c r="E1028" s="274"/>
      <c r="F1028" s="274"/>
      <c r="G1028" s="274"/>
      <c r="H1028" s="274"/>
      <c r="I1028" s="277"/>
      <c r="J1028" s="24"/>
      <c r="K1028" s="60"/>
      <c r="L1028" s="60"/>
      <c r="M1028" s="61"/>
      <c r="N1028" s="146"/>
      <c r="O1028" s="61"/>
      <c r="P1028" s="63"/>
      <c r="Q1028" s="61"/>
      <c r="R1028" s="64"/>
    </row>
    <row r="1029" spans="1:18" s="65" customFormat="1" x14ac:dyDescent="0.2">
      <c r="A1029" s="274"/>
      <c r="B1029" s="275"/>
      <c r="C1029" s="276"/>
      <c r="D1029" s="274"/>
      <c r="E1029" s="274"/>
      <c r="F1029" s="274"/>
      <c r="G1029" s="274"/>
      <c r="H1029" s="274"/>
      <c r="I1029" s="277"/>
      <c r="J1029" s="24"/>
      <c r="K1029" s="60"/>
      <c r="L1029" s="60"/>
      <c r="M1029" s="61"/>
      <c r="N1029" s="146"/>
      <c r="O1029" s="61"/>
      <c r="P1029" s="63"/>
      <c r="Q1029" s="61"/>
      <c r="R1029" s="64"/>
    </row>
    <row r="1030" spans="1:18" s="65" customFormat="1" x14ac:dyDescent="0.2">
      <c r="A1030" s="274"/>
      <c r="B1030" s="275"/>
      <c r="C1030" s="276"/>
      <c r="D1030" s="274"/>
      <c r="E1030" s="274"/>
      <c r="F1030" s="274"/>
      <c r="G1030" s="274"/>
      <c r="H1030" s="274"/>
      <c r="I1030" s="277"/>
      <c r="J1030" s="24"/>
      <c r="K1030" s="60"/>
      <c r="L1030" s="60"/>
      <c r="M1030" s="61"/>
      <c r="N1030" s="146"/>
      <c r="O1030" s="61"/>
      <c r="P1030" s="63"/>
      <c r="Q1030" s="61"/>
      <c r="R1030" s="64"/>
    </row>
    <row r="1031" spans="1:18" s="65" customFormat="1" x14ac:dyDescent="0.2">
      <c r="A1031" s="274"/>
      <c r="B1031" s="275"/>
      <c r="C1031" s="276"/>
      <c r="D1031" s="274"/>
      <c r="E1031" s="274"/>
      <c r="F1031" s="274"/>
      <c r="G1031" s="274"/>
      <c r="H1031" s="274"/>
      <c r="I1031" s="277"/>
      <c r="J1031" s="24"/>
      <c r="K1031" s="60"/>
      <c r="L1031" s="60"/>
      <c r="M1031" s="61"/>
      <c r="N1031" s="146"/>
      <c r="O1031" s="61"/>
      <c r="P1031" s="63"/>
      <c r="Q1031" s="61"/>
      <c r="R1031" s="64"/>
    </row>
    <row r="1032" spans="1:18" s="65" customFormat="1" x14ac:dyDescent="0.2">
      <c r="A1032" s="274"/>
      <c r="B1032" s="275"/>
      <c r="C1032" s="276"/>
      <c r="D1032" s="274"/>
      <c r="E1032" s="274"/>
      <c r="F1032" s="274"/>
      <c r="G1032" s="274"/>
      <c r="H1032" s="274"/>
      <c r="I1032" s="277"/>
      <c r="J1032" s="24"/>
      <c r="K1032" s="60"/>
      <c r="L1032" s="60"/>
      <c r="M1032" s="61"/>
      <c r="N1032" s="146"/>
      <c r="O1032" s="61"/>
      <c r="P1032" s="63"/>
      <c r="Q1032" s="61"/>
      <c r="R1032" s="64"/>
    </row>
    <row r="1033" spans="1:18" s="65" customFormat="1" x14ac:dyDescent="0.2">
      <c r="A1033" s="274"/>
      <c r="B1033" s="275"/>
      <c r="C1033" s="276"/>
      <c r="D1033" s="274"/>
      <c r="E1033" s="274"/>
      <c r="F1033" s="274"/>
      <c r="G1033" s="274"/>
      <c r="H1033" s="274"/>
      <c r="I1033" s="277"/>
      <c r="J1033" s="24"/>
      <c r="K1033" s="60"/>
      <c r="L1033" s="60"/>
      <c r="M1033" s="61"/>
      <c r="N1033" s="146"/>
      <c r="O1033" s="61"/>
      <c r="P1033" s="63"/>
      <c r="Q1033" s="61"/>
      <c r="R1033" s="64"/>
    </row>
    <row r="1034" spans="1:18" s="65" customFormat="1" x14ac:dyDescent="0.2">
      <c r="A1034" s="274"/>
      <c r="B1034" s="275"/>
      <c r="C1034" s="276"/>
      <c r="D1034" s="274"/>
      <c r="E1034" s="274"/>
      <c r="F1034" s="274"/>
      <c r="G1034" s="274"/>
      <c r="H1034" s="274"/>
      <c r="I1034" s="277"/>
      <c r="J1034" s="24"/>
      <c r="K1034" s="60"/>
      <c r="L1034" s="60"/>
      <c r="M1034" s="61"/>
      <c r="N1034" s="146"/>
      <c r="O1034" s="61"/>
      <c r="P1034" s="63"/>
      <c r="Q1034" s="61"/>
      <c r="R1034" s="64"/>
    </row>
    <row r="1035" spans="1:18" s="65" customFormat="1" x14ac:dyDescent="0.2">
      <c r="A1035" s="274"/>
      <c r="B1035" s="275"/>
      <c r="C1035" s="276"/>
      <c r="D1035" s="274"/>
      <c r="E1035" s="274"/>
      <c r="F1035" s="274"/>
      <c r="G1035" s="274"/>
      <c r="H1035" s="274"/>
      <c r="I1035" s="277"/>
      <c r="J1035" s="24"/>
      <c r="K1035" s="60"/>
      <c r="L1035" s="60"/>
      <c r="M1035" s="61"/>
      <c r="N1035" s="146"/>
      <c r="O1035" s="61"/>
      <c r="P1035" s="63"/>
      <c r="Q1035" s="61"/>
      <c r="R1035" s="64"/>
    </row>
    <row r="1036" spans="1:18" s="65" customFormat="1" x14ac:dyDescent="0.2">
      <c r="A1036" s="274"/>
      <c r="B1036" s="275"/>
      <c r="C1036" s="276"/>
      <c r="D1036" s="274"/>
      <c r="E1036" s="274"/>
      <c r="F1036" s="274"/>
      <c r="G1036" s="274"/>
      <c r="H1036" s="274"/>
      <c r="I1036" s="277"/>
      <c r="J1036" s="24"/>
      <c r="K1036" s="60"/>
      <c r="L1036" s="60"/>
      <c r="M1036" s="61"/>
      <c r="N1036" s="146"/>
      <c r="O1036" s="61"/>
      <c r="P1036" s="63"/>
      <c r="Q1036" s="61"/>
      <c r="R1036" s="64"/>
    </row>
    <row r="1037" spans="1:18" s="65" customFormat="1" x14ac:dyDescent="0.2">
      <c r="A1037" s="274"/>
      <c r="B1037" s="275"/>
      <c r="C1037" s="276"/>
      <c r="D1037" s="274"/>
      <c r="E1037" s="274"/>
      <c r="F1037" s="274"/>
      <c r="G1037" s="274"/>
      <c r="H1037" s="274"/>
      <c r="I1037" s="277"/>
      <c r="J1037" s="24"/>
      <c r="K1037" s="60"/>
      <c r="L1037" s="60"/>
      <c r="M1037" s="61"/>
      <c r="N1037" s="146"/>
      <c r="O1037" s="61"/>
      <c r="P1037" s="63"/>
      <c r="Q1037" s="61"/>
      <c r="R1037" s="64"/>
    </row>
    <row r="1038" spans="1:18" s="65" customFormat="1" x14ac:dyDescent="0.2">
      <c r="A1038" s="274"/>
      <c r="B1038" s="275"/>
      <c r="C1038" s="276"/>
      <c r="D1038" s="274"/>
      <c r="E1038" s="274"/>
      <c r="F1038" s="274"/>
      <c r="G1038" s="274"/>
      <c r="H1038" s="274"/>
      <c r="I1038" s="277"/>
      <c r="J1038" s="24"/>
      <c r="K1038" s="60"/>
      <c r="L1038" s="60"/>
      <c r="M1038" s="61"/>
      <c r="N1038" s="146"/>
      <c r="O1038" s="61"/>
      <c r="P1038" s="63"/>
      <c r="Q1038" s="61"/>
      <c r="R1038" s="64"/>
    </row>
    <row r="1039" spans="1:18" s="65" customFormat="1" x14ac:dyDescent="0.2">
      <c r="A1039" s="274"/>
      <c r="B1039" s="275"/>
      <c r="C1039" s="276"/>
      <c r="D1039" s="274"/>
      <c r="E1039" s="274"/>
      <c r="F1039" s="274"/>
      <c r="G1039" s="274"/>
      <c r="H1039" s="274"/>
      <c r="I1039" s="277"/>
      <c r="J1039" s="24"/>
      <c r="K1039" s="60"/>
      <c r="L1039" s="60"/>
      <c r="M1039" s="61"/>
      <c r="N1039" s="146"/>
      <c r="O1039" s="61"/>
      <c r="P1039" s="63"/>
      <c r="Q1039" s="61"/>
      <c r="R1039" s="64"/>
    </row>
    <row r="1040" spans="1:18" s="65" customFormat="1" x14ac:dyDescent="0.2">
      <c r="A1040" s="274"/>
      <c r="B1040" s="275"/>
      <c r="C1040" s="276"/>
      <c r="D1040" s="274"/>
      <c r="E1040" s="274"/>
      <c r="F1040" s="274"/>
      <c r="G1040" s="274"/>
      <c r="H1040" s="274"/>
      <c r="I1040" s="277"/>
      <c r="J1040" s="24"/>
      <c r="K1040" s="60"/>
      <c r="L1040" s="60"/>
      <c r="M1040" s="61"/>
      <c r="N1040" s="146"/>
      <c r="O1040" s="61"/>
      <c r="P1040" s="63"/>
      <c r="Q1040" s="61"/>
      <c r="R1040" s="64"/>
    </row>
    <row r="1041" spans="1:18" s="65" customFormat="1" x14ac:dyDescent="0.2">
      <c r="A1041" s="274"/>
      <c r="B1041" s="275"/>
      <c r="C1041" s="276"/>
      <c r="D1041" s="274"/>
      <c r="E1041" s="274"/>
      <c r="F1041" s="274"/>
      <c r="G1041" s="274"/>
      <c r="H1041" s="274"/>
      <c r="I1041" s="277"/>
      <c r="J1041" s="24"/>
      <c r="K1041" s="60"/>
      <c r="L1041" s="60"/>
      <c r="M1041" s="61"/>
      <c r="N1041" s="146"/>
      <c r="O1041" s="61"/>
      <c r="P1041" s="63"/>
      <c r="Q1041" s="61"/>
      <c r="R1041" s="64"/>
    </row>
  </sheetData>
  <mergeCells count="6">
    <mergeCell ref="A901:I901"/>
    <mergeCell ref="A9:H9"/>
    <mergeCell ref="A11:C11"/>
    <mergeCell ref="A12:C12"/>
    <mergeCell ref="A13:C13"/>
    <mergeCell ref="G16:H16"/>
  </mergeCells>
  <pageMargins left="0.98425196850393704" right="0.23622047244094491" top="0.74803149606299213" bottom="0.74803149606299213" header="0.31496062992125984" footer="0.31496062992125984"/>
  <pageSetup paperSize="9" scale="89" orientation="landscape" r:id="rId1"/>
  <headerFooter alignWithMargins="0"/>
  <rowBreaks count="1" manualBreakCount="1">
    <brk id="270" max="8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2</xdr:col>
                <xdr:colOff>1971675</xdr:colOff>
                <xdr:row>0</xdr:row>
                <xdr:rowOff>0</xdr:rowOff>
              </from>
              <to>
                <xdr:col>2</xdr:col>
                <xdr:colOff>2600325</xdr:colOff>
                <xdr:row>0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r:id="rId7">
            <anchor moveWithCells="1">
              <from>
                <xdr:col>1</xdr:col>
                <xdr:colOff>276225</xdr:colOff>
                <xdr:row>0</xdr:row>
                <xdr:rowOff>57150</xdr:rowOff>
              </from>
              <to>
                <xdr:col>5</xdr:col>
                <xdr:colOff>219075</xdr:colOff>
                <xdr:row>7</xdr:row>
                <xdr:rowOff>123825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H55"/>
  <sheetViews>
    <sheetView view="pageBreakPreview" topLeftCell="A10" zoomScaleNormal="100" zoomScaleSheetLayoutView="100" workbookViewId="0">
      <selection activeCell="G36" sqref="G36"/>
    </sheetView>
  </sheetViews>
  <sheetFormatPr defaultRowHeight="12.75" x14ac:dyDescent="0.2"/>
  <cols>
    <col min="1" max="1" width="5.85546875" style="404" customWidth="1"/>
    <col min="2" max="2" width="82.85546875" style="404" bestFit="1" customWidth="1"/>
    <col min="3" max="3" width="9.7109375" style="404" customWidth="1"/>
    <col min="4" max="7" width="9.140625" style="404"/>
    <col min="8" max="8" width="9.85546875" style="404" bestFit="1" customWidth="1"/>
    <col min="9" max="16384" width="9.140625" style="404"/>
  </cols>
  <sheetData>
    <row r="7" spans="1:8" x14ac:dyDescent="0.2">
      <c r="A7" s="445" t="s">
        <v>823</v>
      </c>
      <c r="B7" s="446"/>
      <c r="C7" s="447"/>
    </row>
    <row r="8" spans="1:8" x14ac:dyDescent="0.2">
      <c r="A8" s="448"/>
      <c r="B8" s="449"/>
      <c r="C8" s="450"/>
    </row>
    <row r="9" spans="1:8" ht="16.5" x14ac:dyDescent="0.2">
      <c r="A9" s="451" t="s">
        <v>10</v>
      </c>
      <c r="B9" s="451"/>
      <c r="C9" s="405" t="s">
        <v>495</v>
      </c>
    </row>
    <row r="10" spans="1:8" ht="15.75" x14ac:dyDescent="0.25">
      <c r="A10" s="452" t="s">
        <v>824</v>
      </c>
      <c r="B10" s="452"/>
      <c r="C10" s="406"/>
    </row>
    <row r="11" spans="1:8" ht="47.25" x14ac:dyDescent="0.2">
      <c r="A11" s="407" t="s">
        <v>825</v>
      </c>
      <c r="B11" s="408" t="s">
        <v>826</v>
      </c>
      <c r="C11" s="409">
        <v>0.03</v>
      </c>
    </row>
    <row r="12" spans="1:8" ht="15.75" x14ac:dyDescent="0.2">
      <c r="A12" s="407"/>
      <c r="B12" s="410" t="s">
        <v>827</v>
      </c>
      <c r="C12" s="409">
        <f>SUM(C11)</f>
        <v>0.03</v>
      </c>
      <c r="G12" s="411">
        <f>1+C11+C16+C18+C17</f>
        <v>1.05</v>
      </c>
      <c r="H12" s="404">
        <f>1+3/100+0.4/100+1.2/100+0.4/100</f>
        <v>1.05</v>
      </c>
    </row>
    <row r="13" spans="1:8" ht="15.75" x14ac:dyDescent="0.2">
      <c r="A13" s="407"/>
      <c r="B13" s="408"/>
      <c r="C13" s="409"/>
      <c r="G13" s="411">
        <f>1+C15</f>
        <v>1.0121</v>
      </c>
      <c r="H13" s="404">
        <f>1+1.21/100</f>
        <v>1.0121</v>
      </c>
    </row>
    <row r="14" spans="1:8" ht="15.75" x14ac:dyDescent="0.2">
      <c r="A14" s="444" t="s">
        <v>828</v>
      </c>
      <c r="B14" s="444"/>
      <c r="C14" s="409"/>
      <c r="G14" s="411">
        <f>1+C19</f>
        <v>1.0652999999999999</v>
      </c>
      <c r="H14" s="404">
        <f>1+6.53/100</f>
        <v>1.0652999999999999</v>
      </c>
    </row>
    <row r="15" spans="1:8" ht="15.75" x14ac:dyDescent="0.2">
      <c r="A15" s="407" t="s">
        <v>829</v>
      </c>
      <c r="B15" s="408" t="s">
        <v>830</v>
      </c>
      <c r="C15" s="409">
        <v>1.21E-2</v>
      </c>
      <c r="G15" s="411">
        <f>1-C30</f>
        <v>0.89849999999999997</v>
      </c>
      <c r="H15" s="404">
        <f>1-10.15/100</f>
        <v>0.89849999999999997</v>
      </c>
    </row>
    <row r="16" spans="1:8" ht="15.75" x14ac:dyDescent="0.2">
      <c r="A16" s="407" t="s">
        <v>831</v>
      </c>
      <c r="B16" s="408" t="s">
        <v>832</v>
      </c>
      <c r="C16" s="409">
        <v>4.0000000000000001E-3</v>
      </c>
    </row>
    <row r="17" spans="1:8" ht="15.75" x14ac:dyDescent="0.2">
      <c r="A17" s="407" t="s">
        <v>831</v>
      </c>
      <c r="B17" s="408" t="s">
        <v>833</v>
      </c>
      <c r="C17" s="409">
        <v>4.0000000000000001E-3</v>
      </c>
      <c r="F17" s="411">
        <f>G12*G13*G14</f>
        <v>1.1320996365</v>
      </c>
      <c r="H17" s="404">
        <f>H12*H13*H14</f>
        <v>1.1320996365</v>
      </c>
    </row>
    <row r="18" spans="1:8" ht="15.75" x14ac:dyDescent="0.2">
      <c r="A18" s="407" t="s">
        <v>834</v>
      </c>
      <c r="B18" s="408" t="s">
        <v>835</v>
      </c>
      <c r="C18" s="409">
        <v>1.2E-2</v>
      </c>
      <c r="F18" s="411">
        <f>F17/G15</f>
        <v>1.2599884657762939</v>
      </c>
      <c r="H18" s="404">
        <f>H17/H15</f>
        <v>1.2599884657762939</v>
      </c>
    </row>
    <row r="19" spans="1:8" ht="15.75" x14ac:dyDescent="0.2">
      <c r="A19" s="407" t="s">
        <v>836</v>
      </c>
      <c r="B19" s="408" t="s">
        <v>837</v>
      </c>
      <c r="C19" s="409">
        <v>6.5299999999999997E-2</v>
      </c>
      <c r="F19" s="411">
        <f>F18-1</f>
        <v>0.25998846577629386</v>
      </c>
      <c r="H19" s="404">
        <f>H17/H18</f>
        <v>0.89849999999999997</v>
      </c>
    </row>
    <row r="20" spans="1:8" ht="15.75" x14ac:dyDescent="0.2">
      <c r="A20" s="407"/>
      <c r="B20" s="410" t="s">
        <v>838</v>
      </c>
      <c r="C20" s="409">
        <f>SUM(C15:C19)</f>
        <v>9.74E-2</v>
      </c>
      <c r="H20" s="404">
        <f>H18-1</f>
        <v>0.25998846577629386</v>
      </c>
    </row>
    <row r="21" spans="1:8" ht="15.75" x14ac:dyDescent="0.2">
      <c r="A21" s="407"/>
      <c r="B21" s="412"/>
      <c r="C21" s="409"/>
    </row>
    <row r="22" spans="1:8" ht="15.75" x14ac:dyDescent="0.2">
      <c r="A22" s="444" t="s">
        <v>839</v>
      </c>
      <c r="B22" s="444"/>
      <c r="C22" s="409"/>
    </row>
    <row r="23" spans="1:8" ht="15.75" x14ac:dyDescent="0.2">
      <c r="A23" s="407" t="s">
        <v>840</v>
      </c>
      <c r="B23" s="408" t="s">
        <v>841</v>
      </c>
      <c r="C23" s="409"/>
    </row>
    <row r="24" spans="1:8" ht="15.75" x14ac:dyDescent="0.2">
      <c r="A24" s="407" t="s">
        <v>842</v>
      </c>
      <c r="B24" s="413" t="s">
        <v>843</v>
      </c>
      <c r="C24" s="409">
        <v>0.4</v>
      </c>
      <c r="F24" s="411">
        <f>1+C11+C17+C16+C18</f>
        <v>1.05</v>
      </c>
    </row>
    <row r="25" spans="1:8" ht="15.75" x14ac:dyDescent="0.2">
      <c r="A25" s="407" t="s">
        <v>844</v>
      </c>
      <c r="B25" s="414" t="s">
        <v>845</v>
      </c>
      <c r="C25" s="409">
        <v>0.05</v>
      </c>
      <c r="F25" s="411">
        <f>1+C15</f>
        <v>1.0121</v>
      </c>
    </row>
    <row r="26" spans="1:8" ht="15.75" x14ac:dyDescent="0.2">
      <c r="A26" s="407" t="s">
        <v>846</v>
      </c>
      <c r="B26" s="415" t="s">
        <v>847</v>
      </c>
      <c r="C26" s="409">
        <f>C25*C24</f>
        <v>2.0000000000000004E-2</v>
      </c>
      <c r="F26" s="411">
        <f>1+C19</f>
        <v>1.0652999999999999</v>
      </c>
    </row>
    <row r="27" spans="1:8" ht="15.75" x14ac:dyDescent="0.2">
      <c r="A27" s="407" t="s">
        <v>848</v>
      </c>
      <c r="B27" s="412" t="s">
        <v>849</v>
      </c>
      <c r="C27" s="416">
        <v>6.4999999999999997E-3</v>
      </c>
      <c r="F27" s="411">
        <f>1-C30</f>
        <v>0.89849999999999997</v>
      </c>
      <c r="H27" s="411">
        <f>F24*F25*F26</f>
        <v>1.1320996365</v>
      </c>
    </row>
    <row r="28" spans="1:8" ht="15.75" x14ac:dyDescent="0.2">
      <c r="A28" s="407" t="s">
        <v>850</v>
      </c>
      <c r="B28" s="412" t="s">
        <v>851</v>
      </c>
      <c r="C28" s="416">
        <v>0.03</v>
      </c>
      <c r="H28" s="411">
        <f>H27/F27</f>
        <v>1.2599884657762939</v>
      </c>
    </row>
    <row r="29" spans="1:8" ht="15.75" x14ac:dyDescent="0.2">
      <c r="A29" s="407" t="s">
        <v>852</v>
      </c>
      <c r="B29" s="412" t="s">
        <v>853</v>
      </c>
      <c r="C29" s="416">
        <v>4.4999999999999998E-2</v>
      </c>
      <c r="H29" s="420">
        <f>H28-1</f>
        <v>0.25998846577629386</v>
      </c>
    </row>
    <row r="30" spans="1:8" ht="15.75" x14ac:dyDescent="0.2">
      <c r="A30" s="407"/>
      <c r="B30" s="410" t="s">
        <v>854</v>
      </c>
      <c r="C30" s="409">
        <f>SUM(C26:C29)</f>
        <v>0.10150000000000001</v>
      </c>
    </row>
    <row r="31" spans="1:8" ht="15.75" x14ac:dyDescent="0.25">
      <c r="A31" s="417"/>
      <c r="B31" s="417"/>
      <c r="C31" s="409"/>
    </row>
    <row r="32" spans="1:8" ht="15.75" x14ac:dyDescent="0.2">
      <c r="A32" s="444" t="s">
        <v>855</v>
      </c>
      <c r="B32" s="444"/>
      <c r="C32" s="409">
        <f>H29</f>
        <v>0.25998846577629386</v>
      </c>
    </row>
    <row r="33" spans="1:3" ht="43.5" customHeight="1" x14ac:dyDescent="0.2">
      <c r="A33" s="453" t="s">
        <v>856</v>
      </c>
      <c r="B33" s="453"/>
      <c r="C33" s="453"/>
    </row>
    <row r="34" spans="1:3" x14ac:dyDescent="0.2">
      <c r="A34" s="453"/>
      <c r="B34" s="453"/>
      <c r="C34" s="453"/>
    </row>
    <row r="35" spans="1:3" x14ac:dyDescent="0.2">
      <c r="A35" s="453"/>
      <c r="B35" s="453"/>
      <c r="C35" s="453"/>
    </row>
    <row r="36" spans="1:3" x14ac:dyDescent="0.2">
      <c r="A36" s="453"/>
      <c r="B36" s="453"/>
      <c r="C36" s="453"/>
    </row>
    <row r="37" spans="1:3" x14ac:dyDescent="0.2">
      <c r="A37" s="453"/>
      <c r="B37" s="453"/>
      <c r="C37" s="453"/>
    </row>
    <row r="38" spans="1:3" x14ac:dyDescent="0.2">
      <c r="A38" s="453"/>
      <c r="B38" s="453"/>
      <c r="C38" s="453"/>
    </row>
    <row r="39" spans="1:3" x14ac:dyDescent="0.2">
      <c r="A39" s="453"/>
      <c r="B39" s="453"/>
      <c r="C39" s="453"/>
    </row>
    <row r="40" spans="1:3" x14ac:dyDescent="0.2">
      <c r="A40" s="453"/>
      <c r="B40" s="453"/>
      <c r="C40" s="453"/>
    </row>
    <row r="41" spans="1:3" x14ac:dyDescent="0.2">
      <c r="A41" s="453"/>
      <c r="B41" s="453"/>
      <c r="C41" s="453"/>
    </row>
    <row r="42" spans="1:3" x14ac:dyDescent="0.2">
      <c r="A42" s="453"/>
      <c r="B42" s="453"/>
      <c r="C42" s="453"/>
    </row>
    <row r="43" spans="1:3" x14ac:dyDescent="0.2">
      <c r="A43" s="453"/>
      <c r="B43" s="453"/>
      <c r="C43" s="453"/>
    </row>
    <row r="44" spans="1:3" ht="21" customHeight="1" x14ac:dyDescent="0.2">
      <c r="A44" s="453"/>
      <c r="B44" s="453"/>
      <c r="C44" s="453"/>
    </row>
    <row r="45" spans="1:3" x14ac:dyDescent="0.2">
      <c r="A45" s="418"/>
      <c r="B45" s="418"/>
      <c r="C45" s="418"/>
    </row>
    <row r="46" spans="1:3" x14ac:dyDescent="0.2">
      <c r="A46" s="418"/>
      <c r="B46" s="418"/>
      <c r="C46" s="418"/>
    </row>
    <row r="47" spans="1:3" x14ac:dyDescent="0.2">
      <c r="A47" s="418"/>
      <c r="B47" s="419" t="s">
        <v>857</v>
      </c>
    </row>
    <row r="48" spans="1:3" x14ac:dyDescent="0.2">
      <c r="A48" s="418"/>
      <c r="B48" s="418"/>
      <c r="C48" s="418"/>
    </row>
    <row r="49" spans="1:3" x14ac:dyDescent="0.2">
      <c r="A49" s="418"/>
      <c r="B49" s="418"/>
      <c r="C49" s="418"/>
    </row>
    <row r="50" spans="1:3" x14ac:dyDescent="0.2">
      <c r="A50" s="418"/>
      <c r="B50" s="418"/>
      <c r="C50" s="418"/>
    </row>
    <row r="51" spans="1:3" x14ac:dyDescent="0.2">
      <c r="A51" s="454" t="str">
        <f>[2]RESUMO!A51</f>
        <v>___________________________________</v>
      </c>
      <c r="B51" s="454"/>
      <c r="C51" s="454"/>
    </row>
    <row r="52" spans="1:3" x14ac:dyDescent="0.2">
      <c r="A52" s="455" t="s">
        <v>860</v>
      </c>
      <c r="B52" s="454"/>
      <c r="C52" s="454"/>
    </row>
    <row r="53" spans="1:3" x14ac:dyDescent="0.2">
      <c r="A53" s="454" t="s">
        <v>858</v>
      </c>
      <c r="B53" s="454"/>
      <c r="C53" s="454"/>
    </row>
    <row r="54" spans="1:3" x14ac:dyDescent="0.2">
      <c r="A54" s="454"/>
      <c r="B54" s="454"/>
      <c r="C54" s="454"/>
    </row>
    <row r="55" spans="1:3" x14ac:dyDescent="0.2">
      <c r="A55" s="418"/>
      <c r="B55" s="418"/>
      <c r="C55" s="418"/>
    </row>
  </sheetData>
  <mergeCells count="11">
    <mergeCell ref="A33:C44"/>
    <mergeCell ref="A51:C51"/>
    <mergeCell ref="A52:C52"/>
    <mergeCell ref="A53:C53"/>
    <mergeCell ref="A54:C54"/>
    <mergeCell ref="A32:B32"/>
    <mergeCell ref="A7:C8"/>
    <mergeCell ref="A9:B9"/>
    <mergeCell ref="A10:B10"/>
    <mergeCell ref="A14:B14"/>
    <mergeCell ref="A22:B22"/>
  </mergeCells>
  <printOptions horizontalCentered="1"/>
  <pageMargins left="0.25" right="0.25" top="0.75" bottom="0.75" header="0.3" footer="0.3"/>
  <pageSetup paperSize="9" scale="90" orientation="portrait" horizontalDpi="1200" verticalDpi="1200" r:id="rId1"/>
  <rowBreaks count="1" manualBreakCount="1">
    <brk id="54" max="2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autoPict="0" r:id="rId5">
            <anchor moveWithCells="1">
              <from>
                <xdr:col>1</xdr:col>
                <xdr:colOff>457200</xdr:colOff>
                <xdr:row>0</xdr:row>
                <xdr:rowOff>57150</xdr:rowOff>
              </from>
              <to>
                <xdr:col>1</xdr:col>
                <xdr:colOff>4848225</xdr:colOff>
                <xdr:row>7</xdr:row>
                <xdr:rowOff>85725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COMPOSIÇÃO</vt:lpstr>
      <vt:lpstr>CRONOGRAMA</vt:lpstr>
      <vt:lpstr>PLANILHA</vt:lpstr>
      <vt:lpstr>BDI</vt:lpstr>
      <vt:lpstr>BDI!Area_de_impressao</vt:lpstr>
      <vt:lpstr>COMPOSIÇÃO!Area_de_impressao</vt:lpstr>
      <vt:lpstr>CRONOGRAMA!Area_de_impressao</vt:lpstr>
      <vt:lpstr>PLANILHA!Area_de_impressao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2020-10-08T14:54:18Z</dcterms:modified>
</cp:coreProperties>
</file>